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12.xml" ContentType="application/vnd.openxmlformats-officedocument.drawing+xml"/>
  <Override PartName="/xl/comments7.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omments8.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omments9.xml" ContentType="application/vnd.openxmlformats-officedocument.spreadsheetml.comments+xml"/>
  <Override PartName="/xl/drawings/drawing16.xml" ContentType="application/vnd.openxmlformats-officedocument.drawing+xml"/>
  <Override PartName="/xl/comments10.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showObjects="placeholders" codeName="ThisWorkbook" hidePivotFieldList="1"/>
  <mc:AlternateContent xmlns:mc="http://schemas.openxmlformats.org/markup-compatibility/2006">
    <mc:Choice Requires="x15">
      <x15ac:absPath xmlns:x15ac="http://schemas.microsoft.com/office/spreadsheetml/2010/11/ac" url="C:\TIMES models\TIMES-Nordic\"/>
    </mc:Choice>
  </mc:AlternateContent>
  <xr:revisionPtr revIDLastSave="0" documentId="13_ncr:1_{680B6DC0-D138-44BF-8BD8-6524AA7B5B81}" xr6:coauthVersionLast="46" xr6:coauthVersionMax="46" xr10:uidLastSave="{00000000-0000-0000-0000-000000000000}"/>
  <bookViews>
    <workbookView xWindow="-4344" yWindow="3792" windowWidth="41280" windowHeight="8340" tabRatio="862" activeTab="6" xr2:uid="{00000000-000D-0000-FFFF-FFFF00000000}"/>
  </bookViews>
  <sheets>
    <sheet name="LOG" sheetId="244" r:id="rId1"/>
    <sheet name="Intro" sheetId="246" r:id="rId2"/>
    <sheet name="RES" sheetId="238" r:id="rId3"/>
    <sheet name="Legend" sheetId="234" r:id="rId4"/>
    <sheet name="Commodities" sheetId="216" r:id="rId5"/>
    <sheet name="Processes" sheetId="231" r:id="rId6"/>
    <sheet name="Boilers_DR" sheetId="260" r:id="rId7"/>
    <sheet name="Buildings_DR" sheetId="264" r:id="rId8"/>
    <sheet name="Dem" sheetId="221" r:id="rId9"/>
    <sheet name="RES_Fuel" sheetId="232" r:id="rId10"/>
    <sheet name="Emis" sheetId="242" r:id="rId11"/>
    <sheet name="Service_Demand_2010" sheetId="263" r:id="rId12"/>
    <sheet name="Statistics Norway - STOCK" sheetId="261" r:id="rId13"/>
    <sheet name="Statistics Norway - ENERGY USE" sheetId="265" r:id="rId14"/>
    <sheet name="Regions" sheetId="262" r:id="rId15"/>
    <sheet name="EUROSTAT" sheetId="256" r:id="rId16"/>
    <sheet name="Boilers_old" sheetId="258" r:id="rId17"/>
    <sheet name="Buildings_old" sheetId="250" r:id="rId18"/>
    <sheet name="Building Stock &amp; Specific Heat " sheetId="255" r:id="rId19"/>
    <sheet name="Workflow" sheetId="259"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xlnm._FilterDatabase" localSheetId="8" hidden="1">Dem!$B$4:$T$5</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6">LOG!#REF!</definedName>
    <definedName name="FID_2" localSheetId="1">[7]LOG!#REF!</definedName>
    <definedName name="FID_2">LOG!#REF!</definedName>
    <definedName name="FID_2_" localSheetId="6">[8]LOG!#REF!</definedName>
    <definedName name="FID_2_" localSheetId="1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 localSheetId="1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4">[11]AGR_Fuels!$A$2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5" i="260" l="1"/>
  <c r="G24" i="260"/>
  <c r="G23" i="260"/>
  <c r="G22" i="260"/>
  <c r="O22" i="260" s="1"/>
  <c r="G21" i="260"/>
  <c r="O21" i="260" s="1"/>
  <c r="G20" i="260"/>
  <c r="O20" i="260" s="1"/>
  <c r="G19" i="260"/>
  <c r="O19" i="260" s="1"/>
  <c r="G18" i="260"/>
  <c r="O18" i="260" s="1"/>
  <c r="G17" i="260"/>
  <c r="O17" i="260" s="1"/>
  <c r="G16" i="260"/>
  <c r="H25" i="260"/>
  <c r="H24" i="260"/>
  <c r="H23" i="260"/>
  <c r="H22" i="260"/>
  <c r="H21" i="260"/>
  <c r="H20" i="260"/>
  <c r="H19" i="260"/>
  <c r="H18" i="260"/>
  <c r="H17" i="260"/>
  <c r="H16" i="260"/>
  <c r="H15" i="260"/>
  <c r="P15" i="260" s="1"/>
  <c r="H14" i="260"/>
  <c r="H13" i="260"/>
  <c r="P13" i="260" s="1"/>
  <c r="H12" i="260"/>
  <c r="P12" i="260" s="1"/>
  <c r="H11" i="260"/>
  <c r="H10" i="260"/>
  <c r="H9" i="260"/>
  <c r="H8" i="260"/>
  <c r="H7" i="260"/>
  <c r="H6" i="260"/>
  <c r="P6" i="260" s="1"/>
  <c r="G6" i="260"/>
  <c r="O12" i="260"/>
  <c r="O13" i="260"/>
  <c r="P16" i="260"/>
  <c r="O25" i="260"/>
  <c r="O24" i="260"/>
  <c r="O23" i="260"/>
  <c r="O16" i="260"/>
  <c r="O15" i="260"/>
  <c r="O14" i="260"/>
  <c r="O6" i="260"/>
  <c r="O7" i="260"/>
  <c r="O8" i="260"/>
  <c r="O9" i="260"/>
  <c r="O10" i="260"/>
  <c r="O11" i="260"/>
  <c r="G15" i="260"/>
  <c r="G14" i="260"/>
  <c r="G13" i="260"/>
  <c r="G12" i="260"/>
  <c r="G11" i="260"/>
  <c r="G10" i="260"/>
  <c r="G9" i="260"/>
  <c r="G8" i="260"/>
  <c r="G7" i="260"/>
  <c r="S13" i="260"/>
  <c r="S6" i="260"/>
  <c r="T7" i="260"/>
  <c r="R46" i="264"/>
  <c r="R44" i="264"/>
  <c r="U44" i="264"/>
  <c r="Q7" i="264"/>
  <c r="J69" i="264" l="1"/>
  <c r="E54" i="264" s="1"/>
  <c r="H7" i="264" s="1"/>
  <c r="D19" i="260" l="1"/>
  <c r="K19" i="260" l="1"/>
  <c r="E19" i="260"/>
  <c r="C19" i="260"/>
  <c r="D37" i="231"/>
  <c r="B19" i="260" s="1"/>
  <c r="K18" i="260" l="1"/>
  <c r="I12" i="232" l="1"/>
  <c r="H12" i="232"/>
  <c r="I10" i="232"/>
  <c r="H10" i="232"/>
  <c r="J85" i="260"/>
  <c r="K85" i="260" s="1"/>
  <c r="J84" i="260"/>
  <c r="K84" i="260" s="1"/>
  <c r="M84" i="260" l="1"/>
  <c r="K99" i="264" l="1"/>
  <c r="K98" i="264"/>
  <c r="K96" i="264"/>
  <c r="K95" i="264"/>
  <c r="G67" i="265"/>
  <c r="G94" i="265"/>
  <c r="G83" i="265"/>
  <c r="F97" i="265"/>
  <c r="F94" i="265"/>
  <c r="F73" i="265"/>
  <c r="F67" i="265"/>
  <c r="F86" i="265"/>
  <c r="F83" i="265"/>
  <c r="E95" i="265"/>
  <c r="E96" i="265"/>
  <c r="E97" i="265"/>
  <c r="E98" i="265"/>
  <c r="E99" i="265"/>
  <c r="E94" i="265"/>
  <c r="E83" i="265"/>
  <c r="E84" i="265"/>
  <c r="E85" i="265"/>
  <c r="E86" i="265"/>
  <c r="E82" i="265"/>
  <c r="E68" i="265"/>
  <c r="E69" i="265"/>
  <c r="E70" i="265"/>
  <c r="E71" i="265"/>
  <c r="E72" i="265"/>
  <c r="E73" i="265"/>
  <c r="E74" i="265"/>
  <c r="E67" i="265"/>
  <c r="U10" i="260"/>
  <c r="U11" i="260"/>
  <c r="U20" i="260"/>
  <c r="U21" i="260"/>
  <c r="C109" i="260"/>
  <c r="D109" i="260" s="1"/>
  <c r="E109" i="260" s="1"/>
  <c r="D114" i="260" s="1"/>
  <c r="C110" i="260"/>
  <c r="C108" i="260"/>
  <c r="D108" i="260" s="1"/>
  <c r="D87" i="260"/>
  <c r="D86" i="260"/>
  <c r="E87" i="260"/>
  <c r="E86" i="260"/>
  <c r="D85" i="260"/>
  <c r="E85" i="260"/>
  <c r="E84" i="260"/>
  <c r="D84" i="260"/>
  <c r="F87" i="260"/>
  <c r="F86" i="260"/>
  <c r="F85" i="260"/>
  <c r="F84" i="260"/>
  <c r="D67" i="260"/>
  <c r="I73" i="260"/>
  <c r="I74" i="260"/>
  <c r="F43" i="265"/>
  <c r="F34" i="265"/>
  <c r="E44" i="265"/>
  <c r="E45" i="265"/>
  <c r="E46" i="265"/>
  <c r="I75" i="260" s="1"/>
  <c r="E43" i="265"/>
  <c r="I72" i="260" s="1"/>
  <c r="E35" i="265"/>
  <c r="E36" i="265"/>
  <c r="E37" i="265"/>
  <c r="E34" i="265"/>
  <c r="D69" i="260"/>
  <c r="D70" i="260"/>
  <c r="D71" i="260"/>
  <c r="D72" i="260"/>
  <c r="D73" i="260"/>
  <c r="D74" i="260"/>
  <c r="D68" i="260"/>
  <c r="K19" i="265"/>
  <c r="L19" i="265"/>
  <c r="M19" i="265"/>
  <c r="N19" i="265"/>
  <c r="O19" i="265"/>
  <c r="J7" i="265"/>
  <c r="J8" i="265"/>
  <c r="J9" i="265"/>
  <c r="J10" i="265"/>
  <c r="J11" i="265"/>
  <c r="J12" i="265"/>
  <c r="J13" i="265"/>
  <c r="J19" i="265"/>
  <c r="J6" i="265"/>
  <c r="O36" i="258"/>
  <c r="Q7" i="258"/>
  <c r="H158" i="264"/>
  <c r="N154" i="264"/>
  <c r="M154" i="264"/>
  <c r="L154" i="264"/>
  <c r="N153" i="264"/>
  <c r="M153" i="264"/>
  <c r="L153" i="264"/>
  <c r="N152" i="264"/>
  <c r="M152" i="264"/>
  <c r="L152" i="264"/>
  <c r="N151" i="264"/>
  <c r="M151" i="264"/>
  <c r="L151" i="264"/>
  <c r="N150" i="264"/>
  <c r="M150" i="264"/>
  <c r="L150" i="264"/>
  <c r="N149" i="264"/>
  <c r="M149" i="264"/>
  <c r="L149" i="264"/>
  <c r="N148" i="264"/>
  <c r="M148" i="264"/>
  <c r="L148" i="264"/>
  <c r="D65" i="264"/>
  <c r="E69" i="264"/>
  <c r="F69" i="264"/>
  <c r="G69" i="264"/>
  <c r="H69" i="264"/>
  <c r="I69" i="264"/>
  <c r="K69" i="264"/>
  <c r="L69" i="264"/>
  <c r="M69" i="264"/>
  <c r="N69" i="264"/>
  <c r="O69" i="264"/>
  <c r="P69" i="264"/>
  <c r="Q69" i="264"/>
  <c r="R69" i="264"/>
  <c r="S69" i="264"/>
  <c r="T69" i="264"/>
  <c r="U69" i="264"/>
  <c r="E70" i="264"/>
  <c r="F70" i="264"/>
  <c r="G70" i="264"/>
  <c r="H70" i="264"/>
  <c r="I70" i="264"/>
  <c r="J70" i="264"/>
  <c r="K70" i="264"/>
  <c r="L70" i="264"/>
  <c r="M70" i="264"/>
  <c r="N70" i="264"/>
  <c r="O70" i="264"/>
  <c r="P70" i="264"/>
  <c r="Q70" i="264"/>
  <c r="R70" i="264"/>
  <c r="S70" i="264"/>
  <c r="T70" i="264"/>
  <c r="U70" i="264"/>
  <c r="D70" i="264"/>
  <c r="D69" i="264"/>
  <c r="D39" i="263"/>
  <c r="E94" i="263" s="1"/>
  <c r="L95" i="263"/>
  <c r="K95" i="263"/>
  <c r="J95" i="263"/>
  <c r="I95" i="263"/>
  <c r="H95" i="263"/>
  <c r="G95" i="263"/>
  <c r="F95" i="263"/>
  <c r="E95" i="263"/>
  <c r="D95" i="263"/>
  <c r="C95" i="263"/>
  <c r="M93" i="263"/>
  <c r="L93" i="263"/>
  <c r="K93" i="263"/>
  <c r="J93" i="263"/>
  <c r="I93" i="263"/>
  <c r="H93" i="263"/>
  <c r="G93" i="263"/>
  <c r="F93" i="263"/>
  <c r="E93" i="263"/>
  <c r="D93" i="263"/>
  <c r="C93" i="263"/>
  <c r="I160" i="264" l="1"/>
  <c r="I161" i="264"/>
  <c r="H160" i="264"/>
  <c r="H161" i="264"/>
  <c r="L99" i="260"/>
  <c r="V15" i="260" s="1"/>
  <c r="J98" i="260"/>
  <c r="T6" i="260" s="1"/>
  <c r="H98" i="260"/>
  <c r="F98" i="260"/>
  <c r="I98" i="260"/>
  <c r="T9" i="260" s="1"/>
  <c r="G98" i="260"/>
  <c r="D98" i="260"/>
  <c r="K98" i="260"/>
  <c r="T14" i="260" s="1"/>
  <c r="I99" i="260"/>
  <c r="V9" i="260" s="1"/>
  <c r="G99" i="260"/>
  <c r="D99" i="260"/>
  <c r="J99" i="260"/>
  <c r="V6" i="260" s="1"/>
  <c r="F99" i="260"/>
  <c r="H99" i="260"/>
  <c r="K99" i="260"/>
  <c r="V14" i="260" s="1"/>
  <c r="K96" i="260"/>
  <c r="T24" i="260" s="1"/>
  <c r="G84" i="260"/>
  <c r="L96" i="260"/>
  <c r="T25" i="260" s="1"/>
  <c r="J97" i="260"/>
  <c r="V16" i="260" s="1"/>
  <c r="F97" i="260"/>
  <c r="I97" i="260"/>
  <c r="V19" i="260" s="1"/>
  <c r="G97" i="260"/>
  <c r="D97" i="260"/>
  <c r="H97" i="260"/>
  <c r="L97" i="260"/>
  <c r="V25" i="260" s="1"/>
  <c r="G85" i="260"/>
  <c r="K97" i="260"/>
  <c r="V24" i="260" s="1"/>
  <c r="J96" i="260"/>
  <c r="T16" i="260" s="1"/>
  <c r="H96" i="260"/>
  <c r="F96" i="260"/>
  <c r="I96" i="260"/>
  <c r="G96" i="260"/>
  <c r="D96" i="260"/>
  <c r="L98" i="260"/>
  <c r="T15" i="260" s="1"/>
  <c r="G34" i="265"/>
  <c r="G43" i="265"/>
  <c r="D110" i="260"/>
  <c r="E110" i="260" s="1"/>
  <c r="D113" i="260" s="1"/>
  <c r="D75" i="260"/>
  <c r="H9" i="232" l="1"/>
  <c r="I9" i="232"/>
  <c r="U9" i="260"/>
  <c r="S18" i="260"/>
  <c r="T19" i="260"/>
  <c r="U18" i="260"/>
  <c r="S24" i="260"/>
  <c r="S14" i="260"/>
  <c r="H14" i="232"/>
  <c r="S25" i="260"/>
  <c r="U8" i="260"/>
  <c r="I8" i="232"/>
  <c r="H6" i="232"/>
  <c r="U25" i="260"/>
  <c r="U16" i="260"/>
  <c r="U15" i="260"/>
  <c r="I15" i="232"/>
  <c r="U14" i="260"/>
  <c r="I14" i="232"/>
  <c r="S15" i="260"/>
  <c r="H15" i="232"/>
  <c r="S16" i="260"/>
  <c r="U6" i="260"/>
  <c r="I6" i="232"/>
  <c r="S8" i="260"/>
  <c r="H8" i="232"/>
  <c r="U24" i="260"/>
  <c r="Q96" i="260"/>
  <c r="Q97" i="260"/>
  <c r="V12" i="260"/>
  <c r="V13" i="260"/>
  <c r="V22" i="260"/>
  <c r="V23" i="260"/>
  <c r="T13" i="260"/>
  <c r="T12" i="260"/>
  <c r="T22" i="260"/>
  <c r="T23" i="260"/>
  <c r="M99" i="260"/>
  <c r="D100" i="260" s="1"/>
  <c r="V17" i="260"/>
  <c r="T17" i="260"/>
  <c r="V7" i="260"/>
  <c r="T26" i="260" l="1"/>
  <c r="U19" i="260"/>
  <c r="S19" i="260"/>
  <c r="U13" i="260"/>
  <c r="U12" i="260"/>
  <c r="I13" i="232"/>
  <c r="U23" i="260"/>
  <c r="U7" i="260"/>
  <c r="I7" i="232"/>
  <c r="S23" i="260"/>
  <c r="S17" i="260"/>
  <c r="T27" i="260"/>
  <c r="S22" i="260"/>
  <c r="U17" i="260"/>
  <c r="S12" i="260"/>
  <c r="H13" i="232"/>
  <c r="U22" i="260"/>
  <c r="S7" i="260"/>
  <c r="H7" i="232"/>
  <c r="R96" i="260"/>
  <c r="I22" i="232" l="1"/>
  <c r="H99" i="263"/>
  <c r="F40" i="263"/>
  <c r="G40" i="263"/>
  <c r="F41" i="263"/>
  <c r="G41" i="263"/>
  <c r="F42" i="263"/>
  <c r="G42" i="263"/>
  <c r="F43" i="263"/>
  <c r="G43" i="263"/>
  <c r="F44" i="263"/>
  <c r="G44" i="263"/>
  <c r="F45" i="263"/>
  <c r="G45" i="263"/>
  <c r="F46" i="263"/>
  <c r="G46" i="263"/>
  <c r="F47" i="263"/>
  <c r="G47" i="263"/>
  <c r="F48" i="263"/>
  <c r="G48" i="263"/>
  <c r="F49" i="263"/>
  <c r="G49" i="263"/>
  <c r="F50" i="263"/>
  <c r="G50" i="263"/>
  <c r="F51" i="263"/>
  <c r="G51" i="263"/>
  <c r="F52" i="263"/>
  <c r="G52" i="263"/>
  <c r="F53" i="263"/>
  <c r="G53" i="263"/>
  <c r="F54" i="263"/>
  <c r="G54" i="263"/>
  <c r="F55" i="263"/>
  <c r="G55" i="263"/>
  <c r="F56" i="263"/>
  <c r="G56" i="263"/>
  <c r="F57" i="263"/>
  <c r="G57" i="263"/>
  <c r="G39" i="263"/>
  <c r="F39" i="263"/>
  <c r="C40" i="263"/>
  <c r="D40" i="263"/>
  <c r="C41" i="263"/>
  <c r="D41" i="263"/>
  <c r="C42" i="263"/>
  <c r="D42" i="263"/>
  <c r="C43" i="263"/>
  <c r="D43" i="263"/>
  <c r="C44" i="263"/>
  <c r="D44" i="263"/>
  <c r="C45" i="263"/>
  <c r="D45" i="263"/>
  <c r="C46" i="263"/>
  <c r="D46" i="263"/>
  <c r="C47" i="263"/>
  <c r="D47" i="263"/>
  <c r="C48" i="263"/>
  <c r="D48" i="263"/>
  <c r="C49" i="263"/>
  <c r="D49" i="263"/>
  <c r="C50" i="263"/>
  <c r="D50" i="263"/>
  <c r="C51" i="263"/>
  <c r="D51" i="263"/>
  <c r="C52" i="263"/>
  <c r="D52" i="263"/>
  <c r="C53" i="263"/>
  <c r="D53" i="263"/>
  <c r="C54" i="263"/>
  <c r="D54" i="263"/>
  <c r="C55" i="263"/>
  <c r="D55" i="263"/>
  <c r="C56" i="263"/>
  <c r="D56" i="263"/>
  <c r="C57" i="263"/>
  <c r="D57" i="263"/>
  <c r="C9" i="263"/>
  <c r="F31" i="263" s="1"/>
  <c r="X29" i="263"/>
  <c r="AJ29" i="263"/>
  <c r="AV29" i="263"/>
  <c r="BH29" i="263"/>
  <c r="BT29" i="263"/>
  <c r="O13" i="265"/>
  <c r="N13" i="265"/>
  <c r="M13" i="265"/>
  <c r="L13" i="265"/>
  <c r="K13" i="265"/>
  <c r="O12" i="265"/>
  <c r="N12" i="265"/>
  <c r="M12" i="265"/>
  <c r="L12" i="265"/>
  <c r="K12" i="265"/>
  <c r="O11" i="265"/>
  <c r="N11" i="265"/>
  <c r="M11" i="265"/>
  <c r="L11" i="265"/>
  <c r="K11" i="265"/>
  <c r="O10" i="265"/>
  <c r="N10" i="265"/>
  <c r="M10" i="265"/>
  <c r="L10" i="265"/>
  <c r="K10" i="265"/>
  <c r="O9" i="265"/>
  <c r="N9" i="265"/>
  <c r="M9" i="265"/>
  <c r="L9" i="265"/>
  <c r="K9" i="265"/>
  <c r="O8" i="265"/>
  <c r="N8" i="265"/>
  <c r="M8" i="265"/>
  <c r="L8" i="265"/>
  <c r="K8" i="265"/>
  <c r="O7" i="265"/>
  <c r="O6" i="265"/>
  <c r="N6" i="265"/>
  <c r="M6" i="265"/>
  <c r="L6" i="265"/>
  <c r="K6" i="265"/>
  <c r="C56" i="261"/>
  <c r="C27" i="261"/>
  <c r="C39" i="263" l="1"/>
  <c r="C58" i="263" s="1"/>
  <c r="L29" i="263"/>
  <c r="F30" i="263" s="1"/>
  <c r="F58" i="263"/>
  <c r="G58" i="263"/>
  <c r="F32" i="263"/>
  <c r="D58" i="263" l="1"/>
  <c r="L38" i="258"/>
  <c r="C153" i="255" l="1"/>
  <c r="C99" i="263"/>
  <c r="O119" i="255"/>
  <c r="Z94" i="255"/>
  <c r="M96" i="263"/>
  <c r="X88" i="263"/>
  <c r="M95" i="263"/>
  <c r="E99" i="263"/>
  <c r="C73" i="255"/>
  <c r="R126" i="255"/>
  <c r="O126" i="255"/>
  <c r="C126" i="255"/>
  <c r="X75" i="255"/>
  <c r="G66" i="263"/>
  <c r="H40" i="263"/>
  <c r="H41" i="263"/>
  <c r="N67" i="263" s="1"/>
  <c r="N113" i="263" s="1"/>
  <c r="H42" i="263"/>
  <c r="H68" i="263" s="1"/>
  <c r="H114" i="263" s="1"/>
  <c r="F69" i="263"/>
  <c r="G69" i="263"/>
  <c r="H43" i="263"/>
  <c r="H69" i="263" s="1"/>
  <c r="H115" i="263" s="1"/>
  <c r="G70" i="263"/>
  <c r="H44" i="263"/>
  <c r="H70" i="263" s="1"/>
  <c r="H116" i="263" s="1"/>
  <c r="F71" i="263"/>
  <c r="H45" i="263"/>
  <c r="H71" i="263" s="1"/>
  <c r="H117" i="263" s="1"/>
  <c r="F72" i="263"/>
  <c r="H46" i="263"/>
  <c r="H72" i="263" s="1"/>
  <c r="H118" i="263" s="1"/>
  <c r="F73" i="263"/>
  <c r="H47" i="263"/>
  <c r="H73" i="263" s="1"/>
  <c r="H119" i="263" s="1"/>
  <c r="G74" i="263"/>
  <c r="H48" i="263"/>
  <c r="H74" i="263" s="1"/>
  <c r="H120" i="263" s="1"/>
  <c r="L75" i="263"/>
  <c r="H49" i="263"/>
  <c r="N75" i="263" s="1"/>
  <c r="N121" i="263" s="1"/>
  <c r="L76" i="263"/>
  <c r="M76" i="263"/>
  <c r="H50" i="263"/>
  <c r="N76" i="263" s="1"/>
  <c r="N122" i="263" s="1"/>
  <c r="F77" i="263"/>
  <c r="G77" i="263"/>
  <c r="H51" i="263"/>
  <c r="H77" i="263" s="1"/>
  <c r="H123" i="263" s="1"/>
  <c r="G78" i="263"/>
  <c r="H52" i="263"/>
  <c r="H78" i="263" s="1"/>
  <c r="H124" i="263" s="1"/>
  <c r="F79" i="263"/>
  <c r="H53" i="263"/>
  <c r="H79" i="263" s="1"/>
  <c r="H125" i="263" s="1"/>
  <c r="L80" i="263"/>
  <c r="M80" i="263"/>
  <c r="H54" i="263"/>
  <c r="N80" i="263" s="1"/>
  <c r="N126" i="263" s="1"/>
  <c r="F81" i="263"/>
  <c r="H55" i="263"/>
  <c r="G82" i="263"/>
  <c r="H56" i="263"/>
  <c r="F83" i="263"/>
  <c r="H57" i="263"/>
  <c r="H83" i="263" s="1"/>
  <c r="H129" i="263" s="1"/>
  <c r="H39" i="263"/>
  <c r="F65" i="263"/>
  <c r="E40" i="263"/>
  <c r="E41" i="263"/>
  <c r="K67" i="263" s="1"/>
  <c r="K113" i="263" s="1"/>
  <c r="E42" i="263"/>
  <c r="E68" i="263" s="1"/>
  <c r="E114" i="263" s="1"/>
  <c r="E43" i="263"/>
  <c r="E44" i="263"/>
  <c r="E45" i="263"/>
  <c r="E46" i="263"/>
  <c r="E72" i="263" s="1"/>
  <c r="E118" i="263" s="1"/>
  <c r="E47" i="263"/>
  <c r="E48" i="263"/>
  <c r="E49" i="263"/>
  <c r="K75" i="263" s="1"/>
  <c r="K121" i="263" s="1"/>
  <c r="E50" i="263"/>
  <c r="E51" i="263"/>
  <c r="E52" i="263"/>
  <c r="E53" i="263"/>
  <c r="E54" i="263"/>
  <c r="K80" i="263" s="1"/>
  <c r="K126" i="263" s="1"/>
  <c r="E55" i="263"/>
  <c r="E56" i="263"/>
  <c r="E57" i="263"/>
  <c r="E39" i="263"/>
  <c r="E65" i="263" s="1"/>
  <c r="E111" i="263" s="1"/>
  <c r="I67" i="263"/>
  <c r="J67" i="263"/>
  <c r="C68" i="263"/>
  <c r="D68" i="263"/>
  <c r="D71" i="263"/>
  <c r="C72" i="263"/>
  <c r="D72" i="263"/>
  <c r="I75" i="263"/>
  <c r="J75" i="263"/>
  <c r="I76" i="263"/>
  <c r="D79" i="263"/>
  <c r="I80" i="263"/>
  <c r="D83" i="263"/>
  <c r="D65" i="263"/>
  <c r="Y76" i="255"/>
  <c r="H58" i="263" l="1"/>
  <c r="L94" i="263"/>
  <c r="C94" i="263"/>
  <c r="G94" i="263"/>
  <c r="H94" i="263"/>
  <c r="J94" i="263"/>
  <c r="C65" i="263"/>
  <c r="H82" i="263"/>
  <c r="H128" i="263" s="1"/>
  <c r="H66" i="263"/>
  <c r="H112" i="263" s="1"/>
  <c r="H65" i="263"/>
  <c r="H111" i="263" s="1"/>
  <c r="H81" i="263"/>
  <c r="H127" i="263" s="1"/>
  <c r="G65" i="263"/>
  <c r="E81" i="263"/>
  <c r="E127" i="263" s="1"/>
  <c r="E73" i="263"/>
  <c r="E119" i="263" s="1"/>
  <c r="L67" i="263"/>
  <c r="E77" i="263"/>
  <c r="E123" i="263" s="1"/>
  <c r="E69" i="263"/>
  <c r="E115" i="263" s="1"/>
  <c r="K76" i="263"/>
  <c r="K122" i="263" s="1"/>
  <c r="F82" i="263"/>
  <c r="D81" i="263"/>
  <c r="F78" i="263"/>
  <c r="D77" i="263"/>
  <c r="F74" i="263"/>
  <c r="D73" i="263"/>
  <c r="F70" i="263"/>
  <c r="D69" i="263"/>
  <c r="F66" i="263"/>
  <c r="J80" i="263"/>
  <c r="J76" i="263"/>
  <c r="G83" i="263"/>
  <c r="E82" i="263"/>
  <c r="E128" i="263" s="1"/>
  <c r="C81" i="263"/>
  <c r="G79" i="263"/>
  <c r="E78" i="263"/>
  <c r="E124" i="263" s="1"/>
  <c r="C77" i="263"/>
  <c r="E74" i="263"/>
  <c r="E120" i="263" s="1"/>
  <c r="C73" i="263"/>
  <c r="G71" i="263"/>
  <c r="E70" i="263"/>
  <c r="E116" i="263" s="1"/>
  <c r="C69" i="263"/>
  <c r="E66" i="263"/>
  <c r="E112" i="263" s="1"/>
  <c r="D82" i="263"/>
  <c r="D78" i="263"/>
  <c r="D74" i="263"/>
  <c r="D70" i="263"/>
  <c r="D66" i="263"/>
  <c r="E83" i="263"/>
  <c r="E129" i="263" s="1"/>
  <c r="C82" i="263"/>
  <c r="E79" i="263"/>
  <c r="E125" i="263" s="1"/>
  <c r="C78" i="263"/>
  <c r="C74" i="263"/>
  <c r="G72" i="263"/>
  <c r="E71" i="263"/>
  <c r="E117" i="263" s="1"/>
  <c r="C70" i="263"/>
  <c r="G68" i="263"/>
  <c r="C66" i="263"/>
  <c r="M75" i="263"/>
  <c r="M67" i="263"/>
  <c r="F68" i="263"/>
  <c r="C83" i="263"/>
  <c r="G81" i="263"/>
  <c r="C79" i="263"/>
  <c r="G73" i="263"/>
  <c r="C71" i="263"/>
  <c r="R75" i="255"/>
  <c r="C70" i="264"/>
  <c r="C69" i="264"/>
  <c r="U68" i="264"/>
  <c r="T68" i="264"/>
  <c r="S68" i="264"/>
  <c r="R68" i="264"/>
  <c r="Q68" i="264"/>
  <c r="P68" i="264"/>
  <c r="O68" i="264"/>
  <c r="N68" i="264"/>
  <c r="M68" i="264"/>
  <c r="L68" i="264"/>
  <c r="K68" i="264"/>
  <c r="J68" i="264"/>
  <c r="I68" i="264"/>
  <c r="H68" i="264"/>
  <c r="G68" i="264"/>
  <c r="F68" i="264"/>
  <c r="E68" i="264"/>
  <c r="D68" i="264"/>
  <c r="S67" i="264"/>
  <c r="P67" i="264"/>
  <c r="M67" i="264"/>
  <c r="J67" i="264"/>
  <c r="G67" i="264"/>
  <c r="D67" i="264"/>
  <c r="P66" i="264"/>
  <c r="J66" i="264"/>
  <c r="D66" i="264"/>
  <c r="H106" i="264"/>
  <c r="G106" i="264"/>
  <c r="H105" i="264"/>
  <c r="G105" i="264"/>
  <c r="T42" i="264"/>
  <c r="U42" i="264" s="1"/>
  <c r="Q42" i="264"/>
  <c r="R42" i="264" s="1"/>
  <c r="T41" i="264"/>
  <c r="U41" i="264" s="1"/>
  <c r="Q41" i="264"/>
  <c r="R41" i="264" s="1"/>
  <c r="T40" i="264"/>
  <c r="U40" i="264" s="1"/>
  <c r="Q40" i="264"/>
  <c r="R40" i="264" s="1"/>
  <c r="T39" i="264"/>
  <c r="U39" i="264" s="1"/>
  <c r="Q39" i="264"/>
  <c r="R39" i="264" s="1"/>
  <c r="T36" i="264"/>
  <c r="U36" i="264" s="1"/>
  <c r="Q36" i="264"/>
  <c r="R36" i="264" s="1"/>
  <c r="T35" i="264"/>
  <c r="U35" i="264" s="1"/>
  <c r="Q35" i="264"/>
  <c r="R35" i="264" s="1"/>
  <c r="T34" i="264"/>
  <c r="U34" i="264" s="1"/>
  <c r="Q34" i="264"/>
  <c r="R34" i="264" s="1"/>
  <c r="T33" i="264"/>
  <c r="U33" i="264" s="1"/>
  <c r="Q33" i="264"/>
  <c r="R33" i="264" s="1"/>
  <c r="T30" i="264"/>
  <c r="U30" i="264" s="1"/>
  <c r="Q30" i="264"/>
  <c r="R30" i="264" s="1"/>
  <c r="T29" i="264"/>
  <c r="U29" i="264" s="1"/>
  <c r="Q29" i="264"/>
  <c r="R29" i="264" s="1"/>
  <c r="T28" i="264"/>
  <c r="U28" i="264" s="1"/>
  <c r="Q28" i="264"/>
  <c r="R28" i="264" s="1"/>
  <c r="T27" i="264"/>
  <c r="U27" i="264" s="1"/>
  <c r="Q27" i="264"/>
  <c r="R27" i="264" s="1"/>
  <c r="T24" i="264"/>
  <c r="U24" i="264" s="1"/>
  <c r="Q24" i="264"/>
  <c r="R24" i="264" s="1"/>
  <c r="T23" i="264"/>
  <c r="U23" i="264" s="1"/>
  <c r="Q23" i="264"/>
  <c r="R23" i="264" s="1"/>
  <c r="T22" i="264"/>
  <c r="U22" i="264" s="1"/>
  <c r="Q22" i="264"/>
  <c r="R22" i="264" s="1"/>
  <c r="T21" i="264"/>
  <c r="U21" i="264" s="1"/>
  <c r="Q21" i="264"/>
  <c r="R21" i="264" s="1"/>
  <c r="T18" i="264"/>
  <c r="U18" i="264" s="1"/>
  <c r="Q18" i="264"/>
  <c r="R18" i="264" s="1"/>
  <c r="T17" i="264"/>
  <c r="U17" i="264" s="1"/>
  <c r="Q17" i="264"/>
  <c r="R17" i="264" s="1"/>
  <c r="T16" i="264"/>
  <c r="U16" i="264" s="1"/>
  <c r="Q16" i="264"/>
  <c r="R16" i="264" s="1"/>
  <c r="T15" i="264"/>
  <c r="U15" i="264" s="1"/>
  <c r="Q15" i="264"/>
  <c r="R15" i="264" s="1"/>
  <c r="T12" i="264"/>
  <c r="U12" i="264" s="1"/>
  <c r="Q12" i="264"/>
  <c r="R12" i="264" s="1"/>
  <c r="T11" i="264"/>
  <c r="U11" i="264" s="1"/>
  <c r="Q11" i="264"/>
  <c r="R11" i="264" s="1"/>
  <c r="T10" i="264"/>
  <c r="U10" i="264" s="1"/>
  <c r="Q10" i="264"/>
  <c r="R10" i="264" s="1"/>
  <c r="T9" i="264"/>
  <c r="U9" i="264" s="1"/>
  <c r="Q9" i="264"/>
  <c r="R9" i="264" s="1"/>
  <c r="K99" i="263"/>
  <c r="J99" i="263"/>
  <c r="I99" i="263"/>
  <c r="F115" i="263" s="1"/>
  <c r="F99" i="263"/>
  <c r="D99" i="263"/>
  <c r="I121" i="263" s="1"/>
  <c r="J57" i="263"/>
  <c r="J56" i="263"/>
  <c r="J55" i="263"/>
  <c r="I54" i="263"/>
  <c r="J53" i="263"/>
  <c r="I79" i="263" s="1"/>
  <c r="J52" i="263"/>
  <c r="J51" i="263"/>
  <c r="I50" i="263"/>
  <c r="D76" i="263" s="1"/>
  <c r="I49" i="263"/>
  <c r="H75" i="263" s="1"/>
  <c r="H121" i="263" s="1"/>
  <c r="J48" i="263"/>
  <c r="J47" i="263"/>
  <c r="J73" i="263" s="1"/>
  <c r="J119" i="263" s="1"/>
  <c r="J46" i="263"/>
  <c r="J45" i="263"/>
  <c r="I71" i="263" s="1"/>
  <c r="J44" i="263"/>
  <c r="J70" i="263" s="1"/>
  <c r="J43" i="263"/>
  <c r="J69" i="263" s="1"/>
  <c r="J42" i="263"/>
  <c r="I41" i="263"/>
  <c r="D67" i="263" s="1"/>
  <c r="J40" i="263"/>
  <c r="J66" i="263" s="1"/>
  <c r="J39" i="263"/>
  <c r="K39" i="255"/>
  <c r="D39" i="255"/>
  <c r="C39" i="255"/>
  <c r="F32" i="255"/>
  <c r="I125" i="263" l="1"/>
  <c r="I117" i="263"/>
  <c r="F118" i="263"/>
  <c r="M113" i="263"/>
  <c r="C124" i="263"/>
  <c r="J116" i="263"/>
  <c r="D128" i="263"/>
  <c r="G115" i="263"/>
  <c r="G120" i="263"/>
  <c r="J112" i="263"/>
  <c r="M121" i="263"/>
  <c r="G125" i="263"/>
  <c r="F116" i="263"/>
  <c r="G116" i="263"/>
  <c r="F117" i="263"/>
  <c r="C114" i="263"/>
  <c r="F123" i="263"/>
  <c r="C117" i="263"/>
  <c r="C112" i="263"/>
  <c r="C128" i="263"/>
  <c r="C115" i="263"/>
  <c r="C127" i="263"/>
  <c r="D119" i="263"/>
  <c r="G124" i="263"/>
  <c r="M122" i="263"/>
  <c r="C118" i="263"/>
  <c r="G128" i="263"/>
  <c r="D115" i="263"/>
  <c r="D122" i="263"/>
  <c r="G119" i="263"/>
  <c r="G114" i="263"/>
  <c r="F120" i="263"/>
  <c r="L121" i="263"/>
  <c r="G123" i="263"/>
  <c r="F125" i="263"/>
  <c r="I122" i="263"/>
  <c r="D114" i="263"/>
  <c r="D129" i="263"/>
  <c r="D113" i="263"/>
  <c r="J115" i="263"/>
  <c r="C125" i="263"/>
  <c r="C116" i="263"/>
  <c r="D112" i="263"/>
  <c r="G117" i="263"/>
  <c r="G129" i="263"/>
  <c r="D123" i="263"/>
  <c r="L113" i="263"/>
  <c r="C111" i="263"/>
  <c r="M126" i="263"/>
  <c r="L122" i="263"/>
  <c r="J113" i="263"/>
  <c r="I126" i="263"/>
  <c r="D118" i="263"/>
  <c r="G127" i="263"/>
  <c r="D116" i="263"/>
  <c r="C119" i="263"/>
  <c r="J122" i="263"/>
  <c r="F124" i="263"/>
  <c r="F129" i="263"/>
  <c r="D117" i="263"/>
  <c r="L126" i="263"/>
  <c r="C129" i="263"/>
  <c r="G118" i="263"/>
  <c r="D120" i="263"/>
  <c r="J126" i="263"/>
  <c r="D127" i="263"/>
  <c r="F119" i="263"/>
  <c r="I113" i="263"/>
  <c r="J121" i="263"/>
  <c r="G112" i="263"/>
  <c r="F111" i="263"/>
  <c r="F114" i="263"/>
  <c r="C120" i="263"/>
  <c r="D124" i="263"/>
  <c r="C123" i="263"/>
  <c r="F112" i="263"/>
  <c r="F128" i="263"/>
  <c r="G111" i="263"/>
  <c r="F127" i="263"/>
  <c r="D125" i="263"/>
  <c r="D111" i="263"/>
  <c r="M94" i="263"/>
  <c r="J65" i="263"/>
  <c r="J111" i="263" s="1"/>
  <c r="L65" i="263"/>
  <c r="L111" i="263" s="1"/>
  <c r="K65" i="263"/>
  <c r="K111" i="263" s="1"/>
  <c r="F80" i="263"/>
  <c r="F126" i="263" s="1"/>
  <c r="C80" i="263"/>
  <c r="C126" i="263" s="1"/>
  <c r="K78" i="263"/>
  <c r="K124" i="263" s="1"/>
  <c r="G80" i="263"/>
  <c r="G126" i="263" s="1"/>
  <c r="J77" i="263"/>
  <c r="J123" i="263" s="1"/>
  <c r="L68" i="263"/>
  <c r="L114" i="263" s="1"/>
  <c r="E80" i="263"/>
  <c r="E126" i="263" s="1"/>
  <c r="K72" i="263"/>
  <c r="K118" i="263" s="1"/>
  <c r="I72" i="263"/>
  <c r="I118" i="263" s="1"/>
  <c r="E76" i="263"/>
  <c r="E122" i="263" s="1"/>
  <c r="D75" i="263"/>
  <c r="D121" i="263" s="1"/>
  <c r="M65" i="263"/>
  <c r="M111" i="263" s="1"/>
  <c r="C75" i="263"/>
  <c r="C121" i="263" s="1"/>
  <c r="I69" i="263"/>
  <c r="I115" i="263" s="1"/>
  <c r="M79" i="263"/>
  <c r="M125" i="263" s="1"/>
  <c r="L78" i="263"/>
  <c r="L124" i="263" s="1"/>
  <c r="M66" i="263"/>
  <c r="M112" i="263" s="1"/>
  <c r="L81" i="263"/>
  <c r="L127" i="263" s="1"/>
  <c r="M73" i="263"/>
  <c r="M119" i="263" s="1"/>
  <c r="M70" i="263"/>
  <c r="M116" i="263" s="1"/>
  <c r="J71" i="263"/>
  <c r="J117" i="263" s="1"/>
  <c r="M77" i="263"/>
  <c r="M123" i="263" s="1"/>
  <c r="K69" i="263"/>
  <c r="K115" i="263" s="1"/>
  <c r="K77" i="263"/>
  <c r="K123" i="263" s="1"/>
  <c r="L72" i="263"/>
  <c r="L118" i="263" s="1"/>
  <c r="N68" i="263"/>
  <c r="N114" i="263" s="1"/>
  <c r="N74" i="263"/>
  <c r="N120" i="263" s="1"/>
  <c r="K70" i="263"/>
  <c r="K116" i="263" s="1"/>
  <c r="I81" i="263"/>
  <c r="I127" i="263" s="1"/>
  <c r="J81" i="263"/>
  <c r="J127" i="263" s="1"/>
  <c r="M74" i="263"/>
  <c r="M120" i="263" s="1"/>
  <c r="J68" i="263"/>
  <c r="J114" i="263" s="1"/>
  <c r="M81" i="263"/>
  <c r="M127" i="263" s="1"/>
  <c r="J78" i="263"/>
  <c r="J124" i="263" s="1"/>
  <c r="J79" i="263"/>
  <c r="J125" i="263" s="1"/>
  <c r="I65" i="263"/>
  <c r="I111" i="263" s="1"/>
  <c r="I78" i="263"/>
  <c r="I124" i="263" s="1"/>
  <c r="I82" i="263"/>
  <c r="I128" i="263" s="1"/>
  <c r="K83" i="263"/>
  <c r="K129" i="263" s="1"/>
  <c r="M71" i="263"/>
  <c r="M117" i="263" s="1"/>
  <c r="K82" i="263"/>
  <c r="K128" i="263" s="1"/>
  <c r="L66" i="263"/>
  <c r="L112" i="263" s="1"/>
  <c r="L82" i="263"/>
  <c r="L128" i="263" s="1"/>
  <c r="M82" i="263"/>
  <c r="M128" i="263" s="1"/>
  <c r="G75" i="263"/>
  <c r="G121" i="263" s="1"/>
  <c r="L69" i="263"/>
  <c r="L115" i="263" s="1"/>
  <c r="L71" i="263"/>
  <c r="L117" i="263" s="1"/>
  <c r="K71" i="263"/>
  <c r="K117" i="263" s="1"/>
  <c r="J83" i="263"/>
  <c r="J129" i="263" s="1"/>
  <c r="J74" i="263"/>
  <c r="J120" i="263" s="1"/>
  <c r="J82" i="263"/>
  <c r="J128" i="263" s="1"/>
  <c r="F67" i="263"/>
  <c r="F113" i="263" s="1"/>
  <c r="H76" i="263"/>
  <c r="H122" i="263" s="1"/>
  <c r="C76" i="263"/>
  <c r="C122" i="263" s="1"/>
  <c r="I73" i="263"/>
  <c r="I119" i="263" s="1"/>
  <c r="M83" i="263"/>
  <c r="M129" i="263" s="1"/>
  <c r="E75" i="263"/>
  <c r="E121" i="263" s="1"/>
  <c r="J72" i="263"/>
  <c r="J118" i="263" s="1"/>
  <c r="K79" i="263"/>
  <c r="K125" i="263" s="1"/>
  <c r="F75" i="263"/>
  <c r="F121" i="263" s="1"/>
  <c r="K68" i="263"/>
  <c r="K114" i="263" s="1"/>
  <c r="D80" i="263"/>
  <c r="D126" i="263" s="1"/>
  <c r="N73" i="263"/>
  <c r="N119" i="263" s="1"/>
  <c r="I70" i="263"/>
  <c r="I116" i="263" s="1"/>
  <c r="N71" i="263"/>
  <c r="N117" i="263" s="1"/>
  <c r="N69" i="263"/>
  <c r="N115" i="263" s="1"/>
  <c r="M69" i="263"/>
  <c r="M115" i="263" s="1"/>
  <c r="I66" i="263"/>
  <c r="I112" i="263" s="1"/>
  <c r="K74" i="263"/>
  <c r="K120" i="263" s="1"/>
  <c r="G76" i="263"/>
  <c r="G122" i="263" s="1"/>
  <c r="L70" i="263"/>
  <c r="L116" i="263" s="1"/>
  <c r="G67" i="263"/>
  <c r="G113" i="263" s="1"/>
  <c r="L73" i="263"/>
  <c r="L119" i="263" s="1"/>
  <c r="I74" i="263"/>
  <c r="I120" i="263" s="1"/>
  <c r="K73" i="263"/>
  <c r="K119" i="263" s="1"/>
  <c r="N72" i="263"/>
  <c r="N118" i="263" s="1"/>
  <c r="H67" i="263"/>
  <c r="H113" i="263" s="1"/>
  <c r="N78" i="263"/>
  <c r="N124" i="263" s="1"/>
  <c r="N66" i="263"/>
  <c r="N112" i="263" s="1"/>
  <c r="N70" i="263"/>
  <c r="N116" i="263" s="1"/>
  <c r="C67" i="263"/>
  <c r="C113" i="263" s="1"/>
  <c r="F76" i="263"/>
  <c r="F122" i="263" s="1"/>
  <c r="E67" i="263"/>
  <c r="E113" i="263" s="1"/>
  <c r="M78" i="263"/>
  <c r="M124" i="263" s="1"/>
  <c r="K81" i="263"/>
  <c r="K127" i="263" s="1"/>
  <c r="N77" i="263"/>
  <c r="N123" i="263" s="1"/>
  <c r="N83" i="263"/>
  <c r="N129" i="263" s="1"/>
  <c r="N65" i="263"/>
  <c r="N111" i="263" s="1"/>
  <c r="N82" i="263"/>
  <c r="N128" i="263" s="1"/>
  <c r="N79" i="263"/>
  <c r="N125" i="263" s="1"/>
  <c r="L79" i="263"/>
  <c r="L125" i="263" s="1"/>
  <c r="K66" i="263"/>
  <c r="K112" i="263" s="1"/>
  <c r="I77" i="263"/>
  <c r="I123" i="263" s="1"/>
  <c r="L74" i="263"/>
  <c r="L120" i="263" s="1"/>
  <c r="L77" i="263"/>
  <c r="L123" i="263" s="1"/>
  <c r="H80" i="263"/>
  <c r="H126" i="263" s="1"/>
  <c r="I83" i="263"/>
  <c r="I129" i="263" s="1"/>
  <c r="M68" i="263"/>
  <c r="M114" i="263" s="1"/>
  <c r="I68" i="263"/>
  <c r="I114" i="263" s="1"/>
  <c r="L83" i="263"/>
  <c r="L129" i="263" s="1"/>
  <c r="M72" i="263"/>
  <c r="M118" i="263" s="1"/>
  <c r="N81" i="263"/>
  <c r="N127" i="263" s="1"/>
  <c r="K50" i="263"/>
  <c r="K40" i="263"/>
  <c r="K44" i="263"/>
  <c r="K52" i="263"/>
  <c r="K54" i="263"/>
  <c r="K43" i="263"/>
  <c r="K48" i="263"/>
  <c r="K55" i="263"/>
  <c r="K42" i="263"/>
  <c r="K46" i="263"/>
  <c r="K56" i="263"/>
  <c r="K47" i="263"/>
  <c r="K53" i="263"/>
  <c r="K39" i="263"/>
  <c r="O65" i="263" s="1"/>
  <c r="K41" i="263"/>
  <c r="K45" i="263"/>
  <c r="K51" i="263"/>
  <c r="K49" i="263"/>
  <c r="K57" i="263"/>
  <c r="H141" i="263" l="1"/>
  <c r="H144" i="263" s="1"/>
  <c r="E141" i="263"/>
  <c r="E144" i="263" s="1"/>
  <c r="H140" i="263"/>
  <c r="H143" i="263" s="1"/>
  <c r="E140" i="263"/>
  <c r="E143" i="263" s="1"/>
  <c r="D140" i="263"/>
  <c r="D143" i="263" s="1"/>
  <c r="F55" i="264" s="1"/>
  <c r="H14" i="264" s="1"/>
  <c r="N140" i="263"/>
  <c r="N143" i="263" s="1"/>
  <c r="N141" i="263"/>
  <c r="N144" i="263" s="1"/>
  <c r="D141" i="263"/>
  <c r="D144" i="263" s="1"/>
  <c r="I55" i="264" s="1"/>
  <c r="I14" i="264" s="1"/>
  <c r="F140" i="263"/>
  <c r="F143" i="263" s="1"/>
  <c r="E58" i="264" s="1"/>
  <c r="G141" i="263"/>
  <c r="G144" i="263" s="1"/>
  <c r="I58" i="264" s="1"/>
  <c r="I32" i="264" s="1"/>
  <c r="J140" i="263"/>
  <c r="J143" i="263" s="1"/>
  <c r="F54" i="264" s="1"/>
  <c r="H8" i="264" s="1"/>
  <c r="L140" i="263"/>
  <c r="L143" i="263" s="1"/>
  <c r="E57" i="264" s="1"/>
  <c r="C141" i="263"/>
  <c r="C144" i="263" s="1"/>
  <c r="H55" i="264" s="1"/>
  <c r="C140" i="263"/>
  <c r="C143" i="263" s="1"/>
  <c r="E55" i="264" s="1"/>
  <c r="F141" i="263"/>
  <c r="F144" i="263" s="1"/>
  <c r="H58" i="264" s="1"/>
  <c r="J141" i="263"/>
  <c r="J144" i="263" s="1"/>
  <c r="I54" i="264" s="1"/>
  <c r="I8" i="264" s="1"/>
  <c r="M140" i="263"/>
  <c r="M143" i="263" s="1"/>
  <c r="F57" i="264" s="1"/>
  <c r="H26" i="264" s="1"/>
  <c r="G140" i="263"/>
  <c r="G143" i="263" s="1"/>
  <c r="F58" i="264" s="1"/>
  <c r="H32" i="264" s="1"/>
  <c r="L141" i="263"/>
  <c r="L144" i="263" s="1"/>
  <c r="H57" i="264" s="1"/>
  <c r="H130" i="263"/>
  <c r="I141" i="263"/>
  <c r="I144" i="263" s="1"/>
  <c r="H54" i="264" s="1"/>
  <c r="I7" i="264" s="1"/>
  <c r="K140" i="263"/>
  <c r="K143" i="263" s="1"/>
  <c r="M141" i="263"/>
  <c r="M144" i="263" s="1"/>
  <c r="I57" i="264" s="1"/>
  <c r="I26" i="264" s="1"/>
  <c r="I140" i="263"/>
  <c r="I143" i="263" s="1"/>
  <c r="N130" i="263"/>
  <c r="K141" i="263"/>
  <c r="K144" i="263" s="1"/>
  <c r="H84" i="263"/>
  <c r="N84" i="263"/>
  <c r="S65" i="263"/>
  <c r="S111" i="263" s="1"/>
  <c r="T65" i="263"/>
  <c r="T111" i="263" s="1"/>
  <c r="P65" i="263"/>
  <c r="P111" i="263" s="1"/>
  <c r="Q65" i="263"/>
  <c r="Q111" i="263" s="1"/>
  <c r="O111" i="263"/>
  <c r="R65" i="263"/>
  <c r="R111" i="263" s="1"/>
  <c r="Q69" i="263"/>
  <c r="Q115" i="263" s="1"/>
  <c r="T69" i="263"/>
  <c r="T115" i="263" s="1"/>
  <c r="R69" i="263"/>
  <c r="R115" i="263" s="1"/>
  <c r="O69" i="263"/>
  <c r="O115" i="263" s="1"/>
  <c r="S69" i="263"/>
  <c r="S115" i="263" s="1"/>
  <c r="P69" i="263"/>
  <c r="P115" i="263" s="1"/>
  <c r="Q77" i="263"/>
  <c r="Q123" i="263" s="1"/>
  <c r="T77" i="263"/>
  <c r="T123" i="263" s="1"/>
  <c r="P77" i="263"/>
  <c r="P123" i="263" s="1"/>
  <c r="O77" i="263"/>
  <c r="O123" i="263" s="1"/>
  <c r="S77" i="263"/>
  <c r="S123" i="263" s="1"/>
  <c r="R77" i="263"/>
  <c r="R123" i="263" s="1"/>
  <c r="Q81" i="263"/>
  <c r="Q127" i="263" s="1"/>
  <c r="T81" i="263"/>
  <c r="T127" i="263" s="1"/>
  <c r="O81" i="263"/>
  <c r="O127" i="263" s="1"/>
  <c r="S81" i="263"/>
  <c r="S127" i="263" s="1"/>
  <c r="P81" i="263"/>
  <c r="P127" i="263" s="1"/>
  <c r="R81" i="263"/>
  <c r="R127" i="263" s="1"/>
  <c r="R71" i="263"/>
  <c r="R117" i="263" s="1"/>
  <c r="T71" i="263"/>
  <c r="T117" i="263" s="1"/>
  <c r="Q71" i="263"/>
  <c r="Q117" i="263" s="1"/>
  <c r="O71" i="263"/>
  <c r="O117" i="263" s="1"/>
  <c r="P71" i="263"/>
  <c r="P117" i="263" s="1"/>
  <c r="S71" i="263"/>
  <c r="S117" i="263" s="1"/>
  <c r="R79" i="263"/>
  <c r="R125" i="263" s="1"/>
  <c r="T79" i="263"/>
  <c r="T125" i="263" s="1"/>
  <c r="P79" i="263"/>
  <c r="P125" i="263" s="1"/>
  <c r="Q79" i="263"/>
  <c r="Q125" i="263" s="1"/>
  <c r="O79" i="263"/>
  <c r="O125" i="263" s="1"/>
  <c r="S79" i="263"/>
  <c r="S125" i="263" s="1"/>
  <c r="T74" i="263"/>
  <c r="T120" i="263" s="1"/>
  <c r="P74" i="263"/>
  <c r="P120" i="263" s="1"/>
  <c r="S74" i="263"/>
  <c r="S120" i="263" s="1"/>
  <c r="O74" i="263"/>
  <c r="O120" i="263" s="1"/>
  <c r="Q74" i="263"/>
  <c r="Q120" i="263" s="1"/>
  <c r="R74" i="263"/>
  <c r="R120" i="263" s="1"/>
  <c r="O76" i="263"/>
  <c r="O122" i="263" s="1"/>
  <c r="T76" i="263"/>
  <c r="T122" i="263" s="1"/>
  <c r="R76" i="263"/>
  <c r="R122" i="263" s="1"/>
  <c r="S76" i="263"/>
  <c r="S122" i="263" s="1"/>
  <c r="Q76" i="263"/>
  <c r="Q122" i="263" s="1"/>
  <c r="P76" i="263"/>
  <c r="P122" i="263" s="1"/>
  <c r="Q73" i="263"/>
  <c r="Q119" i="263" s="1"/>
  <c r="T73" i="263"/>
  <c r="T119" i="263" s="1"/>
  <c r="P73" i="263"/>
  <c r="P119" i="263" s="1"/>
  <c r="R73" i="263"/>
  <c r="R119" i="263" s="1"/>
  <c r="O73" i="263"/>
  <c r="O119" i="263" s="1"/>
  <c r="S73" i="263"/>
  <c r="S119" i="263" s="1"/>
  <c r="T75" i="263"/>
  <c r="T121" i="263" s="1"/>
  <c r="R75" i="263"/>
  <c r="R121" i="263" s="1"/>
  <c r="P75" i="263"/>
  <c r="P121" i="263" s="1"/>
  <c r="S75" i="263"/>
  <c r="S121" i="263" s="1"/>
  <c r="O75" i="263"/>
  <c r="O121" i="263" s="1"/>
  <c r="Q75" i="263"/>
  <c r="Q121" i="263" s="1"/>
  <c r="O80" i="263"/>
  <c r="O126" i="263" s="1"/>
  <c r="T80" i="263"/>
  <c r="T126" i="263" s="1"/>
  <c r="S80" i="263"/>
  <c r="S126" i="263" s="1"/>
  <c r="Q80" i="263"/>
  <c r="Q126" i="263" s="1"/>
  <c r="R80" i="263"/>
  <c r="R126" i="263" s="1"/>
  <c r="P80" i="263"/>
  <c r="P126" i="263" s="1"/>
  <c r="T82" i="263"/>
  <c r="T128" i="263" s="1"/>
  <c r="P82" i="263"/>
  <c r="P128" i="263" s="1"/>
  <c r="O82" i="263"/>
  <c r="O128" i="263" s="1"/>
  <c r="R82" i="263"/>
  <c r="R128" i="263" s="1"/>
  <c r="Q82" i="263"/>
  <c r="Q128" i="263" s="1"/>
  <c r="S82" i="263"/>
  <c r="S128" i="263" s="1"/>
  <c r="S78" i="263"/>
  <c r="S124" i="263" s="1"/>
  <c r="T78" i="263"/>
  <c r="T124" i="263" s="1"/>
  <c r="P78" i="263"/>
  <c r="P124" i="263" s="1"/>
  <c r="Q78" i="263"/>
  <c r="Q124" i="263" s="1"/>
  <c r="R78" i="263"/>
  <c r="R124" i="263" s="1"/>
  <c r="O78" i="263"/>
  <c r="O124" i="263" s="1"/>
  <c r="T83" i="263"/>
  <c r="T129" i="263" s="1"/>
  <c r="R83" i="263"/>
  <c r="R129" i="263" s="1"/>
  <c r="O83" i="263"/>
  <c r="O129" i="263" s="1"/>
  <c r="S83" i="263"/>
  <c r="S129" i="263" s="1"/>
  <c r="P83" i="263"/>
  <c r="P129" i="263" s="1"/>
  <c r="Q83" i="263"/>
  <c r="Q129" i="263" s="1"/>
  <c r="R67" i="263"/>
  <c r="R113" i="263" s="1"/>
  <c r="T67" i="263"/>
  <c r="T113" i="263" s="1"/>
  <c r="S67" i="263"/>
  <c r="S113" i="263" s="1"/>
  <c r="Q67" i="263"/>
  <c r="Q113" i="263" s="1"/>
  <c r="O67" i="263"/>
  <c r="O113" i="263" s="1"/>
  <c r="P67" i="263"/>
  <c r="P113" i="263" s="1"/>
  <c r="T72" i="263"/>
  <c r="T118" i="263" s="1"/>
  <c r="O72" i="263"/>
  <c r="O118" i="263" s="1"/>
  <c r="Q72" i="263"/>
  <c r="Q118" i="263" s="1"/>
  <c r="P72" i="263"/>
  <c r="P118" i="263" s="1"/>
  <c r="R72" i="263"/>
  <c r="R118" i="263" s="1"/>
  <c r="S72" i="263"/>
  <c r="S118" i="263" s="1"/>
  <c r="S70" i="263"/>
  <c r="S116" i="263" s="1"/>
  <c r="T70" i="263"/>
  <c r="T116" i="263" s="1"/>
  <c r="P70" i="263"/>
  <c r="P116" i="263" s="1"/>
  <c r="R70" i="263"/>
  <c r="R116" i="263" s="1"/>
  <c r="O70" i="263"/>
  <c r="O116" i="263" s="1"/>
  <c r="Q70" i="263"/>
  <c r="Q116" i="263" s="1"/>
  <c r="O68" i="263"/>
  <c r="O114" i="263" s="1"/>
  <c r="T68" i="263"/>
  <c r="T114" i="263" s="1"/>
  <c r="S68" i="263"/>
  <c r="S114" i="263" s="1"/>
  <c r="P68" i="263"/>
  <c r="P114" i="263" s="1"/>
  <c r="Q68" i="263"/>
  <c r="Q114" i="263" s="1"/>
  <c r="R68" i="263"/>
  <c r="R114" i="263" s="1"/>
  <c r="P66" i="263"/>
  <c r="P112" i="263" s="1"/>
  <c r="T66" i="263"/>
  <c r="T112" i="263" s="1"/>
  <c r="S66" i="263"/>
  <c r="S112" i="263" s="1"/>
  <c r="O66" i="263"/>
  <c r="O112" i="263" s="1"/>
  <c r="R66" i="263"/>
  <c r="R112" i="263" s="1"/>
  <c r="Q66" i="263"/>
  <c r="Q112" i="263" s="1"/>
  <c r="T8" i="264" l="1"/>
  <c r="T26" i="264"/>
  <c r="Q8" i="264"/>
  <c r="Q32" i="264"/>
  <c r="T32" i="264"/>
  <c r="Q26" i="264"/>
  <c r="T14" i="264"/>
  <c r="Q14" i="264"/>
  <c r="E5" i="221"/>
  <c r="H25" i="264"/>
  <c r="E8" i="221"/>
  <c r="H31" i="264"/>
  <c r="E9" i="221"/>
  <c r="I31" i="264"/>
  <c r="F9" i="221"/>
  <c r="I25" i="264"/>
  <c r="F8" i="221"/>
  <c r="H13" i="264"/>
  <c r="E6" i="221"/>
  <c r="T7" i="264"/>
  <c r="F5" i="221"/>
  <c r="I13" i="264"/>
  <c r="F6" i="221"/>
  <c r="S140" i="263"/>
  <c r="S143" i="263" s="1"/>
  <c r="F59" i="264" s="1"/>
  <c r="H38" i="264" s="1"/>
  <c r="T140" i="263"/>
  <c r="T143" i="263" s="1"/>
  <c r="T141" i="263"/>
  <c r="T144" i="263" s="1"/>
  <c r="P140" i="263"/>
  <c r="P143" i="263" s="1"/>
  <c r="S141" i="263"/>
  <c r="S144" i="263" s="1"/>
  <c r="I59" i="264" s="1"/>
  <c r="I38" i="264" s="1"/>
  <c r="P141" i="263"/>
  <c r="Q140" i="263"/>
  <c r="Q143" i="263" s="1"/>
  <c r="O141" i="263"/>
  <c r="R140" i="263"/>
  <c r="R143" i="263" s="1"/>
  <c r="E59" i="264" s="1"/>
  <c r="R141" i="263"/>
  <c r="R144" i="263" s="1"/>
  <c r="H59" i="264" s="1"/>
  <c r="T130" i="263"/>
  <c r="U130" i="263" s="1"/>
  <c r="O140" i="263"/>
  <c r="O143" i="263" s="1"/>
  <c r="Q141" i="263"/>
  <c r="T84" i="263"/>
  <c r="Q13" i="264" l="1"/>
  <c r="T31" i="264"/>
  <c r="Q25" i="264"/>
  <c r="T25" i="264"/>
  <c r="Q31" i="264"/>
  <c r="T38" i="264"/>
  <c r="Q38" i="264"/>
  <c r="T13" i="264"/>
  <c r="H37" i="264"/>
  <c r="E10" i="221"/>
  <c r="I37" i="264"/>
  <c r="F10" i="221"/>
  <c r="P144" i="263"/>
  <c r="Q144" i="263"/>
  <c r="F56" i="264"/>
  <c r="H20" i="264" s="1"/>
  <c r="O144" i="263"/>
  <c r="Q20" i="264" l="1"/>
  <c r="T37" i="264"/>
  <c r="Q37" i="264"/>
  <c r="E56" i="264"/>
  <c r="I56" i="264"/>
  <c r="I20" i="264" s="1"/>
  <c r="H56" i="264"/>
  <c r="T20" i="264" l="1"/>
  <c r="H19" i="264"/>
  <c r="E7" i="221"/>
  <c r="I19" i="264"/>
  <c r="F7" i="221"/>
  <c r="V69" i="264"/>
  <c r="T19" i="264" l="1"/>
  <c r="F12" i="221"/>
  <c r="I44" i="264"/>
  <c r="E75" i="260" s="1"/>
  <c r="Q19" i="264"/>
  <c r="F74" i="260" l="1"/>
  <c r="F70" i="260"/>
  <c r="F69" i="260"/>
  <c r="F68" i="260"/>
  <c r="F72" i="260"/>
  <c r="F71" i="260"/>
  <c r="F67" i="260"/>
  <c r="F73" i="260"/>
  <c r="F75" i="260"/>
  <c r="F31" i="255"/>
  <c r="F30" i="255"/>
  <c r="BH29" i="255"/>
  <c r="BT29" i="255"/>
  <c r="AV29" i="255"/>
  <c r="AJ29" i="255"/>
  <c r="X29" i="255"/>
  <c r="L29" i="255"/>
  <c r="C136" i="261"/>
  <c r="K25" i="260" l="1"/>
  <c r="E25" i="260"/>
  <c r="D25" i="260"/>
  <c r="C25" i="260"/>
  <c r="K24" i="260"/>
  <c r="E24" i="260"/>
  <c r="D24" i="260"/>
  <c r="C24" i="260"/>
  <c r="K23" i="260"/>
  <c r="E23" i="260"/>
  <c r="D23" i="260"/>
  <c r="C23" i="260"/>
  <c r="K22" i="260"/>
  <c r="E22" i="260"/>
  <c r="D22" i="260"/>
  <c r="C22" i="260"/>
  <c r="K21" i="260"/>
  <c r="E21" i="260"/>
  <c r="D21" i="260"/>
  <c r="C21" i="260"/>
  <c r="K20" i="260"/>
  <c r="E20" i="260"/>
  <c r="D20" i="260"/>
  <c r="C20" i="260"/>
  <c r="E18" i="260"/>
  <c r="D18" i="260"/>
  <c r="C18" i="260"/>
  <c r="K17" i="260"/>
  <c r="E17" i="260"/>
  <c r="D17" i="260"/>
  <c r="C17" i="260"/>
  <c r="K16" i="260"/>
  <c r="E16" i="260"/>
  <c r="D16" i="260"/>
  <c r="C16" i="260"/>
  <c r="K15" i="260"/>
  <c r="E15" i="260"/>
  <c r="D15" i="260"/>
  <c r="C15" i="260"/>
  <c r="K14" i="260"/>
  <c r="E14" i="260"/>
  <c r="D14" i="260"/>
  <c r="C14" i="260"/>
  <c r="K13" i="260"/>
  <c r="E13" i="260"/>
  <c r="D13" i="260"/>
  <c r="C13" i="260"/>
  <c r="K12" i="260"/>
  <c r="E12" i="260"/>
  <c r="D12" i="260"/>
  <c r="C12" i="260"/>
  <c r="K11" i="260"/>
  <c r="E11" i="260"/>
  <c r="D11" i="260"/>
  <c r="C11" i="260"/>
  <c r="K10" i="260"/>
  <c r="E10" i="260"/>
  <c r="D10" i="260"/>
  <c r="C10" i="260"/>
  <c r="K9" i="260"/>
  <c r="E9" i="260"/>
  <c r="D9" i="260"/>
  <c r="C9" i="260"/>
  <c r="K8" i="260"/>
  <c r="E8" i="260"/>
  <c r="D8" i="260"/>
  <c r="C8" i="260"/>
  <c r="K7" i="260"/>
  <c r="E7" i="260"/>
  <c r="D7" i="260"/>
  <c r="C7" i="260"/>
  <c r="K6" i="260"/>
  <c r="E6" i="260"/>
  <c r="D6" i="260"/>
  <c r="C6" i="260"/>
  <c r="T9" i="250"/>
  <c r="U9" i="250" s="1"/>
  <c r="T10" i="250"/>
  <c r="U10" i="250"/>
  <c r="T11" i="250"/>
  <c r="U11" i="250"/>
  <c r="T12" i="250"/>
  <c r="U12" i="250"/>
  <c r="T15" i="250"/>
  <c r="U15" i="250"/>
  <c r="T16" i="250"/>
  <c r="U16" i="250"/>
  <c r="T17" i="250"/>
  <c r="U17" i="250" s="1"/>
  <c r="T18" i="250"/>
  <c r="U18" i="250"/>
  <c r="T21" i="250"/>
  <c r="U21" i="250" s="1"/>
  <c r="T22" i="250"/>
  <c r="U22" i="250"/>
  <c r="T23" i="250"/>
  <c r="U23" i="250"/>
  <c r="T24" i="250"/>
  <c r="U24" i="250"/>
  <c r="T27" i="250"/>
  <c r="U27" i="250"/>
  <c r="T28" i="250"/>
  <c r="U28" i="250"/>
  <c r="T29" i="250"/>
  <c r="U29" i="250" s="1"/>
  <c r="T30" i="250"/>
  <c r="U30" i="250"/>
  <c r="T33" i="250"/>
  <c r="U33" i="250" s="1"/>
  <c r="T34" i="250"/>
  <c r="U34" i="250"/>
  <c r="T35" i="250"/>
  <c r="U35" i="250"/>
  <c r="T36" i="250"/>
  <c r="U36" i="250"/>
  <c r="T39" i="250"/>
  <c r="U39" i="250"/>
  <c r="T40" i="250"/>
  <c r="U40" i="250"/>
  <c r="T41" i="250"/>
  <c r="U41" i="250" s="1"/>
  <c r="T42" i="250"/>
  <c r="U42" i="250"/>
  <c r="R9" i="250"/>
  <c r="R10" i="250"/>
  <c r="R11" i="250"/>
  <c r="R12" i="250"/>
  <c r="R15" i="250"/>
  <c r="R16" i="250"/>
  <c r="R17" i="250"/>
  <c r="R18" i="250"/>
  <c r="R21" i="250"/>
  <c r="R22" i="250"/>
  <c r="R23" i="250"/>
  <c r="R24" i="250"/>
  <c r="R27" i="250"/>
  <c r="R28" i="250"/>
  <c r="R29" i="250"/>
  <c r="R30" i="250"/>
  <c r="R33" i="250"/>
  <c r="R34" i="250"/>
  <c r="R35" i="250"/>
  <c r="R36" i="250"/>
  <c r="R39" i="250"/>
  <c r="R40" i="250"/>
  <c r="R41" i="250"/>
  <c r="R42" i="250"/>
  <c r="Q41" i="250"/>
  <c r="Q42" i="250"/>
  <c r="Q9" i="250"/>
  <c r="Q10" i="250"/>
  <c r="Q11" i="250"/>
  <c r="Q12" i="250"/>
  <c r="Q15" i="250"/>
  <c r="Q16" i="250"/>
  <c r="Q17" i="250"/>
  <c r="Q18" i="250"/>
  <c r="Q21" i="250"/>
  <c r="Q22" i="250"/>
  <c r="Q23" i="250"/>
  <c r="Q24" i="250"/>
  <c r="Q27" i="250"/>
  <c r="Q28" i="250"/>
  <c r="Q29" i="250"/>
  <c r="Q30" i="250"/>
  <c r="Q33" i="250"/>
  <c r="Q34" i="250"/>
  <c r="Q35" i="250"/>
  <c r="Q36" i="250"/>
  <c r="Q39" i="250"/>
  <c r="Q40" i="250"/>
  <c r="P22" i="260" l="1"/>
  <c r="P20" i="260"/>
  <c r="P23" i="260"/>
  <c r="P8" i="260"/>
  <c r="P24" i="260"/>
  <c r="P9" i="260"/>
  <c r="P10" i="260"/>
  <c r="P18" i="260"/>
  <c r="P19" i="260"/>
  <c r="P25" i="260"/>
  <c r="P11" i="260"/>
  <c r="P17" i="260"/>
  <c r="P14" i="260"/>
  <c r="P7" i="260"/>
  <c r="P21" i="260"/>
  <c r="D77" i="250"/>
  <c r="P28" i="260" l="1"/>
  <c r="P27" i="260"/>
  <c r="O28" i="260"/>
  <c r="O27" i="260"/>
  <c r="H27" i="260"/>
  <c r="N3" i="260"/>
  <c r="E49" i="231"/>
  <c r="C11" i="232" s="1"/>
  <c r="D49" i="231"/>
  <c r="B11" i="232" s="1"/>
  <c r="E11" i="232"/>
  <c r="N1" i="260" l="1"/>
  <c r="Z11" i="258"/>
  <c r="Z10" i="258"/>
  <c r="Z9" i="258"/>
  <c r="Z8" i="258"/>
  <c r="Z7" i="258"/>
  <c r="Z13" i="258" l="1"/>
  <c r="AN60" i="258" l="1"/>
  <c r="AN59" i="258"/>
  <c r="P56" i="255" l="1"/>
  <c r="P57" i="255"/>
  <c r="P55" i="255"/>
  <c r="O54" i="255"/>
  <c r="P52" i="255"/>
  <c r="P53" i="255"/>
  <c r="P51" i="255"/>
  <c r="O50" i="255"/>
  <c r="O49" i="255"/>
  <c r="P43" i="255"/>
  <c r="P44" i="255"/>
  <c r="P45" i="255"/>
  <c r="P46" i="255"/>
  <c r="P47" i="255"/>
  <c r="P48" i="255"/>
  <c r="P42" i="255"/>
  <c r="O41" i="255"/>
  <c r="P40" i="255"/>
  <c r="P39" i="255"/>
  <c r="I17" i="258" l="1"/>
  <c r="G40" i="258"/>
  <c r="G43" i="258"/>
  <c r="I25" i="258"/>
  <c r="I24" i="258"/>
  <c r="H25" i="258"/>
  <c r="H24" i="258"/>
  <c r="D177" i="255"/>
  <c r="E177" i="255"/>
  <c r="F177" i="255"/>
  <c r="G177" i="255"/>
  <c r="H177" i="255"/>
  <c r="I177" i="255"/>
  <c r="J177" i="255"/>
  <c r="C177" i="255"/>
  <c r="J176" i="255"/>
  <c r="I176" i="255"/>
  <c r="H176" i="255"/>
  <c r="G176" i="255"/>
  <c r="F176" i="255"/>
  <c r="E176" i="255"/>
  <c r="D176" i="255"/>
  <c r="C176" i="255"/>
  <c r="K176" i="255" s="1"/>
  <c r="H13" i="258"/>
  <c r="I13" i="258" s="1"/>
  <c r="I7" i="258"/>
  <c r="H7" i="258"/>
  <c r="K40" i="258" l="1"/>
  <c r="J40" i="258"/>
  <c r="J74" i="258" l="1"/>
  <c r="G74" i="258"/>
  <c r="J73" i="258"/>
  <c r="G73" i="258"/>
  <c r="J72" i="258"/>
  <c r="G72" i="258"/>
  <c r="J71" i="258"/>
  <c r="G71" i="258"/>
  <c r="J70" i="258"/>
  <c r="G70" i="258"/>
  <c r="J69" i="258"/>
  <c r="G69" i="258"/>
  <c r="J68" i="258"/>
  <c r="G68" i="258"/>
  <c r="J67" i="258"/>
  <c r="G67" i="258"/>
  <c r="G42" i="258" l="1"/>
  <c r="AJ91" i="255" l="1"/>
  <c r="AJ92" i="255"/>
  <c r="I11" i="234"/>
  <c r="S40" i="255"/>
  <c r="S41" i="255"/>
  <c r="S42" i="255"/>
  <c r="S43" i="255"/>
  <c r="S44" i="255"/>
  <c r="S45" i="255"/>
  <c r="S46" i="255"/>
  <c r="S47" i="255"/>
  <c r="S48" i="255"/>
  <c r="S49" i="255"/>
  <c r="S50" i="255"/>
  <c r="S51" i="255"/>
  <c r="S52" i="255"/>
  <c r="S53" i="255"/>
  <c r="S54" i="255"/>
  <c r="S55" i="255"/>
  <c r="S56" i="255"/>
  <c r="S57" i="255"/>
  <c r="S39" i="255"/>
  <c r="C40" i="255"/>
  <c r="C41" i="255"/>
  <c r="C42" i="255"/>
  <c r="C43" i="255"/>
  <c r="C44" i="255"/>
  <c r="C45" i="255"/>
  <c r="C46" i="255"/>
  <c r="C47" i="255"/>
  <c r="C48" i="255"/>
  <c r="C49" i="255"/>
  <c r="C50" i="255"/>
  <c r="C51" i="255"/>
  <c r="C52" i="255"/>
  <c r="C53" i="255"/>
  <c r="C54" i="255"/>
  <c r="C55" i="255"/>
  <c r="C56" i="255"/>
  <c r="C57" i="255"/>
  <c r="D40" i="255"/>
  <c r="E40" i="255"/>
  <c r="F40" i="255"/>
  <c r="G40" i="255"/>
  <c r="H40" i="255"/>
  <c r="I40" i="255"/>
  <c r="J40" i="255"/>
  <c r="K40" i="255"/>
  <c r="L40" i="255"/>
  <c r="M40" i="255"/>
  <c r="N40" i="255"/>
  <c r="D41" i="255"/>
  <c r="E41" i="255"/>
  <c r="F41" i="255"/>
  <c r="G41" i="255"/>
  <c r="H41" i="255"/>
  <c r="I41" i="255"/>
  <c r="J41" i="255"/>
  <c r="K41" i="255"/>
  <c r="L41" i="255"/>
  <c r="M41" i="255"/>
  <c r="N41" i="255"/>
  <c r="D42" i="255"/>
  <c r="E42" i="255"/>
  <c r="F42" i="255"/>
  <c r="G42" i="255"/>
  <c r="H42" i="255"/>
  <c r="I42" i="255"/>
  <c r="J42" i="255"/>
  <c r="K42" i="255"/>
  <c r="L42" i="255"/>
  <c r="M42" i="255"/>
  <c r="N42" i="255"/>
  <c r="D43" i="255"/>
  <c r="E43" i="255"/>
  <c r="F43" i="255"/>
  <c r="G43" i="255"/>
  <c r="H43" i="255"/>
  <c r="I43" i="255"/>
  <c r="J43" i="255"/>
  <c r="K43" i="255"/>
  <c r="L43" i="255"/>
  <c r="M43" i="255"/>
  <c r="N43" i="255"/>
  <c r="D44" i="255"/>
  <c r="E44" i="255"/>
  <c r="F44" i="255"/>
  <c r="G44" i="255"/>
  <c r="H44" i="255"/>
  <c r="I44" i="255"/>
  <c r="J44" i="255"/>
  <c r="K44" i="255"/>
  <c r="L44" i="255"/>
  <c r="M44" i="255"/>
  <c r="N44" i="255"/>
  <c r="D45" i="255"/>
  <c r="E45" i="255"/>
  <c r="F45" i="255"/>
  <c r="G45" i="255"/>
  <c r="H45" i="255"/>
  <c r="I45" i="255"/>
  <c r="J45" i="255"/>
  <c r="K45" i="255"/>
  <c r="L45" i="255"/>
  <c r="M45" i="255"/>
  <c r="N45" i="255"/>
  <c r="D46" i="255"/>
  <c r="E46" i="255"/>
  <c r="F46" i="255"/>
  <c r="G46" i="255"/>
  <c r="H46" i="255"/>
  <c r="I46" i="255"/>
  <c r="J46" i="255"/>
  <c r="K46" i="255"/>
  <c r="L46" i="255"/>
  <c r="M46" i="255"/>
  <c r="N46" i="255"/>
  <c r="D47" i="255"/>
  <c r="E47" i="255"/>
  <c r="F47" i="255"/>
  <c r="G47" i="255"/>
  <c r="H47" i="255"/>
  <c r="I47" i="255"/>
  <c r="J47" i="255"/>
  <c r="K47" i="255"/>
  <c r="L47" i="255"/>
  <c r="M47" i="255"/>
  <c r="N47" i="255"/>
  <c r="D48" i="255"/>
  <c r="E48" i="255"/>
  <c r="F48" i="255"/>
  <c r="G48" i="255"/>
  <c r="H48" i="255"/>
  <c r="I48" i="255"/>
  <c r="J48" i="255"/>
  <c r="K48" i="255"/>
  <c r="L48" i="255"/>
  <c r="M48" i="255"/>
  <c r="N48" i="255"/>
  <c r="D49" i="255"/>
  <c r="E49" i="255"/>
  <c r="F49" i="255"/>
  <c r="G49" i="255"/>
  <c r="H49" i="255"/>
  <c r="I49" i="255"/>
  <c r="J49" i="255"/>
  <c r="K49" i="255"/>
  <c r="L49" i="255"/>
  <c r="M49" i="255"/>
  <c r="N49" i="255"/>
  <c r="D50" i="255"/>
  <c r="E50" i="255"/>
  <c r="F50" i="255"/>
  <c r="G50" i="255"/>
  <c r="H50" i="255"/>
  <c r="I50" i="255"/>
  <c r="J50" i="255"/>
  <c r="K50" i="255"/>
  <c r="L50" i="255"/>
  <c r="M50" i="255"/>
  <c r="N50" i="255"/>
  <c r="D51" i="255"/>
  <c r="E51" i="255"/>
  <c r="F51" i="255"/>
  <c r="G51" i="255"/>
  <c r="H51" i="255"/>
  <c r="I51" i="255"/>
  <c r="J51" i="255"/>
  <c r="K51" i="255"/>
  <c r="L51" i="255"/>
  <c r="M51" i="255"/>
  <c r="N51" i="255"/>
  <c r="D52" i="255"/>
  <c r="E52" i="255"/>
  <c r="F52" i="255"/>
  <c r="G52" i="255"/>
  <c r="H52" i="255"/>
  <c r="I52" i="255"/>
  <c r="J52" i="255"/>
  <c r="K52" i="255"/>
  <c r="L52" i="255"/>
  <c r="M52" i="255"/>
  <c r="N52" i="255"/>
  <c r="D53" i="255"/>
  <c r="E53" i="255"/>
  <c r="F53" i="255"/>
  <c r="G53" i="255"/>
  <c r="H53" i="255"/>
  <c r="I53" i="255"/>
  <c r="J53" i="255"/>
  <c r="K53" i="255"/>
  <c r="L53" i="255"/>
  <c r="M53" i="255"/>
  <c r="N53" i="255"/>
  <c r="D54" i="255"/>
  <c r="E54" i="255"/>
  <c r="F54" i="255"/>
  <c r="G54" i="255"/>
  <c r="H54" i="255"/>
  <c r="I54" i="255"/>
  <c r="J54" i="255"/>
  <c r="K54" i="255"/>
  <c r="L54" i="255"/>
  <c r="M54" i="255"/>
  <c r="N54" i="255"/>
  <c r="D55" i="255"/>
  <c r="E55" i="255"/>
  <c r="F55" i="255"/>
  <c r="G55" i="255"/>
  <c r="H55" i="255"/>
  <c r="I55" i="255"/>
  <c r="J55" i="255"/>
  <c r="K55" i="255"/>
  <c r="L55" i="255"/>
  <c r="M55" i="255"/>
  <c r="N55" i="255"/>
  <c r="D56" i="255"/>
  <c r="E56" i="255"/>
  <c r="F56" i="255"/>
  <c r="G56" i="255"/>
  <c r="H56" i="255"/>
  <c r="I56" i="255"/>
  <c r="J56" i="255"/>
  <c r="K56" i="255"/>
  <c r="L56" i="255"/>
  <c r="M56" i="255"/>
  <c r="N56" i="255"/>
  <c r="D57" i="255"/>
  <c r="E57" i="255"/>
  <c r="F57" i="255"/>
  <c r="G57" i="255"/>
  <c r="H57" i="255"/>
  <c r="I57" i="255"/>
  <c r="J57" i="255"/>
  <c r="K57" i="255"/>
  <c r="L57" i="255"/>
  <c r="M57" i="255"/>
  <c r="N57" i="255"/>
  <c r="R50" i="255" l="1"/>
  <c r="T50" i="255" s="1"/>
  <c r="R42" i="255"/>
  <c r="T42" i="255" s="1"/>
  <c r="R57" i="255"/>
  <c r="T57" i="255" s="1"/>
  <c r="R49" i="255"/>
  <c r="T49" i="255" s="1"/>
  <c r="R41" i="255"/>
  <c r="T41" i="255" s="1"/>
  <c r="R54" i="255"/>
  <c r="T54" i="255" s="1"/>
  <c r="R46" i="255"/>
  <c r="T46" i="255" s="1"/>
  <c r="R56" i="255"/>
  <c r="T56" i="255" s="1"/>
  <c r="R48" i="255"/>
  <c r="T48" i="255" s="1"/>
  <c r="R40" i="255"/>
  <c r="T40" i="255" s="1"/>
  <c r="R53" i="255"/>
  <c r="T53" i="255" s="1"/>
  <c r="R45" i="255"/>
  <c r="T45" i="255" s="1"/>
  <c r="R52" i="255"/>
  <c r="T52" i="255" s="1"/>
  <c r="R44" i="255"/>
  <c r="T44" i="255" s="1"/>
  <c r="R51" i="255"/>
  <c r="T51" i="255" s="1"/>
  <c r="R43" i="255"/>
  <c r="T43" i="255" s="1"/>
  <c r="R47" i="255"/>
  <c r="T47" i="255" s="1"/>
  <c r="R55" i="255"/>
  <c r="T55" i="255" s="1"/>
  <c r="AD14" i="258" l="1"/>
  <c r="AD8" i="258"/>
  <c r="AF8" i="258" s="1"/>
  <c r="AA8" i="258" s="1"/>
  <c r="AD7" i="258"/>
  <c r="AF7" i="258" s="1"/>
  <c r="AA7" i="258" s="1"/>
  <c r="AD9" i="258"/>
  <c r="AF9" i="258" s="1"/>
  <c r="AA9" i="258" s="1"/>
  <c r="AD10" i="258"/>
  <c r="AD11" i="258"/>
  <c r="AF11" i="258" l="1"/>
  <c r="AF10" i="258"/>
  <c r="AA11" i="258" s="1"/>
  <c r="AF13" i="258"/>
  <c r="AF12" i="258"/>
  <c r="CP210" i="256"/>
  <c r="CQ204" i="256" s="1"/>
  <c r="G41" i="258"/>
  <c r="G38" i="258"/>
  <c r="CQ209" i="256" l="1"/>
  <c r="CQ205" i="256"/>
  <c r="CQ207" i="256"/>
  <c r="CQ203" i="256"/>
  <c r="CQ206" i="256"/>
  <c r="CQ208" i="256"/>
  <c r="AA10" i="258"/>
  <c r="AA13" i="258" s="1"/>
  <c r="AF14" i="258"/>
  <c r="AF16" i="258" s="1"/>
  <c r="V155" i="255"/>
  <c r="I38" i="258" l="1"/>
  <c r="I39" i="258"/>
  <c r="J37" i="258"/>
  <c r="K37" i="258"/>
  <c r="F58" i="258"/>
  <c r="G58" i="258"/>
  <c r="H58" i="258"/>
  <c r="I58" i="258"/>
  <c r="J58" i="258"/>
  <c r="K58" i="258"/>
  <c r="L58" i="258"/>
  <c r="M58" i="258"/>
  <c r="N58" i="258"/>
  <c r="E58" i="258"/>
  <c r="O50" i="258"/>
  <c r="O51" i="258"/>
  <c r="O52" i="258"/>
  <c r="O53" i="258"/>
  <c r="O54" i="258"/>
  <c r="F41" i="258" s="1"/>
  <c r="O55" i="258"/>
  <c r="F43" i="258" s="1"/>
  <c r="O56" i="258"/>
  <c r="F42" i="258" s="1"/>
  <c r="O57" i="258"/>
  <c r="O49" i="258"/>
  <c r="J59" i="258"/>
  <c r="I59" i="258"/>
  <c r="H59" i="258"/>
  <c r="G59" i="258"/>
  <c r="F59" i="258"/>
  <c r="E59" i="258"/>
  <c r="E34" i="258"/>
  <c r="F34" i="258" s="1"/>
  <c r="T12" i="258"/>
  <c r="J25" i="258"/>
  <c r="E25" i="258"/>
  <c r="D25" i="258"/>
  <c r="N25" i="258" s="1"/>
  <c r="C25" i="258"/>
  <c r="J24" i="258"/>
  <c r="E24" i="258"/>
  <c r="D24" i="258"/>
  <c r="N24" i="258" s="1"/>
  <c r="C24" i="258"/>
  <c r="J23" i="258"/>
  <c r="E23" i="258"/>
  <c r="D23" i="258"/>
  <c r="N23" i="258" s="1"/>
  <c r="C23" i="258"/>
  <c r="J22" i="258"/>
  <c r="E22" i="258"/>
  <c r="D22" i="258"/>
  <c r="N22" i="258" s="1"/>
  <c r="C22" i="258"/>
  <c r="J21" i="258"/>
  <c r="E21" i="258"/>
  <c r="D21" i="258"/>
  <c r="N21" i="258" s="1"/>
  <c r="C21" i="258"/>
  <c r="J20" i="258"/>
  <c r="E20" i="258"/>
  <c r="D20" i="258"/>
  <c r="N20" i="258" s="1"/>
  <c r="C20" i="258"/>
  <c r="J19" i="258"/>
  <c r="E19" i="258"/>
  <c r="D19" i="258"/>
  <c r="N19" i="258" s="1"/>
  <c r="C19" i="258"/>
  <c r="J18" i="258"/>
  <c r="E18" i="258"/>
  <c r="D18" i="258"/>
  <c r="N18" i="258" s="1"/>
  <c r="C18" i="258"/>
  <c r="J17" i="258"/>
  <c r="E17" i="258"/>
  <c r="D17" i="258"/>
  <c r="N17" i="258" s="1"/>
  <c r="C17" i="258"/>
  <c r="J16" i="258"/>
  <c r="E16" i="258"/>
  <c r="D16" i="258"/>
  <c r="N16" i="258" s="1"/>
  <c r="C16" i="258"/>
  <c r="J15" i="258"/>
  <c r="E15" i="258"/>
  <c r="D15" i="258"/>
  <c r="N15" i="258" s="1"/>
  <c r="C15" i="258"/>
  <c r="J14" i="258"/>
  <c r="E14" i="258"/>
  <c r="D14" i="258"/>
  <c r="N14" i="258" s="1"/>
  <c r="C14" i="258"/>
  <c r="J13" i="258"/>
  <c r="E13" i="258"/>
  <c r="D13" i="258"/>
  <c r="N13" i="258" s="1"/>
  <c r="C13" i="258"/>
  <c r="J12" i="258"/>
  <c r="E12" i="258"/>
  <c r="D12" i="258"/>
  <c r="N12" i="258" s="1"/>
  <c r="C12" i="258"/>
  <c r="J11" i="258"/>
  <c r="E11" i="258"/>
  <c r="D11" i="258"/>
  <c r="N11" i="258" s="1"/>
  <c r="C11" i="258"/>
  <c r="J10" i="258"/>
  <c r="E10" i="258"/>
  <c r="D10" i="258"/>
  <c r="N10" i="258" s="1"/>
  <c r="C10" i="258"/>
  <c r="J9" i="258"/>
  <c r="E9" i="258"/>
  <c r="D9" i="258"/>
  <c r="N9" i="258" s="1"/>
  <c r="C9" i="258"/>
  <c r="J8" i="258"/>
  <c r="E8" i="258"/>
  <c r="D8" i="258"/>
  <c r="N8" i="258" s="1"/>
  <c r="C8" i="258"/>
  <c r="J7" i="258"/>
  <c r="E7" i="258"/>
  <c r="D7" i="258"/>
  <c r="N7" i="258" s="1"/>
  <c r="C7" i="258"/>
  <c r="Q51" i="258" l="1"/>
  <c r="O59" i="258"/>
  <c r="F40" i="258"/>
  <c r="G12" i="258"/>
  <c r="S12" i="258" s="1"/>
  <c r="F20" i="258"/>
  <c r="P20" i="258" s="1"/>
  <c r="F11" i="258"/>
  <c r="P11" i="258" s="1"/>
  <c r="I22" i="258"/>
  <c r="G20" i="258" l="1"/>
  <c r="S20" i="258" s="1"/>
  <c r="G10" i="258"/>
  <c r="S10" i="258" s="1"/>
  <c r="F12" i="258"/>
  <c r="P12" i="258" s="1"/>
  <c r="Q12" i="258"/>
  <c r="T11" i="258"/>
  <c r="T21" i="258"/>
  <c r="G21" i="258"/>
  <c r="S21" i="258" s="1"/>
  <c r="Q11" i="258"/>
  <c r="F21" i="258"/>
  <c r="P21" i="258" s="1"/>
  <c r="Q21" i="258"/>
  <c r="G11" i="258"/>
  <c r="S11" i="258" s="1"/>
  <c r="T10" i="258" l="1"/>
  <c r="T20" i="258"/>
  <c r="Q20" i="258"/>
  <c r="Q10" i="258"/>
  <c r="F10" i="258"/>
  <c r="P10" i="258" s="1"/>
  <c r="AL72" i="255" l="1"/>
  <c r="O100" i="255" l="1"/>
  <c r="P100" i="255"/>
  <c r="O101" i="255"/>
  <c r="P101" i="255"/>
  <c r="O102" i="255"/>
  <c r="P102" i="255"/>
  <c r="O103" i="255"/>
  <c r="P103" i="255"/>
  <c r="O104" i="255"/>
  <c r="P104" i="255"/>
  <c r="O105" i="255"/>
  <c r="P105" i="255"/>
  <c r="O106" i="255"/>
  <c r="P106" i="255"/>
  <c r="O107" i="255"/>
  <c r="P107" i="255"/>
  <c r="O108" i="255"/>
  <c r="P108" i="255"/>
  <c r="O109" i="255"/>
  <c r="P109" i="255"/>
  <c r="O110" i="255"/>
  <c r="P110" i="255"/>
  <c r="O111" i="255"/>
  <c r="P111" i="255"/>
  <c r="O112" i="255"/>
  <c r="P112" i="255"/>
  <c r="O113" i="255"/>
  <c r="P113" i="255"/>
  <c r="O114" i="255"/>
  <c r="P114" i="255"/>
  <c r="O115" i="255"/>
  <c r="P115" i="255"/>
  <c r="O116" i="255"/>
  <c r="P116" i="255"/>
  <c r="O117" i="255"/>
  <c r="P117" i="255"/>
  <c r="P99" i="255"/>
  <c r="O99" i="255"/>
  <c r="Q57" i="255"/>
  <c r="Q117" i="255" s="1"/>
  <c r="Q56" i="255"/>
  <c r="Q116" i="255" s="1"/>
  <c r="Q55" i="255"/>
  <c r="Q115" i="255" s="1"/>
  <c r="Q54" i="255"/>
  <c r="Q114" i="255" s="1"/>
  <c r="Q53" i="255"/>
  <c r="Q113" i="255" s="1"/>
  <c r="Q52" i="255"/>
  <c r="Q112" i="255" s="1"/>
  <c r="Q51" i="255"/>
  <c r="Q111" i="255" s="1"/>
  <c r="Q50" i="255"/>
  <c r="Q110" i="255" s="1"/>
  <c r="Q49" i="255"/>
  <c r="Q109" i="255" s="1"/>
  <c r="Q48" i="255"/>
  <c r="Q108" i="255" s="1"/>
  <c r="Q47" i="255"/>
  <c r="Q107" i="255" s="1"/>
  <c r="Q46" i="255"/>
  <c r="Q106" i="255" s="1"/>
  <c r="Q45" i="255"/>
  <c r="Q105" i="255" s="1"/>
  <c r="Q44" i="255"/>
  <c r="Q104" i="255" s="1"/>
  <c r="Q43" i="255"/>
  <c r="Q103" i="255" s="1"/>
  <c r="Q42" i="255"/>
  <c r="Q102" i="255" s="1"/>
  <c r="Q41" i="255"/>
  <c r="Q101" i="255" s="1"/>
  <c r="Q40" i="255"/>
  <c r="Q100" i="255" s="1"/>
  <c r="Q39" i="255"/>
  <c r="Q99" i="255" l="1"/>
  <c r="T83" i="250"/>
  <c r="S84" i="250"/>
  <c r="T84" i="250"/>
  <c r="U84" i="250"/>
  <c r="V84" i="250"/>
  <c r="E82" i="250"/>
  <c r="K82" i="250"/>
  <c r="Q82" i="250"/>
  <c r="E83" i="250"/>
  <c r="H83" i="250"/>
  <c r="K83" i="250"/>
  <c r="N83" i="250"/>
  <c r="Q83" i="250"/>
  <c r="E84" i="250"/>
  <c r="F84" i="250"/>
  <c r="G84" i="250"/>
  <c r="H84" i="250"/>
  <c r="I84" i="250"/>
  <c r="J84" i="250"/>
  <c r="K84" i="250"/>
  <c r="L84" i="250"/>
  <c r="M84" i="250"/>
  <c r="N84" i="250"/>
  <c r="O84" i="250"/>
  <c r="P84" i="250"/>
  <c r="Q84" i="250"/>
  <c r="R84" i="250"/>
  <c r="D85" i="250"/>
  <c r="D86" i="250"/>
  <c r="E81" i="250"/>
  <c r="E74" i="250"/>
  <c r="F74" i="250"/>
  <c r="G74" i="250"/>
  <c r="H74" i="250"/>
  <c r="I74" i="250"/>
  <c r="J74" i="250"/>
  <c r="D75" i="250"/>
  <c r="D76" i="250"/>
  <c r="E73" i="250"/>
  <c r="G73" i="250"/>
  <c r="I73" i="250"/>
  <c r="AI94" i="255"/>
  <c r="N184" i="255" s="1"/>
  <c r="AH94" i="255"/>
  <c r="M184" i="255" s="1"/>
  <c r="AG94" i="255"/>
  <c r="L184" i="255" s="1"/>
  <c r="AF94" i="255"/>
  <c r="AE94" i="255"/>
  <c r="AD94" i="255"/>
  <c r="I184" i="255" s="1"/>
  <c r="AC94" i="255"/>
  <c r="H184" i="255" s="1"/>
  <c r="AB94" i="255"/>
  <c r="G184" i="255" s="1"/>
  <c r="AA94" i="255"/>
  <c r="E184" i="255" s="1"/>
  <c r="Y91" i="255"/>
  <c r="AA87" i="255"/>
  <c r="Z87" i="255"/>
  <c r="AA86" i="255"/>
  <c r="Z86" i="255"/>
  <c r="AA85" i="255"/>
  <c r="Z85" i="255"/>
  <c r="AA84" i="255"/>
  <c r="Z84" i="255"/>
  <c r="AA83" i="255"/>
  <c r="Z83" i="255"/>
  <c r="AA82" i="255"/>
  <c r="Z82" i="255"/>
  <c r="AA81" i="255"/>
  <c r="Z81" i="255"/>
  <c r="AN62" i="255"/>
  <c r="AE62" i="255" s="1"/>
  <c r="AF70" i="255" s="1"/>
  <c r="AC77" i="255" s="1"/>
  <c r="AM62" i="255"/>
  <c r="AD62" i="255" s="1"/>
  <c r="AE70" i="255" s="1"/>
  <c r="AL62" i="255"/>
  <c r="AC62" i="255" s="1"/>
  <c r="AD70" i="255" s="1"/>
  <c r="AK62" i="255"/>
  <c r="AB62" i="255" s="1"/>
  <c r="AC70" i="255" s="1"/>
  <c r="AA77" i="255" s="1"/>
  <c r="AJ62" i="255"/>
  <c r="AA62" i="255" s="1"/>
  <c r="AB70" i="255" s="1"/>
  <c r="AI62" i="255"/>
  <c r="Z62" i="255" s="1"/>
  <c r="AA70" i="255" s="1"/>
  <c r="AH62" i="255"/>
  <c r="Y62" i="255" s="1"/>
  <c r="Z70" i="255" s="1"/>
  <c r="Y77" i="255" s="1"/>
  <c r="AG62" i="255"/>
  <c r="X62" i="255" s="1"/>
  <c r="Y70" i="255" s="1"/>
  <c r="AF62" i="255"/>
  <c r="W62" i="255" s="1"/>
  <c r="X70" i="255" s="1"/>
  <c r="AN61" i="255"/>
  <c r="AE61" i="255" s="1"/>
  <c r="AM61" i="255"/>
  <c r="AD61" i="255" s="1"/>
  <c r="AL61" i="255"/>
  <c r="AC61" i="255" s="1"/>
  <c r="AK61" i="255"/>
  <c r="AB61" i="255" s="1"/>
  <c r="AJ61" i="255"/>
  <c r="AA61" i="255" s="1"/>
  <c r="AI61" i="255"/>
  <c r="Z61" i="255" s="1"/>
  <c r="AH61" i="255"/>
  <c r="Y61" i="255" s="1"/>
  <c r="AG61" i="255"/>
  <c r="X61" i="255" s="1"/>
  <c r="AF61" i="255"/>
  <c r="W61" i="255" s="1"/>
  <c r="AN60" i="255"/>
  <c r="AE60" i="255" s="1"/>
  <c r="AM60" i="255"/>
  <c r="AD60" i="255" s="1"/>
  <c r="AL60" i="255"/>
  <c r="AC60" i="255" s="1"/>
  <c r="AK60" i="255"/>
  <c r="AB60" i="255" s="1"/>
  <c r="AJ60" i="255"/>
  <c r="AA60" i="255" s="1"/>
  <c r="AI60" i="255"/>
  <c r="Z60" i="255" s="1"/>
  <c r="AH60" i="255"/>
  <c r="Y60" i="255" s="1"/>
  <c r="AG60" i="255"/>
  <c r="X60" i="255" s="1"/>
  <c r="AF60" i="255"/>
  <c r="W60" i="255" s="1"/>
  <c r="AN59" i="255"/>
  <c r="AE59" i="255" s="1"/>
  <c r="AM59" i="255"/>
  <c r="AD59" i="255" s="1"/>
  <c r="AL59" i="255"/>
  <c r="AC59" i="255" s="1"/>
  <c r="AK59" i="255"/>
  <c r="AB59" i="255" s="1"/>
  <c r="AJ59" i="255"/>
  <c r="AA59" i="255" s="1"/>
  <c r="AI59" i="255"/>
  <c r="Z59" i="255" s="1"/>
  <c r="AH59" i="255"/>
  <c r="Y59" i="255" s="1"/>
  <c r="AG59" i="255"/>
  <c r="X59" i="255" s="1"/>
  <c r="AF59" i="255"/>
  <c r="W59" i="255" s="1"/>
  <c r="AN58" i="255"/>
  <c r="AE58" i="255" s="1"/>
  <c r="AM58" i="255"/>
  <c r="AD58" i="255" s="1"/>
  <c r="AL58" i="255"/>
  <c r="AC58" i="255" s="1"/>
  <c r="AK58" i="255"/>
  <c r="AB58" i="255" s="1"/>
  <c r="AJ58" i="255"/>
  <c r="AA58" i="255" s="1"/>
  <c r="AI58" i="255"/>
  <c r="Z58" i="255" s="1"/>
  <c r="AH58" i="255"/>
  <c r="Y58" i="255" s="1"/>
  <c r="AG58" i="255"/>
  <c r="X58" i="255" s="1"/>
  <c r="AF58" i="255"/>
  <c r="W58" i="255" s="1"/>
  <c r="AN57" i="255"/>
  <c r="AE57" i="255" s="1"/>
  <c r="AM57" i="255"/>
  <c r="AD57" i="255" s="1"/>
  <c r="AL57" i="255"/>
  <c r="AC57" i="255" s="1"/>
  <c r="AK57" i="255"/>
  <c r="AB57" i="255" s="1"/>
  <c r="AJ57" i="255"/>
  <c r="AA57" i="255" s="1"/>
  <c r="AI57" i="255"/>
  <c r="Z57" i="255" s="1"/>
  <c r="AH57" i="255"/>
  <c r="Y57" i="255" s="1"/>
  <c r="AG57" i="255"/>
  <c r="X57" i="255" s="1"/>
  <c r="AF57" i="255"/>
  <c r="W57" i="255" s="1"/>
  <c r="AN56" i="255"/>
  <c r="AE56" i="255" s="1"/>
  <c r="AM56" i="255"/>
  <c r="AD56" i="255" s="1"/>
  <c r="AL56" i="255"/>
  <c r="AC56" i="255" s="1"/>
  <c r="AK56" i="255"/>
  <c r="AB56" i="255" s="1"/>
  <c r="AJ56" i="255"/>
  <c r="AA56" i="255" s="1"/>
  <c r="AI56" i="255"/>
  <c r="Z56" i="255" s="1"/>
  <c r="AH56" i="255"/>
  <c r="Y56" i="255" s="1"/>
  <c r="AG56" i="255"/>
  <c r="X56" i="255" s="1"/>
  <c r="AF56" i="255"/>
  <c r="W56" i="255" s="1"/>
  <c r="N39" i="255"/>
  <c r="M39" i="255"/>
  <c r="M99" i="255" s="1"/>
  <c r="L39" i="255"/>
  <c r="J39" i="255"/>
  <c r="I39" i="255"/>
  <c r="H39" i="255"/>
  <c r="G39" i="255"/>
  <c r="G99" i="255" s="1"/>
  <c r="F39" i="255"/>
  <c r="E39" i="255"/>
  <c r="E99" i="255" s="1"/>
  <c r="I10" i="234"/>
  <c r="I9" i="234"/>
  <c r="I8" i="234"/>
  <c r="I7" i="234"/>
  <c r="I6" i="234"/>
  <c r="I12" i="234" l="1"/>
  <c r="H99" i="255"/>
  <c r="C99" i="255"/>
  <c r="D99" i="255"/>
  <c r="G117" i="255"/>
  <c r="G113" i="255"/>
  <c r="G109" i="255"/>
  <c r="G105" i="255"/>
  <c r="G101" i="255"/>
  <c r="C104" i="255"/>
  <c r="C103" i="255"/>
  <c r="C114" i="255"/>
  <c r="G116" i="255"/>
  <c r="G112" i="255"/>
  <c r="G108" i="255"/>
  <c r="G104" i="255"/>
  <c r="G100" i="255"/>
  <c r="C105" i="255"/>
  <c r="C116" i="255"/>
  <c r="C100" i="255"/>
  <c r="G114" i="255"/>
  <c r="G110" i="255"/>
  <c r="G106" i="255"/>
  <c r="G102" i="255"/>
  <c r="C115" i="255"/>
  <c r="G115" i="255"/>
  <c r="G111" i="255"/>
  <c r="G107" i="255"/>
  <c r="G103" i="255"/>
  <c r="C110" i="255"/>
  <c r="C117" i="255"/>
  <c r="C101" i="255"/>
  <c r="C112" i="255"/>
  <c r="C111" i="255"/>
  <c r="C106" i="255"/>
  <c r="C113" i="255"/>
  <c r="C108" i="255"/>
  <c r="C107" i="255"/>
  <c r="C109" i="255"/>
  <c r="C102" i="255"/>
  <c r="H116" i="255"/>
  <c r="H100" i="255"/>
  <c r="D117" i="255"/>
  <c r="D113" i="255"/>
  <c r="D109" i="255"/>
  <c r="D105" i="255"/>
  <c r="D101" i="255"/>
  <c r="H114" i="255"/>
  <c r="H110" i="255"/>
  <c r="H106" i="255"/>
  <c r="H102" i="255"/>
  <c r="H117" i="255"/>
  <c r="H113" i="255"/>
  <c r="H109" i="255"/>
  <c r="H105" i="255"/>
  <c r="H101" i="255"/>
  <c r="D114" i="255"/>
  <c r="D110" i="255"/>
  <c r="D106" i="255"/>
  <c r="D102" i="255"/>
  <c r="H115" i="255"/>
  <c r="H111" i="255"/>
  <c r="H107" i="255"/>
  <c r="H103" i="255"/>
  <c r="H112" i="255"/>
  <c r="H108" i="255"/>
  <c r="H104" i="255"/>
  <c r="D115" i="255"/>
  <c r="D111" i="255"/>
  <c r="D103" i="255"/>
  <c r="D116" i="255"/>
  <c r="D108" i="255"/>
  <c r="D100" i="255"/>
  <c r="D107" i="255"/>
  <c r="D112" i="255"/>
  <c r="D104" i="255"/>
  <c r="R73" i="255"/>
  <c r="E116" i="255"/>
  <c r="E112" i="255"/>
  <c r="E108" i="255"/>
  <c r="E104" i="255"/>
  <c r="E100" i="255"/>
  <c r="E117" i="255"/>
  <c r="E113" i="255"/>
  <c r="E109" i="255"/>
  <c r="E105" i="255"/>
  <c r="E101" i="255"/>
  <c r="I115" i="255"/>
  <c r="I111" i="255"/>
  <c r="I107" i="255"/>
  <c r="I103" i="255"/>
  <c r="I114" i="255"/>
  <c r="I110" i="255"/>
  <c r="I106" i="255"/>
  <c r="I102" i="255"/>
  <c r="E115" i="255"/>
  <c r="E111" i="255"/>
  <c r="E107" i="255"/>
  <c r="E103" i="255"/>
  <c r="I116" i="255"/>
  <c r="I112" i="255"/>
  <c r="I108" i="255"/>
  <c r="I100" i="255"/>
  <c r="I113" i="255"/>
  <c r="I105" i="255"/>
  <c r="E110" i="255"/>
  <c r="I104" i="255"/>
  <c r="I117" i="255"/>
  <c r="I109" i="255"/>
  <c r="I101" i="255"/>
  <c r="E114" i="255"/>
  <c r="E106" i="255"/>
  <c r="E102" i="255"/>
  <c r="L114" i="255"/>
  <c r="L110" i="255"/>
  <c r="L106" i="255"/>
  <c r="L102" i="255"/>
  <c r="L117" i="255"/>
  <c r="L113" i="255"/>
  <c r="L109" i="255"/>
  <c r="L105" i="255"/>
  <c r="L101" i="255"/>
  <c r="L115" i="255"/>
  <c r="L111" i="255"/>
  <c r="L107" i="255"/>
  <c r="L103" i="255"/>
  <c r="L116" i="255"/>
  <c r="L112" i="255"/>
  <c r="L108" i="255"/>
  <c r="L104" i="255"/>
  <c r="L100" i="255"/>
  <c r="L99" i="255"/>
  <c r="M115" i="255"/>
  <c r="M111" i="255"/>
  <c r="M107" i="255"/>
  <c r="M103" i="255"/>
  <c r="M114" i="255"/>
  <c r="M110" i="255"/>
  <c r="M106" i="255"/>
  <c r="M102" i="255"/>
  <c r="M116" i="255"/>
  <c r="M112" i="255"/>
  <c r="M108" i="255"/>
  <c r="M104" i="255"/>
  <c r="M100" i="255"/>
  <c r="M117" i="255"/>
  <c r="M113" i="255"/>
  <c r="M109" i="255"/>
  <c r="M105" i="255"/>
  <c r="M101" i="255"/>
  <c r="R39" i="255"/>
  <c r="T39" i="255" s="1"/>
  <c r="N58" i="255"/>
  <c r="AR80" i="255"/>
  <c r="O73" i="255"/>
  <c r="L84" i="255"/>
  <c r="F84" i="255"/>
  <c r="R84" i="255"/>
  <c r="F73" i="255"/>
  <c r="L73" i="255"/>
  <c r="L75" i="255"/>
  <c r="F75" i="255"/>
  <c r="F77" i="255"/>
  <c r="R77" i="255"/>
  <c r="L77" i="255"/>
  <c r="D73" i="255"/>
  <c r="J73" i="255"/>
  <c r="M73" i="255"/>
  <c r="G73" i="255"/>
  <c r="D75" i="255"/>
  <c r="P75" i="255"/>
  <c r="J75" i="255"/>
  <c r="M75" i="255"/>
  <c r="G75" i="255"/>
  <c r="S75" i="255"/>
  <c r="P77" i="255"/>
  <c r="J77" i="255"/>
  <c r="D77" i="255"/>
  <c r="S77" i="255"/>
  <c r="M77" i="255"/>
  <c r="G77" i="255"/>
  <c r="J79" i="255"/>
  <c r="P79" i="255"/>
  <c r="D79" i="255"/>
  <c r="M79" i="255"/>
  <c r="G79" i="255"/>
  <c r="S79" i="255"/>
  <c r="J81" i="255"/>
  <c r="D81" i="255"/>
  <c r="P81" i="255"/>
  <c r="S81" i="255"/>
  <c r="M81" i="255"/>
  <c r="G81" i="255"/>
  <c r="Q82" i="255"/>
  <c r="K82" i="255"/>
  <c r="E82" i="255"/>
  <c r="H82" i="255"/>
  <c r="T82" i="255"/>
  <c r="N82" i="255"/>
  <c r="J85" i="255"/>
  <c r="D85" i="255"/>
  <c r="P85" i="255"/>
  <c r="S85" i="255"/>
  <c r="M85" i="255"/>
  <c r="G85" i="255"/>
  <c r="Q86" i="255"/>
  <c r="K86" i="255"/>
  <c r="E86" i="255"/>
  <c r="H86" i="255"/>
  <c r="T86" i="255"/>
  <c r="N86" i="255"/>
  <c r="Q89" i="255"/>
  <c r="K89" i="255"/>
  <c r="E89" i="255"/>
  <c r="H89" i="255"/>
  <c r="N89" i="255"/>
  <c r="T89" i="255"/>
  <c r="E91" i="255"/>
  <c r="Q91" i="255"/>
  <c r="K91" i="255"/>
  <c r="T91" i="255"/>
  <c r="N91" i="255"/>
  <c r="H91" i="255"/>
  <c r="C88" i="255"/>
  <c r="O88" i="255"/>
  <c r="I88" i="255"/>
  <c r="O90" i="255"/>
  <c r="I90" i="255"/>
  <c r="C90" i="255"/>
  <c r="E73" i="255"/>
  <c r="K73" i="255"/>
  <c r="N73" i="255"/>
  <c r="H73" i="255"/>
  <c r="E75" i="255"/>
  <c r="Q75" i="255"/>
  <c r="K75" i="255"/>
  <c r="T75" i="255"/>
  <c r="N75" i="255"/>
  <c r="H75" i="255"/>
  <c r="Q77" i="255"/>
  <c r="K77" i="255"/>
  <c r="E77" i="255"/>
  <c r="T77" i="255"/>
  <c r="N77" i="255"/>
  <c r="H77" i="255"/>
  <c r="E79" i="255"/>
  <c r="Q79" i="255"/>
  <c r="K79" i="255"/>
  <c r="N79" i="255"/>
  <c r="H79" i="255"/>
  <c r="T79" i="255"/>
  <c r="Q81" i="255"/>
  <c r="K81" i="255"/>
  <c r="E81" i="255"/>
  <c r="H81" i="255"/>
  <c r="T81" i="255"/>
  <c r="N81" i="255"/>
  <c r="D84" i="255"/>
  <c r="P84" i="255"/>
  <c r="J84" i="255"/>
  <c r="S84" i="255"/>
  <c r="M84" i="255"/>
  <c r="G84" i="255"/>
  <c r="Q85" i="255"/>
  <c r="K85" i="255"/>
  <c r="E85" i="255"/>
  <c r="H85" i="255"/>
  <c r="N85" i="255"/>
  <c r="T85" i="255"/>
  <c r="J88" i="255"/>
  <c r="D88" i="255"/>
  <c r="P88" i="255"/>
  <c r="S88" i="255"/>
  <c r="M88" i="255"/>
  <c r="G88" i="255"/>
  <c r="P90" i="255"/>
  <c r="D90" i="255"/>
  <c r="J90" i="255"/>
  <c r="G90" i="255"/>
  <c r="S90" i="255"/>
  <c r="M90" i="255"/>
  <c r="Q73" i="255"/>
  <c r="C84" i="255"/>
  <c r="O84" i="255"/>
  <c r="I84" i="255"/>
  <c r="L90" i="255"/>
  <c r="R90" i="255"/>
  <c r="F90" i="255"/>
  <c r="F74" i="255"/>
  <c r="R74" i="255"/>
  <c r="L74" i="255"/>
  <c r="C76" i="255"/>
  <c r="O76" i="255"/>
  <c r="I76" i="255"/>
  <c r="R76" i="255"/>
  <c r="L76" i="255"/>
  <c r="F76" i="255"/>
  <c r="O78" i="255"/>
  <c r="I78" i="255"/>
  <c r="C78" i="255"/>
  <c r="F78" i="255"/>
  <c r="L78" i="255"/>
  <c r="R78" i="255"/>
  <c r="C80" i="255"/>
  <c r="O80" i="255"/>
  <c r="I80" i="255"/>
  <c r="L80" i="255"/>
  <c r="F80" i="255"/>
  <c r="R80" i="255"/>
  <c r="O83" i="255"/>
  <c r="I83" i="255"/>
  <c r="C83" i="255"/>
  <c r="L83" i="255"/>
  <c r="F83" i="255"/>
  <c r="R83" i="255"/>
  <c r="O87" i="255"/>
  <c r="I87" i="255"/>
  <c r="C87" i="255"/>
  <c r="L87" i="255"/>
  <c r="F87" i="255"/>
  <c r="R87" i="255"/>
  <c r="P73" i="255"/>
  <c r="P74" i="255"/>
  <c r="J74" i="255"/>
  <c r="D74" i="255"/>
  <c r="G74" i="255"/>
  <c r="S74" i="255"/>
  <c r="M74" i="255"/>
  <c r="D76" i="255"/>
  <c r="P76" i="255"/>
  <c r="J76" i="255"/>
  <c r="S76" i="255"/>
  <c r="M76" i="255"/>
  <c r="G76" i="255"/>
  <c r="P78" i="255"/>
  <c r="D78" i="255"/>
  <c r="J78" i="255"/>
  <c r="G78" i="255"/>
  <c r="S78" i="255"/>
  <c r="M78" i="255"/>
  <c r="J80" i="255"/>
  <c r="D80" i="255"/>
  <c r="P80" i="255"/>
  <c r="S80" i="255"/>
  <c r="M80" i="255"/>
  <c r="G80" i="255"/>
  <c r="J83" i="255"/>
  <c r="P83" i="255"/>
  <c r="D83" i="255"/>
  <c r="M83" i="255"/>
  <c r="G83" i="255"/>
  <c r="S83" i="255"/>
  <c r="K84" i="255"/>
  <c r="E84" i="255"/>
  <c r="Q84" i="255"/>
  <c r="N110" i="255"/>
  <c r="T137" i="255" s="1"/>
  <c r="T84" i="255"/>
  <c r="N84" i="255"/>
  <c r="H84" i="255"/>
  <c r="J87" i="255"/>
  <c r="P87" i="255"/>
  <c r="D87" i="255"/>
  <c r="M87" i="255"/>
  <c r="G87" i="255"/>
  <c r="S87" i="255"/>
  <c r="K88" i="255"/>
  <c r="E88" i="255"/>
  <c r="Q88" i="255"/>
  <c r="N114" i="255"/>
  <c r="N141" i="255" s="1"/>
  <c r="H88" i="255"/>
  <c r="T88" i="255"/>
  <c r="N88" i="255"/>
  <c r="Q90" i="255"/>
  <c r="K90" i="255"/>
  <c r="E90" i="255"/>
  <c r="N116" i="255"/>
  <c r="N143" i="255" s="1"/>
  <c r="N90" i="255"/>
  <c r="H90" i="255"/>
  <c r="T90" i="255"/>
  <c r="L88" i="255"/>
  <c r="F88" i="255"/>
  <c r="R88" i="255"/>
  <c r="O82" i="255"/>
  <c r="I82" i="255"/>
  <c r="C82" i="255"/>
  <c r="F82" i="255"/>
  <c r="L82" i="255"/>
  <c r="R82" i="255"/>
  <c r="O86" i="255"/>
  <c r="I86" i="255"/>
  <c r="C86" i="255"/>
  <c r="F86" i="255"/>
  <c r="R86" i="255"/>
  <c r="L86" i="255"/>
  <c r="I89" i="255"/>
  <c r="C89" i="255"/>
  <c r="O89" i="255"/>
  <c r="R89" i="255"/>
  <c r="L89" i="255"/>
  <c r="F89" i="255"/>
  <c r="O91" i="255"/>
  <c r="I91" i="255"/>
  <c r="C91" i="255"/>
  <c r="F91" i="255"/>
  <c r="R91" i="255"/>
  <c r="L91" i="255"/>
  <c r="O74" i="255"/>
  <c r="I74" i="255"/>
  <c r="C74" i="255"/>
  <c r="Q74" i="255"/>
  <c r="K74" i="255"/>
  <c r="E74" i="255"/>
  <c r="N74" i="255"/>
  <c r="H74" i="255"/>
  <c r="T74" i="255"/>
  <c r="K76" i="255"/>
  <c r="E76" i="255"/>
  <c r="Q76" i="255"/>
  <c r="T76" i="255"/>
  <c r="N76" i="255"/>
  <c r="H76" i="255"/>
  <c r="Q78" i="255"/>
  <c r="K78" i="255"/>
  <c r="E78" i="255"/>
  <c r="H78" i="255"/>
  <c r="N78" i="255"/>
  <c r="T78" i="255"/>
  <c r="K80" i="255"/>
  <c r="E80" i="255"/>
  <c r="Q80" i="255"/>
  <c r="H80" i="255"/>
  <c r="T80" i="255"/>
  <c r="N80" i="255"/>
  <c r="P82" i="255"/>
  <c r="D82" i="255"/>
  <c r="J82" i="255"/>
  <c r="G82" i="255"/>
  <c r="S82" i="255"/>
  <c r="M82" i="255"/>
  <c r="E83" i="255"/>
  <c r="Q83" i="255"/>
  <c r="K83" i="255"/>
  <c r="N83" i="255"/>
  <c r="H83" i="255"/>
  <c r="T83" i="255"/>
  <c r="P86" i="255"/>
  <c r="J86" i="255"/>
  <c r="D86" i="255"/>
  <c r="G86" i="255"/>
  <c r="S86" i="255"/>
  <c r="M86" i="255"/>
  <c r="E87" i="255"/>
  <c r="Q87" i="255"/>
  <c r="K87" i="255"/>
  <c r="N87" i="255"/>
  <c r="H87" i="255"/>
  <c r="T87" i="255"/>
  <c r="J89" i="255"/>
  <c r="D89" i="255"/>
  <c r="P89" i="255"/>
  <c r="S89" i="255"/>
  <c r="M89" i="255"/>
  <c r="G89" i="255"/>
  <c r="J91" i="255"/>
  <c r="P91" i="255"/>
  <c r="D91" i="255"/>
  <c r="M91" i="255"/>
  <c r="G91" i="255"/>
  <c r="S91" i="255"/>
  <c r="I73" i="255"/>
  <c r="O75" i="255"/>
  <c r="I75" i="255"/>
  <c r="C75" i="255"/>
  <c r="I77" i="255"/>
  <c r="C77" i="255"/>
  <c r="O77" i="255"/>
  <c r="O79" i="255"/>
  <c r="I79" i="255"/>
  <c r="C79" i="255"/>
  <c r="L79" i="255"/>
  <c r="F79" i="255"/>
  <c r="R79" i="255"/>
  <c r="I81" i="255"/>
  <c r="C81" i="255"/>
  <c r="O81" i="255"/>
  <c r="R81" i="255"/>
  <c r="L81" i="255"/>
  <c r="F81" i="255"/>
  <c r="I85" i="255"/>
  <c r="C85" i="255"/>
  <c r="O85" i="255"/>
  <c r="R85" i="255"/>
  <c r="F85" i="255"/>
  <c r="L85" i="255"/>
  <c r="S73" i="255"/>
  <c r="T73" i="255"/>
  <c r="AD67" i="255"/>
  <c r="Z68" i="255"/>
  <c r="AD69" i="255"/>
  <c r="AC67" i="255"/>
  <c r="AA75" i="255" s="1"/>
  <c r="H75" i="250" s="1"/>
  <c r="Y68" i="255"/>
  <c r="AC69" i="255"/>
  <c r="F99" i="255"/>
  <c r="F101" i="255"/>
  <c r="F103" i="255"/>
  <c r="J102" i="255"/>
  <c r="J106" i="255"/>
  <c r="F111" i="255"/>
  <c r="J113" i="255"/>
  <c r="F105" i="255"/>
  <c r="J100" i="255"/>
  <c r="J104" i="255"/>
  <c r="F107" i="255"/>
  <c r="J109" i="255"/>
  <c r="F108" i="255"/>
  <c r="J110" i="255"/>
  <c r="F112" i="255"/>
  <c r="J114" i="255"/>
  <c r="F115" i="255"/>
  <c r="J116" i="255"/>
  <c r="X67" i="255"/>
  <c r="AF67" i="255"/>
  <c r="AC75" i="255" s="1"/>
  <c r="J75" i="250" s="1"/>
  <c r="AB68" i="255"/>
  <c r="X69" i="255"/>
  <c r="J184" i="255"/>
  <c r="K99" i="255" s="1"/>
  <c r="Y67" i="255"/>
  <c r="J108" i="255"/>
  <c r="AC68" i="255"/>
  <c r="F110" i="255"/>
  <c r="J112" i="255"/>
  <c r="F114" i="255"/>
  <c r="J115" i="255"/>
  <c r="F116" i="255"/>
  <c r="J117" i="255"/>
  <c r="J99" i="255"/>
  <c r="F100" i="255"/>
  <c r="J101" i="255"/>
  <c r="F102" i="255"/>
  <c r="J103" i="255"/>
  <c r="F104" i="255"/>
  <c r="J105" i="255"/>
  <c r="F106" i="255"/>
  <c r="J107" i="255"/>
  <c r="F109" i="255"/>
  <c r="J111" i="255"/>
  <c r="F113" i="255"/>
  <c r="N100" i="255"/>
  <c r="N127" i="255" s="1"/>
  <c r="N102" i="255"/>
  <c r="T129" i="255" s="1"/>
  <c r="N104" i="255"/>
  <c r="T131" i="255" s="1"/>
  <c r="N106" i="255"/>
  <c r="T133" i="255" s="1"/>
  <c r="AA67" i="255"/>
  <c r="N109" i="255"/>
  <c r="T136" i="255" s="1"/>
  <c r="AE68" i="255"/>
  <c r="AA69" i="255"/>
  <c r="N113" i="255"/>
  <c r="T140" i="255" s="1"/>
  <c r="AB67" i="255"/>
  <c r="X68" i="255"/>
  <c r="AF68" i="255"/>
  <c r="AB69" i="255"/>
  <c r="N108" i="255"/>
  <c r="H135" i="255" s="1"/>
  <c r="N112" i="255"/>
  <c r="T139" i="255" s="1"/>
  <c r="N115" i="255"/>
  <c r="N142" i="255" s="1"/>
  <c r="N99" i="255"/>
  <c r="N101" i="255"/>
  <c r="T128" i="255" s="1"/>
  <c r="N103" i="255"/>
  <c r="H130" i="255" s="1"/>
  <c r="N105" i="255"/>
  <c r="H132" i="255" s="1"/>
  <c r="N107" i="255"/>
  <c r="H134" i="255" s="1"/>
  <c r="AE67" i="255"/>
  <c r="AA68" i="255"/>
  <c r="N111" i="255"/>
  <c r="T138" i="255" s="1"/>
  <c r="AE69" i="255"/>
  <c r="Z67" i="255"/>
  <c r="Y75" i="255" s="1"/>
  <c r="AD68" i="255"/>
  <c r="AF69" i="255"/>
  <c r="Y69" i="255"/>
  <c r="I99" i="255"/>
  <c r="Z69" i="255"/>
  <c r="F117" i="255"/>
  <c r="N117" i="255"/>
  <c r="K132" i="255" l="1"/>
  <c r="K114" i="255"/>
  <c r="K110" i="255"/>
  <c r="K106" i="255"/>
  <c r="K102" i="255"/>
  <c r="K115" i="255"/>
  <c r="K111" i="255"/>
  <c r="K107" i="255"/>
  <c r="K103" i="255"/>
  <c r="K113" i="255"/>
  <c r="L140" i="255" s="1"/>
  <c r="K117" i="255"/>
  <c r="K109" i="255"/>
  <c r="K105" i="255"/>
  <c r="K101" i="255"/>
  <c r="F128" i="255" s="1"/>
  <c r="K112" i="255"/>
  <c r="K104" i="255"/>
  <c r="K116" i="255"/>
  <c r="K108" i="255"/>
  <c r="K100" i="255"/>
  <c r="AI97" i="255"/>
  <c r="AA97" i="255"/>
  <c r="AC96" i="255"/>
  <c r="AH97" i="255"/>
  <c r="Z97" i="255"/>
  <c r="AB96" i="255"/>
  <c r="AE96" i="255"/>
  <c r="AD96" i="255"/>
  <c r="AG97" i="255"/>
  <c r="AI96" i="255"/>
  <c r="AA96" i="255"/>
  <c r="AB97" i="255"/>
  <c r="AF97" i="255"/>
  <c r="AH96" i="255"/>
  <c r="Z96" i="255"/>
  <c r="AE97" i="255"/>
  <c r="AG96" i="255"/>
  <c r="AD97" i="255"/>
  <c r="AF96" i="255"/>
  <c r="AC97" i="255"/>
  <c r="T141" i="255"/>
  <c r="H143" i="255"/>
  <c r="M133" i="255"/>
  <c r="G129" i="255"/>
  <c r="H141" i="255"/>
  <c r="F75" i="250"/>
  <c r="E64" i="250" s="1"/>
  <c r="E66" i="250" s="1"/>
  <c r="G66" i="250" s="1"/>
  <c r="AR78" i="255"/>
  <c r="S127" i="255"/>
  <c r="T143" i="255"/>
  <c r="J118" i="255"/>
  <c r="F118" i="255"/>
  <c r="H126" i="255"/>
  <c r="N118" i="255"/>
  <c r="S131" i="255"/>
  <c r="G136" i="255"/>
  <c r="D207" i="255"/>
  <c r="D197" i="255"/>
  <c r="D198" i="255"/>
  <c r="G140" i="255"/>
  <c r="D205" i="255"/>
  <c r="D204" i="255"/>
  <c r="D195" i="255"/>
  <c r="N137" i="255"/>
  <c r="H137" i="255"/>
  <c r="D192" i="255"/>
  <c r="D201" i="255"/>
  <c r="D191" i="255"/>
  <c r="D194" i="255"/>
  <c r="D208" i="255"/>
  <c r="D202" i="255"/>
  <c r="S134" i="255"/>
  <c r="N139" i="255"/>
  <c r="Q133" i="255"/>
  <c r="Q131" i="255"/>
  <c r="G132" i="255"/>
  <c r="M129" i="255"/>
  <c r="Q135" i="255"/>
  <c r="Q142" i="255"/>
  <c r="Q126" i="255"/>
  <c r="K131" i="255"/>
  <c r="K139" i="255"/>
  <c r="S128" i="255"/>
  <c r="S129" i="255"/>
  <c r="H128" i="255"/>
  <c r="N129" i="255"/>
  <c r="E139" i="255"/>
  <c r="G134" i="255"/>
  <c r="N134" i="255"/>
  <c r="Q143" i="255"/>
  <c r="G128" i="255"/>
  <c r="K129" i="255"/>
  <c r="S126" i="255"/>
  <c r="E136" i="255"/>
  <c r="H142" i="255"/>
  <c r="E131" i="255"/>
  <c r="N140" i="255"/>
  <c r="G143" i="255"/>
  <c r="K127" i="255"/>
  <c r="G126" i="255"/>
  <c r="M134" i="255"/>
  <c r="M126" i="255"/>
  <c r="E129" i="255"/>
  <c r="K135" i="255"/>
  <c r="E128" i="255"/>
  <c r="T134" i="255"/>
  <c r="Q139" i="255"/>
  <c r="K138" i="255"/>
  <c r="E135" i="255"/>
  <c r="M143" i="255"/>
  <c r="S132" i="255"/>
  <c r="E137" i="255"/>
  <c r="K130" i="255"/>
  <c r="G135" i="255"/>
  <c r="K134" i="255"/>
  <c r="H129" i="255"/>
  <c r="M135" i="255"/>
  <c r="N132" i="255"/>
  <c r="K143" i="255"/>
  <c r="K141" i="255"/>
  <c r="Q132" i="255"/>
  <c r="Q129" i="255"/>
  <c r="K137" i="255"/>
  <c r="E130" i="255"/>
  <c r="E142" i="255"/>
  <c r="E140" i="255"/>
  <c r="Q128" i="255"/>
  <c r="K128" i="255"/>
  <c r="Q137" i="255"/>
  <c r="H139" i="255"/>
  <c r="Q130" i="255"/>
  <c r="H140" i="255"/>
  <c r="E133" i="255"/>
  <c r="Q138" i="255"/>
  <c r="T142" i="255"/>
  <c r="M130" i="255"/>
  <c r="N138" i="255"/>
  <c r="S135" i="255"/>
  <c r="H127" i="255"/>
  <c r="S143" i="255"/>
  <c r="S138" i="255"/>
  <c r="E127" i="255"/>
  <c r="G138" i="255"/>
  <c r="F144" i="255"/>
  <c r="E132" i="255"/>
  <c r="G141" i="255"/>
  <c r="Q127" i="255"/>
  <c r="N136" i="255"/>
  <c r="T130" i="255"/>
  <c r="M137" i="255"/>
  <c r="G130" i="255"/>
  <c r="J144" i="255"/>
  <c r="Q136" i="255"/>
  <c r="N130" i="255"/>
  <c r="S130" i="255"/>
  <c r="N133" i="255"/>
  <c r="K136" i="255"/>
  <c r="G144" i="255"/>
  <c r="N128" i="255"/>
  <c r="K140" i="255"/>
  <c r="H133" i="255"/>
  <c r="K142" i="255"/>
  <c r="E141" i="255"/>
  <c r="Q140" i="255"/>
  <c r="E138" i="255"/>
  <c r="K133" i="255"/>
  <c r="Q141" i="255"/>
  <c r="H131" i="255"/>
  <c r="G137" i="255"/>
  <c r="T132" i="255"/>
  <c r="L137" i="255"/>
  <c r="R137" i="255"/>
  <c r="F137" i="255"/>
  <c r="N131" i="255"/>
  <c r="E143" i="255"/>
  <c r="S140" i="255"/>
  <c r="S137" i="255"/>
  <c r="K126" i="255"/>
  <c r="P144" i="255"/>
  <c r="E134" i="255"/>
  <c r="G133" i="255"/>
  <c r="M127" i="255"/>
  <c r="G139" i="255"/>
  <c r="E126" i="255"/>
  <c r="G127" i="255"/>
  <c r="Q134" i="255"/>
  <c r="M142" i="255"/>
  <c r="M138" i="255"/>
  <c r="H138" i="255"/>
  <c r="D144" i="255"/>
  <c r="M128" i="255"/>
  <c r="J134" i="255"/>
  <c r="M132" i="255"/>
  <c r="G142" i="255"/>
  <c r="S133" i="255"/>
  <c r="S144" i="255"/>
  <c r="T135" i="255"/>
  <c r="S142" i="255"/>
  <c r="M139" i="255"/>
  <c r="T127" i="255"/>
  <c r="S141" i="255"/>
  <c r="M144" i="255"/>
  <c r="N135" i="255"/>
  <c r="L118" i="255"/>
  <c r="M141" i="255"/>
  <c r="J128" i="255"/>
  <c r="D128" i="255"/>
  <c r="S139" i="255"/>
  <c r="T126" i="255"/>
  <c r="N126" i="255"/>
  <c r="H136" i="255"/>
  <c r="D137" i="255"/>
  <c r="J137" i="255"/>
  <c r="P137" i="255"/>
  <c r="D132" i="255"/>
  <c r="J132" i="255"/>
  <c r="P132" i="255"/>
  <c r="P135" i="255"/>
  <c r="D135" i="255"/>
  <c r="J135" i="255"/>
  <c r="M140" i="255"/>
  <c r="D118" i="255"/>
  <c r="D119" i="255" s="1"/>
  <c r="J126" i="255"/>
  <c r="P126" i="255"/>
  <c r="D126" i="255"/>
  <c r="D140" i="255"/>
  <c r="J140" i="255"/>
  <c r="P140" i="255"/>
  <c r="S136" i="255"/>
  <c r="D134" i="255"/>
  <c r="D133" i="255"/>
  <c r="J133" i="255"/>
  <c r="P133" i="255"/>
  <c r="D129" i="255"/>
  <c r="J129" i="255"/>
  <c r="P129" i="255"/>
  <c r="P143" i="255"/>
  <c r="D143" i="255"/>
  <c r="J143" i="255"/>
  <c r="N144" i="255"/>
  <c r="T144" i="255"/>
  <c r="H144" i="255"/>
  <c r="J142" i="255"/>
  <c r="P142" i="255"/>
  <c r="D142" i="255"/>
  <c r="M136" i="255"/>
  <c r="M131" i="255"/>
  <c r="P134" i="255"/>
  <c r="E144" i="255"/>
  <c r="K144" i="255"/>
  <c r="Q144" i="255"/>
  <c r="J130" i="255"/>
  <c r="P130" i="255"/>
  <c r="D130" i="255"/>
  <c r="P139" i="255"/>
  <c r="D139" i="255"/>
  <c r="J139" i="255"/>
  <c r="G131" i="255"/>
  <c r="J138" i="255"/>
  <c r="P138" i="255"/>
  <c r="D138" i="255"/>
  <c r="I118" i="255"/>
  <c r="D136" i="255"/>
  <c r="J136" i="255"/>
  <c r="P136" i="255"/>
  <c r="P131" i="255"/>
  <c r="D131" i="255"/>
  <c r="J131" i="255"/>
  <c r="P127" i="255"/>
  <c r="D127" i="255"/>
  <c r="J127" i="255"/>
  <c r="D141" i="255"/>
  <c r="J141" i="255"/>
  <c r="P141" i="255"/>
  <c r="P128" i="255"/>
  <c r="M118" i="255"/>
  <c r="H118" i="255"/>
  <c r="E118" i="255"/>
  <c r="S116" i="255" l="1"/>
  <c r="T116" i="255"/>
  <c r="S109" i="255"/>
  <c r="T109" i="255"/>
  <c r="S105" i="255"/>
  <c r="T105" i="255"/>
  <c r="T114" i="255"/>
  <c r="S114" i="255"/>
  <c r="S108" i="255"/>
  <c r="T108" i="255"/>
  <c r="S117" i="255"/>
  <c r="T117" i="255"/>
  <c r="S101" i="255"/>
  <c r="T101" i="255"/>
  <c r="S107" i="255"/>
  <c r="T107" i="255"/>
  <c r="S100" i="255"/>
  <c r="T100" i="255"/>
  <c r="T106" i="255"/>
  <c r="S106" i="255"/>
  <c r="T102" i="255"/>
  <c r="S102" i="255"/>
  <c r="S115" i="255"/>
  <c r="T115" i="255"/>
  <c r="I137" i="255"/>
  <c r="T110" i="255"/>
  <c r="S110" i="255"/>
  <c r="S112" i="255"/>
  <c r="T112" i="255"/>
  <c r="S103" i="255"/>
  <c r="T103" i="255"/>
  <c r="S111" i="255"/>
  <c r="T111" i="255"/>
  <c r="S113" i="255"/>
  <c r="T113" i="255"/>
  <c r="S104" i="255"/>
  <c r="T104" i="255"/>
  <c r="S99" i="255"/>
  <c r="T99" i="255"/>
  <c r="I139" i="255"/>
  <c r="E65" i="250"/>
  <c r="G65" i="250" s="1"/>
  <c r="Q154" i="255"/>
  <c r="S86" i="250" s="1"/>
  <c r="N153" i="255"/>
  <c r="P85" i="250" s="1"/>
  <c r="T154" i="255"/>
  <c r="V86" i="250" s="1"/>
  <c r="K154" i="255"/>
  <c r="M86" i="250" s="1"/>
  <c r="N154" i="255"/>
  <c r="P86" i="250" s="1"/>
  <c r="J154" i="255"/>
  <c r="L86" i="250" s="1"/>
  <c r="I49" i="250" s="1"/>
  <c r="D153" i="255"/>
  <c r="F85" i="250" s="1"/>
  <c r="T153" i="255"/>
  <c r="V85" i="250" s="1"/>
  <c r="Q153" i="255"/>
  <c r="S85" i="250" s="1"/>
  <c r="G154" i="255"/>
  <c r="I86" i="250" s="1"/>
  <c r="I53" i="250" s="1"/>
  <c r="P153" i="255"/>
  <c r="R85" i="250" s="1"/>
  <c r="S154" i="255"/>
  <c r="U86" i="250" s="1"/>
  <c r="I54" i="250" s="1"/>
  <c r="E154" i="255"/>
  <c r="G86" i="250" s="1"/>
  <c r="D154" i="255"/>
  <c r="F86" i="250" s="1"/>
  <c r="I50" i="250" s="1"/>
  <c r="P154" i="255"/>
  <c r="R86" i="250" s="1"/>
  <c r="I51" i="250" s="1"/>
  <c r="J153" i="255"/>
  <c r="M154" i="255"/>
  <c r="O86" i="250" s="1"/>
  <c r="I52" i="250" s="1"/>
  <c r="M153" i="255"/>
  <c r="O85" i="250" s="1"/>
  <c r="E153" i="255"/>
  <c r="G85" i="250" s="1"/>
  <c r="S153" i="255"/>
  <c r="U85" i="250" s="1"/>
  <c r="H153" i="255"/>
  <c r="J85" i="250" s="1"/>
  <c r="K153" i="255"/>
  <c r="M85" i="250" s="1"/>
  <c r="H154" i="255"/>
  <c r="J86" i="250" s="1"/>
  <c r="G153" i="255"/>
  <c r="I85" i="250" s="1"/>
  <c r="F53" i="250" s="1"/>
  <c r="G64" i="250"/>
  <c r="I135" i="255"/>
  <c r="D196" i="255"/>
  <c r="D206" i="255"/>
  <c r="I126" i="255"/>
  <c r="J146" i="255"/>
  <c r="M146" i="255"/>
  <c r="S146" i="255"/>
  <c r="G146" i="255"/>
  <c r="D193" i="255"/>
  <c r="D146" i="255"/>
  <c r="D190" i="255"/>
  <c r="D203" i="255"/>
  <c r="P146" i="255"/>
  <c r="D200" i="255"/>
  <c r="O144" i="255"/>
  <c r="C134" i="255"/>
  <c r="O137" i="255"/>
  <c r="C137" i="255"/>
  <c r="O131" i="255"/>
  <c r="I132" i="255"/>
  <c r="C128" i="255"/>
  <c r="C135" i="255"/>
  <c r="O135" i="255"/>
  <c r="C129" i="255"/>
  <c r="O128" i="255"/>
  <c r="I128" i="255"/>
  <c r="C127" i="255"/>
  <c r="O133" i="255"/>
  <c r="C133" i="255"/>
  <c r="O141" i="255"/>
  <c r="I133" i="255"/>
  <c r="I130" i="255"/>
  <c r="I142" i="255"/>
  <c r="C143" i="255"/>
  <c r="O136" i="255"/>
  <c r="I136" i="255"/>
  <c r="C136" i="255"/>
  <c r="O138" i="255"/>
  <c r="I131" i="255"/>
  <c r="C131" i="255"/>
  <c r="O134" i="255"/>
  <c r="O129" i="255"/>
  <c r="I134" i="255"/>
  <c r="I129" i="255"/>
  <c r="C142" i="255"/>
  <c r="O127" i="255"/>
  <c r="O143" i="255"/>
  <c r="I143" i="255"/>
  <c r="C138" i="255"/>
  <c r="O142" i="255"/>
  <c r="I127" i="255"/>
  <c r="I138" i="255"/>
  <c r="I140" i="255"/>
  <c r="C140" i="255"/>
  <c r="L144" i="255"/>
  <c r="R144" i="255"/>
  <c r="O130" i="255"/>
  <c r="C141" i="255"/>
  <c r="Z77" i="255"/>
  <c r="C130" i="255"/>
  <c r="X77" i="255"/>
  <c r="O140" i="255"/>
  <c r="C118" i="255"/>
  <c r="C119" i="255" s="1"/>
  <c r="AB77" i="255"/>
  <c r="I141" i="255"/>
  <c r="G118" i="255"/>
  <c r="L128" i="255"/>
  <c r="C139" i="255"/>
  <c r="O139" i="255"/>
  <c r="I144" i="255"/>
  <c r="C144" i="255"/>
  <c r="R130" i="255"/>
  <c r="L130" i="255"/>
  <c r="F130" i="255"/>
  <c r="F139" i="255"/>
  <c r="L139" i="255"/>
  <c r="R139" i="255"/>
  <c r="F142" i="255"/>
  <c r="L142" i="255"/>
  <c r="R142" i="255"/>
  <c r="F140" i="255"/>
  <c r="R128" i="255"/>
  <c r="F138" i="255"/>
  <c r="L138" i="255"/>
  <c r="R138" i="255"/>
  <c r="O132" i="255"/>
  <c r="C132" i="255"/>
  <c r="F126" i="255"/>
  <c r="L126" i="255"/>
  <c r="R140" i="255"/>
  <c r="L134" i="255"/>
  <c r="R134" i="255"/>
  <c r="F134" i="255"/>
  <c r="R129" i="255"/>
  <c r="F129" i="255"/>
  <c r="L129" i="255"/>
  <c r="L132" i="255"/>
  <c r="R132" i="255"/>
  <c r="F132" i="255"/>
  <c r="F136" i="255"/>
  <c r="L136" i="255"/>
  <c r="R136" i="255"/>
  <c r="R135" i="255"/>
  <c r="F135" i="255"/>
  <c r="L135" i="255"/>
  <c r="F133" i="255"/>
  <c r="L133" i="255"/>
  <c r="R133" i="255"/>
  <c r="F143" i="255"/>
  <c r="L143" i="255"/>
  <c r="R143" i="255"/>
  <c r="F127" i="255"/>
  <c r="L127" i="255"/>
  <c r="K118" i="255"/>
  <c r="R127" i="255"/>
  <c r="F131" i="255"/>
  <c r="L131" i="255"/>
  <c r="R131" i="255"/>
  <c r="AA76" i="255"/>
  <c r="H76" i="250" s="1"/>
  <c r="L141" i="255"/>
  <c r="F141" i="255"/>
  <c r="R141" i="255"/>
  <c r="AB76" i="255"/>
  <c r="I76" i="250" s="1"/>
  <c r="X76" i="255"/>
  <c r="Z76" i="255"/>
  <c r="G76" i="250" s="1"/>
  <c r="AC76" i="255"/>
  <c r="J76" i="250" s="1"/>
  <c r="D7" i="232"/>
  <c r="D8" i="232"/>
  <c r="D9" i="232"/>
  <c r="D10" i="232"/>
  <c r="D6" i="232"/>
  <c r="T118" i="255" l="1"/>
  <c r="T119" i="255" s="1"/>
  <c r="P58" i="255" s="1"/>
  <c r="S118" i="255"/>
  <c r="S119" i="255" s="1"/>
  <c r="O58" i="255" s="1"/>
  <c r="T120" i="255"/>
  <c r="T121" i="255" s="1"/>
  <c r="P59" i="255" s="1"/>
  <c r="S120" i="255"/>
  <c r="S121" i="255" s="1"/>
  <c r="O59" i="255" s="1"/>
  <c r="S155" i="255"/>
  <c r="I154" i="255"/>
  <c r="K86" i="250" s="1"/>
  <c r="H49" i="250" s="1"/>
  <c r="J155" i="255"/>
  <c r="L85" i="250"/>
  <c r="F49" i="250" s="1"/>
  <c r="C154" i="255"/>
  <c r="O154" i="255"/>
  <c r="Q86" i="250" s="1"/>
  <c r="H51" i="250" s="1"/>
  <c r="R154" i="255"/>
  <c r="T86" i="250" s="1"/>
  <c r="H54" i="250" s="1"/>
  <c r="I153" i="255"/>
  <c r="L154" i="255"/>
  <c r="N86" i="250" s="1"/>
  <c r="H52" i="250" s="1"/>
  <c r="G155" i="255"/>
  <c r="L153" i="255"/>
  <c r="F154" i="255"/>
  <c r="F153" i="255"/>
  <c r="D155" i="255"/>
  <c r="R153" i="255"/>
  <c r="C205" i="255"/>
  <c r="E205" i="255" s="1"/>
  <c r="O153" i="255"/>
  <c r="Q85" i="250" s="1"/>
  <c r="E51" i="250" s="1"/>
  <c r="P155" i="255"/>
  <c r="M155" i="255"/>
  <c r="AQ80" i="255"/>
  <c r="F76" i="250"/>
  <c r="F64" i="250" s="1"/>
  <c r="F65" i="250" s="1"/>
  <c r="H65" i="250" s="1"/>
  <c r="AR79" i="255"/>
  <c r="E76" i="250"/>
  <c r="F61" i="250" s="1"/>
  <c r="H61" i="250" s="1"/>
  <c r="AQ79" i="255"/>
  <c r="I146" i="255"/>
  <c r="C202" i="255"/>
  <c r="E202" i="255" s="1"/>
  <c r="C208" i="255"/>
  <c r="D199" i="255"/>
  <c r="C194" i="255"/>
  <c r="C195" i="255"/>
  <c r="L146" i="255"/>
  <c r="C207" i="255"/>
  <c r="D189" i="255"/>
  <c r="C204" i="255"/>
  <c r="C201" i="255"/>
  <c r="C198" i="255"/>
  <c r="R146" i="255"/>
  <c r="C197" i="255"/>
  <c r="O146" i="255"/>
  <c r="C146" i="255"/>
  <c r="C191" i="255"/>
  <c r="C192" i="255"/>
  <c r="F146" i="255"/>
  <c r="Z75" i="255"/>
  <c r="G75" i="250" s="1"/>
  <c r="AB75" i="255"/>
  <c r="I75" i="250" s="1"/>
  <c r="I87" i="250"/>
  <c r="F51" i="250"/>
  <c r="R87" i="250"/>
  <c r="U87" i="250"/>
  <c r="F54" i="250"/>
  <c r="F52" i="250"/>
  <c r="O87" i="250"/>
  <c r="F87" i="250"/>
  <c r="F50" i="250"/>
  <c r="L87" i="250" l="1"/>
  <c r="C155" i="255"/>
  <c r="I155" i="255"/>
  <c r="K85" i="250"/>
  <c r="E49" i="250" s="1"/>
  <c r="R155" i="255"/>
  <c r="L155" i="255"/>
  <c r="T85" i="250"/>
  <c r="E54" i="250" s="1"/>
  <c r="F155" i="255"/>
  <c r="N85" i="250"/>
  <c r="E52" i="250" s="1"/>
  <c r="U146" i="255"/>
  <c r="O155" i="255"/>
  <c r="F63" i="250"/>
  <c r="H63" i="250" s="1"/>
  <c r="F62" i="250"/>
  <c r="H62" i="250" s="1"/>
  <c r="H64" i="250"/>
  <c r="F66" i="250"/>
  <c r="H66" i="250" s="1"/>
  <c r="H86" i="250"/>
  <c r="H53" i="250" s="1"/>
  <c r="D161" i="255"/>
  <c r="E86" i="250"/>
  <c r="H50" i="250" s="1"/>
  <c r="C161" i="255"/>
  <c r="H85" i="250"/>
  <c r="E53" i="250" s="1"/>
  <c r="D160" i="255"/>
  <c r="E85" i="250"/>
  <c r="E50" i="250" s="1"/>
  <c r="C160" i="255"/>
  <c r="E75" i="250"/>
  <c r="E61" i="250" s="1"/>
  <c r="J7" i="250" s="1"/>
  <c r="AQ78" i="255"/>
  <c r="D209" i="255"/>
  <c r="E204" i="255"/>
  <c r="C203" i="255"/>
  <c r="C193" i="255"/>
  <c r="E194" i="255"/>
  <c r="E195" i="255"/>
  <c r="E201" i="255"/>
  <c r="C200" i="255"/>
  <c r="C206" i="255"/>
  <c r="E207" i="255"/>
  <c r="E208" i="255"/>
  <c r="E191" i="255"/>
  <c r="C190" i="255"/>
  <c r="C196" i="255"/>
  <c r="E197" i="255"/>
  <c r="E192" i="255"/>
  <c r="E198" i="255"/>
  <c r="Q87" i="250"/>
  <c r="D12" i="232"/>
  <c r="V123" i="255" l="1"/>
  <c r="AD144" i="255" s="1"/>
  <c r="Z132" i="255"/>
  <c r="AD130" i="255"/>
  <c r="Z127" i="255"/>
  <c r="V139" i="255"/>
  <c r="Z144" i="255"/>
  <c r="Z137" i="255"/>
  <c r="AD134" i="255"/>
  <c r="K87" i="250"/>
  <c r="N87" i="250"/>
  <c r="T87" i="250"/>
  <c r="U155" i="255"/>
  <c r="G61" i="250"/>
  <c r="K7" i="250" s="1"/>
  <c r="E62" i="250"/>
  <c r="G62" i="250" s="1"/>
  <c r="K13" i="250" s="1"/>
  <c r="E87" i="250"/>
  <c r="H87" i="250"/>
  <c r="E206" i="255"/>
  <c r="E193" i="255"/>
  <c r="C199" i="255"/>
  <c r="E200" i="255"/>
  <c r="E203" i="255"/>
  <c r="E196" i="255"/>
  <c r="E190" i="255"/>
  <c r="C189" i="255"/>
  <c r="J37" i="250"/>
  <c r="J32" i="250"/>
  <c r="J8" i="250"/>
  <c r="H60" i="250"/>
  <c r="G60" i="250"/>
  <c r="H59" i="250"/>
  <c r="G59" i="250"/>
  <c r="I38" i="250"/>
  <c r="T38" i="250" s="1"/>
  <c r="I37" i="250"/>
  <c r="T37" i="250" s="1"/>
  <c r="H37" i="250"/>
  <c r="Q37" i="250" s="1"/>
  <c r="I31" i="250"/>
  <c r="T31" i="250" s="1"/>
  <c r="H26" i="250"/>
  <c r="Q26" i="250" s="1"/>
  <c r="I20" i="250"/>
  <c r="T20" i="250" s="1"/>
  <c r="H20" i="250"/>
  <c r="Q20" i="250" s="1"/>
  <c r="H19" i="250"/>
  <c r="Q19" i="250" s="1"/>
  <c r="I14" i="250"/>
  <c r="T14" i="250" s="1"/>
  <c r="I13" i="250"/>
  <c r="T13" i="250" s="1"/>
  <c r="H13" i="250"/>
  <c r="Q13" i="250" s="1"/>
  <c r="K38" i="250"/>
  <c r="J38" i="250"/>
  <c r="H38" i="250"/>
  <c r="Q38" i="250" s="1"/>
  <c r="R38" i="250" s="1"/>
  <c r="K37" i="250"/>
  <c r="K32" i="250"/>
  <c r="I32" i="250"/>
  <c r="T32" i="250" s="1"/>
  <c r="H32" i="250"/>
  <c r="Q32" i="250" s="1"/>
  <c r="K31" i="250"/>
  <c r="J31" i="250"/>
  <c r="H31" i="250"/>
  <c r="Q31" i="250" s="1"/>
  <c r="K26" i="250"/>
  <c r="J26" i="250"/>
  <c r="I26" i="250"/>
  <c r="T26" i="250" s="1"/>
  <c r="K25" i="250"/>
  <c r="J25" i="250"/>
  <c r="I25" i="250"/>
  <c r="T25" i="250" s="1"/>
  <c r="H25" i="250"/>
  <c r="Q25" i="250" s="1"/>
  <c r="K20" i="250"/>
  <c r="J20" i="250"/>
  <c r="I19" i="250"/>
  <c r="T19" i="250" s="1"/>
  <c r="K14" i="250"/>
  <c r="J14" i="250"/>
  <c r="H14" i="250"/>
  <c r="Q14" i="250" s="1"/>
  <c r="K8" i="250"/>
  <c r="I8" i="250"/>
  <c r="T8" i="250" s="1"/>
  <c r="H8" i="250"/>
  <c r="Q8" i="250" s="1"/>
  <c r="R8" i="250" s="1"/>
  <c r="I7" i="250"/>
  <c r="T7" i="250" s="1"/>
  <c r="H7" i="250"/>
  <c r="Q7" i="250" s="1"/>
  <c r="R7" i="250" s="1"/>
  <c r="Z128" i="255" l="1"/>
  <c r="Z141" i="255"/>
  <c r="U7" i="250"/>
  <c r="U20" i="250"/>
  <c r="AD132" i="255"/>
  <c r="AD126" i="255"/>
  <c r="Z139" i="255"/>
  <c r="AD129" i="255"/>
  <c r="R37" i="250"/>
  <c r="V133" i="255"/>
  <c r="Z143" i="255"/>
  <c r="AD141" i="255"/>
  <c r="AD131" i="255"/>
  <c r="U32" i="250"/>
  <c r="U8" i="250"/>
  <c r="R14" i="250"/>
  <c r="R32" i="250"/>
  <c r="U13" i="250"/>
  <c r="R25" i="250"/>
  <c r="Z130" i="255"/>
  <c r="U31" i="250"/>
  <c r="V130" i="255"/>
  <c r="R31" i="250"/>
  <c r="R26" i="250"/>
  <c r="W87" i="250"/>
  <c r="U25" i="250"/>
  <c r="U37" i="250"/>
  <c r="U14" i="250"/>
  <c r="U38" i="250"/>
  <c r="U26" i="250"/>
  <c r="R20" i="250"/>
  <c r="AD136" i="255"/>
  <c r="Z134" i="255"/>
  <c r="V134" i="255"/>
  <c r="V137" i="255"/>
  <c r="AD135" i="255"/>
  <c r="V144" i="255"/>
  <c r="V128" i="255"/>
  <c r="Z131" i="255"/>
  <c r="V140" i="255"/>
  <c r="W123" i="255"/>
  <c r="AE132" i="255" s="1"/>
  <c r="V143" i="255"/>
  <c r="V141" i="255"/>
  <c r="Z129" i="255"/>
  <c r="V132" i="255"/>
  <c r="AD140" i="255"/>
  <c r="V142" i="255"/>
  <c r="Z135" i="255"/>
  <c r="AD127" i="255"/>
  <c r="Z142" i="255"/>
  <c r="AD143" i="255"/>
  <c r="V129" i="255"/>
  <c r="AD137" i="255"/>
  <c r="AD142" i="255"/>
  <c r="Z140" i="255"/>
  <c r="AD128" i="255"/>
  <c r="W124" i="255"/>
  <c r="AC133" i="255" s="1"/>
  <c r="V124" i="255"/>
  <c r="AF132" i="255" s="1"/>
  <c r="Z138" i="255"/>
  <c r="Z126" i="255"/>
  <c r="AD133" i="255"/>
  <c r="Z136" i="255"/>
  <c r="V127" i="255"/>
  <c r="V131" i="255"/>
  <c r="AD139" i="255"/>
  <c r="V138" i="255"/>
  <c r="AD138" i="255"/>
  <c r="V126" i="255"/>
  <c r="Z133" i="255"/>
  <c r="V135" i="255"/>
  <c r="V136" i="255"/>
  <c r="J13" i="250"/>
  <c r="R13" i="250" s="1"/>
  <c r="E63" i="250"/>
  <c r="G63" i="250" s="1"/>
  <c r="K19" i="250" s="1"/>
  <c r="U19" i="250" s="1"/>
  <c r="E199" i="255"/>
  <c r="C209" i="255"/>
  <c r="E189" i="255"/>
  <c r="W142" i="255" l="1"/>
  <c r="AA138" i="255"/>
  <c r="W130" i="255"/>
  <c r="AA134" i="255"/>
  <c r="AE138" i="255"/>
  <c r="W144" i="255"/>
  <c r="AF127" i="255"/>
  <c r="W143" i="255"/>
  <c r="AA139" i="255"/>
  <c r="U43" i="250"/>
  <c r="AE131" i="255"/>
  <c r="W128" i="255"/>
  <c r="W138" i="255"/>
  <c r="X131" i="255"/>
  <c r="AA132" i="255"/>
  <c r="AE135" i="255"/>
  <c r="W141" i="255"/>
  <c r="X126" i="255"/>
  <c r="AE144" i="255"/>
  <c r="AE127" i="255"/>
  <c r="W133" i="255"/>
  <c r="X129" i="255"/>
  <c r="AE128" i="255"/>
  <c r="AA141" i="255"/>
  <c r="AE141" i="255"/>
  <c r="AE129" i="255"/>
  <c r="W137" i="255"/>
  <c r="W134" i="255"/>
  <c r="AA143" i="255"/>
  <c r="W136" i="255"/>
  <c r="W135" i="255"/>
  <c r="AE134" i="255"/>
  <c r="X127" i="255"/>
  <c r="X130" i="255"/>
  <c r="AF130" i="255"/>
  <c r="AB131" i="255"/>
  <c r="X141" i="255"/>
  <c r="X132" i="255"/>
  <c r="X142" i="255"/>
  <c r="AF128" i="255"/>
  <c r="AB126" i="255"/>
  <c r="X133" i="255"/>
  <c r="X136" i="255"/>
  <c r="AB135" i="255"/>
  <c r="AF131" i="255"/>
  <c r="AF133" i="255"/>
  <c r="AA137" i="255"/>
  <c r="AA140" i="255"/>
  <c r="W127" i="255"/>
  <c r="AA130" i="255"/>
  <c r="AA136" i="255"/>
  <c r="AB144" i="255"/>
  <c r="AB138" i="255"/>
  <c r="AB134" i="255"/>
  <c r="AB140" i="255"/>
  <c r="AF144" i="255"/>
  <c r="AA133" i="255"/>
  <c r="AF138" i="255"/>
  <c r="AF141" i="255"/>
  <c r="AF136" i="255"/>
  <c r="W140" i="255"/>
  <c r="AE130" i="255"/>
  <c r="AA129" i="255"/>
  <c r="W126" i="255"/>
  <c r="W139" i="255"/>
  <c r="W129" i="255"/>
  <c r="AE136" i="255"/>
  <c r="AE143" i="255"/>
  <c r="AE142" i="255"/>
  <c r="AE133" i="255"/>
  <c r="W131" i="255"/>
  <c r="AA135" i="255"/>
  <c r="AA126" i="255"/>
  <c r="AA144" i="255"/>
  <c r="AA127" i="255"/>
  <c r="AC142" i="255"/>
  <c r="AG144" i="255"/>
  <c r="AG136" i="255"/>
  <c r="AA128" i="255"/>
  <c r="AE139" i="255"/>
  <c r="AC141" i="255"/>
  <c r="AG138" i="255"/>
  <c r="Y135" i="255"/>
  <c r="AG130" i="255"/>
  <c r="AG135" i="255"/>
  <c r="AC126" i="255"/>
  <c r="Y134" i="255"/>
  <c r="Y141" i="255"/>
  <c r="AC129" i="255"/>
  <c r="Y132" i="255"/>
  <c r="AG141" i="255"/>
  <c r="Y137" i="255"/>
  <c r="AC131" i="255"/>
  <c r="AG133" i="255"/>
  <c r="AB133" i="255"/>
  <c r="AA142" i="255"/>
  <c r="AE137" i="255"/>
  <c r="AG128" i="255"/>
  <c r="AG127" i="255"/>
  <c r="AC130" i="255"/>
  <c r="AC136" i="255"/>
  <c r="Y136" i="255"/>
  <c r="AC139" i="255"/>
  <c r="AF143" i="255"/>
  <c r="AE126" i="255"/>
  <c r="W132" i="255"/>
  <c r="AC135" i="255"/>
  <c r="Y131" i="255"/>
  <c r="AG139" i="255"/>
  <c r="AE140" i="255"/>
  <c r="AG126" i="255"/>
  <c r="Y138" i="255"/>
  <c r="X143" i="255"/>
  <c r="AA131" i="255"/>
  <c r="Y142" i="255"/>
  <c r="AG142" i="255"/>
  <c r="AC132" i="255"/>
  <c r="Y133" i="255"/>
  <c r="AG143" i="255"/>
  <c r="AC144" i="255"/>
  <c r="AG137" i="255"/>
  <c r="AG131" i="255"/>
  <c r="AC143" i="255"/>
  <c r="Y144" i="255"/>
  <c r="Y130" i="255"/>
  <c r="AG140" i="255"/>
  <c r="Y128" i="255"/>
  <c r="Y129" i="255"/>
  <c r="AB128" i="255"/>
  <c r="AB143" i="255"/>
  <c r="AB136" i="255"/>
  <c r="AB142" i="255"/>
  <c r="AF134" i="255"/>
  <c r="AF135" i="255"/>
  <c r="AB141" i="255"/>
  <c r="X140" i="255"/>
  <c r="X128" i="255"/>
  <c r="AF137" i="255"/>
  <c r="X135" i="255"/>
  <c r="AB137" i="255"/>
  <c r="X134" i="255"/>
  <c r="AF140" i="255"/>
  <c r="AC140" i="255"/>
  <c r="AC138" i="255"/>
  <c r="AG134" i="255"/>
  <c r="Y127" i="255"/>
  <c r="AC137" i="255"/>
  <c r="Y140" i="255"/>
  <c r="AC128" i="255"/>
  <c r="AG129" i="255"/>
  <c r="Y139" i="255"/>
  <c r="AC127" i="255"/>
  <c r="Y143" i="255"/>
  <c r="AC134" i="255"/>
  <c r="AG132" i="255"/>
  <c r="Y126" i="255"/>
  <c r="X139" i="255"/>
  <c r="AB127" i="255"/>
  <c r="X138" i="255"/>
  <c r="AF142" i="255"/>
  <c r="AB129" i="255"/>
  <c r="X137" i="255"/>
  <c r="AF126" i="255"/>
  <c r="X144" i="255"/>
  <c r="AB132" i="255"/>
  <c r="AF129" i="255"/>
  <c r="AB139" i="255"/>
  <c r="AF139" i="255"/>
  <c r="AB130" i="255"/>
  <c r="J19" i="250"/>
  <c r="R19" i="250" s="1"/>
  <c r="K39" i="258"/>
  <c r="R36" i="258" s="1"/>
  <c r="K38" i="258"/>
  <c r="Q36" i="258" s="1"/>
  <c r="J39" i="258"/>
  <c r="P36" i="258" s="1"/>
  <c r="E209" i="255"/>
  <c r="D22" i="244"/>
  <c r="D23" i="244"/>
  <c r="R43" i="250" l="1"/>
  <c r="U44" i="250" s="1"/>
  <c r="Y150" i="255"/>
  <c r="X150" i="255"/>
  <c r="W149" i="255"/>
  <c r="Y149" i="255"/>
  <c r="X149" i="255"/>
  <c r="W150" i="255"/>
  <c r="P40" i="258"/>
  <c r="R14" i="258" s="1"/>
  <c r="P39" i="258"/>
  <c r="R13" i="258" s="1"/>
  <c r="Q40" i="258"/>
  <c r="O23" i="258" s="1"/>
  <c r="F23" i="258" s="1"/>
  <c r="Q39" i="258"/>
  <c r="O22" i="258" s="1"/>
  <c r="F22" i="258" s="1"/>
  <c r="R37" i="258"/>
  <c r="R18" i="258" s="1"/>
  <c r="R40" i="258"/>
  <c r="R23" i="258" s="1"/>
  <c r="R39" i="258"/>
  <c r="R22" i="258" s="1"/>
  <c r="R41" i="258"/>
  <c r="R17" i="258"/>
  <c r="R38" i="258"/>
  <c r="R19" i="258" s="1"/>
  <c r="P38" i="258"/>
  <c r="R9" i="258" s="1"/>
  <c r="R7" i="258"/>
  <c r="P41" i="258"/>
  <c r="P37" i="258"/>
  <c r="R8" i="258" s="1"/>
  <c r="Q41" i="258"/>
  <c r="Q37" i="258"/>
  <c r="O18" i="258" s="1"/>
  <c r="O17" i="258"/>
  <c r="F17" i="258" s="1"/>
  <c r="Q38" i="258"/>
  <c r="O19" i="258" s="1"/>
  <c r="J38" i="258" l="1"/>
  <c r="O7" i="258" s="1"/>
  <c r="F7" i="258" s="1"/>
  <c r="R15" i="258"/>
  <c r="R16" i="258"/>
  <c r="R25" i="258"/>
  <c r="T25" i="258" s="1"/>
  <c r="R24" i="258"/>
  <c r="G24" i="258" s="1"/>
  <c r="S24" i="258" s="1"/>
  <c r="G18" i="258"/>
  <c r="S18" i="258" s="1"/>
  <c r="T23" i="258"/>
  <c r="G23" i="258"/>
  <c r="S23" i="258" s="1"/>
  <c r="Q23" i="258"/>
  <c r="P23" i="258"/>
  <c r="G14" i="258"/>
  <c r="S14" i="258" s="1"/>
  <c r="T14" i="258"/>
  <c r="G7" i="258"/>
  <c r="S7" i="258" s="1"/>
  <c r="T7" i="258"/>
  <c r="T17" i="258"/>
  <c r="G17" i="258"/>
  <c r="S17" i="258" s="1"/>
  <c r="Q17" i="258"/>
  <c r="P17" i="258"/>
  <c r="G13" i="258"/>
  <c r="S13" i="258" s="1"/>
  <c r="T13" i="258"/>
  <c r="G22" i="258"/>
  <c r="S22" i="258" s="1"/>
  <c r="T22" i="258"/>
  <c r="P22" i="258"/>
  <c r="G19" i="258"/>
  <c r="S19" i="258" s="1"/>
  <c r="F18" i="258"/>
  <c r="P18" i="258" s="1"/>
  <c r="G9" i="258"/>
  <c r="S9" i="258" s="1"/>
  <c r="O24" i="258"/>
  <c r="O25" i="258"/>
  <c r="F19" i="258"/>
  <c r="P19" i="258" s="1"/>
  <c r="G8" i="258"/>
  <c r="S8" i="258" s="1"/>
  <c r="O38" i="258" l="1"/>
  <c r="O9" i="258" s="1"/>
  <c r="F9" i="258" s="1"/>
  <c r="P9" i="258" s="1"/>
  <c r="O39" i="258"/>
  <c r="O13" i="258" s="1"/>
  <c r="F13" i="258" s="1"/>
  <c r="P13" i="258" s="1"/>
  <c r="O40" i="258"/>
  <c r="O14" i="258" s="1"/>
  <c r="F14" i="258" s="1"/>
  <c r="P14" i="258" s="1"/>
  <c r="O37" i="258"/>
  <c r="O8" i="258" s="1"/>
  <c r="Y18" i="258" s="1"/>
  <c r="H8" i="258" s="1"/>
  <c r="H18" i="258" s="1"/>
  <c r="Q18" i="258" s="1"/>
  <c r="O41" i="258"/>
  <c r="O15" i="258" s="1"/>
  <c r="T42" i="258" s="1"/>
  <c r="U43" i="258"/>
  <c r="G16" i="258"/>
  <c r="S16" i="258" s="1"/>
  <c r="U42" i="258"/>
  <c r="G15" i="258"/>
  <c r="S15" i="258" s="1"/>
  <c r="W38" i="258"/>
  <c r="O16" i="258"/>
  <c r="P7" i="258"/>
  <c r="Y7" i="258"/>
  <c r="T24" i="258"/>
  <c r="Y17" i="258"/>
  <c r="G25" i="258"/>
  <c r="S25" i="258" s="1"/>
  <c r="T15" i="258"/>
  <c r="F24" i="258"/>
  <c r="P24" i="258" s="1"/>
  <c r="Q24" i="258"/>
  <c r="T16" i="258"/>
  <c r="U39" i="258" s="1"/>
  <c r="Q25" i="258"/>
  <c r="F25" i="258"/>
  <c r="P25" i="258" s="1"/>
  <c r="E9" i="232"/>
  <c r="D24" i="244"/>
  <c r="D25" i="244"/>
  <c r="D27" i="231"/>
  <c r="D26" i="244"/>
  <c r="E47" i="231"/>
  <c r="C9" i="232" s="1"/>
  <c r="D47" i="231"/>
  <c r="B9" i="232" s="1"/>
  <c r="B10" i="258" l="1"/>
  <c r="B9" i="260"/>
  <c r="Q14" i="258"/>
  <c r="F8" i="258"/>
  <c r="P8" i="258" s="1"/>
  <c r="Q8" i="258"/>
  <c r="I8" i="258"/>
  <c r="I18" i="258" s="1"/>
  <c r="Y19" i="258"/>
  <c r="H9" i="258" s="1"/>
  <c r="I19" i="258" s="1"/>
  <c r="T19" i="258" s="1"/>
  <c r="F15" i="258"/>
  <c r="P15" i="258" s="1"/>
  <c r="T43" i="258"/>
  <c r="F16" i="258"/>
  <c r="P16" i="258" s="1"/>
  <c r="V38" i="258"/>
  <c r="U41" i="258"/>
  <c r="U40" i="258"/>
  <c r="U38" i="258"/>
  <c r="V32" i="258"/>
  <c r="Y21" i="258"/>
  <c r="Q16" i="258"/>
  <c r="Q15" i="258"/>
  <c r="T8" i="258" l="1"/>
  <c r="I9" i="258"/>
  <c r="H19" i="258"/>
  <c r="Q19" i="258" s="1"/>
  <c r="Q9" i="258"/>
  <c r="AL60" i="258"/>
  <c r="T41" i="258"/>
  <c r="T40" i="258"/>
  <c r="AL59" i="258"/>
  <c r="T18" i="258"/>
  <c r="Y16" i="258"/>
  <c r="T39" i="258"/>
  <c r="Y15" i="258"/>
  <c r="T38" i="258"/>
  <c r="S32" i="258"/>
  <c r="Y8" i="258" l="1"/>
  <c r="T9" i="258"/>
  <c r="Y9" i="258" s="1"/>
  <c r="Y11" i="258"/>
  <c r="D41" i="231" l="1"/>
  <c r="D40" i="231"/>
  <c r="D31" i="231"/>
  <c r="D30" i="231"/>
  <c r="B13" i="258" l="1"/>
  <c r="B12" i="260"/>
  <c r="B14" i="258"/>
  <c r="B13" i="260"/>
  <c r="B22" i="258"/>
  <c r="B22" i="260"/>
  <c r="B23" i="258"/>
  <c r="B23" i="260"/>
  <c r="E13" i="232"/>
  <c r="E51" i="231"/>
  <c r="C13" i="232" s="1"/>
  <c r="D51" i="231"/>
  <c r="B13" i="232" s="1"/>
  <c r="D19" i="232" l="1"/>
  <c r="D18" i="232"/>
  <c r="D17" i="232"/>
  <c r="D16" i="232"/>
  <c r="D26" i="231" l="1"/>
  <c r="D34" i="244"/>
  <c r="E18" i="232"/>
  <c r="E16" i="232"/>
  <c r="E55" i="231"/>
  <c r="C18" i="232" s="1"/>
  <c r="E54" i="231"/>
  <c r="C16" i="232" s="1"/>
  <c r="D55" i="231"/>
  <c r="B18" i="232" s="1"/>
  <c r="D54" i="231"/>
  <c r="B16" i="232" s="1"/>
  <c r="D53" i="231"/>
  <c r="B15" i="232" s="1"/>
  <c r="D52" i="231"/>
  <c r="B14" i="232" s="1"/>
  <c r="E53" i="231"/>
  <c r="C15" i="232" s="1"/>
  <c r="E52" i="231"/>
  <c r="C14" i="232" s="1"/>
  <c r="E50" i="231"/>
  <c r="C12" i="232" s="1"/>
  <c r="E48" i="231"/>
  <c r="C10" i="232" s="1"/>
  <c r="E46" i="231"/>
  <c r="C8" i="232" s="1"/>
  <c r="E45" i="231"/>
  <c r="C7" i="232" s="1"/>
  <c r="E44" i="231"/>
  <c r="D44" i="231"/>
  <c r="D45" i="231"/>
  <c r="B7" i="232" s="1"/>
  <c r="D46" i="231"/>
  <c r="B8" i="232" s="1"/>
  <c r="D48" i="231"/>
  <c r="B10" i="232" s="1"/>
  <c r="D50" i="231"/>
  <c r="B12" i="232" s="1"/>
  <c r="E15" i="232"/>
  <c r="D39" i="231"/>
  <c r="D43" i="231"/>
  <c r="D42" i="231"/>
  <c r="D38" i="231"/>
  <c r="D36" i="231"/>
  <c r="D35" i="231"/>
  <c r="D34" i="231"/>
  <c r="D29" i="231"/>
  <c r="D33" i="231"/>
  <c r="D32" i="231"/>
  <c r="D28" i="231"/>
  <c r="D25" i="231"/>
  <c r="D24" i="231"/>
  <c r="AT7" i="238"/>
  <c r="AR7" i="238"/>
  <c r="AP7" i="238"/>
  <c r="AN7" i="238"/>
  <c r="AL7" i="238"/>
  <c r="AJ7" i="238"/>
  <c r="E12" i="232"/>
  <c r="E14" i="232"/>
  <c r="E10" i="232"/>
  <c r="E8" i="232"/>
  <c r="E7" i="232"/>
  <c r="E6" i="232"/>
  <c r="G21" i="231"/>
  <c r="G19" i="231"/>
  <c r="G18" i="231"/>
  <c r="G16" i="231"/>
  <c r="G15" i="231"/>
  <c r="G13" i="231"/>
  <c r="G12" i="231"/>
  <c r="G10" i="231"/>
  <c r="G9" i="231"/>
  <c r="G7" i="231"/>
  <c r="G6" i="231"/>
  <c r="F21" i="231"/>
  <c r="F19" i="231"/>
  <c r="F18" i="231"/>
  <c r="F16" i="231"/>
  <c r="F15" i="231"/>
  <c r="F13" i="231"/>
  <c r="F12" i="231"/>
  <c r="F10" i="231"/>
  <c r="F9" i="231"/>
  <c r="F7" i="231"/>
  <c r="F6" i="231"/>
  <c r="D10" i="221"/>
  <c r="D9" i="221"/>
  <c r="D8" i="221"/>
  <c r="D7" i="221"/>
  <c r="D6" i="221"/>
  <c r="B10" i="221"/>
  <c r="B9" i="221"/>
  <c r="B8" i="221"/>
  <c r="B7" i="221"/>
  <c r="B6" i="221"/>
  <c r="B5" i="221"/>
  <c r="D11" i="216"/>
  <c r="D10" i="216"/>
  <c r="D9" i="216"/>
  <c r="D8" i="216"/>
  <c r="D7" i="216"/>
  <c r="D6" i="216"/>
  <c r="D5" i="221"/>
  <c r="B19" i="258" l="1"/>
  <c r="B18" i="260"/>
  <c r="B24" i="258"/>
  <c r="B24" i="260"/>
  <c r="B20" i="258"/>
  <c r="B20" i="260"/>
  <c r="B8" i="258"/>
  <c r="B7" i="260"/>
  <c r="B25" i="258"/>
  <c r="B25" i="260"/>
  <c r="B11" i="258"/>
  <c r="B10" i="260"/>
  <c r="B16" i="258"/>
  <c r="B15" i="260"/>
  <c r="B7" i="258"/>
  <c r="B6" i="260"/>
  <c r="B12" i="258"/>
  <c r="B11" i="260"/>
  <c r="B15" i="258"/>
  <c r="B14" i="260"/>
  <c r="B17" i="258"/>
  <c r="B16" i="260"/>
  <c r="B21" i="258"/>
  <c r="B21" i="260"/>
  <c r="B18" i="258"/>
  <c r="B17" i="260"/>
  <c r="B9" i="258"/>
  <c r="B8" i="260"/>
  <c r="C8" i="221"/>
  <c r="C10" i="221"/>
  <c r="C9" i="221"/>
  <c r="C7" i="221"/>
  <c r="C5" i="221"/>
  <c r="C6" i="221"/>
  <c r="C6" i="232"/>
  <c r="B6" i="232"/>
  <c r="O58" i="258" l="1"/>
  <c r="Q58" i="258" l="1"/>
  <c r="Q55" i="258"/>
  <c r="Q53" i="258"/>
  <c r="Q52" i="258"/>
  <c r="Q54" i="258"/>
  <c r="Q56" i="258"/>
  <c r="Q57" i="258"/>
  <c r="H22" i="258"/>
  <c r="Q13" i="258"/>
  <c r="Q22" i="258" l="1"/>
  <c r="Y20" i="258" s="1"/>
  <c r="Y10" i="258" l="1"/>
  <c r="Y13" i="258" s="1"/>
  <c r="V26" i="260" l="1"/>
  <c r="U27" i="260"/>
  <c r="G78" i="264" s="1"/>
  <c r="G83" i="264" s="1"/>
  <c r="G88" i="264" s="1"/>
  <c r="U26" i="260"/>
  <c r="U43" i="264" s="1"/>
  <c r="G77" i="264" s="1"/>
  <c r="G82" i="264" s="1"/>
  <c r="G87" i="264" s="1"/>
  <c r="H89" i="264" l="1"/>
  <c r="G95" i="264"/>
  <c r="G107" i="264" s="1"/>
  <c r="G96" i="264"/>
  <c r="H107" i="264" s="1"/>
  <c r="K8" i="264" s="1"/>
  <c r="G98" i="264"/>
  <c r="H110" i="264" s="1"/>
  <c r="G97" i="264"/>
  <c r="G110" i="264" s="1"/>
  <c r="U28" i="260"/>
  <c r="V27" i="260"/>
  <c r="H108" i="264" l="1"/>
  <c r="K14" i="264" s="1"/>
  <c r="U14" i="264" s="1"/>
  <c r="H109" i="264"/>
  <c r="K20" i="264" s="1"/>
  <c r="U20" i="264" s="1"/>
  <c r="U8" i="264"/>
  <c r="G109" i="264"/>
  <c r="K19" i="264" s="1"/>
  <c r="U19" i="264" s="1"/>
  <c r="K7" i="264"/>
  <c r="U7" i="264" s="1"/>
  <c r="G108" i="264"/>
  <c r="K13" i="264" s="1"/>
  <c r="U13" i="264" s="1"/>
  <c r="G111" i="264"/>
  <c r="K31" i="264" s="1"/>
  <c r="U31" i="264" s="1"/>
  <c r="K25" i="264"/>
  <c r="U25" i="264" s="1"/>
  <c r="G112" i="264"/>
  <c r="K37" i="264" s="1"/>
  <c r="U37" i="264" s="1"/>
  <c r="H112" i="264"/>
  <c r="K38" i="264" s="1"/>
  <c r="U38" i="264" s="1"/>
  <c r="K26" i="264"/>
  <c r="U26" i="264" s="1"/>
  <c r="H111" i="264"/>
  <c r="K32" i="264" s="1"/>
  <c r="U32" i="264" s="1"/>
  <c r="S20" i="260"/>
  <c r="U46" i="264" l="1"/>
  <c r="U48" i="264" s="1"/>
  <c r="U45" i="264"/>
  <c r="U47" i="264" s="1"/>
  <c r="W29" i="260"/>
  <c r="S21" i="260"/>
  <c r="S27" i="260" l="1"/>
  <c r="F78" i="264" s="1"/>
  <c r="F83" i="264" s="1"/>
  <c r="F88" i="264" s="1"/>
  <c r="F98" i="264" s="1"/>
  <c r="F110" i="264" s="1"/>
  <c r="S9" i="260"/>
  <c r="F97" i="264" l="1"/>
  <c r="E110" i="264" s="1"/>
  <c r="J25" i="264" s="1"/>
  <c r="R25" i="264" s="1"/>
  <c r="F112" i="264"/>
  <c r="J38" i="264" s="1"/>
  <c r="R38" i="264" s="1"/>
  <c r="J26" i="264"/>
  <c r="R26" i="264" s="1"/>
  <c r="F111" i="264"/>
  <c r="J32" i="264" s="1"/>
  <c r="R32" i="264" s="1"/>
  <c r="S10" i="260"/>
  <c r="W28" i="260"/>
  <c r="S11" i="260"/>
  <c r="S26" i="260" s="1"/>
  <c r="R43" i="264" s="1"/>
  <c r="S28" i="260" l="1"/>
  <c r="E111" i="264"/>
  <c r="J31" i="264" s="1"/>
  <c r="R31" i="264" s="1"/>
  <c r="E112" i="264"/>
  <c r="J37" i="264" s="1"/>
  <c r="R37" i="264" s="1"/>
  <c r="F77" i="264"/>
  <c r="F82" i="264" s="1"/>
  <c r="F87" i="264" s="1"/>
  <c r="K87" i="264" s="1"/>
  <c r="W26" i="260"/>
  <c r="W27" i="260" s="1"/>
  <c r="R48" i="264" l="1"/>
  <c r="F96" i="264"/>
  <c r="F107" i="264" s="1"/>
  <c r="J8" i="264" s="1"/>
  <c r="R8" i="264" s="1"/>
  <c r="F95" i="264"/>
  <c r="E107" i="264" s="1"/>
  <c r="J7" i="264" s="1"/>
  <c r="R7" i="264" s="1"/>
  <c r="E108" i="264" l="1"/>
  <c r="F108" i="264"/>
  <c r="J14" i="264" s="1"/>
  <c r="R14" i="264" s="1"/>
  <c r="F109" i="264"/>
  <c r="J20" i="264" s="1"/>
  <c r="R20" i="264" s="1"/>
  <c r="E109" i="264" l="1"/>
  <c r="J19" i="264" s="1"/>
  <c r="R19" i="264" s="1"/>
  <c r="J13" i="264"/>
  <c r="R13" i="264" s="1"/>
  <c r="R45" i="264" s="1"/>
  <c r="R47" i="26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Mohammad Ahanchian</author>
  </authors>
  <commentList>
    <comment ref="I6" authorId="0" shapeId="0" xr:uid="{54F3B2B8-3356-4937-8257-984338C672C0}">
      <text>
        <r>
          <rPr>
            <b/>
            <sz val="9"/>
            <color indexed="81"/>
            <rFont val="Tahoma"/>
            <family val="2"/>
          </rPr>
          <t>Mohammad Ahanchian:</t>
        </r>
        <r>
          <rPr>
            <sz val="9"/>
            <color indexed="81"/>
            <rFont val="Tahoma"/>
            <family val="2"/>
          </rPr>
          <t xml:space="preserve">
Orig Value TIMES-DK: 0.85</t>
        </r>
      </text>
    </comment>
    <comment ref="I8" authorId="0" shapeId="0" xr:uid="{1CB8E74F-F6F5-4FA6-BE97-D38EE4F04D78}">
      <text>
        <r>
          <rPr>
            <b/>
            <sz val="9"/>
            <color indexed="81"/>
            <rFont val="Tahoma"/>
            <family val="2"/>
          </rPr>
          <t>Mohammad Ahanchian:</t>
        </r>
        <r>
          <rPr>
            <sz val="9"/>
            <color indexed="81"/>
            <rFont val="Tahoma"/>
            <family val="2"/>
          </rPr>
          <t xml:space="preserve">
Original value form TIMES-DK: 0.750000552665728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Mohammad Ahanchian</author>
  </authors>
  <commentList>
    <comment ref="J9" authorId="0" shapeId="0" xr:uid="{0B039936-7340-40A2-8871-4EC04C4E441C}">
      <text>
        <r>
          <rPr>
            <b/>
            <sz val="9"/>
            <color indexed="81"/>
            <rFont val="Tahoma"/>
            <family val="2"/>
          </rPr>
          <t>Mohammad Ahanchian:</t>
        </r>
        <r>
          <rPr>
            <sz val="9"/>
            <color indexed="81"/>
            <rFont val="Tahoma"/>
            <family val="2"/>
          </rPr>
          <t xml:space="preserve">
For now I used data from TIMES-DK. Alternatively it is possible to use data from TABULA online tool for construction period after 2010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NETWORK SERVICE</author>
    <author>Mohammad Ahanchian</author>
  </authors>
  <commentList>
    <comment ref="B28" authorId="0" shapeId="0" xr:uid="{821094E3-2DAA-4D93-8EEF-F73942065B0C}">
      <text>
        <r>
          <rPr>
            <sz val="8"/>
            <color rgb="FF000000"/>
            <rFont val="Tahoma"/>
            <family val="2"/>
          </rPr>
          <t xml:space="preserve">Svalbard is not defined as a county in the legal sense, but in official statistics Svalbard is treated in the same way as the other counties in Norway.
</t>
        </r>
      </text>
    </comment>
    <comment ref="I41" authorId="1" shapeId="0" xr:uid="{1D2C929C-900D-4802-B753-4145DD7ACEEA}">
      <text>
        <r>
          <rPr>
            <b/>
            <sz val="9"/>
            <color indexed="81"/>
            <rFont val="Tahoma"/>
            <family val="2"/>
          </rPr>
          <t>Mohammad Ahanchian:</t>
        </r>
        <r>
          <rPr>
            <sz val="9"/>
            <color indexed="81"/>
            <rFont val="Tahoma"/>
            <family val="2"/>
          </rPr>
          <t xml:space="preserve">
We assume in four major cities, i.e., Oslo, Bergen, Trondheil and Stavanger, all district heating system is central and in other cities, all DH is decentral.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PX-Web Ekstern EN</author>
  </authors>
  <commentList>
    <comment ref="BK5" authorId="0" shapeId="0" xr:uid="{077432B9-D684-4C87-987E-62049BA70FE2}">
      <text>
        <r>
          <rPr>
            <sz val="8"/>
            <color rgb="FF000000"/>
            <rFont val="Tahoma"/>
            <family val="2"/>
          </rPr>
          <t xml:space="preserve">Other buildingtypes mainly includes dwellings in garages, industrial buildings and other non-residential buildings.
</t>
        </r>
      </text>
    </comment>
    <comment ref="B20" authorId="0" shapeId="0" xr:uid="{37A7A572-6774-4A4C-81F9-38E172F985EF}">
      <text>
        <r>
          <rPr>
            <sz val="8"/>
            <color rgb="FF000000"/>
            <rFont val="Tahoma"/>
            <family val="2"/>
          </rPr>
          <t xml:space="preserve">1 January 2019, the municipality 1567 Rindal was moved from Møre og Romsdal to Trøndelag. 1 January 2020, the municipality 1571 Halsa was moved from Møre og Romsdal to Trøndelag. 1 January 2020, the municipality 1444 Hornindal was moved from Sogn og Fjordane to Møre og Romsdal.
</t>
        </r>
      </text>
    </comment>
    <comment ref="B23" authorId="0" shapeId="0" xr:uid="{DC82EE0A-A66D-4754-9F29-FC671F214FE6}">
      <text>
        <r>
          <rPr>
            <sz val="8"/>
            <color rgb="FF000000"/>
            <rFont val="Tahoma"/>
            <family val="2"/>
          </rPr>
          <t xml:space="preserve">1 January 2020, the municipality 1852 Tjeldsund was moved from Nordland to Troms og Finnmark.
</t>
        </r>
      </text>
    </comment>
    <comment ref="B26" authorId="0" shapeId="0" xr:uid="{06A9046E-CA1E-4D2B-937F-620761EDE760}">
      <text>
        <r>
          <rPr>
            <sz val="8"/>
            <color rgb="FF000000"/>
            <rFont val="Tahoma"/>
            <family val="2"/>
          </rPr>
          <t xml:space="preserve">Svalbard is not defined as a county in the legal sense, but in official statistics Svalbard is treated in the same way as the other counties in Norway.
</t>
        </r>
      </text>
    </comment>
    <comment ref="BK33" authorId="0" shapeId="0" xr:uid="{40A446A8-170F-48C1-B5C0-8D781450B4A5}">
      <text>
        <r>
          <rPr>
            <sz val="8"/>
            <color rgb="FF000000"/>
            <rFont val="Tahoma"/>
            <family val="2"/>
          </rPr>
          <t xml:space="preserve">Other buildingtypes mainly includes dwellings in garages, industrial buildings and other non-residential buildings.
</t>
        </r>
      </text>
    </comment>
    <comment ref="B48" authorId="0" shapeId="0" xr:uid="{2DB473B6-38BA-4A7E-B91E-15DD34645A4D}">
      <text>
        <r>
          <rPr>
            <sz val="8"/>
            <color rgb="FF000000"/>
            <rFont val="Tahoma"/>
            <family val="2"/>
          </rPr>
          <t xml:space="preserve">1 January 2019, the municipality 1567 Rindal was moved from Møre og Romsdal to Trøndelag. 1 January 2020, the municipality 1571 Halsa was moved from Møre og Romsdal to Trøndelag. 1 January 2020, the municipality 1444 Hornindal was moved from Sogn og Fjordane to Møre og Romsdal.
</t>
        </r>
      </text>
    </comment>
    <comment ref="B49" authorId="0" shapeId="0" xr:uid="{56DC481E-EB1F-4002-9282-1E19A80A3BE5}">
      <text>
        <r>
          <rPr>
            <sz val="8"/>
            <color rgb="FF000000"/>
            <rFont val="Tahoma"/>
            <family val="2"/>
          </rPr>
          <t xml:space="preserve">1 January 2019, the municipality 1567 Rindal was moved from Møre og Romsdal to Trøndelag. 1 January 2020, the municipality 1571 Halsa was moved from Møre og Romsdal to Trøndelag.
</t>
        </r>
      </text>
    </comment>
    <comment ref="B52" authorId="0" shapeId="0" xr:uid="{8F1080D1-4036-45EB-93DF-7933F4E4F214}">
      <text>
        <r>
          <rPr>
            <sz val="8"/>
            <color rgb="FF000000"/>
            <rFont val="Tahoma"/>
            <family val="2"/>
          </rPr>
          <t xml:space="preserve">1 January 2020, the municipality 1852 Tjeldsund was moved from Nordland to Troms og Finnmark.
</t>
        </r>
      </text>
    </comment>
    <comment ref="B55" authorId="0" shapeId="0" xr:uid="{20E120F2-60AF-40B9-8900-0E38894315F1}">
      <text>
        <r>
          <rPr>
            <sz val="8"/>
            <color rgb="FF000000"/>
            <rFont val="Tahoma"/>
            <family val="2"/>
          </rPr>
          <t xml:space="preserve">Svalbard is not defined as a county in the legal sense, but in official statistics Svalbard is treated in the same way as the other counties in Norway.
</t>
        </r>
      </text>
    </comment>
    <comment ref="J110" authorId="0" shapeId="0" xr:uid="{E86AE28B-BFFB-406D-97CF-CF7F1C4DDBE1}">
      <text>
        <r>
          <rPr>
            <sz val="8"/>
            <color rgb="FF000000"/>
            <rFont val="Tahoma"/>
            <family val="2"/>
          </rPr>
          <t xml:space="preserve">Hordaland, Sogn og Fjordane, Møre og Romsdal.
</t>
        </r>
      </text>
    </comment>
    <comment ref="B129" authorId="0" shapeId="0" xr:uid="{3D066216-CA6F-40D8-B07A-C7E247867648}">
      <text>
        <r>
          <rPr>
            <sz val="8"/>
            <color rgb="FF000000"/>
            <rFont val="Tahoma"/>
            <family val="2"/>
          </rPr>
          <t xml:space="preserve">1 January 2019, the municipality 1567 Rindal was moved from Møre og Romsdal to Trøndelag. 1 January 2020, the municipality 1571 Halsa was moved from Møre og Romsdal to Trøndelag. 1 January 2020, the municipality 1444 Hornindal was moved from Sogn og Fjordane to Møre og Romsdal.
</t>
        </r>
      </text>
    </comment>
    <comment ref="B132" authorId="0" shapeId="0" xr:uid="{9C33D386-BFBD-40F4-99EF-E4EF40C517D9}">
      <text>
        <r>
          <rPr>
            <sz val="8"/>
            <color rgb="FF000000"/>
            <rFont val="Tahoma"/>
            <family val="2"/>
          </rPr>
          <t xml:space="preserve">1 January 2020, the municipality 1852 Tjeldsund was moved from Nordland to Troms og Finnmark.
</t>
        </r>
      </text>
    </comment>
    <comment ref="B135" authorId="0" shapeId="0" xr:uid="{74BA31B2-430C-463A-BEB3-57520C6BA73B}">
      <text>
        <r>
          <rPr>
            <sz val="8"/>
            <color rgb="FF000000"/>
            <rFont val="Tahoma"/>
            <family val="2"/>
          </rPr>
          <t xml:space="preserve">Svalbard is not defined as a county in the legal sense, but in official statistics Svalbard is treated in the same way as the other counties in Norway.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PX-Web Ekstern EN</author>
  </authors>
  <commentList>
    <comment ref="B72" authorId="0" shapeId="0" xr:uid="{B002478D-7E6A-4D1A-9BFC-D3FF87261E80}">
      <text>
        <r>
          <rPr>
            <sz val="8"/>
            <color rgb="FF000000"/>
            <rFont val="Tahoma"/>
            <family val="2"/>
          </rPr>
          <t xml:space="preserve">Hordaland, Sogn og Fjordane, Møre og Romsdal.
</t>
        </r>
      </text>
    </comment>
    <comment ref="B131" authorId="0" shapeId="0" xr:uid="{BE9CFF4B-2440-4188-A54C-1B4A19A0FE21}">
      <text>
        <r>
          <rPr>
            <sz val="8"/>
            <color rgb="FF000000"/>
            <rFont val="Tahoma"/>
            <family val="2"/>
          </rPr>
          <t xml:space="preserve">Hordaland, Sogn og Fjordane, Møre og Romsdal.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PX-Web Ekstern EN</author>
  </authors>
  <commentList>
    <comment ref="Q17" authorId="0" shapeId="0" xr:uid="{02300927-0A73-4D19-B931-372C0B9B9D49}">
      <text>
        <r>
          <rPr>
            <sz val="8"/>
            <color rgb="FF000000"/>
            <rFont val="Tahoma"/>
            <family val="2"/>
          </rPr>
          <t xml:space="preserve">Hordaland, Sogn og Fjordane, Møre og Romsdal.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Mohammad Ahanchian</author>
  </authors>
  <commentList>
    <comment ref="L5" authorId="0" shapeId="0" xr:uid="{00000000-0006-0000-0700-000003000000}">
      <text>
        <r>
          <rPr>
            <b/>
            <sz val="9"/>
            <color indexed="81"/>
            <rFont val="Tahoma"/>
            <family val="2"/>
          </rPr>
          <t>Rikke Næraa:</t>
        </r>
        <r>
          <rPr>
            <sz val="9"/>
            <color indexed="81"/>
            <rFont val="Tahoma"/>
            <family val="2"/>
          </rPr>
          <t xml:space="preserve">
Life is set equal to the lifetime for the new 2015 technologies in the subres sheet - Life set to 20 means that after 20 year nothing is left and there vill be an linaer interpolation between starting Year and starting year+ life e.g. 20 year</t>
        </r>
      </text>
    </comment>
    <comment ref="O5" authorId="0" shapeId="0" xr:uid="{00000000-0006-0000-0700-000004000000}">
      <text>
        <r>
          <rPr>
            <b/>
            <sz val="9"/>
            <color indexed="81"/>
            <rFont val="Tahoma"/>
            <family val="2"/>
          </rPr>
          <t xml:space="preserve">RiN: </t>
        </r>
        <r>
          <rPr>
            <sz val="9"/>
            <color indexed="81"/>
            <rFont val="Tahoma"/>
            <family val="2"/>
          </rPr>
          <t>the demand  calculated from the heating</t>
        </r>
        <r>
          <rPr>
            <b/>
            <sz val="9"/>
            <color indexed="81"/>
            <rFont val="Tahoma"/>
            <family val="2"/>
          </rPr>
          <t xml:space="preserve"> NOT ADJUSTED</t>
        </r>
        <r>
          <rPr>
            <sz val="9"/>
            <color indexed="81"/>
            <rFont val="Tahoma"/>
            <family val="2"/>
          </rPr>
          <t xml:space="preserve"> using the relaxing factor
</t>
        </r>
      </text>
    </comment>
    <comment ref="P5" authorId="0" shapeId="0" xr:uid="{00000000-0006-0000-0700-000005000000}">
      <text>
        <r>
          <rPr>
            <b/>
            <sz val="9"/>
            <color indexed="81"/>
            <rFont val="Tahoma"/>
            <family val="2"/>
          </rPr>
          <t>RIN:</t>
        </r>
        <r>
          <rPr>
            <sz val="9"/>
            <color indexed="81"/>
            <rFont val="Tahoma"/>
            <family val="2"/>
          </rPr>
          <t xml:space="preserve"> the demand  calculated from the heating </t>
        </r>
        <r>
          <rPr>
            <b/>
            <sz val="9"/>
            <color indexed="81"/>
            <rFont val="Tahoma"/>
            <family val="2"/>
          </rPr>
          <t xml:space="preserve">ADJUSTED </t>
        </r>
        <r>
          <rPr>
            <sz val="9"/>
            <color indexed="81"/>
            <rFont val="Tahoma"/>
            <family val="2"/>
          </rPr>
          <t>with the relaxing factor</t>
        </r>
      </text>
    </comment>
    <comment ref="Q5" authorId="0" shapeId="0" xr:uid="{00000000-0006-0000-0700-000006000000}">
      <text>
        <r>
          <rPr>
            <b/>
            <sz val="9"/>
            <color indexed="81"/>
            <rFont val="Tahoma"/>
            <family val="2"/>
          </rPr>
          <t xml:space="preserve">RN: </t>
        </r>
        <r>
          <rPr>
            <sz val="9"/>
            <color indexed="81"/>
            <rFont val="Tahoma"/>
            <family val="2"/>
          </rPr>
          <t>the fuel consumption calculated from the relaxion factor-</t>
        </r>
        <r>
          <rPr>
            <b/>
            <sz val="9"/>
            <color indexed="81"/>
            <rFont val="Tahoma"/>
            <family val="2"/>
          </rPr>
          <t>ADJUSTED</t>
        </r>
        <r>
          <rPr>
            <sz val="9"/>
            <color indexed="81"/>
            <rFont val="Tahoma"/>
            <family val="2"/>
          </rPr>
          <t xml:space="preserve"> demand </t>
        </r>
      </text>
    </comment>
    <comment ref="H7" authorId="1" shapeId="0" xr:uid="{00000000-0006-0000-0700-000007000000}">
      <text>
        <r>
          <rPr>
            <b/>
            <sz val="9"/>
            <color indexed="81"/>
            <rFont val="Tahoma"/>
            <family val="2"/>
          </rPr>
          <t>Mohammad Ahanchian:</t>
        </r>
        <r>
          <rPr>
            <sz val="9"/>
            <color indexed="81"/>
            <rFont val="Tahoma"/>
            <family val="2"/>
          </rPr>
          <t xml:space="preserve">
Orig Value TIMES-DK: 0.85</t>
        </r>
      </text>
    </comment>
    <comment ref="H9" authorId="1" shapeId="0" xr:uid="{00000000-0006-0000-0700-000008000000}">
      <text>
        <r>
          <rPr>
            <b/>
            <sz val="9"/>
            <color indexed="81"/>
            <rFont val="Tahoma"/>
            <family val="2"/>
          </rPr>
          <t>Mohammad Ahanchian:</t>
        </r>
        <r>
          <rPr>
            <sz val="9"/>
            <color indexed="81"/>
            <rFont val="Tahoma"/>
            <family val="2"/>
          </rPr>
          <t xml:space="preserve">
Original value form TIMES-DK: 0.750000552665728</t>
        </r>
      </text>
    </comment>
    <comment ref="AC10" authorId="1" shapeId="0" xr:uid="{00000000-0006-0000-0700-000009000000}">
      <text>
        <r>
          <rPr>
            <b/>
            <sz val="9"/>
            <color indexed="81"/>
            <rFont val="Tahoma"/>
            <family val="2"/>
          </rPr>
          <t>Mohammad Ahanchian:</t>
        </r>
        <r>
          <rPr>
            <sz val="9"/>
            <color indexed="81"/>
            <rFont val="Tahoma"/>
            <family val="2"/>
          </rPr>
          <t xml:space="preserve">
district heating</t>
        </r>
      </text>
    </comment>
    <comment ref="E43" authorId="1" shapeId="0" xr:uid="{00000000-0006-0000-0700-00000A000000}">
      <text>
        <r>
          <rPr>
            <b/>
            <sz val="9"/>
            <color indexed="81"/>
            <rFont val="Tahoma"/>
            <family val="2"/>
          </rPr>
          <t>Mohammad Ahanchian:</t>
        </r>
        <r>
          <rPr>
            <sz val="9"/>
            <color indexed="81"/>
            <rFont val="Tahoma"/>
            <family val="2"/>
          </rPr>
          <t xml:space="preserve">
from ssb.no
Table 04727</t>
        </r>
      </text>
    </comment>
    <comment ref="D44" authorId="1" shapeId="0" xr:uid="{00000000-0006-0000-0700-00000B000000}">
      <text>
        <r>
          <rPr>
            <b/>
            <sz val="9"/>
            <color indexed="81"/>
            <rFont val="Tahoma"/>
            <family val="2"/>
          </rPr>
          <t>Mohammad Ahanchian:</t>
        </r>
        <r>
          <rPr>
            <sz val="9"/>
            <color indexed="81"/>
            <rFont val="Tahoma"/>
            <family val="2"/>
          </rPr>
          <t xml:space="preserve">
Left out: Probably in Svalbard</t>
        </r>
      </text>
    </comment>
    <comment ref="D45" authorId="1" shapeId="0" xr:uid="{00000000-0006-0000-0700-00000C000000}">
      <text>
        <r>
          <rPr>
            <b/>
            <sz val="9"/>
            <color indexed="81"/>
            <rFont val="Tahoma"/>
            <family val="2"/>
          </rPr>
          <t>Mohammad Ahanchian:</t>
        </r>
        <r>
          <rPr>
            <sz val="9"/>
            <color indexed="81"/>
            <rFont val="Tahoma"/>
            <family val="2"/>
          </rPr>
          <t xml:space="preserve">
Left out: Probably used for cooking not heating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Mohammad Ahanchian</author>
  </authors>
  <commentList>
    <comment ref="J9" authorId="0" shapeId="0" xr:uid="{00000000-0006-0000-0800-000001000000}">
      <text>
        <r>
          <rPr>
            <b/>
            <sz val="9"/>
            <color indexed="81"/>
            <rFont val="Tahoma"/>
            <family val="2"/>
          </rPr>
          <t>Mohammad Ahanchian:</t>
        </r>
        <r>
          <rPr>
            <sz val="9"/>
            <color indexed="81"/>
            <rFont val="Tahoma"/>
            <family val="2"/>
          </rPr>
          <t xml:space="preserve">
For now I used data from TIMES-DK. Alternatively it is possible to use data from TABULA online tool for construction period after 2010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NETWORK SERVICE</author>
    <author>Mohammad Ahanchian</author>
  </authors>
  <commentList>
    <comment ref="B28" authorId="0" shapeId="0" xr:uid="{00000000-0006-0000-0C00-000002000000}">
      <text>
        <r>
          <rPr>
            <sz val="8"/>
            <color rgb="FF000000"/>
            <rFont val="Tahoma"/>
            <family val="2"/>
          </rPr>
          <t xml:space="preserve">Svalbard is not defined as a county in the legal sense, but in official statistics Svalbard is treated in the same way as the other counties in Norway.
</t>
        </r>
      </text>
    </comment>
    <comment ref="O41" authorId="1" shapeId="0" xr:uid="{00000000-0006-0000-0C00-000003000000}">
      <text>
        <r>
          <rPr>
            <b/>
            <sz val="9"/>
            <color indexed="81"/>
            <rFont val="Tahoma"/>
            <family val="2"/>
          </rPr>
          <t>Mohammad Ahanchian:</t>
        </r>
        <r>
          <rPr>
            <sz val="9"/>
            <color indexed="81"/>
            <rFont val="Tahoma"/>
            <family val="2"/>
          </rPr>
          <t xml:space="preserve">
We assume in four major cities, i.e., Oslo, Bergen, Trondheil and Stavanger, all district heating system is central and in other cities, all DH is decentral.</t>
        </r>
      </text>
    </comment>
    <comment ref="AC50" authorId="1" shapeId="0" xr:uid="{00000000-0006-0000-0C00-000004000000}">
      <text>
        <r>
          <rPr>
            <b/>
            <sz val="9"/>
            <color indexed="81"/>
            <rFont val="Tahoma"/>
            <family val="2"/>
          </rPr>
          <t>Mohammad Ahanchian:</t>
        </r>
        <r>
          <rPr>
            <sz val="9"/>
            <color indexed="81"/>
            <rFont val="Tahoma"/>
            <family val="2"/>
          </rPr>
          <t xml:space="preserve">
 losses storage</t>
        </r>
      </text>
    </comment>
    <comment ref="AD50" authorId="1" shapeId="0" xr:uid="{00000000-0006-0000-0C00-000005000000}">
      <text>
        <r>
          <rPr>
            <b/>
            <sz val="9"/>
            <color indexed="81"/>
            <rFont val="Tahoma"/>
            <family val="2"/>
          </rPr>
          <t>Mohammad Ahanchian:</t>
        </r>
        <r>
          <rPr>
            <sz val="9"/>
            <color indexed="81"/>
            <rFont val="Tahoma"/>
            <family val="2"/>
          </rPr>
          <t xml:space="preserve">
 losses storage</t>
        </r>
      </text>
    </comment>
    <comment ref="E184" authorId="1" shapeId="0" xr:uid="{00000000-0006-0000-0C00-000006000000}">
      <text>
        <r>
          <rPr>
            <b/>
            <sz val="9"/>
            <color indexed="81"/>
            <rFont val="Tahoma"/>
            <family val="2"/>
          </rPr>
          <t>Mohammad Ahanchian:</t>
        </r>
        <r>
          <rPr>
            <sz val="9"/>
            <color indexed="81"/>
            <rFont val="Tahoma"/>
            <family val="2"/>
          </rPr>
          <t xml:space="preserve">
Weighted average</t>
        </r>
      </text>
    </comment>
    <comment ref="J184" authorId="1" shapeId="0" xr:uid="{00000000-0006-0000-0C00-000007000000}">
      <text>
        <r>
          <rPr>
            <b/>
            <sz val="9"/>
            <color indexed="81"/>
            <rFont val="Tahoma"/>
            <family val="2"/>
          </rPr>
          <t>Mohammad Ahanchian:</t>
        </r>
        <r>
          <rPr>
            <sz val="9"/>
            <color indexed="81"/>
            <rFont val="Tahoma"/>
            <family val="2"/>
          </rPr>
          <t xml:space="preserve">
Weighted average</t>
        </r>
      </text>
    </comment>
  </commentList>
</comments>
</file>

<file path=xl/sharedStrings.xml><?xml version="1.0" encoding="utf-8"?>
<sst xmlns="http://schemas.openxmlformats.org/spreadsheetml/2006/main" count="3297" uniqueCount="1312">
  <si>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</si>
  <si>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</si>
  <si>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</si>
  <si>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</si>
  <si>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</si>
  <si>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</si>
  <si>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</si>
  <si>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</si>
  <si>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</si>
  <si>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</si>
  <si>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</si>
  <si>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</si>
  <si>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</si>
  <si>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</si>
  <si>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</si>
  <si>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</si>
  <si>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</si>
  <si>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</si>
  <si>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</si>
  <si>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</si>
  <si>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</si>
  <si>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</si>
  <si>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</si>
  <si>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</si>
  <si>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</si>
  <si>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</si>
  <si>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</si>
  <si>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</si>
  <si>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</si>
  <si>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</si>
  <si>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</si>
  <si>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</si>
  <si>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</si>
  <si>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</si>
  <si>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</si>
  <si>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</si>
  <si>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</si>
  <si>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</si>
  <si>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</si>
  <si>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</si>
  <si>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</si>
  <si>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</si>
  <si>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</si>
  <si>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</si>
  <si>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</si>
  <si>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</si>
  <si>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RESNGA</t>
  </si>
  <si>
    <t>RESSOL</t>
  </si>
  <si>
    <t>Mm2</t>
  </si>
  <si>
    <t>NRG</t>
  </si>
  <si>
    <t>Cons [PJ]</t>
  </si>
  <si>
    <t>Decentralised Detached Buildings</t>
  </si>
  <si>
    <t>Centralised Detached Buildings</t>
  </si>
  <si>
    <t>Indivdual Detached Buildings</t>
  </si>
  <si>
    <t>Decentralised Multi S. Buildings</t>
  </si>
  <si>
    <t>Individual Multi S. Buildings</t>
  </si>
  <si>
    <t>Centralised Multi S. Buildings</t>
  </si>
  <si>
    <t>New</t>
  </si>
  <si>
    <t>RHDDB</t>
  </si>
  <si>
    <t>RHCDB</t>
  </si>
  <si>
    <t>RHIDB</t>
  </si>
  <si>
    <t>RHDMB</t>
  </si>
  <si>
    <t>RHCMB</t>
  </si>
  <si>
    <t>RHIMB</t>
  </si>
  <si>
    <t>RHBDDb72</t>
  </si>
  <si>
    <t>RHBDDa72</t>
  </si>
  <si>
    <t>RHBDDNEW</t>
  </si>
  <si>
    <t>RHBCDb72</t>
  </si>
  <si>
    <t>RHBCDa72</t>
  </si>
  <si>
    <t>RHBCDNEW</t>
  </si>
  <si>
    <t>RHBIDb72</t>
  </si>
  <si>
    <t>RHBIDa72</t>
  </si>
  <si>
    <t>RHBIDNEW</t>
  </si>
  <si>
    <t>RHBDMb72</t>
  </si>
  <si>
    <t>RHBDMa72</t>
  </si>
  <si>
    <t>RHBDMNEW</t>
  </si>
  <si>
    <t>RHBCMb72</t>
  </si>
  <si>
    <t>RHBCMa72</t>
  </si>
  <si>
    <t>RHBCMNEW</t>
  </si>
  <si>
    <t>RHBIMb72</t>
  </si>
  <si>
    <t>RHBIMa72</t>
  </si>
  <si>
    <t>RHBIMNEW</t>
  </si>
  <si>
    <t>PRE</t>
  </si>
  <si>
    <t>MW</t>
  </si>
  <si>
    <t>Residential heating technology detached building - natural gas - existing 1</t>
  </si>
  <si>
    <t>Residential heating technology detached building - oil - existing 1</t>
  </si>
  <si>
    <t>Residential heating technology detached building - straw - existing 1</t>
  </si>
  <si>
    <t>Pja</t>
  </si>
  <si>
    <t>START</t>
  </si>
  <si>
    <t>ACT [Mm2]</t>
  </si>
  <si>
    <t>RESHDB</t>
  </si>
  <si>
    <t>RESHMB</t>
  </si>
  <si>
    <t>Residential heating technology multistorey building - natural gas - existing 1</t>
  </si>
  <si>
    <t>Residential heating technology multistorey building - oil - existing 1</t>
  </si>
  <si>
    <t>Residential heating technology multistorey building - straw - existing 1</t>
  </si>
  <si>
    <t>RESHCE</t>
  </si>
  <si>
    <t>RESHDE</t>
  </si>
  <si>
    <t>RESHCD</t>
  </si>
  <si>
    <t>RESHCM</t>
  </si>
  <si>
    <t>RESHDD</t>
  </si>
  <si>
    <t>RESHDM</t>
  </si>
  <si>
    <t>Residential heating technology detached building - heat centralised- existing 1</t>
  </si>
  <si>
    <t>Residential heating technology detached building - heat decentralised - existing 1</t>
  </si>
  <si>
    <t>Residential heating technology multistorey building - heat centralised - existing 1</t>
  </si>
  <si>
    <t>Residential heating technology multistorey building - heat decentralised - existing 1</t>
  </si>
  <si>
    <t>PJ/PJ</t>
  </si>
  <si>
    <t>ACT [PJ]</t>
  </si>
  <si>
    <t>ConsBuild</t>
  </si>
  <si>
    <t>OutputBoiler</t>
  </si>
  <si>
    <t>Energy Service Demand [Mm2]</t>
  </si>
  <si>
    <t>Electricity</t>
  </si>
  <si>
    <t>Natural gas</t>
  </si>
  <si>
    <t>Energy Unit Demand [PJ/Mm2]</t>
  </si>
  <si>
    <t>SUM</t>
  </si>
  <si>
    <t>Oil</t>
  </si>
  <si>
    <t>Natural Gas</t>
  </si>
  <si>
    <t>LPG</t>
  </si>
  <si>
    <t>Other Kerosene</t>
  </si>
  <si>
    <t>Fuel Oil</t>
  </si>
  <si>
    <t>Petroleum Coke</t>
  </si>
  <si>
    <t>Fuel</t>
  </si>
  <si>
    <t>Coal</t>
  </si>
  <si>
    <t>Wood</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</si>
  <si>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</si>
  <si>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</si>
  <si>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</si>
  <si>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</si>
  <si>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</si>
  <si>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</si>
  <si>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</si>
  <si>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</si>
  <si>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</si>
  <si>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</si>
  <si>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</si>
  <si>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</si>
  <si>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</si>
  <si>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</si>
  <si>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</si>
  <si>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</si>
  <si>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</si>
  <si>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</si>
  <si>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</si>
  <si>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</si>
  <si>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</si>
  <si>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</si>
  <si>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</si>
  <si>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</si>
  <si>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</si>
  <si>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Central</t>
  </si>
  <si>
    <t>Decentral</t>
  </si>
  <si>
    <t>Residential centralised heat from heat exch. for detached buildings</t>
  </si>
  <si>
    <t>Residential centralised heat from heat exch.  for multistorey buildings</t>
  </si>
  <si>
    <t>Residential decentralised heat from heat exch.  for detached buildings</t>
  </si>
  <si>
    <t>Residential decentralised heat from heat exch.  for multistorey buildings</t>
  </si>
  <si>
    <t>Residential heat from boilers for detached buildings</t>
  </si>
  <si>
    <t>Residential heat from boilers for multistorey buildings</t>
  </si>
  <si>
    <t>RESHXCD</t>
  </si>
  <si>
    <t>RESHXCM</t>
  </si>
  <si>
    <t>RESHXDD</t>
  </si>
  <si>
    <t>RESHXDM</t>
  </si>
  <si>
    <t>RESHBDB</t>
  </si>
  <si>
    <t>RESHBMB</t>
  </si>
  <si>
    <t>LIFE</t>
  </si>
  <si>
    <t>Year</t>
  </si>
  <si>
    <t>ELCC</t>
  </si>
  <si>
    <t>RESSTR</t>
  </si>
  <si>
    <t>RESDSL</t>
  </si>
  <si>
    <t>Name</t>
  </si>
  <si>
    <t>Mm2/PJ</t>
  </si>
  <si>
    <t>DAYNITE</t>
  </si>
  <si>
    <t>ELC</t>
  </si>
  <si>
    <t>Relaxation factor for calibration</t>
  </si>
  <si>
    <t>Residential heating technology detached building - solar - existing 1</t>
  </si>
  <si>
    <t>Residential heating technology multistorey building - solar - existing 1</t>
  </si>
  <si>
    <t>CAP2ACT</t>
  </si>
  <si>
    <t>FX</t>
  </si>
  <si>
    <t>Detached</t>
  </si>
  <si>
    <t>Individual</t>
  </si>
  <si>
    <t>Residential heating Buildings new Decentralised Detached Buldings</t>
  </si>
  <si>
    <t>Residential heating Buildings new Centralised Detached Buldings</t>
  </si>
  <si>
    <t>Residential heating Buildings new Individual Detached Buldings</t>
  </si>
  <si>
    <t>Residential heating Buildings new Decentralised multistorey Buldings</t>
  </si>
  <si>
    <t>Residential heating Buildings new Centralised multistorey Buldings</t>
  </si>
  <si>
    <t>Residential heating Buildings new Individual multistorey Buldings</t>
  </si>
  <si>
    <t>YEAR</t>
  </si>
  <si>
    <t>yes</t>
  </si>
  <si>
    <t>AF~FX</t>
  </si>
  <si>
    <t>ENV</t>
  </si>
  <si>
    <t>RESCO2</t>
  </si>
  <si>
    <t>kt</t>
  </si>
  <si>
    <t>CO2 Residential</t>
  </si>
  <si>
    <t>* Values associate with commodities</t>
  </si>
  <si>
    <t>Commodity Emissions</t>
  </si>
  <si>
    <t>kg/GJ = kt/PJ</t>
  </si>
  <si>
    <t>Diesel</t>
  </si>
  <si>
    <t>Nat. Gas</t>
  </si>
  <si>
    <t>~COMEMI</t>
  </si>
  <si>
    <t>*Units</t>
  </si>
  <si>
    <t>kg/GJ</t>
  </si>
  <si>
    <t>Nat. Gas RES</t>
  </si>
  <si>
    <t>Diesel RES</t>
  </si>
  <si>
    <t>Straw RES</t>
  </si>
  <si>
    <t>Solar RES</t>
  </si>
  <si>
    <t>Wood Pellets RES</t>
  </si>
  <si>
    <t>RESWPE</t>
  </si>
  <si>
    <t>Centralised District Heat RES</t>
  </si>
  <si>
    <t>Decentralised District Heat RES</t>
  </si>
  <si>
    <t>RESSNG</t>
  </si>
  <si>
    <t>Bio Synt. Nat. Gas RES</t>
  </si>
  <si>
    <t>RESDSB</t>
  </si>
  <si>
    <t>BioDiesel RES</t>
  </si>
  <si>
    <t>HETCP</t>
  </si>
  <si>
    <t>Heat Central from pipeline</t>
  </si>
  <si>
    <t>HETDP</t>
  </si>
  <si>
    <t>Heat Decentral from pipeline</t>
  </si>
  <si>
    <t>Date</t>
  </si>
  <si>
    <t>Sheet Name</t>
  </si>
  <si>
    <t xml:space="preserve">Cell no </t>
  </si>
  <si>
    <t>Explanation</t>
  </si>
  <si>
    <t>Mauri</t>
  </si>
  <si>
    <t>Commodities</t>
  </si>
  <si>
    <t>row 41/42</t>
  </si>
  <si>
    <t>New heat commodities in input to the fuel technologies. This is due to the DH expansion update</t>
  </si>
  <si>
    <t>Changed the life time, this is only heat exchanger</t>
  </si>
  <si>
    <t>Boilers</t>
  </si>
  <si>
    <t>L13,L14,L21,L22</t>
  </si>
  <si>
    <t>Maurizio Gargiulo</t>
  </si>
  <si>
    <t>Introduced RESSNG and RESDSB as input</t>
  </si>
  <si>
    <t>*Description</t>
  </si>
  <si>
    <t>Row Labels</t>
  </si>
  <si>
    <t>MFb</t>
  </si>
  <si>
    <t>SFb</t>
  </si>
  <si>
    <t>Grand Total</t>
  </si>
  <si>
    <t>Sum of FREQUENCY</t>
  </si>
  <si>
    <t>Residential heating technology detached building - direct electricity - existing 1</t>
  </si>
  <si>
    <t>Residential heating technology detached building - heat pump - existing 2</t>
  </si>
  <si>
    <t>Residential heating technology multistorey building - heat pump - existing 2</t>
  </si>
  <si>
    <t>Constrution period</t>
  </si>
  <si>
    <t>Construction period</t>
  </si>
  <si>
    <t>Solid fuels</t>
  </si>
  <si>
    <t>Decentralised Detached build.</t>
  </si>
  <si>
    <t>Centralised Detached build.</t>
  </si>
  <si>
    <t>Indivdual Detached build.</t>
  </si>
  <si>
    <t>Decentralised Multi S. build.</t>
  </si>
  <si>
    <t>Centralised Multi S. build.</t>
  </si>
  <si>
    <t>Individual Multi S. build.</t>
  </si>
  <si>
    <t>\I: Explanation</t>
  </si>
  <si>
    <t>Central district heat after losses in transmission and distribution, before heat exchangers</t>
  </si>
  <si>
    <t>Decentral district heat after losses in transmission and distribution, before heat exchangers</t>
  </si>
  <si>
    <t>Central district heat for detached buidlings after losses in heat exchangers</t>
  </si>
  <si>
    <t>Decentral district heat for detached buidlings after losses in heat exchangers</t>
  </si>
  <si>
    <t>Decentral district heat for multistorey buidlings after losses in heat exchangers</t>
  </si>
  <si>
    <t xml:space="preserve">Net heat (heat savings are modelled as heat generation technology); FX is short for fixed - their operation is not optimized, they always deliver same amount of heat per time-slice </t>
  </si>
  <si>
    <t>Bio synthetic natural gas in residential sector (input to boilers)</t>
  </si>
  <si>
    <t>Biodiesel in residential sector (input to boilers)</t>
  </si>
  <si>
    <t>Residential heat from individual heating technologies (boilers, heat pumps, direct heating; not heat savings or district heating)</t>
  </si>
  <si>
    <t>Demand for heated residential area; Commodity set DEM = demand</t>
  </si>
  <si>
    <t>Central district heat for multistorey buidlings after losses in heat exchangers</t>
  </si>
  <si>
    <t>Natural gas in residential sector (input to boilers) Commodity set NRG = energy</t>
  </si>
  <si>
    <t>Diesel in residential sector (input to boilers) Commodity set NRG = energy</t>
  </si>
  <si>
    <t>Wood pellets in residential sector (input to boilers) Commodity set NRG = energy</t>
  </si>
  <si>
    <t>Straw in residential sector (input to boilers) Commodity set NRG = energy</t>
  </si>
  <si>
    <t>Solar energy in residential sector (input to residential solar heating; ELCSOL is input to large-scale solar heating and PVs) Commodity set NRG = energy</t>
  </si>
  <si>
    <t>CO2 emissions from residential sector. See "Emis" sheet for emission coefficients. Commodity set NRV = environment</t>
  </si>
  <si>
    <t>Vintage tracking means that different generations (Before 2020 and After 2020) of new buildings are tracked separately</t>
  </si>
  <si>
    <t>PRE = Energy Processes</t>
  </si>
  <si>
    <t>DMD = Demand Processes</t>
  </si>
  <si>
    <t>* Technology description</t>
  </si>
  <si>
    <t>Energy Service Demand in the Base Year [Mm2]</t>
  </si>
  <si>
    <t>Residential central district heat after losses in transmission and distribution, before heat exchangers</t>
  </si>
  <si>
    <t>Residential decentral district heat after losses in transmission and distribution, before heat exchangers</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</si>
  <si>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</si>
  <si>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</si>
  <si>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</si>
  <si>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Consumption [PJ]</t>
  </si>
  <si>
    <t>Full load hours</t>
  </si>
  <si>
    <t>Availability factor - AFA</t>
  </si>
  <si>
    <t>RESELCH</t>
  </si>
  <si>
    <t>Heating Electricity RES</t>
  </si>
  <si>
    <t>Electricity in residential sector (input to heat pumps, direct heating) Commodity set NRG = energy</t>
  </si>
  <si>
    <t>Residential heating technology multistorey building - direct electricity - existing 1</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</si>
  <si>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</si>
  <si>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</si>
  <si>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</si>
  <si>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</si>
  <si>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</si>
  <si>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</si>
  <si>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</si>
  <si>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</si>
  <si>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</si>
  <si>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</si>
  <si>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</si>
  <si>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</si>
  <si>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</si>
  <si>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</si>
  <si>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</si>
  <si>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</si>
  <si>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</si>
  <si>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</si>
  <si>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</si>
  <si>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</si>
  <si>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</si>
  <si>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</si>
  <si>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</si>
  <si>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RES (HOU)</t>
  </si>
  <si>
    <t>Lars B. Termansen</t>
  </si>
  <si>
    <t>Added intro sheet. Color coded tabs.</t>
  </si>
  <si>
    <t>RIN</t>
  </si>
  <si>
    <t xml:space="preserve">Boilers </t>
  </si>
  <si>
    <t>L13</t>
  </si>
  <si>
    <t>L</t>
  </si>
  <si>
    <t xml:space="preserve">LIFETIME it is assumed that HP in existing is water to brine </t>
  </si>
  <si>
    <t xml:space="preserve">Life for straw set to 20 the technology do not exist for new tech </t>
  </si>
  <si>
    <t xml:space="preserve">Life is set equal to the lifetime for the new 2015 technologies in the subres sheet </t>
  </si>
  <si>
    <t>rin</t>
  </si>
  <si>
    <t>H16</t>
  </si>
  <si>
    <t>The link has been changed now linking to the value for the gasboilers - I guess it was by mistake that it was  linking to the oil</t>
  </si>
  <si>
    <t>m2</t>
  </si>
  <si>
    <t>Capacity per building</t>
  </si>
  <si>
    <t>new sheet inserted - Analyzing the capacity per building and per m2 and M2/ building</t>
  </si>
  <si>
    <t># number of buildings</t>
  </si>
  <si>
    <t xml:space="preserve">Sum of (heated)Area 2010 </t>
  </si>
  <si>
    <t>Average area per building</t>
  </si>
  <si>
    <t>proposal to change the efficiency for existing gas boilers to 94% from 85%</t>
  </si>
  <si>
    <t>H7,I7</t>
  </si>
  <si>
    <t>Residential heating technology multistorey building - wood pellets - existing 1</t>
  </si>
  <si>
    <t>Residential heating technology detached building - wood pellets - existing 1</t>
  </si>
  <si>
    <t>RESFIW</t>
  </si>
  <si>
    <t>Firewoods RES</t>
  </si>
  <si>
    <t>Firewoods in residential sector (input to wood stoves) Commodity set NRG = energy</t>
  </si>
  <si>
    <t>Rikke Næraa</t>
  </si>
  <si>
    <t>Firewoods included as a commodity</t>
  </si>
  <si>
    <t>Residential heating technology detached building - Firewoods - existing 1</t>
  </si>
  <si>
    <t>Firewoods included as a fuel technology</t>
  </si>
  <si>
    <t xml:space="preserve">Firewoods included as a proocess / heating technology </t>
  </si>
  <si>
    <t>El</t>
  </si>
  <si>
    <t>The efficiencies for straw, wood pellets and firewood is changed to be specific for each fuel and not an average of solar, and the different biobass fuels and biooil as it was before</t>
  </si>
  <si>
    <t xml:space="preserve">Wood is divided into wood pellets and firewood - acording to the shares form the stastistic net space heating consumption  </t>
  </si>
  <si>
    <t>PJ/m2</t>
  </si>
  <si>
    <t>until 2010 From DTU Energy Atlas</t>
  </si>
  <si>
    <t>DH</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</si>
  <si>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</si>
  <si>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</si>
  <si>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</si>
  <si>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</si>
  <si>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</si>
  <si>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</si>
  <si>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</si>
  <si>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</si>
  <si>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</si>
  <si>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</si>
  <si>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</si>
  <si>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</si>
  <si>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2011 and after</t>
  </si>
  <si>
    <t>External conditions (indoor air temperature, outside temperature, Solar radiation) is defined for Norwegian conditions, with Oslo as a standard reference climate.</t>
  </si>
  <si>
    <t>&lt; 71</t>
  </si>
  <si>
    <t>&gt;71</t>
  </si>
  <si>
    <t>Deleted</t>
  </si>
  <si>
    <t>Statistics Norway</t>
  </si>
  <si>
    <t>Final Results</t>
  </si>
  <si>
    <t>TABULA online tool</t>
  </si>
  <si>
    <t>Input variables</t>
  </si>
  <si>
    <t>TABULA Report</t>
  </si>
  <si>
    <t>1900 and earlier</t>
  </si>
  <si>
    <t>1901-1920</t>
  </si>
  <si>
    <t>1921-1940</t>
  </si>
  <si>
    <t>1941-1945</t>
  </si>
  <si>
    <t>1946-1960</t>
  </si>
  <si>
    <t>1961-1970</t>
  </si>
  <si>
    <t>1971-1980</t>
  </si>
  <si>
    <t>1981-1990</t>
  </si>
  <si>
    <t>1991-2000</t>
  </si>
  <si>
    <t>2001-2010</t>
  </si>
  <si>
    <t>Unknown</t>
  </si>
  <si>
    <t>01 Østfold</t>
  </si>
  <si>
    <t>02 Akershus</t>
  </si>
  <si>
    <t>03 Oslo</t>
  </si>
  <si>
    <t>04 Hedmark</t>
  </si>
  <si>
    <t>05 Oppland</t>
  </si>
  <si>
    <t>06 Buskerud</t>
  </si>
  <si>
    <t>07 Vestfold</t>
  </si>
  <si>
    <t>08 Telemark</t>
  </si>
  <si>
    <t>09 Aust-Agder</t>
  </si>
  <si>
    <t>10 Vest-Agder</t>
  </si>
  <si>
    <t>11 Rogaland</t>
  </si>
  <si>
    <t>12 Hordaland</t>
  </si>
  <si>
    <t>14 Sogn og Fjordane</t>
  </si>
  <si>
    <t>15 Møre og Romsdal</t>
  </si>
  <si>
    <t>16 Sør-Trøndelag</t>
  </si>
  <si>
    <t>17 Nord-Trøndelag</t>
  </si>
  <si>
    <t>18 Nordland</t>
  </si>
  <si>
    <t>19 Troms - Romsa</t>
  </si>
  <si>
    <t>20 Finnmark - Finnmárku</t>
  </si>
  <si>
    <t>21 Svalbard</t>
  </si>
  <si>
    <t>Svalbard</t>
  </si>
  <si>
    <t>Required heat (kWh/m2)</t>
  </si>
  <si>
    <t>Standard refurbishment (kWh/m2)</t>
  </si>
  <si>
    <t>Ambitious refurbishment (kWh/m2)</t>
  </si>
  <si>
    <t>DHW (kWh/m2)</t>
  </si>
  <si>
    <t>Standard refurbishment DHW (kWh/m2)</t>
  </si>
  <si>
    <t>Ambitious refurbishment DHW (kWh/m2)</t>
  </si>
  <si>
    <t>…1955</t>
  </si>
  <si>
    <t>56-70</t>
  </si>
  <si>
    <t>71-80</t>
  </si>
  <si>
    <t>… 1970</t>
  </si>
  <si>
    <t>71-90</t>
  </si>
  <si>
    <t>91-10</t>
  </si>
  <si>
    <t>2011 …</t>
  </si>
  <si>
    <t>81-90</t>
  </si>
  <si>
    <t>91-00</t>
  </si>
  <si>
    <t>Solar gain through windows</t>
  </si>
  <si>
    <t>To be merged</t>
  </si>
  <si>
    <t>Share of centralization</t>
  </si>
  <si>
    <t>…1970</t>
  </si>
  <si>
    <t>1971-2010</t>
  </si>
  <si>
    <t>2011…</t>
  </si>
  <si>
    <t>SUH</t>
  </si>
  <si>
    <t>MUH</t>
  </si>
  <si>
    <t>…55</t>
  </si>
  <si>
    <t>91-2010</t>
  </si>
  <si>
    <t>Number of dwellings</t>
  </si>
  <si>
    <t>Floor area national</t>
  </si>
  <si>
    <t>Floor area TABULA</t>
  </si>
  <si>
    <t>Average m2 per dwelling</t>
  </si>
  <si>
    <t>before 71</t>
  </si>
  <si>
    <t>after 71</t>
  </si>
  <si>
    <t>after 2011</t>
  </si>
  <si>
    <t>Multi S.</t>
  </si>
  <si>
    <t>RHBDDb71</t>
  </si>
  <si>
    <t>Residential heating Buildings built before 71 Decentralised Detached Buldings</t>
  </si>
  <si>
    <t>RHBDDa71</t>
  </si>
  <si>
    <t>Residential heating Buildings built after 71 Decentralised Detached Buldings</t>
  </si>
  <si>
    <t>RHBCDb71</t>
  </si>
  <si>
    <t>Residential heating Buildings built before 71 Centralised Detached Buldings</t>
  </si>
  <si>
    <t>RHBCDa71</t>
  </si>
  <si>
    <t>Residential heating Buildings built after 71 Centralised Detached Buldings</t>
  </si>
  <si>
    <t>RHBIDb71</t>
  </si>
  <si>
    <t>Residential heating Buildings built before 71 Individual Detached Buldings</t>
  </si>
  <si>
    <t>RHBIDa71</t>
  </si>
  <si>
    <t>Residential heating Buildings built after 71  Individual Detached Buldings</t>
  </si>
  <si>
    <t>RHBDMb71</t>
  </si>
  <si>
    <t>Residential heating Buildings built before 71 Decentralised multistorey Buldings</t>
  </si>
  <si>
    <t>RHBDMa71</t>
  </si>
  <si>
    <t>Residential heating Buildings built after 71 Decentralised multistorey Buldings</t>
  </si>
  <si>
    <t>RHBCMb71</t>
  </si>
  <si>
    <t>Residential heating Buildings built before 71 Centralised multistorey Buldings</t>
  </si>
  <si>
    <t>RHBCMa71</t>
  </si>
  <si>
    <t>Residential heating Buildings built after 71 Centralised multistorey Buldings</t>
  </si>
  <si>
    <t>RHBIMb71</t>
  </si>
  <si>
    <t>Residential heating Buildings built before 71 Individual multistorey Buldings</t>
  </si>
  <si>
    <t>RHBIMa71</t>
  </si>
  <si>
    <t>Residential heating Buildings built after 71  Individual multistorey Buldings</t>
  </si>
  <si>
    <t>&lt;71</t>
  </si>
  <si>
    <t>1971-2009</t>
  </si>
  <si>
    <t>South</t>
  </si>
  <si>
    <t>North</t>
  </si>
  <si>
    <t>71-2010</t>
  </si>
  <si>
    <t>Standard refurbishment</t>
  </si>
  <si>
    <t xml:space="preserve">Ambitious refurbishment </t>
  </si>
  <si>
    <t xml:space="preserve">Required heat </t>
  </si>
  <si>
    <t xml:space="preserve">Standard refurbishment </t>
  </si>
  <si>
    <t>Ambitious refurbishment</t>
  </si>
  <si>
    <t>RESHSDBDb71</t>
  </si>
  <si>
    <t>Residential Heat Saving Detached Building Decentral before 1971</t>
  </si>
  <si>
    <t>RESHSDBDa71</t>
  </si>
  <si>
    <t>Residential Heat Saving Detached Building Decentral after 1971</t>
  </si>
  <si>
    <t>RESHSDBCb71</t>
  </si>
  <si>
    <t>Residential Heat Saving Detached Building Central before 1971</t>
  </si>
  <si>
    <t>RESHSDBCa71</t>
  </si>
  <si>
    <t>Residential Heat Saving Detached Building Central after 1971</t>
  </si>
  <si>
    <t>RESHSDBIb71</t>
  </si>
  <si>
    <t>Residential Heat Saving Detached Building Individual before 1971</t>
  </si>
  <si>
    <t>RESHSDBIa71</t>
  </si>
  <si>
    <t>Residential Heat Saving Detached Building Individual after 1971</t>
  </si>
  <si>
    <t>RESHSMBDb71</t>
  </si>
  <si>
    <t>Residential Heat Saving multi storey Building Decentral before 1971</t>
  </si>
  <si>
    <t>RESHSMBDa71</t>
  </si>
  <si>
    <t>Residential Heat Saving multi storey Building Decentral after 1971</t>
  </si>
  <si>
    <t>RESHSMBCb71</t>
  </si>
  <si>
    <t>Residential Heat Saving multi storey Building Central before 1971</t>
  </si>
  <si>
    <t>RESHSMBCa71</t>
  </si>
  <si>
    <t>Residential Heat Saving multi storey Building Central after 1971</t>
  </si>
  <si>
    <t>RESHSMBIb71</t>
  </si>
  <si>
    <t>Residential Heat Saving multi storey Building Individual before 1971</t>
  </si>
  <si>
    <t>RESHSMBIa71</t>
  </si>
  <si>
    <t>Residential Heat Saving multi storey Building Individual after 1971</t>
  </si>
  <si>
    <t>0000</t>
  </si>
  <si>
    <t>3270A</t>
  </si>
  <si>
    <t>ktoe</t>
  </si>
  <si>
    <t>Norway</t>
  </si>
  <si>
    <t>2010</t>
  </si>
  <si>
    <t>Total all products</t>
  </si>
  <si>
    <t>Anthracite</t>
  </si>
  <si>
    <t>Coking coal</t>
  </si>
  <si>
    <t>Other bituminous coal</t>
  </si>
  <si>
    <t>Sub-bituminous coal</t>
  </si>
  <si>
    <t>Lignite / Brown Coal</t>
  </si>
  <si>
    <t>Patent Fuels</t>
  </si>
  <si>
    <t>Coke oven coke</t>
  </si>
  <si>
    <t>Gas coke</t>
  </si>
  <si>
    <t>Coal tar</t>
  </si>
  <si>
    <t>BKB</t>
  </si>
  <si>
    <t>Peat</t>
  </si>
  <si>
    <t>Peat products</t>
  </si>
  <si>
    <t>Oil shale &amp; oil sands</t>
  </si>
  <si>
    <t>Oil (total)</t>
  </si>
  <si>
    <t>Crude oil</t>
  </si>
  <si>
    <t>Natural Gas Liguids</t>
  </si>
  <si>
    <t>Refinery Feedstocks</t>
  </si>
  <si>
    <t>Additives / Oxygenates</t>
  </si>
  <si>
    <t>Other Hydrocarb. (w/o bio)</t>
  </si>
  <si>
    <t>Refinery gas</t>
  </si>
  <si>
    <t>Ethane</t>
  </si>
  <si>
    <t>Motor Gasoline (w/o bio)</t>
  </si>
  <si>
    <t>Aviation Gasoline</t>
  </si>
  <si>
    <t>Gasoline Type Jet Fuel</t>
  </si>
  <si>
    <t>Kerosene Type Jet Fuel</t>
  </si>
  <si>
    <t>Naphtha</t>
  </si>
  <si>
    <t>Gas/Diesel Oil (w/o bio)</t>
  </si>
  <si>
    <t>White spirit and SBP</t>
  </si>
  <si>
    <t>Lubricants</t>
  </si>
  <si>
    <t>Bitumen</t>
  </si>
  <si>
    <t>Paraffin Waxes</t>
  </si>
  <si>
    <t>Other Products</t>
  </si>
  <si>
    <t>Gas</t>
  </si>
  <si>
    <t xml:space="preserve">Coke oven gas </t>
  </si>
  <si>
    <t>Blast furnace gas</t>
  </si>
  <si>
    <t>Gasworks gas</t>
  </si>
  <si>
    <t>Other recovered gas</t>
  </si>
  <si>
    <t>Total Renewables</t>
  </si>
  <si>
    <t>Hydro power</t>
  </si>
  <si>
    <t>Wind power</t>
  </si>
  <si>
    <t>Tide, wave and ocean</t>
  </si>
  <si>
    <t>Solar thermal</t>
  </si>
  <si>
    <t>Solar PV</t>
  </si>
  <si>
    <t>Solid biomass</t>
  </si>
  <si>
    <t>Charcoal</t>
  </si>
  <si>
    <t>Biogas (all)</t>
  </si>
  <si>
    <t>Municipal wastes (renew.)</t>
  </si>
  <si>
    <t>Bio gasoline</t>
  </si>
  <si>
    <t>Biodiesel</t>
  </si>
  <si>
    <t>Bio jet kerosene</t>
  </si>
  <si>
    <t>Other liquid biofuels</t>
  </si>
  <si>
    <t>Geo-thermal</t>
  </si>
  <si>
    <t>Wastes (non ren.)</t>
  </si>
  <si>
    <t>Industrial wastes</t>
  </si>
  <si>
    <t>Municial wastes (non-ren.)</t>
  </si>
  <si>
    <t>Nuclear heat</t>
  </si>
  <si>
    <t>Derived heat</t>
  </si>
  <si>
    <t>+</t>
  </si>
  <si>
    <t>Primary production</t>
  </si>
  <si>
    <t>B_100100</t>
  </si>
  <si>
    <t>Primary production receipt</t>
  </si>
  <si>
    <t>B_100110</t>
  </si>
  <si>
    <t>From other sources (Recovered products)</t>
  </si>
  <si>
    <t>B_100200</t>
  </si>
  <si>
    <t>of which From Oil Products</t>
  </si>
  <si>
    <t>B_150201</t>
  </si>
  <si>
    <t>of which From Natural Gas</t>
  </si>
  <si>
    <t>B_150202</t>
  </si>
  <si>
    <t>of which From Renewables</t>
  </si>
  <si>
    <t>B_150203</t>
  </si>
  <si>
    <t>of which From Coal</t>
  </si>
  <si>
    <t>B_150204</t>
  </si>
  <si>
    <t>Recycled products</t>
  </si>
  <si>
    <t>B_100210</t>
  </si>
  <si>
    <t>Imports</t>
  </si>
  <si>
    <t>B_100300</t>
  </si>
  <si>
    <t>Stock changes</t>
  </si>
  <si>
    <t>B_100400</t>
  </si>
  <si>
    <t>-</t>
  </si>
  <si>
    <t>Exports</t>
  </si>
  <si>
    <t>B_100500</t>
  </si>
  <si>
    <t>Bunkers</t>
  </si>
  <si>
    <t>B_100800</t>
  </si>
  <si>
    <t>Direct use</t>
  </si>
  <si>
    <t>B_100112</t>
  </si>
  <si>
    <t>Gross inland consumption</t>
  </si>
  <si>
    <t>B_100900</t>
  </si>
  <si>
    <t>Transformation input</t>
  </si>
  <si>
    <t>B_101000</t>
  </si>
  <si>
    <t>Conventional Thermal Power Stations</t>
  </si>
  <si>
    <t>B_101001</t>
  </si>
  <si>
    <t>Main Activity Producer Conventional Thermal Power Stations</t>
  </si>
  <si>
    <t>B_101021</t>
  </si>
  <si>
    <t>Main Activity Producer Electricity Plants</t>
  </si>
  <si>
    <t>B_101031</t>
  </si>
  <si>
    <t>Main Activity Producer CHP Plants</t>
  </si>
  <si>
    <t>B_101032</t>
  </si>
  <si>
    <t>Autoproducer Conventional Thermal Power Stations</t>
  </si>
  <si>
    <t>B_101022</t>
  </si>
  <si>
    <t>Autoproducer Electricity Plants</t>
  </si>
  <si>
    <t>B_101034</t>
  </si>
  <si>
    <t>Autoproducer CHP Plants</t>
  </si>
  <si>
    <t>B_101035</t>
  </si>
  <si>
    <t>Used for electricity generation</t>
  </si>
  <si>
    <t>B_101017</t>
  </si>
  <si>
    <t>Nuclear Power Stations</t>
  </si>
  <si>
    <t>B_101002</t>
  </si>
  <si>
    <t>Coke-ovens</t>
  </si>
  <si>
    <t>B_101004</t>
  </si>
  <si>
    <t>Blast-furnaces</t>
  </si>
  <si>
    <t>B_101006</t>
  </si>
  <si>
    <t>Gas works</t>
  </si>
  <si>
    <t>B_101007</t>
  </si>
  <si>
    <t>Refineries</t>
  </si>
  <si>
    <t>B_101008</t>
  </si>
  <si>
    <t>District heating plants</t>
  </si>
  <si>
    <t>B_101009</t>
  </si>
  <si>
    <t>Main Activity Producer Heat Only Plants</t>
  </si>
  <si>
    <t>B_101038</t>
  </si>
  <si>
    <t>Autoproducer Heat Only Plants</t>
  </si>
  <si>
    <t>B_101039</t>
  </si>
  <si>
    <t>Used for heat pumps</t>
  </si>
  <si>
    <t>B_101322</t>
  </si>
  <si>
    <t>Used for electric boilers</t>
  </si>
  <si>
    <t>B_101323</t>
  </si>
  <si>
    <t>Patent fuel plants</t>
  </si>
  <si>
    <t>B_101010</t>
  </si>
  <si>
    <t>BKB / PB Plants</t>
  </si>
  <si>
    <t>B_101011</t>
  </si>
  <si>
    <t>Coal Liquefaction Plants</t>
  </si>
  <si>
    <t>B_101012</t>
  </si>
  <si>
    <t>For Blended Natural Gas</t>
  </si>
  <si>
    <t>B_101013</t>
  </si>
  <si>
    <t>Charcoal production plants (transformation)</t>
  </si>
  <si>
    <t>B_101015</t>
  </si>
  <si>
    <t>Gas-to-Liquids (GTL) Plants (transformation)</t>
  </si>
  <si>
    <t>B_101016</t>
  </si>
  <si>
    <t>Non-specified Transformation Input</t>
  </si>
  <si>
    <t>B_101020</t>
  </si>
  <si>
    <t>Transformation output</t>
  </si>
  <si>
    <t>B_101100</t>
  </si>
  <si>
    <t>B_101101</t>
  </si>
  <si>
    <t>B_101121</t>
  </si>
  <si>
    <t>El. Gen. Main activity electricity only - Geothermal</t>
  </si>
  <si>
    <t>15_107038</t>
  </si>
  <si>
    <t>El. Gen. Main activity electricity only - Combustible Fuels</t>
  </si>
  <si>
    <t>15_107048</t>
  </si>
  <si>
    <t>El. Gen. Main activity electricity only - Other Sources</t>
  </si>
  <si>
    <t>15_107054</t>
  </si>
  <si>
    <t>El. Gen. Main activity electricity only - Solar Thermal</t>
  </si>
  <si>
    <t>14_1070422</t>
  </si>
  <si>
    <t>El. Gen. Main activity CHP plants - Geothermal</t>
  </si>
  <si>
    <t>15_107039</t>
  </si>
  <si>
    <t>El. Gen. Main activity CHP plants - Combustible Fuels</t>
  </si>
  <si>
    <t>15_107049</t>
  </si>
  <si>
    <t>El. Gen. Main activity CHP plants - Other Sources</t>
  </si>
  <si>
    <t>15_107055</t>
  </si>
  <si>
    <t>El. Gen. Main activity CHP plants - Solar Thermal</t>
  </si>
  <si>
    <t>14_1070423</t>
  </si>
  <si>
    <t>Heat Prod. Main activity CHP plants - Geothermal</t>
  </si>
  <si>
    <t>15_107064</t>
  </si>
  <si>
    <t>Heat Prod. Main activity CHP plants - Combustible Fuels</t>
  </si>
  <si>
    <t>15_107072</t>
  </si>
  <si>
    <t>Heat Prod. Main activity CHP plants - Heat Pumps</t>
  </si>
  <si>
    <t>15_107076</t>
  </si>
  <si>
    <t>Heat Prod. Main activity CHP plants - Electric Boilers</t>
  </si>
  <si>
    <t>15_107080</t>
  </si>
  <si>
    <t>Heat Prod. Main activity CHP plants - Other Sources</t>
  </si>
  <si>
    <t>15_107086</t>
  </si>
  <si>
    <t>Heat Prod. Main activity CHP plants - Solar Thermal</t>
  </si>
  <si>
    <t>14_1070681</t>
  </si>
  <si>
    <t>B_101122</t>
  </si>
  <si>
    <t>El. Gen. Autoproducer electricity only - Geothermal</t>
  </si>
  <si>
    <t>15_107040</t>
  </si>
  <si>
    <t>El. Gen. Autoproducer electricity only - Combustible Fuels</t>
  </si>
  <si>
    <t>15_107050</t>
  </si>
  <si>
    <t>El. Gen. Autoproducer electricity only - Heat from Chemical Sources</t>
  </si>
  <si>
    <t>15_107052</t>
  </si>
  <si>
    <t>El. Gen. Autoproducer electricity only - Other Sources</t>
  </si>
  <si>
    <t>15_107056</t>
  </si>
  <si>
    <t>El. Gen. Autoproducer electricity only - Solar Thermal</t>
  </si>
  <si>
    <t>14_1070432</t>
  </si>
  <si>
    <t>El. Gen. Autoproducer CHP plants - Geothermal</t>
  </si>
  <si>
    <t>15_107041</t>
  </si>
  <si>
    <t>El. Gen. Autoproducer CHP plants - Combustible Fuels</t>
  </si>
  <si>
    <t>15_107051</t>
  </si>
  <si>
    <t>El. Gen. Autoproducer CHP plants - Heat from Chemical Sources</t>
  </si>
  <si>
    <t>15_107053</t>
  </si>
  <si>
    <t>El. Gen. Autoproducer CHP plants - Other Sources</t>
  </si>
  <si>
    <t>15_107057</t>
  </si>
  <si>
    <t>El. Gen. Autoproducer CHP plants - Solar Thermal</t>
  </si>
  <si>
    <t>14_1070433</t>
  </si>
  <si>
    <t>Heat Prod. Autoproducer CHP plants - Geothermal</t>
  </si>
  <si>
    <t>15_107066</t>
  </si>
  <si>
    <t>Heat Prod. Autoproducer CHP plants - Combustible Fuels</t>
  </si>
  <si>
    <t>15_107074</t>
  </si>
  <si>
    <t>Heat Prod. Autoproducer CHP plants - Heat Pumps</t>
  </si>
  <si>
    <t>15_107078</t>
  </si>
  <si>
    <t>Heat Prod. Autoproducer CHP plants - Electric Boilers</t>
  </si>
  <si>
    <t>15_107082</t>
  </si>
  <si>
    <t>Heat Prod. Autoproducer CHP plants - Heat from Chemical Sources</t>
  </si>
  <si>
    <t>15_107084</t>
  </si>
  <si>
    <t>Heat Prod. Autoproducer CHP plants - Other Sources</t>
  </si>
  <si>
    <t>15_107088</t>
  </si>
  <si>
    <t>Heat Prod. Autoproducer CHP plants - Solar Thermal</t>
  </si>
  <si>
    <t>14_1070701</t>
  </si>
  <si>
    <t>Nuclear power stations</t>
  </si>
  <si>
    <t>B_101102</t>
  </si>
  <si>
    <t>El. Gen. Main Activity electricity only - Nuclear</t>
  </si>
  <si>
    <t>15_107030</t>
  </si>
  <si>
    <t>El. Gen. Main Activity CHP plants - Nuclear</t>
  </si>
  <si>
    <t>15_107031</t>
  </si>
  <si>
    <t>El. Gen. Autoproducer electricity only - Nuclear</t>
  </si>
  <si>
    <t>15_107032</t>
  </si>
  <si>
    <t>El. Gen. Autoproducer CHP plants - Nuclear</t>
  </si>
  <si>
    <t>15_107033</t>
  </si>
  <si>
    <t>Heat Prod. Main Activity CHP plants - Nuclear</t>
  </si>
  <si>
    <t>15_107060</t>
  </si>
  <si>
    <t>Heat Prod. Autoproducer CHP plants - Nuclear</t>
  </si>
  <si>
    <t>15_107062</t>
  </si>
  <si>
    <t>B_101104</t>
  </si>
  <si>
    <t>B_101106</t>
  </si>
  <si>
    <t>B_101107</t>
  </si>
  <si>
    <t>B_101108</t>
  </si>
  <si>
    <t>Patent Fuel Plants</t>
  </si>
  <si>
    <t>B_101110</t>
  </si>
  <si>
    <t>B_101111</t>
  </si>
  <si>
    <t>Charcoal production plants</t>
  </si>
  <si>
    <t>B_101115</t>
  </si>
  <si>
    <t>District Heating Plants</t>
  </si>
  <si>
    <t>B_101109</t>
  </si>
  <si>
    <t>Heat Prod. Main activity heat only plants - Nuclear</t>
  </si>
  <si>
    <t>15_107061</t>
  </si>
  <si>
    <t>Heat Prod. Main activity heat only plants - Geothermal</t>
  </si>
  <si>
    <t>15_107065</t>
  </si>
  <si>
    <t>Heat Prod. Main activity heat only plants - Combustible Fuels</t>
  </si>
  <si>
    <t>15_107073</t>
  </si>
  <si>
    <t>Heat Prod. Main activity heat only plants - Heat Pumps</t>
  </si>
  <si>
    <t>15_107077</t>
  </si>
  <si>
    <t>Heat Prod. Main activity heat only plants - Electric Boilers</t>
  </si>
  <si>
    <t>15_107081</t>
  </si>
  <si>
    <t>Heat Prod. Main activity heat only plants - Other Sources</t>
  </si>
  <si>
    <t>15_107087</t>
  </si>
  <si>
    <t>Heat Prod. Main activity heat only plants - Solar Thermal</t>
  </si>
  <si>
    <t>14_1070691</t>
  </si>
  <si>
    <t>Heat Prod. Autoproducer heat only plants - Nuclear</t>
  </si>
  <si>
    <t>15_107063</t>
  </si>
  <si>
    <t>Heat Prod. Autoproducer heat only plants - Geothermal</t>
  </si>
  <si>
    <t>15_107067</t>
  </si>
  <si>
    <t>Heat Prod. Autoproducer heat only plants - Combustible Fuels</t>
  </si>
  <si>
    <t>15_107075</t>
  </si>
  <si>
    <t>Heat Prod. Autoproducer heat only plants - Heat Pumps</t>
  </si>
  <si>
    <t>15_107079</t>
  </si>
  <si>
    <t>Heat Prod. Autoproducer heat only plants - Electric Boilers</t>
  </si>
  <si>
    <t>15_107083</t>
  </si>
  <si>
    <t>Heat Prod. Autoproducer heat only plants - Heat from Chemical Sources</t>
  </si>
  <si>
    <t>15_107085</t>
  </si>
  <si>
    <t>Heat Prod. Autoproducer heat only plants - Other Sources</t>
  </si>
  <si>
    <t>15_107089</t>
  </si>
  <si>
    <t>Heat Prod. Autoproducer heat only plants - Solar Thermal</t>
  </si>
  <si>
    <t>14_1070711</t>
  </si>
  <si>
    <t>Exchanges and transfers, returns</t>
  </si>
  <si>
    <t>B_101200</t>
  </si>
  <si>
    <t>Interproduct tranfers</t>
  </si>
  <si>
    <t>B_101210</t>
  </si>
  <si>
    <t>Products transferred</t>
  </si>
  <si>
    <t>B_101220</t>
  </si>
  <si>
    <t>Petrochemical industry (Returns from petrochem. Industry)</t>
  </si>
  <si>
    <t>B_101230</t>
  </si>
  <si>
    <t>Consumption of the energy branch</t>
  </si>
  <si>
    <t>B_101300</t>
  </si>
  <si>
    <t>Own Use in Electricity, CHP and Heat Plants</t>
  </si>
  <si>
    <t>B_101301</t>
  </si>
  <si>
    <t>Pumped storage power stations balance (Pumping stations)</t>
  </si>
  <si>
    <t>B_101302</t>
  </si>
  <si>
    <t>Used for pumped storage</t>
  </si>
  <si>
    <t>17_107302</t>
  </si>
  <si>
    <t>Production in pumped storage power station</t>
  </si>
  <si>
    <t>17_107301</t>
  </si>
  <si>
    <t>El. Gen. Main Activity electricity only - Pumped Hydro</t>
  </si>
  <si>
    <t>15_107036</t>
  </si>
  <si>
    <t>El. Gen. Autoproducer electricity only - Pumped Hydro</t>
  </si>
  <si>
    <t>15_107037</t>
  </si>
  <si>
    <t>Oil and Natural Gas extraction plants</t>
  </si>
  <si>
    <t>B_101305</t>
  </si>
  <si>
    <t>Oil refineries (Petroleum Refineries)</t>
  </si>
  <si>
    <t>B_101307</t>
  </si>
  <si>
    <t>Nuclear industry</t>
  </si>
  <si>
    <t>B_101308</t>
  </si>
  <si>
    <t>Coal Mines</t>
  </si>
  <si>
    <t>B_101310</t>
  </si>
  <si>
    <t>B_101311</t>
  </si>
  <si>
    <t>Coke Ovens</t>
  </si>
  <si>
    <t>B_101312</t>
  </si>
  <si>
    <t>B_101313</t>
  </si>
  <si>
    <t>B_101314</t>
  </si>
  <si>
    <t>Blast Furnaces</t>
  </si>
  <si>
    <t>B_101315</t>
  </si>
  <si>
    <t>B_101316</t>
  </si>
  <si>
    <t>Liquefaction (LNG) / regasification plants</t>
  </si>
  <si>
    <t>B_101317</t>
  </si>
  <si>
    <t>Gasification plants for biogas</t>
  </si>
  <si>
    <t>B_101318</t>
  </si>
  <si>
    <t>Gas-to-Liquids (GTL) Plants (Energy)</t>
  </si>
  <si>
    <t>B_101319</t>
  </si>
  <si>
    <t>Non-specified (Energy)</t>
  </si>
  <si>
    <t>B_101320</t>
  </si>
  <si>
    <t>Charcoal production plants (Energy)</t>
  </si>
  <si>
    <t>B_101321</t>
  </si>
  <si>
    <t>Distribution losses</t>
  </si>
  <si>
    <t>B_101400</t>
  </si>
  <si>
    <t>Available for Final Consumption</t>
  </si>
  <si>
    <t>B_101500</t>
  </si>
  <si>
    <t>Final non-energy consumption</t>
  </si>
  <si>
    <t>B_101600</t>
  </si>
  <si>
    <t>Non-Energy Use in Transformation sector</t>
  </si>
  <si>
    <t>B_101603</t>
  </si>
  <si>
    <t>Non-Energy Use in Energy sector</t>
  </si>
  <si>
    <t>B_101604</t>
  </si>
  <si>
    <t>Non-Energy Use in Industry sector</t>
  </si>
  <si>
    <t>B_101605</t>
  </si>
  <si>
    <t>of which Non-Energy Use in Chemical/Petrochemical Industry</t>
  </si>
  <si>
    <t>B_101601</t>
  </si>
  <si>
    <t>Non-Energy Use in Transport sector</t>
  </si>
  <si>
    <t>B_101606</t>
  </si>
  <si>
    <t>Non-Energy Use in Other sectors</t>
  </si>
  <si>
    <t>B_101607</t>
  </si>
  <si>
    <t>Non-Energy Use in Industry, Transformation and Energy Sectors</t>
  </si>
  <si>
    <t>B_101608</t>
  </si>
  <si>
    <t>Final energy consumption</t>
  </si>
  <si>
    <t>B_101700</t>
  </si>
  <si>
    <t>Industry</t>
  </si>
  <si>
    <t>B_101800</t>
  </si>
  <si>
    <t>Iron &amp; steel industry</t>
  </si>
  <si>
    <t>B_101805</t>
  </si>
  <si>
    <t>Chemical and Petrochemical industry</t>
  </si>
  <si>
    <t>B_101815</t>
  </si>
  <si>
    <t>Non-ferrous metal industry</t>
  </si>
  <si>
    <t>B_101810</t>
  </si>
  <si>
    <t>Non-metallic Minerals (Glass, pottery &amp; building mat. Industry)</t>
  </si>
  <si>
    <t>B_101820</t>
  </si>
  <si>
    <t>Transport Equipment</t>
  </si>
  <si>
    <t>B_101846</t>
  </si>
  <si>
    <t>Machinery</t>
  </si>
  <si>
    <t>B_101847</t>
  </si>
  <si>
    <t>Mining and Quarrying</t>
  </si>
  <si>
    <t>B_101825</t>
  </si>
  <si>
    <t>Food and Tabasco</t>
  </si>
  <si>
    <t>B_101830</t>
  </si>
  <si>
    <t>Paper, Pulp and Print</t>
  </si>
  <si>
    <t>B_101840</t>
  </si>
  <si>
    <t>Wood and Wood Products</t>
  </si>
  <si>
    <t>B_101851</t>
  </si>
  <si>
    <t>Construction</t>
  </si>
  <si>
    <t>B_101852</t>
  </si>
  <si>
    <t>Textile and Leather</t>
  </si>
  <si>
    <t>B_101835</t>
  </si>
  <si>
    <t>Non-specified (Industry)</t>
  </si>
  <si>
    <t>B_101853</t>
  </si>
  <si>
    <t>Transport</t>
  </si>
  <si>
    <t>B_101900</t>
  </si>
  <si>
    <t>Rail</t>
  </si>
  <si>
    <t>B_101910</t>
  </si>
  <si>
    <t>Road</t>
  </si>
  <si>
    <t>B_101920</t>
  </si>
  <si>
    <t>International aviation</t>
  </si>
  <si>
    <t>B_101931</t>
  </si>
  <si>
    <t>Domestic aviation</t>
  </si>
  <si>
    <t>B_101932</t>
  </si>
  <si>
    <t>Domestic Navigation</t>
  </si>
  <si>
    <t>B_101940</t>
  </si>
  <si>
    <t>Pipeline transport</t>
  </si>
  <si>
    <t>B_101945</t>
  </si>
  <si>
    <t>Non-specified (Transport)</t>
  </si>
  <si>
    <t>B_101950</t>
  </si>
  <si>
    <t>Other Sectors</t>
  </si>
  <si>
    <t>B_102000</t>
  </si>
  <si>
    <t>Services</t>
  </si>
  <si>
    <t>B_102035</t>
  </si>
  <si>
    <t>Residential</t>
  </si>
  <si>
    <t>B_102010</t>
  </si>
  <si>
    <t>Agriculture / Forestry</t>
  </si>
  <si>
    <t>B_102030</t>
  </si>
  <si>
    <t>Fishing</t>
  </si>
  <si>
    <t>B_102020</t>
  </si>
  <si>
    <t>Non-specified (Other)</t>
  </si>
  <si>
    <t>B_102040</t>
  </si>
  <si>
    <t>Statistical differences</t>
  </si>
  <si>
    <t>B_102200</t>
  </si>
  <si>
    <t>Memo item:</t>
  </si>
  <si>
    <t>Liquid biofuels blended in gasoline/diesel</t>
  </si>
  <si>
    <t>B_101014</t>
  </si>
  <si>
    <t>EUROSTAT</t>
  </si>
  <si>
    <t>Appliences</t>
  </si>
  <si>
    <t>DHW</t>
  </si>
  <si>
    <t>Space heating</t>
  </si>
  <si>
    <t>Heating days/year</t>
  </si>
  <si>
    <t>district heating</t>
  </si>
  <si>
    <t>electric energy from the public grid (used for heat supply)</t>
  </si>
  <si>
    <t>natural gas</t>
  </si>
  <si>
    <t>liquid gas</t>
  </si>
  <si>
    <t>oil</t>
  </si>
  <si>
    <t>coal</t>
  </si>
  <si>
    <t>wood /biomass</t>
  </si>
  <si>
    <t>Net heat need</t>
  </si>
  <si>
    <t>Heat generation</t>
  </si>
  <si>
    <t>Bio</t>
  </si>
  <si>
    <t>Other</t>
  </si>
  <si>
    <t>CHP electr. production</t>
  </si>
  <si>
    <t>TIMES-DK</t>
  </si>
  <si>
    <t>Boiler efficiency</t>
  </si>
  <si>
    <t>Share</t>
  </si>
  <si>
    <t>Final energy (GWh)</t>
  </si>
  <si>
    <t>NO total</t>
  </si>
  <si>
    <t>Table 2: Aggregating frequency of dwellings based on building type and construction year defined in TABULA.</t>
  </si>
  <si>
    <t>Table 3: Split the frequency of dwellings based on building type and construction year defined in TIMES-DK. (sahre of centalization is assumed per county)</t>
  </si>
  <si>
    <t>Table 4: Original values for space heating demand and DHW per m2 of heated area, over building type and construction year for three scenarios (TABULA)</t>
  </si>
  <si>
    <t>Table 5: Total heating demand per m2 for three scenarios, including solar gain through windows (TABULA) (kWh/m2)</t>
  </si>
  <si>
    <t>Table 6: Weighted average for Total heating demand per m2 over construction year (TIMES) and building type (TABULA) (kWh/m2)</t>
  </si>
  <si>
    <t>Table 7: Weighted average for Total heating demand per m2 over construction year &amp; building type (TIMES) (kWh/m2)</t>
  </si>
  <si>
    <t>Average heating area per dwelling</t>
  </si>
  <si>
    <t>Table 9: Average heating area of dwellings per construction year and building type</t>
  </si>
  <si>
    <t>Table 10: Split the heating area of dwellings based on building type and construction year defined in TABULA. (frequency*average heating area) 1000 M2</t>
  </si>
  <si>
    <t>Table 11: Split the heating area of dwellings based on building type and construction year defined in TABULA. (frequency*average heating area) 1000 m2</t>
  </si>
  <si>
    <t>Table 8: Frequency and heated area of dwellings, per type and construction year (TABULA report) As of 31 Dec 2013</t>
  </si>
  <si>
    <t>TABULA</t>
  </si>
  <si>
    <t>20-25%</t>
  </si>
  <si>
    <t>Energy use exclusive non-energy use 2010</t>
  </si>
  <si>
    <t>Energy products, total</t>
  </si>
  <si>
    <t>Coal, coke and petrol coke</t>
  </si>
  <si>
    <t>Biofuel and waste</t>
  </si>
  <si>
    <t>Natural gas/LNG</t>
  </si>
  <si>
    <t>Other gases and LPG</t>
  </si>
  <si>
    <t>Petrol and kerosene</t>
  </si>
  <si>
    <t>Middle distillates, heavy fuel etc.</t>
  </si>
  <si>
    <t>Electricity and district heating</t>
  </si>
  <si>
    <t>Calibration</t>
  </si>
  <si>
    <t>district heating Cent</t>
  </si>
  <si>
    <t>district heating Decent</t>
  </si>
  <si>
    <t>Ref yr. 2013</t>
  </si>
  <si>
    <t>TIMES-NO</t>
  </si>
  <si>
    <t>Eurostat</t>
  </si>
  <si>
    <t>Total energy consumption (kWh)</t>
  </si>
  <si>
    <t>Gas and district heating</t>
  </si>
  <si>
    <t>Oslo</t>
  </si>
  <si>
    <t>C</t>
  </si>
  <si>
    <t>Akershus</t>
  </si>
  <si>
    <t>D</t>
  </si>
  <si>
    <t>Hedmark and Oppland</t>
  </si>
  <si>
    <t>d</t>
  </si>
  <si>
    <t>South Eastern Norway</t>
  </si>
  <si>
    <t>Agder and Rogaland</t>
  </si>
  <si>
    <t>c</t>
  </si>
  <si>
    <t>Western Norway</t>
  </si>
  <si>
    <t>Sør-Trøndelag and Nord-Trøndelag</t>
  </si>
  <si>
    <t>Northern Norway</t>
  </si>
  <si>
    <t>Heat Pump</t>
  </si>
  <si>
    <t>Heat pump Share</t>
  </si>
  <si>
    <t>No Heat Pump share</t>
  </si>
  <si>
    <t>All kinds of heating equipment</t>
  </si>
  <si>
    <t>Electric floor heating</t>
  </si>
  <si>
    <t>Electric space heaters</t>
  </si>
  <si>
    <t>Heat pump</t>
  </si>
  <si>
    <t>Ambient-air heat pump</t>
  </si>
  <si>
    <t>Geothermal or ground-source heat pump</t>
  </si>
  <si>
    <t>Stove for oil or kerosene</t>
  </si>
  <si>
    <t>Stove for solid fuels and/or open fire place</t>
  </si>
  <si>
    <t>Combined stove for oil and kerosene</t>
  </si>
  <si>
    <t>Stove for pellets</t>
  </si>
  <si>
    <t>Gas stove</t>
  </si>
  <si>
    <t>Heat recovery</t>
  </si>
  <si>
    <t>District heating</t>
  </si>
  <si>
    <t>Common or individual central heating, excl. district heating</t>
  </si>
  <si>
    <t>Common central heating, except district heating</t>
  </si>
  <si>
    <t>Individual central heating</t>
  </si>
  <si>
    <t>Individual central heating with oil</t>
  </si>
  <si>
    <t>Individual central heating with electricity</t>
  </si>
  <si>
    <t>Individual central heating with wood</t>
  </si>
  <si>
    <t>Individual central heating with heat pump or gas</t>
  </si>
  <si>
    <t>Other types of individual central heating for several energy types</t>
  </si>
  <si>
    <t>Unknown central heating</t>
  </si>
  <si>
    <t>Other heaing equipment</t>
  </si>
  <si>
    <t xml:space="preserve">district heating </t>
  </si>
  <si>
    <t>Adjusted for calibration</t>
  </si>
  <si>
    <t>Total PJ</t>
  </si>
  <si>
    <t>Table 1: Frequency of dwelling stock based on building type, construction year and 20 counties. (Source: Statistics Norway), 2010</t>
  </si>
  <si>
    <t>Average energy consumption per household, by energy commodity, time, contents and region</t>
  </si>
  <si>
    <t>Electrisity</t>
  </si>
  <si>
    <t>Wood, pellets and wood briuettes</t>
  </si>
  <si>
    <t>Oil and kerosene</t>
  </si>
  <si>
    <r>
      <rPr>
        <b/>
        <sz val="11"/>
        <color theme="1"/>
        <rFont val="Calibri"/>
        <family val="2"/>
        <scheme val="minor"/>
      </rPr>
      <t>Table 12:</t>
    </r>
    <r>
      <rPr>
        <sz val="11"/>
        <color theme="1"/>
        <rFont val="Calibri"/>
        <family val="2"/>
        <scheme val="minor"/>
      </rPr>
      <t xml:space="preserve"> Area of dwelling, over 2 regions, building Type, construction year and share of centralization</t>
    </r>
  </si>
  <si>
    <t xml:space="preserve">Building Stock &amp; Specific Heat </t>
  </si>
  <si>
    <t>Data from ssb and TABULA to calculate area of dwellings in each county and specific heat demand</t>
  </si>
  <si>
    <t>MOAH</t>
  </si>
  <si>
    <t>File is generated</t>
  </si>
  <si>
    <t>Table 1: TABULA (basic case energy balance)</t>
  </si>
  <si>
    <t>Table 2</t>
  </si>
  <si>
    <t>Table 3: Share of fuel consumption over region and Building type</t>
  </si>
  <si>
    <t>Households (per cent), by heating equipment, time and contents (ssb)</t>
  </si>
  <si>
    <t>Average energy consumption per household, by region, time, contents and energy commodity (ssb)</t>
  </si>
  <si>
    <t>Estimate of Efficiencies</t>
  </si>
  <si>
    <t>Workflow</t>
  </si>
  <si>
    <t>The workflow of model</t>
  </si>
  <si>
    <t xml:space="preserve">Active Unit:  </t>
  </si>
  <si>
    <t>Commodity</t>
  </si>
  <si>
    <t>b71</t>
  </si>
  <si>
    <t>a71</t>
  </si>
  <si>
    <t>M Story</t>
  </si>
  <si>
    <t>Cent</t>
  </si>
  <si>
    <t>Decnt</t>
  </si>
  <si>
    <t>Ind</t>
  </si>
  <si>
    <t>Decent</t>
  </si>
  <si>
    <t>Heat Demand (PJ)</t>
  </si>
  <si>
    <t>Split of DH demand (PJ)</t>
  </si>
  <si>
    <t>PV</t>
  </si>
  <si>
    <t>AFA</t>
  </si>
  <si>
    <t>Table Name: T_010617_124517</t>
  </si>
  <si>
    <t>Manual TIMES-NO</t>
  </si>
  <si>
    <t>PASTI~2009~NO1</t>
  </si>
  <si>
    <t>PASTI~2009~NO2</t>
  </si>
  <si>
    <t>STOCK~NO1</t>
  </si>
  <si>
    <t>STOCK~NO2</t>
  </si>
  <si>
    <t>EFF~NO1</t>
  </si>
  <si>
    <t>EFF~NO2</t>
  </si>
  <si>
    <t>NO1</t>
  </si>
  <si>
    <t>NO2</t>
  </si>
  <si>
    <t>DEMAND~NO1</t>
  </si>
  <si>
    <t>DEMAND~NO2</t>
  </si>
  <si>
    <t>South Norway (NO1)</t>
  </si>
  <si>
    <t>North Norway (NO2)</t>
  </si>
  <si>
    <t>NO 1</t>
  </si>
  <si>
    <t>NO 2</t>
  </si>
  <si>
    <t>RESHBDBE</t>
  </si>
  <si>
    <t>Residential heat from boilers for existing detached buildings</t>
  </si>
  <si>
    <t>RESHBMBE</t>
  </si>
  <si>
    <t>Residential heat from boilers for existing multistorey buildings</t>
  </si>
  <si>
    <t>RESHBDBN</t>
  </si>
  <si>
    <t>Residential heat from boilers for new detached buildings</t>
  </si>
  <si>
    <t>RESHBMBN</t>
  </si>
  <si>
    <t>Residential heat from boilers for new multistorey buildings</t>
  </si>
  <si>
    <t>RESHBDB,RESHXDD,RESHSDBDb71,RESHBDBE</t>
  </si>
  <si>
    <t>RESHBDB,RESHXDD,RESHSDBDa71,RESHBDBE</t>
  </si>
  <si>
    <t>RESHBDB,RESHXDD,RESHBDBN</t>
  </si>
  <si>
    <t>RESHBDB,RESHXCD,RESHSDBCb71,RESHBDBE</t>
  </si>
  <si>
    <t>RESHBDB,RESHXCD,RESHSDBCa71,RESHBDBE</t>
  </si>
  <si>
    <t>RESHBDB,RESHXCD,RESHBDBN</t>
  </si>
  <si>
    <t>RESHBDB,RESHSDBIb71,RESHBDBE</t>
  </si>
  <si>
    <t>RESHBDB,RESHSDBIa71,RESHBDBE</t>
  </si>
  <si>
    <t>RESHBDB,RESHBDBN</t>
  </si>
  <si>
    <t>RESHBMB,RESHXDM,RESHSMBDb71,RESHBMBE</t>
  </si>
  <si>
    <t>RESHBMB,RESHXDM,RESHSMBDa71,RESHBMBE</t>
  </si>
  <si>
    <t>RESHBMB,RESHXDM,RESHBMBN</t>
  </si>
  <si>
    <t>RESHBMB,RESHXCM,RESHSMBCb71,RESHBMBE</t>
  </si>
  <si>
    <t>RESHBMB,RESHXCM,RESHSMBCa71,RESHBMBE</t>
  </si>
  <si>
    <t>RESHBMB,RESHXCM,RESHBMBN</t>
  </si>
  <si>
    <t>RESHBMB,RESHSMBIb71,RESHBMBE</t>
  </si>
  <si>
    <t>RESHBMB,RESHSMBIa71,RESHBMBE</t>
  </si>
  <si>
    <t>RESHBMB,RESHBMBN</t>
  </si>
  <si>
    <t>Martin Hagberg</t>
  </si>
  <si>
    <t>G19,G20</t>
  </si>
  <si>
    <t>Added DAYNITE for RESHCE, RESHDE</t>
  </si>
  <si>
    <t>RESH2</t>
  </si>
  <si>
    <t>Hydrogen RES</t>
  </si>
  <si>
    <t>Hydrogen in residential sector</t>
  </si>
  <si>
    <t>H2</t>
  </si>
  <si>
    <t>Where is the process from e.g. HETC to HETCP indicated? Which file?</t>
  </si>
  <si>
    <t>1000*m2</t>
  </si>
  <si>
    <t>Specifc heat demand, kWh/m2</t>
  </si>
  <si>
    <t>values from the "required heat" are used!</t>
  </si>
  <si>
    <t>what are these? Where from?</t>
  </si>
  <si>
    <t>these ones too? From SubRes??</t>
  </si>
  <si>
    <t>Sum</t>
  </si>
  <si>
    <t>gas</t>
  </si>
  <si>
    <t>straw</t>
  </si>
  <si>
    <t>solar</t>
  </si>
  <si>
    <t>direct el.</t>
  </si>
  <si>
    <t>HPs</t>
  </si>
  <si>
    <t>DH centr.</t>
  </si>
  <si>
    <t>DH decentr.</t>
  </si>
  <si>
    <t>2009</t>
  </si>
  <si>
    <t>2012</t>
  </si>
  <si>
    <t>Akershus (-2019)</t>
  </si>
  <si>
    <t>Sør-Trøndelag and Nord-Trøndelag (-2017)</t>
  </si>
  <si>
    <t>copied from the older "Building Stock and Specifc Heat" sheet</t>
  </si>
  <si>
    <t>regions from Statistics Norway</t>
  </si>
  <si>
    <t>assumed to belong to NO1</t>
  </si>
  <si>
    <t>10573: Average energy consumption per household, by type of building, contents and year</t>
  </si>
  <si>
    <t>Specific energy consumption (kWh per m2 dwelling area)</t>
  </si>
  <si>
    <t>All types of buildings</t>
  </si>
  <si>
    <t>Farmhouse</t>
  </si>
  <si>
    <t>Row house, linked house and house with 3 or 4 dwellings</t>
  </si>
  <si>
    <t>Østfold (-2019)</t>
  </si>
  <si>
    <t>Buskerud (-2019)</t>
  </si>
  <si>
    <t>Hedmark (-2019)</t>
  </si>
  <si>
    <t>Oppland (-2019)</t>
  </si>
  <si>
    <t>Vestfold (-2019)</t>
  </si>
  <si>
    <t>Telemark (-2019)</t>
  </si>
  <si>
    <t>Aust-Agder (-2019)</t>
  </si>
  <si>
    <t>Vest-Agder (-2019)</t>
  </si>
  <si>
    <t>Rogaland</t>
  </si>
  <si>
    <t>Hordaland (-2019)</t>
  </si>
  <si>
    <t>Sogn og Fjordane (-2019)</t>
  </si>
  <si>
    <t>Møre og Romsdal</t>
  </si>
  <si>
    <t>Sør-Trøndelag (-2017)</t>
  </si>
  <si>
    <t>Nord-Trøndelag (-2017)</t>
  </si>
  <si>
    <t>Nordland</t>
  </si>
  <si>
    <t>Troms - Romsa (-2019)</t>
  </si>
  <si>
    <t>Finnmark - Finnmárku (-2019)</t>
  </si>
  <si>
    <t>GWh</t>
  </si>
  <si>
    <t>detached</t>
  </si>
  <si>
    <t>multi S</t>
  </si>
  <si>
    <t>https://www.ssb.no/en/energi-og-industri/statistikker/husenergi/hvert-3-aar/2014-07-14#content</t>
  </si>
  <si>
    <t>https://www.ssb.no/en/bygg-bolig-og-eiendom/statistikker/bygningsmasse</t>
  </si>
  <si>
    <t/>
  </si>
  <si>
    <t>2016 - 2020</t>
  </si>
  <si>
    <t>In all</t>
  </si>
  <si>
    <t>Residential buildings</t>
  </si>
  <si>
    <t>Non-residential buildings</t>
  </si>
  <si>
    <t>Holiday house, garage linked to dwelling etc</t>
  </si>
  <si>
    <t>Of which:</t>
  </si>
  <si>
    <t>Chalet, summerhouses etc.</t>
  </si>
  <si>
    <t>Detached houses and farmhouses used as holiday houses</t>
  </si>
  <si>
    <t>Industrial building</t>
  </si>
  <si>
    <t>Agricultural and fishery building</t>
  </si>
  <si>
    <t>Office and business building</t>
  </si>
  <si>
    <t>Transport and communications building</t>
  </si>
  <si>
    <t>Hotel and restaurant building</t>
  </si>
  <si>
    <t>Building used for education, research, public entertainment and religious activities</t>
  </si>
  <si>
    <t>Hospital and institutional care building</t>
  </si>
  <si>
    <t>Prison, building for emergency preparedness etc.</t>
  </si>
  <si>
    <t>Source: Statistics Norway</t>
  </si>
  <si>
    <t>Change</t>
  </si>
  <si>
    <t>2010 - 2020</t>
  </si>
  <si>
    <t>2019 - 2020</t>
  </si>
  <si>
    <r>
      <rPr>
        <vertAlign val="superscript"/>
        <sz val="10"/>
        <rFont val="Arial Unicode MS"/>
      </rPr>
      <t>1</t>
    </r>
    <r>
      <rPr>
        <sz val="10"/>
        <rFont val="Arial"/>
        <family val="2"/>
      </rPr>
      <t>Changes last period are net changes. Some changes may be due to variable lag in registering of new dwellings.</t>
    </r>
  </si>
  <si>
    <t>Electricity (GWh)</t>
  </si>
  <si>
    <t>Coal and coke (GWh)</t>
  </si>
  <si>
    <t>Light heating oil and special distillate (GWh)</t>
  </si>
  <si>
    <t>Heating kerosene (GWh)</t>
  </si>
  <si>
    <t>LPG, heavy fuel oil (GWh)</t>
  </si>
  <si>
    <t>Fuel wood (GWh)</t>
  </si>
  <si>
    <t>Natural gas (GWh)</t>
  </si>
  <si>
    <t>District heating (GWh)</t>
  </si>
  <si>
    <t>Gasoline (GWh)</t>
  </si>
  <si>
    <t>Road diesel, colored (GWh)</t>
  </si>
  <si>
    <t>Road diesel, uncolored (GWh)</t>
  </si>
  <si>
    <t>Bioetanol and biodiesel (GWh)</t>
  </si>
  <si>
    <t>Total inclusive gasoline and road diesel in cars (GWh)</t>
  </si>
  <si>
    <t>Total except gasoline and road diesel in cars (GWh)</t>
  </si>
  <si>
    <t>Total energy consumption per household (kWh)</t>
  </si>
  <si>
    <t>Total energy consumption per person (kWh)</t>
  </si>
  <si>
    <t>Electricity consumption per household (kWh)</t>
  </si>
  <si>
    <t>Electricity consumption per person (kWh)</t>
  </si>
  <si>
    <t>Population</t>
  </si>
  <si>
    <t>Number of households</t>
  </si>
  <si>
    <t>Sum known</t>
  </si>
  <si>
    <t xml:space="preserve">Sum all </t>
  </si>
  <si>
    <t>in PJ</t>
  </si>
  <si>
    <t>Dmytro Romanchenko</t>
  </si>
  <si>
    <t>Boilers_DR</t>
  </si>
  <si>
    <t>households</t>
  </si>
  <si>
    <t>number of heat pumps</t>
  </si>
  <si>
    <t>total</t>
  </si>
  <si>
    <t>calculated share of HPs</t>
  </si>
  <si>
    <t>Sum without "others" and without Svalbard</t>
  </si>
  <si>
    <t>10579: Energy usage in households by year of construction, contents and year</t>
  </si>
  <si>
    <t>Prior to 1931</t>
  </si>
  <si>
    <t>1931-1954</t>
  </si>
  <si>
    <t>1955-1970</t>
  </si>
  <si>
    <t>1971-1986</t>
  </si>
  <si>
    <t>1987-1996</t>
  </si>
  <si>
    <t>1997 and later</t>
  </si>
  <si>
    <t>Total (kWh/m2)</t>
  </si>
  <si>
    <t>individual</t>
  </si>
  <si>
    <t>central</t>
  </si>
  <si>
    <t>decentral</t>
  </si>
  <si>
    <r>
      <t xml:space="preserve">Table 4: Original values for </t>
    </r>
    <r>
      <rPr>
        <b/>
        <sz val="11"/>
        <color rgb="FFC00000"/>
        <rFont val="Calibri"/>
        <family val="2"/>
        <scheme val="minor"/>
      </rPr>
      <t>space heating demand and DHW</t>
    </r>
    <r>
      <rPr>
        <b/>
        <sz val="11"/>
        <color theme="1"/>
        <rFont val="Calibri"/>
        <family val="2"/>
        <scheme val="minor"/>
      </rPr>
      <t xml:space="preserve"> per m2 of heated area, over building type and construction year  </t>
    </r>
    <r>
      <rPr>
        <b/>
        <sz val="11"/>
        <color rgb="FFC00000"/>
        <rFont val="Calibri"/>
        <family val="2"/>
        <scheme val="minor"/>
      </rPr>
      <t>(TABULA)</t>
    </r>
  </si>
  <si>
    <t>Table 2: Aggregated frequency of dwelling stock based on building type (detached vs multi S) and construction year   +    Assumtions on the share of centralization</t>
  </si>
  <si>
    <t>Floor area</t>
  </si>
  <si>
    <t>Sum (before 2011)</t>
  </si>
  <si>
    <t>Sartori et al.</t>
  </si>
  <si>
    <t>gross floor area</t>
  </si>
  <si>
    <t>m2/dwelling</t>
  </si>
  <si>
    <t>10580: Energy usage in households by region, contents and year</t>
  </si>
  <si>
    <t>Good match</t>
  </si>
  <si>
    <r>
      <t xml:space="preserve">Table 3: Aggreagted dwelling stock divided into centralized, decentralized and individual buildings (based on assumed shares), </t>
    </r>
    <r>
      <rPr>
        <b/>
        <sz val="12"/>
        <color rgb="FFC00000"/>
        <rFont val="Calibri"/>
        <family val="2"/>
        <scheme val="minor"/>
      </rPr>
      <t xml:space="preserve"> #</t>
    </r>
  </si>
  <si>
    <t>Calculated total heated area is greater than reported in TABULA (table above), but makes sense sine the total number of dwellings is also greater in Statistics Norway compared to TABULA</t>
  </si>
  <si>
    <t>Table 4: Frequency and heated area of dwellings, per type and construction year (TABULA report) As of 31 Dec 2013</t>
  </si>
  <si>
    <r>
      <t xml:space="preserve">Table 5: Total area of the aggregated dwelling stock divided into centralized, decentralized and individual buildings (based on assumed shares), </t>
    </r>
    <r>
      <rPr>
        <b/>
        <sz val="12"/>
        <color rgb="FFC00000"/>
        <rFont val="Calibri"/>
        <family val="2"/>
        <scheme val="minor"/>
      </rPr>
      <t>m2</t>
    </r>
  </si>
  <si>
    <t>Table 6: Calculated heated area of the dwelling stock, over 2 regions, building type, construction year and share of centralization,   m2</t>
  </si>
  <si>
    <t>All energ commodities</t>
  </si>
  <si>
    <t>Wood, coal and coke</t>
  </si>
  <si>
    <t>kWh/m2</t>
  </si>
  <si>
    <t>STEP 2</t>
  </si>
  <si>
    <t>STEP 1</t>
  </si>
  <si>
    <t>STEP 3</t>
  </si>
  <si>
    <t>Trøndelag - Trööndelage</t>
  </si>
  <si>
    <r>
      <t xml:space="preserve">06266: </t>
    </r>
    <r>
      <rPr>
        <b/>
        <sz val="16"/>
        <color rgb="FFC00000"/>
        <rFont val="Calibri"/>
        <family val="2"/>
      </rPr>
      <t>Number of dwellings,</t>
    </r>
    <r>
      <rPr>
        <b/>
        <sz val="16"/>
        <color theme="1" tint="4.9989318521683403E-2"/>
        <rFont val="Calibri"/>
        <family val="2"/>
      </rPr>
      <t xml:space="preserve"> by year, region, contents, type of building and year of construction of the building</t>
    </r>
  </si>
  <si>
    <t>https://www.ssb.no/en/statbank/table/06266/</t>
  </si>
  <si>
    <r>
      <t xml:space="preserve">Dwellings </t>
    </r>
    <r>
      <rPr>
        <b/>
        <sz val="14"/>
        <color theme="2" tint="-0.89999084444715716"/>
        <rFont val="Arial"/>
        <family val="2"/>
      </rPr>
      <t>(occupied and vacant), by buildingtype</t>
    </r>
    <r>
      <rPr>
        <b/>
        <vertAlign val="superscript"/>
        <sz val="14"/>
        <color theme="2" tint="-0.89999084444715716"/>
        <rFont val="Arial Unicode MS"/>
      </rPr>
      <t>1</t>
    </r>
  </si>
  <si>
    <r>
      <t xml:space="preserve">03175: </t>
    </r>
    <r>
      <rPr>
        <b/>
        <sz val="16"/>
        <color theme="2" tint="-0.89999084444715716"/>
        <rFont val="Calibri"/>
        <family val="2"/>
      </rPr>
      <t xml:space="preserve">Existing </t>
    </r>
    <r>
      <rPr>
        <b/>
        <sz val="16"/>
        <color rgb="FFC00000"/>
        <rFont val="Calibri"/>
        <family val="2"/>
      </rPr>
      <t xml:space="preserve">building stocks. </t>
    </r>
    <r>
      <rPr>
        <b/>
        <sz val="16"/>
        <color theme="2" tint="-0.89999084444715716"/>
        <rFont val="Calibri"/>
        <family val="2"/>
      </rPr>
      <t>Residential buildings, by contents, region, year and type of building</t>
    </r>
  </si>
  <si>
    <r>
      <t xml:space="preserve">Building stock </t>
    </r>
    <r>
      <rPr>
        <b/>
        <sz val="14"/>
        <color theme="2" tint="-0.89999084444715716"/>
        <rFont val="Arial"/>
        <family val="2"/>
      </rPr>
      <t>by type of building</t>
    </r>
  </si>
  <si>
    <t>https://www.ssb.no/en/bygg-bolig-og-eiendom/statistikker/boligstat</t>
  </si>
  <si>
    <t>TABULA project</t>
  </si>
  <si>
    <t>https://episcope.eu/building-typology/country/no/</t>
  </si>
  <si>
    <t>Source 1:</t>
  </si>
  <si>
    <t>Source 2:</t>
  </si>
  <si>
    <t>GWh to PJ</t>
  </si>
  <si>
    <t>fuel (gen) side</t>
  </si>
  <si>
    <r>
      <t xml:space="preserve">Table X:  Total </t>
    </r>
    <r>
      <rPr>
        <b/>
        <sz val="14"/>
        <color rgb="FFC00000"/>
        <rFont val="Calibri"/>
        <family val="2"/>
        <scheme val="minor"/>
      </rPr>
      <t>energy consumption</t>
    </r>
    <r>
      <rPr>
        <b/>
        <sz val="14"/>
        <color theme="1" tint="0.14999847407452621"/>
        <rFont val="Calibri"/>
        <family val="2"/>
        <scheme val="minor"/>
      </rPr>
      <t xml:space="preserve"> in </t>
    </r>
    <r>
      <rPr>
        <b/>
        <sz val="14"/>
        <color rgb="FFC00000"/>
        <rFont val="Calibri"/>
        <family val="2"/>
        <scheme val="minor"/>
      </rPr>
      <t xml:space="preserve">households </t>
    </r>
    <r>
      <rPr>
        <b/>
        <sz val="14"/>
        <color theme="1" tint="0.14999847407452621"/>
        <rFont val="Calibri"/>
        <family val="2"/>
        <scheme val="minor"/>
      </rPr>
      <t>in Norway. Gwh, kWh</t>
    </r>
  </si>
  <si>
    <t>https://www.ssb.no/en/energi-og-industri/statistikker/energibalanse</t>
  </si>
  <si>
    <r>
      <t xml:space="preserve">10577: </t>
    </r>
    <r>
      <rPr>
        <b/>
        <sz val="11"/>
        <color rgb="FFC00000"/>
        <rFont val="Calibri"/>
        <family val="2"/>
      </rPr>
      <t>Average energy consumption</t>
    </r>
    <r>
      <rPr>
        <b/>
        <sz val="11"/>
        <color theme="1" tint="4.9989318521683403E-2"/>
        <rFont val="Calibri"/>
        <family val="2"/>
      </rPr>
      <t xml:space="preserve"> per household, by region, energy commodity, contents and year</t>
    </r>
  </si>
  <si>
    <r>
      <rPr>
        <b/>
        <sz val="14"/>
        <color rgb="FFC00000"/>
        <rFont val="Calibri"/>
        <family val="2"/>
        <scheme val="minor"/>
      </rPr>
      <t xml:space="preserve">Average energy consumption </t>
    </r>
    <r>
      <rPr>
        <b/>
        <sz val="14"/>
        <color theme="1" tint="0.14999847407452621"/>
        <rFont val="Calibri"/>
        <family val="2"/>
        <scheme val="minor"/>
      </rPr>
      <t xml:space="preserve">per household, total and per m2 dwelling area. Two last years. </t>
    </r>
    <r>
      <rPr>
        <b/>
        <sz val="14"/>
        <color rgb="FFC00000"/>
        <rFont val="Calibri"/>
        <family val="2"/>
        <scheme val="minor"/>
      </rPr>
      <t>kWh/dwelling</t>
    </r>
  </si>
  <si>
    <r>
      <rPr>
        <b/>
        <sz val="14"/>
        <color rgb="FFC00000"/>
        <rFont val="Calibri"/>
        <family val="2"/>
        <scheme val="minor"/>
      </rPr>
      <t xml:space="preserve">Average energy consumption </t>
    </r>
    <r>
      <rPr>
        <b/>
        <sz val="14"/>
        <color theme="1" tint="0.14999847407452621"/>
        <rFont val="Calibri"/>
        <family val="2"/>
        <scheme val="minor"/>
      </rPr>
      <t xml:space="preserve">per household, total and per m2 dwelling area. Two last years. </t>
    </r>
    <r>
      <rPr>
        <b/>
        <sz val="14"/>
        <color rgb="FFC00000"/>
        <rFont val="Calibri"/>
        <family val="2"/>
        <scheme val="minor"/>
      </rPr>
      <t>kWh/m2</t>
    </r>
  </si>
  <si>
    <t>dwellings</t>
  </si>
  <si>
    <t>Total energy use, GWh</t>
  </si>
  <si>
    <t>this number matches the Total Energy Consumption statistics OK</t>
  </si>
  <si>
    <t>this number does not match the Total Energy Consumption statistics</t>
  </si>
  <si>
    <t>Hence, division of the energy use between building types and climate zones based on the heated area (in Boilers_DR sheet) is more appropriate!</t>
  </si>
  <si>
    <t>For comperison:</t>
  </si>
  <si>
    <t>Coal and coke</t>
  </si>
  <si>
    <t>Light heating oil and special distillate</t>
  </si>
  <si>
    <t>Heating kerosene</t>
  </si>
  <si>
    <t>LPG, heavy fuel oil</t>
  </si>
  <si>
    <t>Fuel wood</t>
  </si>
  <si>
    <t>TOTAL except gasoline and road diesel in cars</t>
  </si>
  <si>
    <t>Decentralized</t>
  </si>
  <si>
    <t>Centralized</t>
  </si>
  <si>
    <t>District heating (centr)</t>
  </si>
  <si>
    <t>District heating (decentr)</t>
  </si>
  <si>
    <t>Assumptions for 2010</t>
  </si>
  <si>
    <t>originally detached (from statistics)</t>
  </si>
  <si>
    <t>percentage of households tith HPs</t>
  </si>
  <si>
    <t>percentage of detached houses with HPs</t>
  </si>
  <si>
    <t>meaning that:</t>
  </si>
  <si>
    <t>Multi S houses with HPs</t>
  </si>
  <si>
    <t>Detached houses with HPs</t>
  </si>
  <si>
    <t>Calculation of the shares of HPs in different building types</t>
  </si>
  <si>
    <t>calculated here</t>
  </si>
  <si>
    <t>from Boilers_DR</t>
  </si>
  <si>
    <t>Step 1</t>
  </si>
  <si>
    <t>Mm2/Pj</t>
  </si>
  <si>
    <t>Pj/Mm2</t>
  </si>
  <si>
    <t>Step 2</t>
  </si>
  <si>
    <t>conversion factor GWh/Pj</t>
  </si>
  <si>
    <t>Step 3</t>
  </si>
  <si>
    <t>Further division based on the year of construction and type of buildings, i.e., individual, centralized, decentralized, is perfomed based on the info in the Unit_Demand_DR sheet</t>
  </si>
  <si>
    <t>Calculation of the specific energy consumption values based on the "demand side" data (heated area in Mm2) and on the "supply side" data (energy consumption in buildings in PJ)</t>
  </si>
  <si>
    <t>calibration</t>
  </si>
  <si>
    <t>Step 4</t>
  </si>
  <si>
    <t>RHBDb70</t>
  </si>
  <si>
    <t>RHBDa70</t>
  </si>
  <si>
    <t>RHBMb70</t>
  </si>
  <si>
    <t>RHBMa70</t>
  </si>
  <si>
    <t>From statistics: used as indications for the shares</t>
  </si>
  <si>
    <t>before 70</t>
  </si>
  <si>
    <t>after 70</t>
  </si>
  <si>
    <r>
      <t xml:space="preserve">Average </t>
    </r>
    <r>
      <rPr>
        <b/>
        <sz val="12"/>
        <color rgb="FFC00000"/>
        <rFont val="Calibri"/>
        <family val="2"/>
        <scheme val="minor"/>
      </rPr>
      <t>total energy</t>
    </r>
    <r>
      <rPr>
        <sz val="12"/>
        <color theme="4" tint="-0.249977111117893"/>
        <rFont val="Calibri"/>
        <family val="2"/>
        <scheme val="minor"/>
      </rPr>
      <t xml:space="preserve"> consumption per household, total and per m2 dwelling area. Two last years. kWh/m2   (Statistics Norway)</t>
    </r>
  </si>
  <si>
    <r>
      <t xml:space="preserve">Table 1: Total </t>
    </r>
    <r>
      <rPr>
        <b/>
        <sz val="14"/>
        <color rgb="FFC00000"/>
        <rFont val="Calibri"/>
        <family val="2"/>
        <scheme val="minor"/>
      </rPr>
      <t>energy consumption</t>
    </r>
    <r>
      <rPr>
        <b/>
        <sz val="14"/>
        <color theme="1" tint="0.14999847407452621"/>
        <rFont val="Calibri"/>
        <family val="2"/>
        <scheme val="minor"/>
      </rPr>
      <t xml:space="preserve"> in </t>
    </r>
    <r>
      <rPr>
        <b/>
        <sz val="14"/>
        <color rgb="FFC00000"/>
        <rFont val="Calibri"/>
        <family val="2"/>
        <scheme val="minor"/>
      </rPr>
      <t xml:space="preserve">households </t>
    </r>
    <r>
      <rPr>
        <b/>
        <sz val="14"/>
        <color theme="1" tint="0.14999847407452621"/>
        <rFont val="Calibri"/>
        <family val="2"/>
        <scheme val="minor"/>
      </rPr>
      <t>in Norway, GWh  (see Statistics Norway - ENERGY USE sheet)</t>
    </r>
  </si>
  <si>
    <r>
      <rPr>
        <b/>
        <sz val="14"/>
        <color theme="1" tint="4.9989318521683403E-2"/>
        <rFont val="Calibri"/>
        <family val="2"/>
        <scheme val="minor"/>
      </rPr>
      <t>Table 2: Energy consumption for</t>
    </r>
    <r>
      <rPr>
        <b/>
        <sz val="14"/>
        <color rgb="FFC00000"/>
        <rFont val="Calibri"/>
        <family val="2"/>
        <scheme val="minor"/>
      </rPr>
      <t xml:space="preserve"> space heating and DHW</t>
    </r>
    <r>
      <rPr>
        <b/>
        <sz val="14"/>
        <color theme="1" tint="4.9989318521683403E-2"/>
        <rFont val="Calibri"/>
        <family val="2"/>
        <scheme val="minor"/>
      </rPr>
      <t xml:space="preserve"> in households in </t>
    </r>
    <r>
      <rPr>
        <b/>
        <sz val="14"/>
        <color theme="1" tint="0.14999847407452621"/>
        <rFont val="Calibri"/>
        <family val="2"/>
        <scheme val="minor"/>
      </rPr>
      <t>Norway</t>
    </r>
  </si>
  <si>
    <r>
      <rPr>
        <b/>
        <sz val="14"/>
        <color theme="1" tint="4.9989318521683403E-2"/>
        <rFont val="Calibri"/>
        <family val="2"/>
        <scheme val="minor"/>
      </rPr>
      <t xml:space="preserve">Table 3: </t>
    </r>
    <r>
      <rPr>
        <b/>
        <sz val="14"/>
        <color rgb="FFC00000"/>
        <rFont val="Calibri"/>
        <family val="2"/>
        <scheme val="minor"/>
      </rPr>
      <t xml:space="preserve">Heated area </t>
    </r>
    <r>
      <rPr>
        <b/>
        <sz val="14"/>
        <color theme="1"/>
        <rFont val="Calibri"/>
        <family val="2"/>
        <scheme val="minor"/>
      </rPr>
      <t xml:space="preserve">of the dwelling stock, over 2 regions, building type, construction year and share of centralization, </t>
    </r>
    <r>
      <rPr>
        <b/>
        <sz val="14"/>
        <color rgb="FFC00000"/>
        <rFont val="Calibri"/>
        <family val="2"/>
        <scheme val="minor"/>
      </rPr>
      <t xml:space="preserve"> m2</t>
    </r>
  </si>
  <si>
    <r>
      <rPr>
        <b/>
        <sz val="14"/>
        <color theme="1" tint="4.9989318521683403E-2"/>
        <rFont val="Calibri"/>
        <family val="2"/>
        <scheme val="minor"/>
      </rPr>
      <t xml:space="preserve">Table 4: </t>
    </r>
    <r>
      <rPr>
        <b/>
        <sz val="14"/>
        <color rgb="FFC00000"/>
        <rFont val="Calibri"/>
        <family val="2"/>
        <scheme val="minor"/>
      </rPr>
      <t xml:space="preserve">Energy consumption for space heating and DHW </t>
    </r>
    <r>
      <rPr>
        <b/>
        <sz val="14"/>
        <color theme="1"/>
        <rFont val="Calibri"/>
        <family val="2"/>
        <scheme val="minor"/>
      </rPr>
      <t xml:space="preserve">of the dwelling stock, over 2 regions, building type, construction year and share of centralization, </t>
    </r>
    <r>
      <rPr>
        <b/>
        <sz val="14"/>
        <color rgb="FFC00000"/>
        <rFont val="Calibri"/>
        <family val="2"/>
        <scheme val="minor"/>
      </rPr>
      <t xml:space="preserve"> GWh</t>
    </r>
  </si>
  <si>
    <t>STEP 4</t>
  </si>
  <si>
    <t>STEP 5</t>
  </si>
  <si>
    <t>Table 3.1: Accounting for the climate zones (from Statistics Norway - ENERGY USE)</t>
  </si>
  <si>
    <t>Substituted older (green-taged) sheets with new ones (orange-taged). Details below:</t>
  </si>
  <si>
    <t>RES_Fuel_DR</t>
  </si>
  <si>
    <t>Updated the links to other sheets</t>
  </si>
  <si>
    <t>Dem_DR</t>
  </si>
  <si>
    <t xml:space="preserve">Updated the links to other sheets </t>
  </si>
  <si>
    <t>Buildings_DR</t>
  </si>
  <si>
    <t>Provided some details on the overarching approach used in this file</t>
  </si>
  <si>
    <t>Statistics Norway - STOCK</t>
  </si>
  <si>
    <t>Statistics Norway - ENERGY USE</t>
  </si>
  <si>
    <t>Added the sheet with statistics on the norwegian building stock, from Statistics Norway</t>
  </si>
  <si>
    <t>Added the sheet with statistics on the energy use in the norwegian building stock, from Statistics Norway</t>
  </si>
  <si>
    <t>Service_Demand_2010</t>
  </si>
  <si>
    <r>
      <t xml:space="preserve">Divided the building stock by </t>
    </r>
    <r>
      <rPr>
        <b/>
        <sz val="10"/>
        <rFont val="Arial"/>
        <family val="2"/>
      </rPr>
      <t xml:space="preserve">construction year, location and building type </t>
    </r>
    <r>
      <rPr>
        <sz val="10"/>
        <rFont val="Arial"/>
        <family val="2"/>
      </rPr>
      <t>according to the data from Statistics Norway</t>
    </r>
  </si>
  <si>
    <r>
      <t xml:space="preserve">Updated the calculations in the sheet! </t>
    </r>
    <r>
      <rPr>
        <b/>
        <sz val="10"/>
        <rFont val="Arial"/>
        <family val="2"/>
      </rPr>
      <t>STOCK (Mm2)</t>
    </r>
    <r>
      <rPr>
        <sz val="10"/>
        <rFont val="Arial"/>
        <family val="2"/>
      </rPr>
      <t xml:space="preserve"> comes from Service_Demand_2010 sheet; </t>
    </r>
    <r>
      <rPr>
        <b/>
        <sz val="10"/>
        <rFont val="Arial"/>
        <family val="2"/>
      </rPr>
      <t>EFF (Mm2/PJ)</t>
    </r>
    <r>
      <rPr>
        <sz val="10"/>
        <rFont val="Arial"/>
        <family val="2"/>
      </rPr>
      <t xml:space="preserve"> is calculated within the sheet</t>
    </r>
  </si>
  <si>
    <r>
      <t xml:space="preserve">Divided the energy consumption in the building stock by the </t>
    </r>
    <r>
      <rPr>
        <b/>
        <sz val="10"/>
        <rFont val="Arial"/>
        <family val="2"/>
      </rPr>
      <t>fuel/energy type</t>
    </r>
    <r>
      <rPr>
        <sz val="10"/>
        <rFont val="Arial"/>
        <family val="2"/>
      </rPr>
      <t xml:space="preserve"> according to the data from Statistics Norway</t>
    </r>
  </si>
  <si>
    <t>Residential heating technology multistorey building - Fire wood - existing 1</t>
  </si>
  <si>
    <t>wood (Fire wood)</t>
  </si>
  <si>
    <t>wood (Wood Pellets)</t>
  </si>
  <si>
    <t>10571: Households (per cent), by heating equipment, contents and year</t>
  </si>
  <si>
    <t>Households</t>
  </si>
  <si>
    <t>0</t>
  </si>
  <si>
    <t>1.2</t>
  </si>
  <si>
    <t>1.1</t>
  </si>
  <si>
    <t>8.0</t>
  </si>
  <si>
    <t>8.1</t>
  </si>
  <si>
    <t>8.2</t>
  </si>
  <si>
    <t>3.0</t>
  </si>
  <si>
    <t>4.0</t>
  </si>
  <si>
    <t>5.1</t>
  </si>
  <si>
    <t>4.9</t>
  </si>
  <si>
    <t>2.0</t>
  </si>
  <si>
    <t>9.0</t>
  </si>
  <si>
    <t>7.0</t>
  </si>
  <si>
    <t>6.0</t>
  </si>
  <si>
    <t>6.1</t>
  </si>
  <si>
    <t>6.2</t>
  </si>
  <si>
    <t>6.21</t>
  </si>
  <si>
    <t>6.22</t>
  </si>
  <si>
    <t>6.23</t>
  </si>
  <si>
    <t>6.24</t>
  </si>
  <si>
    <t>6.29</t>
  </si>
  <si>
    <t>6.9</t>
  </si>
  <si>
    <t>9</t>
  </si>
  <si>
    <t>Latest update:</t>
  </si>
  <si>
    <t>Households:</t>
  </si>
  <si>
    <t>20140714 10:00</t>
  </si>
  <si>
    <t>Source:</t>
  </si>
  <si>
    <t>Contact:</t>
  </si>
  <si>
    <t>Ann Christin Bøeng, Statistics Norway</t>
  </si>
  <si>
    <t xml:space="preserve"> +47 408 11 505</t>
  </si>
  <si>
    <t>abg@ssb.no</t>
  </si>
  <si>
    <t>From norwegian statistics on residential fuel consumption in 2012</t>
  </si>
  <si>
    <t>Building stock projection share in 2050 compared to REF</t>
  </si>
  <si>
    <t>CURR</t>
  </si>
  <si>
    <t>MNOK12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</si>
</sst>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00_);_(* \(#,##0.00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 ###\ ###\ ##0"/>
    <numFmt numFmtId="184" formatCode="###\ ###\ ###\ ##0;\-###\ ###\ ###\ ##0;"/>
    <numFmt numFmtId="185" formatCode="#,##0;\-#,##0;&quot;&quot;"/>
    <numFmt numFmtId="186" formatCode="_(* #,##0.000_);_(* \(#,##0.000\);_(* &quot;-&quot;??_);_(@_)"/>
    <numFmt numFmtId="187" formatCode="_(* #,##0.000000_);_(* \(#,##0.000000\);_(* &quot;-&quot;??_);_(@_)"/>
    <numFmt numFmtId="188" formatCode="0.0%"/>
    <numFmt numFmtId="189" formatCode="0.000000000000000"/>
    <numFmt numFmtId="190" formatCode="0.000%"/>
    <numFmt numFmtId="191" formatCode="0.0000"/>
    <numFmt numFmtId="192" formatCode="0.00000"/>
    <numFmt numFmtId="193" formatCode="0.0"/>
    <numFmt numFmtId="194" formatCode="_-* #,##0\ _k_r_-;\-* #,##0\ _k_r_-;_-* &quot;-&quot;??\ _k_r_-;_-@_-"/>
    <numFmt numFmtId="195" formatCode="_-* #,##0.0\ _k_r_-;\-* #,##0.0\ _k_r_-;_-* &quot;-&quot;??\ _k_r_-;_-@_-"/>
    <numFmt numFmtId="196" formatCode="#,##0.0"/>
  </numFmts>
  <fonts count="1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6"/>
      <color indexed="10"/>
      <name val="Arial"/>
      <family val="2"/>
    </font>
    <font>
      <b/>
      <sz val="11"/>
      <color indexed="17"/>
      <name val="Calibri"/>
      <family val="2"/>
    </font>
    <font>
      <b/>
      <sz val="11"/>
      <name val="Calibri"/>
      <family val="2"/>
    </font>
    <font>
      <b/>
      <sz val="11"/>
      <color indexed="62"/>
      <name val="Calibri"/>
      <family val="2"/>
    </font>
    <font>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sz val="12"/>
      <name val="Arial"/>
      <family val="2"/>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8"/>
      <color indexed="8"/>
      <name val="Arial"/>
      <family val="2"/>
    </font>
    <font>
      <b/>
      <sz val="8"/>
      <color indexed="8"/>
      <name val="Arial"/>
      <family val="2"/>
    </font>
    <font>
      <sz val="6"/>
      <color indexed="8"/>
      <name val="Arial"/>
      <family val="2"/>
    </font>
    <font>
      <b/>
      <sz val="11"/>
      <color indexed="8"/>
      <name val="Arial"/>
      <family val="2"/>
    </font>
    <font>
      <b/>
      <i/>
      <sz val="8"/>
      <color indexed="8"/>
      <name val="Arial"/>
      <family val="2"/>
    </font>
    <font>
      <i/>
      <sz val="8"/>
      <color indexed="8"/>
      <name val="Arial"/>
      <family val="2"/>
    </font>
    <font>
      <i/>
      <sz val="6"/>
      <color indexed="8"/>
      <name val="Arial"/>
      <family val="2"/>
    </font>
    <font>
      <sz val="7"/>
      <name val="Tahoma"/>
      <family val="2"/>
    </font>
    <font>
      <sz val="10"/>
      <color rgb="FFFF0000"/>
      <name val="Arial"/>
      <family val="2"/>
    </font>
    <font>
      <sz val="10"/>
      <color rgb="FF00B050"/>
      <name val="Arial"/>
      <family val="2"/>
    </font>
    <font>
      <sz val="10"/>
      <color theme="4"/>
      <name val="Arial"/>
      <family val="2"/>
    </font>
    <font>
      <b/>
      <sz val="12"/>
      <color theme="1"/>
      <name val="Calibri"/>
      <family val="2"/>
      <scheme val="minor"/>
    </font>
    <font>
      <b/>
      <sz val="11"/>
      <color rgb="FFFF0000"/>
      <name val="Arial"/>
      <family val="2"/>
    </font>
    <font>
      <b/>
      <sz val="10"/>
      <color rgb="FFC00000"/>
      <name val="Arial"/>
      <family val="2"/>
    </font>
    <font>
      <b/>
      <sz val="11"/>
      <name val="Arial"/>
      <family val="2"/>
    </font>
    <font>
      <b/>
      <i/>
      <sz val="9"/>
      <color rgb="FFFF0000"/>
      <name val="Arial"/>
      <family val="2"/>
    </font>
    <font>
      <b/>
      <i/>
      <sz val="9"/>
      <color rgb="FF0070C0"/>
      <name val="Arial"/>
      <family val="2"/>
    </font>
    <font>
      <b/>
      <sz val="11"/>
      <color rgb="FFC00000"/>
      <name val="Calibri"/>
      <family val="2"/>
    </font>
    <font>
      <b/>
      <sz val="11"/>
      <color rgb="FF0070C0"/>
      <name val="Arial"/>
      <family val="2"/>
    </font>
    <font>
      <b/>
      <sz val="11"/>
      <color rgb="FFC00000"/>
      <name val="Arial"/>
      <family val="2"/>
    </font>
    <font>
      <u/>
      <sz val="10"/>
      <color theme="10"/>
      <name val="Arial"/>
      <family val="2"/>
    </font>
    <font>
      <vertAlign val="superscript"/>
      <sz val="10"/>
      <name val="Arial Unicode MS"/>
    </font>
    <font>
      <sz val="10"/>
      <color theme="1" tint="4.9989318521683403E-2"/>
      <name val="Arial"/>
      <family val="2"/>
    </font>
    <font>
      <b/>
      <sz val="11"/>
      <color rgb="FFC00000"/>
      <name val="Calibri"/>
      <family val="2"/>
      <scheme val="minor"/>
    </font>
    <font>
      <b/>
      <sz val="10"/>
      <color theme="1" tint="4.9989318521683403E-2"/>
      <name val="Arial"/>
      <family val="2"/>
    </font>
    <font>
      <b/>
      <sz val="10"/>
      <color rgb="FF0070C0"/>
      <name val="Arial"/>
      <family val="2"/>
    </font>
    <font>
      <sz val="11"/>
      <color theme="1" tint="4.9989318521683403E-2"/>
      <name val="Calibri"/>
      <family val="2"/>
      <scheme val="minor"/>
    </font>
    <font>
      <i/>
      <sz val="10"/>
      <color theme="1"/>
      <name val="Calibri"/>
      <family val="2"/>
      <scheme val="minor"/>
    </font>
    <font>
      <sz val="12"/>
      <color theme="1"/>
      <name val="Calibri"/>
      <family val="2"/>
      <scheme val="minor"/>
    </font>
    <font>
      <sz val="11"/>
      <color rgb="FFC00000"/>
      <name val="Calibri"/>
      <family val="2"/>
      <scheme val="minor"/>
    </font>
    <font>
      <b/>
      <sz val="11"/>
      <color rgb="FF0070C0"/>
      <name val="Calibri"/>
      <family val="2"/>
      <scheme val="minor"/>
    </font>
    <font>
      <b/>
      <sz val="11"/>
      <color theme="2" tint="-0.749992370372631"/>
      <name val="Calibri"/>
      <family val="2"/>
      <scheme val="minor"/>
    </font>
    <font>
      <i/>
      <sz val="9"/>
      <name val="Calibri"/>
      <family val="2"/>
      <scheme val="minor"/>
    </font>
    <font>
      <sz val="11"/>
      <name val="Calibri"/>
      <family val="2"/>
      <scheme val="minor"/>
    </font>
    <font>
      <b/>
      <sz val="12"/>
      <name val="Calibri"/>
      <family val="2"/>
      <scheme val="minor"/>
    </font>
    <font>
      <b/>
      <sz val="12"/>
      <color rgb="FFC00000"/>
      <name val="Calibri"/>
      <family val="2"/>
      <scheme val="minor"/>
    </font>
    <font>
      <b/>
      <sz val="12"/>
      <color theme="2" tint="-0.89999084444715716"/>
      <name val="Calibri"/>
      <family val="2"/>
      <scheme val="minor"/>
    </font>
    <font>
      <b/>
      <sz val="14"/>
      <color theme="1"/>
      <name val="Calibri"/>
      <family val="2"/>
      <scheme val="minor"/>
    </font>
    <font>
      <sz val="11"/>
      <name val="Arial"/>
      <family val="2"/>
    </font>
    <font>
      <b/>
      <sz val="11"/>
      <color rgb="FFFF0000"/>
      <name val="Calibri"/>
      <family val="2"/>
    </font>
    <font>
      <b/>
      <sz val="16"/>
      <color rgb="FFC00000"/>
      <name val="Calibri"/>
      <family val="2"/>
    </font>
    <font>
      <b/>
      <sz val="16"/>
      <color theme="1" tint="4.9989318521683403E-2"/>
      <name val="Calibri"/>
      <family val="2"/>
    </font>
    <font>
      <b/>
      <sz val="11"/>
      <color theme="3" tint="0.39997558519241921"/>
      <name val="Arial"/>
      <family val="2"/>
    </font>
    <font>
      <b/>
      <sz val="16"/>
      <color rgb="FF000000"/>
      <name val="Calibri"/>
      <family val="2"/>
    </font>
    <font>
      <b/>
      <sz val="16"/>
      <name val="Arial"/>
      <family val="2"/>
    </font>
    <font>
      <b/>
      <sz val="14"/>
      <color rgb="FFC00000"/>
      <name val="Arial"/>
      <family val="2"/>
    </font>
    <font>
      <b/>
      <sz val="14"/>
      <color theme="2" tint="-0.89999084444715716"/>
      <name val="Arial"/>
      <family val="2"/>
    </font>
    <font>
      <b/>
      <vertAlign val="superscript"/>
      <sz val="14"/>
      <color theme="2" tint="-0.89999084444715716"/>
      <name val="Arial Unicode MS"/>
    </font>
    <font>
      <b/>
      <sz val="16"/>
      <color theme="2" tint="-0.89999084444715716"/>
      <name val="Calibri"/>
      <family val="2"/>
    </font>
    <font>
      <sz val="7"/>
      <color rgb="FF000000"/>
      <name val="Arial"/>
      <family val="2"/>
    </font>
    <font>
      <b/>
      <u/>
      <sz val="12"/>
      <color theme="10"/>
      <name val="Arial"/>
      <family val="2"/>
    </font>
    <font>
      <b/>
      <sz val="11"/>
      <name val="Calibri"/>
      <family val="2"/>
      <scheme val="minor"/>
    </font>
    <font>
      <b/>
      <sz val="12"/>
      <color rgb="FF0070C0"/>
      <name val="Calibri"/>
      <family val="2"/>
      <scheme val="minor"/>
    </font>
    <font>
      <b/>
      <sz val="14"/>
      <color theme="1" tint="0.14999847407452621"/>
      <name val="Calibri"/>
      <family val="2"/>
      <scheme val="minor"/>
    </font>
    <font>
      <b/>
      <sz val="14"/>
      <name val="Calibri"/>
      <family val="2"/>
      <scheme val="minor"/>
    </font>
    <font>
      <b/>
      <sz val="14"/>
      <color rgb="FFC00000"/>
      <name val="Calibri"/>
      <family val="2"/>
      <scheme val="minor"/>
    </font>
    <font>
      <b/>
      <sz val="14"/>
      <color rgb="FF00B0F0"/>
      <name val="Calibri"/>
      <family val="2"/>
      <scheme val="minor"/>
    </font>
    <font>
      <b/>
      <sz val="10"/>
      <color theme="9" tint="-0.499984740745262"/>
      <name val="Arial"/>
      <family val="2"/>
    </font>
    <font>
      <b/>
      <sz val="12"/>
      <color theme="9" tint="-0.499984740745262"/>
      <name val="Calibri"/>
      <family val="2"/>
      <scheme val="minor"/>
    </font>
    <font>
      <b/>
      <sz val="10"/>
      <color theme="1"/>
      <name val="Calibri"/>
      <family val="2"/>
      <scheme val="minor"/>
    </font>
    <font>
      <b/>
      <sz val="12"/>
      <color theme="1" tint="4.9989318521683403E-2"/>
      <name val="Arial"/>
      <family val="2"/>
    </font>
    <font>
      <b/>
      <sz val="11"/>
      <color theme="1" tint="4.9989318521683403E-2"/>
      <name val="Calibri"/>
      <family val="2"/>
    </font>
    <font>
      <b/>
      <sz val="10"/>
      <color theme="3" tint="0.39997558519241921"/>
      <name val="Arial"/>
      <family val="2"/>
    </font>
    <font>
      <b/>
      <sz val="14"/>
      <color theme="1" tint="4.9989318521683403E-2"/>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b/>
      <sz val="12"/>
      <color theme="1" tint="4.9989318521683403E-2"/>
      <name val="Calibri"/>
      <family val="2"/>
      <scheme val="minor"/>
    </font>
    <font>
      <b/>
      <sz val="12"/>
      <color theme="4" tint="-0.249977111117893"/>
      <name val="Calibri"/>
      <family val="2"/>
      <scheme val="minor"/>
    </font>
    <font>
      <sz val="14"/>
      <name val="Calibri"/>
      <family val="2"/>
      <scheme val="minor"/>
    </font>
    <font>
      <sz val="10"/>
      <color rgb="FFC00000"/>
      <name val="Calibri"/>
      <family val="2"/>
      <scheme val="minor"/>
    </font>
    <font>
      <b/>
      <sz val="11"/>
      <color theme="4" tint="-0.249977111117893"/>
      <name val="Calibri"/>
      <family val="2"/>
      <scheme val="minor"/>
    </font>
    <font>
      <u/>
      <sz val="10"/>
      <color theme="10"/>
      <name val="Calibri"/>
      <family val="2"/>
      <scheme val="minor"/>
    </font>
    <font>
      <sz val="12"/>
      <color theme="1" tint="4.9989318521683403E-2"/>
      <name val="Calibri"/>
      <family val="2"/>
      <scheme val="minor"/>
    </font>
    <font>
      <sz val="12"/>
      <color theme="4" tint="-0.249977111117893"/>
      <name val="Calibri"/>
      <family val="2"/>
      <scheme val="minor"/>
    </font>
    <font>
      <sz val="12"/>
      <name val="Calibri"/>
      <family val="2"/>
      <scheme val="minor"/>
    </font>
    <font>
      <sz val="10"/>
      <color theme="3" tint="0.39997558519241921"/>
      <name val="Calibri"/>
      <family val="2"/>
      <scheme val="minor"/>
    </font>
    <font>
      <b/>
      <sz val="11"/>
      <color theme="6" tint="-0.499984740745262"/>
      <name val="Calibri"/>
      <family val="2"/>
      <scheme val="minor"/>
    </font>
    <font>
      <b/>
      <sz val="10"/>
      <color theme="9" tint="-0.249977111117893"/>
      <name val="Arial"/>
      <family val="2"/>
    </font>
    <font>
      <b/>
      <sz val="10"/>
      <color rgb="FFFF0000"/>
      <name val="Arial"/>
      <family val="2"/>
    </font>
    <font>
      <i/>
      <sz val="9"/>
      <name val="Arial"/>
      <family val="2"/>
    </font>
    <font>
      <sz val="10"/>
      <color theme="1"/>
      <name val="Calibri"/>
      <family val="2"/>
      <scheme val="minor"/>
    </font>
    <font>
      <b/>
      <i/>
      <sz val="10"/>
      <color theme="1"/>
      <name val="Calibri"/>
      <family val="2"/>
      <scheme val="minor"/>
    </font>
    <font>
      <b/>
      <i/>
      <sz val="10"/>
      <color rgb="FF000000"/>
      <name val="Calibri"/>
      <family val="2"/>
    </font>
    <font>
      <b/>
      <sz val="11"/>
      <color rgb="FFFF0000"/>
      <name val="Calibri"/>
      <family val="2"/>
      <scheme val="minor"/>
    </font>
  </fonts>
  <fills count="10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theme="8" tint="0.79998168889431442"/>
        <bgColor indexed="64"/>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bgColor indexed="64"/>
      </patternFill>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
      <patternFill patternType="solid">
        <fgColor indexed="63"/>
        <bgColor indexed="64"/>
      </patternFill>
    </fill>
    <fill>
      <patternFill patternType="solid">
        <fgColor indexed="6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00B050"/>
        <bgColor indexed="64"/>
      </patternFill>
    </fill>
    <fill>
      <patternFill patternType="solid">
        <fgColor indexed="27"/>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8" tint="0.59999389629810485"/>
        <bgColor indexed="64"/>
      </patternFill>
    </fill>
  </fills>
  <borders count="20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ck">
        <color auto="1"/>
      </left>
      <right/>
      <top/>
      <bottom/>
      <diagonal/>
    </border>
    <border>
      <left/>
      <right style="thick">
        <color auto="1"/>
      </right>
      <top/>
      <bottom/>
      <diagonal/>
    </border>
    <border>
      <left style="thin">
        <color indexed="64"/>
      </left>
      <right style="thin">
        <color indexed="64"/>
      </right>
      <top style="medium">
        <color indexed="64"/>
      </top>
      <bottom style="thin">
        <color indexed="64"/>
      </bottom>
      <diagonal/>
    </border>
    <border>
      <left style="thick">
        <color indexed="64"/>
      </left>
      <right/>
      <top style="thick">
        <color indexed="64"/>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style="thick">
        <color indexed="64"/>
      </left>
      <right style="medium">
        <color indexed="64"/>
      </right>
      <top style="thick">
        <color indexed="64"/>
      </top>
      <bottom/>
      <diagonal/>
    </border>
    <border>
      <left style="thick">
        <color auto="1"/>
      </left>
      <right/>
      <top/>
      <bottom style="thick">
        <color auto="1"/>
      </bottom>
      <diagonal/>
    </border>
    <border>
      <left/>
      <right/>
      <top style="medium">
        <color auto="1"/>
      </top>
      <bottom/>
      <diagonal/>
    </border>
    <border>
      <left/>
      <right/>
      <top style="thin">
        <color indexed="64"/>
      </top>
      <bottom/>
      <diagonal/>
    </border>
    <border>
      <left/>
      <right/>
      <top/>
      <bottom style="medium">
        <color auto="1"/>
      </bottom>
      <diagonal/>
    </border>
    <border>
      <left/>
      <right/>
      <top style="medium">
        <color auto="1"/>
      </top>
      <bottom style="medium">
        <color auto="1"/>
      </bottom>
      <diagonal/>
    </border>
    <border>
      <left style="medium">
        <color indexed="64"/>
      </left>
      <right/>
      <top style="medium">
        <color auto="1"/>
      </top>
      <bottom style="medium">
        <color auto="1"/>
      </bottom>
      <diagonal/>
    </border>
    <border>
      <left style="thick">
        <color indexed="64"/>
      </left>
      <right style="medium">
        <color indexed="64"/>
      </right>
      <top style="medium">
        <color auto="1"/>
      </top>
      <bottom style="medium">
        <color auto="1"/>
      </bottom>
      <diagonal/>
    </border>
    <border>
      <left/>
      <right style="thin">
        <color indexed="64"/>
      </right>
      <top style="thick">
        <color indexed="64"/>
      </top>
      <bottom style="medium">
        <color auto="1"/>
      </bottom>
      <diagonal/>
    </border>
    <border>
      <left/>
      <right style="thin">
        <color auto="1"/>
      </right>
      <top style="medium">
        <color auto="1"/>
      </top>
      <bottom/>
      <diagonal/>
    </border>
    <border>
      <left style="medium">
        <color auto="1"/>
      </left>
      <right/>
      <top style="medium">
        <color auto="1"/>
      </top>
      <bottom/>
      <diagonal/>
    </border>
    <border>
      <left style="thin">
        <color auto="1"/>
      </left>
      <right/>
      <top style="medium">
        <color auto="1"/>
      </top>
      <bottom/>
      <diagonal/>
    </border>
    <border>
      <left/>
      <right/>
      <top style="thin">
        <color auto="1"/>
      </top>
      <bottom style="thin">
        <color auto="1"/>
      </bottom>
      <diagonal/>
    </border>
    <border>
      <left style="thin">
        <color indexed="64"/>
      </left>
      <right/>
      <top/>
      <bottom style="thin">
        <color auto="1"/>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medium">
        <color auto="1"/>
      </top>
      <bottom style="medium">
        <color auto="1"/>
      </bottom>
      <diagonal/>
    </border>
    <border>
      <left style="thin">
        <color indexed="64"/>
      </left>
      <right style="thin">
        <color indexed="64"/>
      </right>
      <top/>
      <bottom style="thin">
        <color indexed="64"/>
      </bottom>
      <diagonal/>
    </border>
    <border>
      <left/>
      <right style="medium">
        <color indexed="64"/>
      </right>
      <top/>
      <bottom/>
      <diagonal/>
    </border>
    <border>
      <left/>
      <right/>
      <top/>
      <bottom style="medium">
        <color auto="1"/>
      </bottom>
      <diagonal/>
    </border>
    <border>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22"/>
      </left>
      <right/>
      <top style="thin">
        <color indexed="22"/>
      </top>
      <bottom style="thin">
        <color indexed="22"/>
      </bottom>
      <diagonal/>
    </border>
    <border>
      <left style="medium">
        <color indexed="64"/>
      </left>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medium">
        <color indexed="64"/>
      </left>
      <right/>
      <top style="thin">
        <color indexed="22"/>
      </top>
      <bottom style="medium">
        <color indexed="64"/>
      </bottom>
      <diagonal/>
    </border>
    <border>
      <left style="thin">
        <color indexed="22"/>
      </left>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auto="1"/>
      </left>
      <right style="thin">
        <color indexed="64"/>
      </right>
      <top style="medium">
        <color auto="1"/>
      </top>
      <bottom/>
      <diagonal/>
    </border>
    <border>
      <left style="medium">
        <color auto="1"/>
      </left>
      <right style="thin">
        <color indexed="64"/>
      </right>
      <top/>
      <bottom style="medium">
        <color indexed="64"/>
      </bottom>
      <diagonal/>
    </border>
    <border>
      <left style="thin">
        <color indexed="64"/>
      </left>
      <right/>
      <top style="thin">
        <color indexed="64"/>
      </top>
      <bottom/>
      <diagonal/>
    </border>
    <border>
      <left/>
      <right/>
      <top style="thin">
        <color indexed="64"/>
      </top>
      <bottom style="hair">
        <color indexed="22"/>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hair">
        <color indexed="22"/>
      </top>
      <bottom style="hair">
        <color indexed="22"/>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thin">
        <color indexed="64"/>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thin">
        <color indexed="8"/>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style="hair">
        <color indexed="22"/>
      </top>
      <bottom style="thin">
        <color indexed="8"/>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bottom style="thin">
        <color indexed="64"/>
      </bottom>
      <diagonal/>
    </border>
    <border>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64"/>
      </bottom>
      <diagonal/>
    </border>
    <border>
      <left/>
      <right style="thin">
        <color indexed="22"/>
      </right>
      <top style="thin">
        <color indexed="22"/>
      </top>
      <bottom style="thin">
        <color indexed="64"/>
      </bottom>
      <diagonal/>
    </border>
    <border>
      <left style="thin">
        <color indexed="22"/>
      </left>
      <right/>
      <top/>
      <bottom style="thin">
        <color indexed="22"/>
      </bottom>
      <diagonal/>
    </border>
    <border>
      <left/>
      <right style="thin">
        <color indexed="22"/>
      </right>
      <top/>
      <bottom style="thin">
        <color indexed="22"/>
      </bottom>
      <diagonal/>
    </border>
    <border>
      <left style="medium">
        <color indexed="64"/>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thin">
        <color indexed="23"/>
      </right>
      <top/>
      <bottom style="thin">
        <color indexed="64"/>
      </bottom>
      <diagonal/>
    </border>
    <border>
      <left/>
      <right/>
      <top style="thin">
        <color indexed="64"/>
      </top>
      <bottom/>
      <diagonal/>
    </border>
    <border>
      <left/>
      <right/>
      <top style="medium">
        <color indexed="64"/>
      </top>
      <bottom style="thin">
        <color indexed="64"/>
      </bottom>
      <diagonal/>
    </border>
    <border>
      <left style="thin">
        <color indexed="64"/>
      </left>
      <right/>
      <top/>
      <bottom style="thin">
        <color indexed="64"/>
      </bottom>
      <diagonal/>
    </border>
    <border>
      <left style="thick">
        <color indexed="64"/>
      </left>
      <right/>
      <top/>
      <bottom style="thick">
        <color auto="1"/>
      </bottom>
      <diagonal/>
    </border>
    <border>
      <left/>
      <right/>
      <top style="thin">
        <color indexed="64"/>
      </top>
      <bottom style="thin">
        <color indexed="64"/>
      </bottom>
      <diagonal/>
    </border>
    <border>
      <left/>
      <right style="medium">
        <color indexed="64"/>
      </right>
      <top/>
      <bottom style="thin">
        <color indexed="64"/>
      </bottom>
      <diagonal/>
    </border>
    <border>
      <left style="medium">
        <color auto="1"/>
      </left>
      <right/>
      <top style="medium">
        <color auto="1"/>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right style="thin">
        <color indexed="64"/>
      </right>
      <top style="medium">
        <color auto="1"/>
      </top>
      <bottom style="medium">
        <color auto="1"/>
      </bottom>
      <diagonal/>
    </border>
    <border>
      <left style="thin">
        <color auto="1"/>
      </left>
      <right style="thin">
        <color auto="1"/>
      </right>
      <top/>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rgb="FFFF0000"/>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style="thin">
        <color rgb="FFFF0000"/>
      </right>
      <top style="thin">
        <color rgb="FFFF0000"/>
      </top>
      <bottom/>
      <diagonal/>
    </border>
    <border>
      <left style="thin">
        <color rgb="FFFF0000"/>
      </left>
      <right style="thin">
        <color rgb="FFFF0000"/>
      </right>
      <top/>
      <bottom/>
      <diagonal/>
    </border>
    <border>
      <left style="thin">
        <color rgb="FFFF0000"/>
      </left>
      <right style="thin">
        <color rgb="FFFF0000"/>
      </right>
      <top/>
      <bottom style="thin">
        <color rgb="FFFF0000"/>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medium">
        <color theme="1"/>
      </left>
      <right style="medium">
        <color theme="1"/>
      </right>
      <top style="medium">
        <color theme="1"/>
      </top>
      <bottom style="medium">
        <color theme="1"/>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thin">
        <color theme="1"/>
      </left>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style="medium">
        <color theme="1"/>
      </bottom>
      <diagonal/>
    </border>
    <border>
      <left/>
      <right style="thin">
        <color theme="1"/>
      </right>
      <top style="medium">
        <color theme="1"/>
      </top>
      <bottom/>
      <diagonal/>
    </border>
  </borders>
  <cellStyleXfs count="4350">
    <xf numFmtId="0" fontId="0" fillId="0" borderId="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5"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18" fillId="0" borderId="0" applyNumberFormat="0" applyFont="0" applyFill="0" applyBorder="0" applyProtection="0">
      <alignment horizontal="left" vertical="center" indent="5"/>
    </xf>
    <xf numFmtId="0" fontId="21" fillId="12"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4" fontId="47" fillId="20" borderId="1">
      <alignment horizontal="right" vertical="center"/>
    </xf>
    <xf numFmtId="4" fontId="47" fillId="20" borderId="1">
      <alignment horizontal="right" vertical="center"/>
    </xf>
    <xf numFmtId="0" fontId="63" fillId="39" borderId="0" applyNumberFormat="0" applyBorder="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2" fillId="21" borderId="2" applyNumberFormat="0" applyAlignment="0" applyProtection="0"/>
    <xf numFmtId="0" fontId="23" fillId="0" borderId="3" applyNumberFormat="0" applyFill="0" applyAlignment="0" applyProtection="0"/>
    <xf numFmtId="0" fontId="24" fillId="22" borderId="4" applyNumberFormat="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9" borderId="0" applyNumberFormat="0" applyBorder="0" applyAlignment="0" applyProtection="0"/>
    <xf numFmtId="165" fontId="17"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50" fillId="0" borderId="0" applyFont="0" applyFill="0" applyBorder="0" applyAlignment="0" applyProtection="0"/>
    <xf numFmtId="165" fontId="45" fillId="0" borderId="0" applyFont="0" applyFill="0" applyBorder="0" applyAlignment="0" applyProtection="0"/>
    <xf numFmtId="165" fontId="18" fillId="0" borderId="0" applyFont="0" applyFill="0" applyBorder="0" applyAlignment="0" applyProtection="0"/>
    <xf numFmtId="165" fontId="45"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6" fontId="18" fillId="0" borderId="0" applyFont="0" applyFill="0" applyBorder="0" applyAlignment="0" applyProtection="0"/>
    <xf numFmtId="0" fontId="52" fillId="0" borderId="0"/>
    <xf numFmtId="0" fontId="48" fillId="0" borderId="5">
      <alignment horizontal="left" vertical="center" wrapText="1" indent="2"/>
    </xf>
    <xf numFmtId="0" fontId="48" fillId="0" borderId="5">
      <alignment horizontal="left" vertical="center" wrapText="1" indent="2"/>
    </xf>
    <xf numFmtId="0" fontId="48" fillId="0" borderId="5">
      <alignment horizontal="left" vertical="center" wrapText="1" indent="2"/>
    </xf>
    <xf numFmtId="0" fontId="48" fillId="0" borderId="5">
      <alignment horizontal="left" vertical="center" wrapText="1" indent="2"/>
    </xf>
    <xf numFmtId="0" fontId="48" fillId="0" borderId="5">
      <alignment horizontal="left" vertical="center" wrapText="1" indent="2"/>
    </xf>
    <xf numFmtId="0" fontId="48" fillId="0" borderId="5">
      <alignment horizontal="left" vertical="center" wrapText="1" indent="2"/>
    </xf>
    <xf numFmtId="171" fontId="17"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77" fontId="18" fillId="0" borderId="0" applyFont="0" applyFill="0" applyBorder="0" applyAlignment="0" applyProtection="0"/>
    <xf numFmtId="171" fontId="18" fillId="0" borderId="0" applyFont="0" applyFill="0" applyBorder="0" applyAlignment="0" applyProtection="0"/>
    <xf numFmtId="171" fontId="50" fillId="0" borderId="0" applyFont="0" applyFill="0" applyBorder="0" applyAlignment="0" applyProtection="0"/>
    <xf numFmtId="171" fontId="45" fillId="0" borderId="0" applyFont="0" applyFill="0" applyBorder="0" applyAlignment="0" applyProtection="0"/>
    <xf numFmtId="171" fontId="18" fillId="0" borderId="0" applyFont="0" applyFill="0" applyBorder="0" applyAlignment="0" applyProtection="0"/>
    <xf numFmtId="0" fontId="18" fillId="0" borderId="0" applyFont="0" applyFill="0" applyBorder="0" applyAlignment="0" applyProtection="0"/>
    <xf numFmtId="171" fontId="18"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71"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18" fillId="0" borderId="0" applyFont="0" applyFill="0" applyBorder="0" applyAlignment="0" applyProtection="0"/>
    <xf numFmtId="168" fontId="50" fillId="0" borderId="0" applyFont="0" applyFill="0" applyBorder="0" applyAlignment="0" applyProtection="0"/>
    <xf numFmtId="168" fontId="45" fillId="0" borderId="0" applyFon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168" fontId="45" fillId="0" borderId="0" applyFont="0" applyFill="0" applyBorder="0" applyAlignment="0" applyProtection="0"/>
    <xf numFmtId="0" fontId="52" fillId="0" borderId="0"/>
    <xf numFmtId="0" fontId="64" fillId="0" borderId="0" applyNumberFormat="0" applyFill="0" applyBorder="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0" fontId="25" fillId="7" borderId="2" applyNumberFormat="0" applyAlignment="0" applyProtection="0"/>
    <xf numFmtId="4" fontId="48" fillId="0" borderId="0" applyBorder="0">
      <alignment horizontal="righ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165" fontId="18"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43" fontId="18" fillId="0" borderId="0" applyFont="0" applyFill="0" applyBorder="0" applyAlignment="0" applyProtection="0"/>
    <xf numFmtId="43" fontId="50" fillId="0" borderId="0" applyFont="0" applyFill="0" applyBorder="0" applyAlignment="0" applyProtection="0"/>
    <xf numFmtId="43" fontId="4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45" fillId="0" borderId="0" applyFont="0" applyFill="0" applyBorder="0" applyAlignment="0" applyProtection="0"/>
    <xf numFmtId="0" fontId="27" fillId="23" borderId="0" applyNumberFormat="0" applyBorder="0" applyAlignment="0" applyProtection="0"/>
    <xf numFmtId="0" fontId="18" fillId="0" borderId="0"/>
    <xf numFmtId="0" fontId="18" fillId="0" borderId="0"/>
    <xf numFmtId="0" fontId="52" fillId="0" borderId="0"/>
    <xf numFmtId="0" fontId="62" fillId="0" borderId="0"/>
    <xf numFmtId="0" fontId="18" fillId="0" borderId="0"/>
    <xf numFmtId="0" fontId="62" fillId="0" borderId="0"/>
    <xf numFmtId="0" fontId="62" fillId="0" borderId="0"/>
    <xf numFmtId="0" fontId="62" fillId="0" borderId="0"/>
    <xf numFmtId="0" fontId="65" fillId="0" borderId="0"/>
    <xf numFmtId="0" fontId="66" fillId="0" borderId="0"/>
    <xf numFmtId="0" fontId="62" fillId="0" borderId="0"/>
    <xf numFmtId="0" fontId="66" fillId="0" borderId="0"/>
    <xf numFmtId="0" fontId="45" fillId="0" borderId="0"/>
    <xf numFmtId="0" fontId="18" fillId="0" borderId="0"/>
    <xf numFmtId="4" fontId="48" fillId="0" borderId="1" applyFill="0" applyBorder="0" applyProtection="0">
      <alignment horizontal="right" vertical="center"/>
    </xf>
    <xf numFmtId="4" fontId="48" fillId="0" borderId="1" applyFill="0" applyBorder="0" applyProtection="0">
      <alignment horizontal="right" vertical="center"/>
    </xf>
    <xf numFmtId="0" fontId="49" fillId="0" borderId="0" applyNumberFormat="0" applyFill="0" applyBorder="0" applyProtection="0">
      <alignment horizontal="left" vertical="center"/>
    </xf>
    <xf numFmtId="0" fontId="18" fillId="24" borderId="0" applyNumberFormat="0" applyFont="0" applyBorder="0" applyAlignment="0" applyProtection="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20" fillId="0" borderId="0"/>
    <xf numFmtId="0" fontId="20"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18" fillId="0" borderId="0"/>
    <xf numFmtId="0" fontId="18" fillId="0" borderId="0"/>
    <xf numFmtId="0" fontId="18" fillId="0" borderId="0"/>
    <xf numFmtId="0" fontId="26" fillId="0" borderId="0"/>
    <xf numFmtId="0" fontId="46" fillId="0" borderId="0"/>
    <xf numFmtId="0" fontId="17"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50"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45"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0" fontId="18" fillId="25" borderId="9" applyNumberFormat="0" applyFont="0" applyAlignment="0" applyProtection="0"/>
    <xf numFmtId="170" fontId="17"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18" fillId="0" borderId="0" applyFont="0" applyFill="0" applyBorder="0" applyAlignment="0" applyProtection="0"/>
    <xf numFmtId="170" fontId="50" fillId="0" borderId="0" applyFont="0" applyFill="0" applyBorder="0" applyAlignment="0" applyProtection="0"/>
    <xf numFmtId="170" fontId="45" fillId="0" borderId="0" applyFont="0" applyFill="0" applyBorder="0" applyAlignment="0" applyProtection="0"/>
    <xf numFmtId="170" fontId="18" fillId="0" borderId="0" applyFont="0" applyFill="0" applyBorder="0" applyAlignment="0" applyProtection="0"/>
    <xf numFmtId="170" fontId="18" fillId="0" borderId="0" applyFont="0" applyFill="0" applyBorder="0" applyAlignment="0" applyProtection="0"/>
    <xf numFmtId="170" fontId="45" fillId="0" borderId="0" applyFont="0" applyFill="0" applyBorder="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28" fillId="21" borderId="10" applyNumberFormat="0" applyAlignment="0" applyProtection="0"/>
    <xf numFmtId="0" fontId="52" fillId="0" borderId="0"/>
    <xf numFmtId="9" fontId="17"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53"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8"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45" fillId="0" borderId="0" applyFont="0" applyFill="0" applyBorder="0" applyAlignment="0" applyProtection="0"/>
    <xf numFmtId="9" fontId="18" fillId="0" borderId="0" applyFont="0" applyFill="0" applyBorder="0" applyAlignment="0" applyProtection="0"/>
    <xf numFmtId="0" fontId="18" fillId="0" borderId="0"/>
    <xf numFmtId="0" fontId="29"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0" borderId="6"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0" applyNumberFormat="0" applyFill="0" applyBorder="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5" fillId="0" borderId="11" applyNumberFormat="0" applyFill="0" applyAlignment="0" applyProtection="0"/>
    <xf numFmtId="0" fontId="36" fillId="3" borderId="0" applyNumberFormat="0" applyBorder="0" applyAlignment="0" applyProtection="0"/>
    <xf numFmtId="0" fontId="37" fillId="4" borderId="0" applyNumberFormat="0" applyBorder="0" applyAlignment="0" applyProtection="0"/>
    <xf numFmtId="4" fontId="48" fillId="0" borderId="0"/>
    <xf numFmtId="0" fontId="16" fillId="0" borderId="0"/>
    <xf numFmtId="180" fontId="17" fillId="0" borderId="0"/>
    <xf numFmtId="180" fontId="17" fillId="0" borderId="0"/>
    <xf numFmtId="3" fontId="17" fillId="43" borderId="70" applyFont="0" applyFill="0" applyBorder="0" applyAlignment="0" applyProtection="0"/>
    <xf numFmtId="3" fontId="17" fillId="43" borderId="70" applyFont="0" applyFill="0" applyBorder="0" applyAlignment="0" applyProtection="0"/>
    <xf numFmtId="0" fontId="17" fillId="0" borderId="0" applyNumberFormat="0" applyFont="0" applyFill="0" applyBorder="0" applyProtection="0">
      <alignment horizontal="left" vertical="center" indent="5"/>
    </xf>
    <xf numFmtId="0" fontId="63" fillId="39" borderId="0" applyNumberFormat="0" applyBorder="0" applyAlignment="0" applyProtection="0"/>
    <xf numFmtId="3" fontId="74" fillId="44" borderId="70" applyNumberFormat="0" applyBorder="0" applyAlignment="0" applyProtection="0"/>
    <xf numFmtId="0" fontId="71" fillId="42" borderId="70" applyNumberFormat="0" applyAlignment="0" applyProtection="0"/>
    <xf numFmtId="0" fontId="39" fillId="43" borderId="70" applyNumberFormat="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45" fillId="0" borderId="0" applyFont="0" applyFill="0" applyBorder="0" applyAlignment="0" applyProtection="0"/>
    <xf numFmtId="167" fontId="45"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4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45"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7"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80" fontId="17" fillId="0" borderId="0" applyFont="0" applyFill="0" applyBorder="0" applyAlignment="0" applyProtection="0"/>
    <xf numFmtId="180"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168" fontId="17" fillId="0" borderId="0" applyFont="0" applyFill="0" applyBorder="0" applyAlignment="0" applyProtection="0"/>
    <xf numFmtId="0" fontId="25" fillId="7" borderId="71"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0" fontId="64" fillId="0" borderId="0" applyNumberFormat="0" applyFill="0" applyBorder="0" applyAlignment="0" applyProtection="0"/>
    <xf numFmtId="181" fontId="76" fillId="45" borderId="0" applyNumberFormat="0" applyBorder="0" applyAlignment="0" applyProtection="0">
      <alignment horizontal="center" vertical="top" wrapText="1"/>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0" fontId="16" fillId="0" borderId="0"/>
    <xf numFmtId="0" fontId="17" fillId="0" borderId="0"/>
    <xf numFmtId="0" fontId="17" fillId="0" borderId="0"/>
    <xf numFmtId="0" fontId="16" fillId="0" borderId="0"/>
    <xf numFmtId="0" fontId="52" fillId="0" borderId="0"/>
    <xf numFmtId="0" fontId="17" fillId="0" borderId="0"/>
    <xf numFmtId="0" fontId="17" fillId="0" borderId="0"/>
    <xf numFmtId="0" fontId="17" fillId="0" borderId="0"/>
    <xf numFmtId="0" fontId="16" fillId="0" borderId="0"/>
    <xf numFmtId="0" fontId="17" fillId="0" borderId="0"/>
    <xf numFmtId="0" fontId="16" fillId="0" borderId="0"/>
    <xf numFmtId="0" fontId="16" fillId="0" borderId="0"/>
    <xf numFmtId="0" fontId="17" fillId="0" borderId="0"/>
    <xf numFmtId="0" fontId="17" fillId="0" borderId="0"/>
    <xf numFmtId="0" fontId="66" fillId="0" borderId="0"/>
    <xf numFmtId="0" fontId="66" fillId="0" borderId="0"/>
    <xf numFmtId="0" fontId="66" fillId="0" borderId="0"/>
    <xf numFmtId="0" fontId="16" fillId="0" borderId="0"/>
    <xf numFmtId="0" fontId="17" fillId="0" borderId="0"/>
    <xf numFmtId="0" fontId="16" fillId="0" borderId="0"/>
    <xf numFmtId="0" fontId="66" fillId="0" borderId="0"/>
    <xf numFmtId="0" fontId="16" fillId="0" borderId="0"/>
    <xf numFmtId="0" fontId="16" fillId="0" borderId="0"/>
    <xf numFmtId="0" fontId="17" fillId="24" borderId="0" applyNumberFormat="0" applyFon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25" borderId="72" applyNumberFormat="0" applyFont="0" applyAlignment="0" applyProtection="0"/>
    <xf numFmtId="0" fontId="17" fillId="25" borderId="72" applyNumberFormat="0" applyFont="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0" fontId="28" fillId="21" borderId="73" applyNumberFormat="0" applyAlignment="0" applyProtection="0"/>
    <xf numFmtId="0" fontId="77" fillId="46" borderId="0" applyNumberFormat="0" applyAlignment="0" applyProtection="0"/>
    <xf numFmtId="0" fontId="78" fillId="47" borderId="0" applyNumberFormat="0" applyAlignment="0" applyProtection="0"/>
    <xf numFmtId="0" fontId="79" fillId="48" borderId="0" applyNumberFormat="0" applyAlignment="0" applyProtection="0"/>
    <xf numFmtId="181" fontId="59" fillId="49" borderId="0" applyNumberFormat="0" applyFill="0" applyBorder="0" applyAlignment="0">
      <alignment horizontal="center"/>
    </xf>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80" fillId="42" borderId="70" applyNumberFormat="0" applyFill="0" applyBorder="0" applyAlignment="0" applyProtection="0"/>
    <xf numFmtId="0" fontId="81" fillId="42" borderId="70" applyFill="0" applyBorder="0" applyAlignment="0" applyProtection="0"/>
    <xf numFmtId="0" fontId="15" fillId="0" borderId="0"/>
    <xf numFmtId="166" fontId="17" fillId="0" borderId="0" applyFont="0" applyFill="0" applyBorder="0" applyAlignment="0" applyProtection="0"/>
    <xf numFmtId="0" fontId="14" fillId="0" borderId="0"/>
    <xf numFmtId="0" fontId="14" fillId="59" borderId="0" applyNumberFormat="0" applyBorder="0" applyAlignment="0" applyProtection="0"/>
    <xf numFmtId="0" fontId="14" fillId="59" borderId="0" applyNumberFormat="0" applyBorder="0" applyAlignment="0" applyProtection="0"/>
    <xf numFmtId="0" fontId="14" fillId="63" borderId="0" applyNumberFormat="0" applyBorder="0" applyAlignment="0" applyProtection="0"/>
    <xf numFmtId="0" fontId="14" fillId="63"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14" fillId="60" borderId="0" applyNumberFormat="0" applyBorder="0" applyAlignment="0" applyProtection="0"/>
    <xf numFmtId="0" fontId="14" fillId="60"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68" borderId="0" applyNumberFormat="0" applyBorder="0" applyAlignment="0" applyProtection="0"/>
    <xf numFmtId="0" fontId="14" fillId="68"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5"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84" fillId="61" borderId="0" applyNumberFormat="0" applyBorder="0" applyAlignment="0" applyProtection="0"/>
    <xf numFmtId="0" fontId="84" fillId="65" borderId="0" applyNumberFormat="0" applyBorder="0" applyAlignment="0" applyProtection="0"/>
    <xf numFmtId="0" fontId="84" fillId="69" borderId="0" applyNumberFormat="0" applyBorder="0" applyAlignment="0" applyProtection="0"/>
    <xf numFmtId="0" fontId="84" fillId="73" borderId="0" applyNumberFormat="0" applyBorder="0" applyAlignment="0" applyProtection="0"/>
    <xf numFmtId="0" fontId="84" fillId="77" borderId="0" applyNumberFormat="0" applyBorder="0" applyAlignment="0" applyProtection="0"/>
    <xf numFmtId="0" fontId="84" fillId="81" borderId="0" applyNumberFormat="0" applyBorder="0" applyAlignment="0" applyProtection="0"/>
    <xf numFmtId="0" fontId="22" fillId="21" borderId="86" applyNumberFormat="0" applyAlignment="0" applyProtection="0"/>
    <xf numFmtId="0" fontId="22" fillId="21" borderId="86" applyNumberFormat="0" applyAlignment="0" applyProtection="0"/>
    <xf numFmtId="0" fontId="22" fillId="21" borderId="86" applyNumberFormat="0" applyAlignment="0" applyProtection="0"/>
    <xf numFmtId="0" fontId="22" fillId="21" borderId="86" applyNumberFormat="0" applyAlignment="0" applyProtection="0"/>
    <xf numFmtId="165" fontId="45"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7" fontId="14" fillId="0" borderId="0" applyFont="0" applyFill="0" applyBorder="0" applyAlignment="0" applyProtection="0"/>
    <xf numFmtId="165" fontId="17" fillId="0" borderId="0" applyFont="0" applyFill="0" applyBorder="0" applyAlignment="0" applyProtection="0"/>
    <xf numFmtId="167" fontId="14" fillId="0" borderId="0" applyFont="0" applyFill="0" applyBorder="0" applyAlignment="0" applyProtection="0"/>
    <xf numFmtId="0" fontId="48" fillId="0" borderId="75">
      <alignment horizontal="left" vertical="center" wrapText="1" indent="2"/>
    </xf>
    <xf numFmtId="0" fontId="48" fillId="0" borderId="75">
      <alignment horizontal="left" vertical="center" wrapText="1" indent="2"/>
    </xf>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77" fontId="17" fillId="0" borderId="0" applyFont="0" applyFill="0" applyBorder="0" applyAlignment="0" applyProtection="0"/>
    <xf numFmtId="171" fontId="45" fillId="0" borderId="0" applyFont="0" applyFill="0" applyBorder="0" applyAlignment="0" applyProtection="0"/>
    <xf numFmtId="171"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168" fontId="45" fillId="0" borderId="0" applyFont="0" applyFill="0" applyBorder="0" applyAlignment="0" applyProtection="0"/>
    <xf numFmtId="168" fontId="17" fillId="0" borderId="0" applyFont="0" applyFill="0" applyBorder="0" applyAlignment="0" applyProtection="0"/>
    <xf numFmtId="0" fontId="85" fillId="54" borderId="0" applyNumberFormat="0" applyBorder="0" applyAlignment="0" applyProtection="0"/>
    <xf numFmtId="0" fontId="86" fillId="0" borderId="0" applyNumberFormat="0" applyFill="0" applyBorder="0" applyAlignment="0" applyProtection="0"/>
    <xf numFmtId="0" fontId="64" fillId="0" borderId="0" applyNumberFormat="0" applyFill="0" applyBorder="0" applyAlignment="0" applyProtection="0"/>
    <xf numFmtId="0" fontId="87" fillId="0" borderId="0" applyNumberFormat="0" applyFill="0" applyBorder="0" applyAlignment="0" applyProtection="0">
      <alignment vertical="top"/>
      <protection locked="0"/>
    </xf>
    <xf numFmtId="0" fontId="25" fillId="7" borderId="86" applyNumberFormat="0" applyAlignment="0" applyProtection="0"/>
    <xf numFmtId="0" fontId="25" fillId="7" borderId="86" applyNumberFormat="0" applyAlignment="0" applyProtection="0"/>
    <xf numFmtId="0" fontId="25" fillId="7" borderId="86" applyNumberFormat="0" applyAlignment="0" applyProtection="0"/>
    <xf numFmtId="0" fontId="25" fillId="7" borderId="86" applyNumberFormat="0" applyAlignment="0" applyProtection="0"/>
    <xf numFmtId="0" fontId="25" fillId="7" borderId="86" applyNumberFormat="0" applyAlignment="0" applyProtection="0"/>
    <xf numFmtId="0" fontId="25" fillId="7" borderId="86" applyNumberFormat="0" applyAlignment="0" applyProtection="0"/>
    <xf numFmtId="167" fontId="52" fillId="0" borderId="0" applyFont="0" applyFill="0" applyBorder="0" applyAlignment="0" applyProtection="0"/>
    <xf numFmtId="0" fontId="83" fillId="56" borderId="77" applyNumberFormat="0" applyAlignment="0" applyProtection="0"/>
    <xf numFmtId="0" fontId="84" fillId="58" borderId="0" applyNumberFormat="0" applyBorder="0" applyAlignment="0" applyProtection="0"/>
    <xf numFmtId="0" fontId="84" fillId="62" borderId="0" applyNumberFormat="0" applyBorder="0" applyAlignment="0" applyProtection="0"/>
    <xf numFmtId="0" fontId="84" fillId="66" borderId="0" applyNumberFormat="0" applyBorder="0" applyAlignment="0" applyProtection="0"/>
    <xf numFmtId="0" fontId="84" fillId="70" borderId="0" applyNumberFormat="0" applyBorder="0" applyAlignment="0" applyProtection="0"/>
    <xf numFmtId="0" fontId="84" fillId="74" borderId="0" applyNumberFormat="0" applyBorder="0" applyAlignment="0" applyProtection="0"/>
    <xf numFmtId="0" fontId="84" fillId="78" borderId="0" applyNumberFormat="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43" fontId="45" fillId="0" borderId="0" applyFont="0" applyFill="0" applyBorder="0" applyAlignment="0" applyProtection="0"/>
    <xf numFmtId="43" fontId="17" fillId="0" borderId="0" applyFont="0" applyFill="0" applyBorder="0" applyAlignment="0" applyProtection="0"/>
    <xf numFmtId="165" fontId="17" fillId="0" borderId="0" applyFont="0" applyFill="0" applyBorder="0" applyAlignment="0" applyProtection="0"/>
    <xf numFmtId="0" fontId="88" fillId="55" borderId="0" applyNumberFormat="0" applyBorder="0" applyAlignment="0" applyProtection="0"/>
    <xf numFmtId="0" fontId="66" fillId="0" borderId="0"/>
    <xf numFmtId="0" fontId="14" fillId="0" borderId="0"/>
    <xf numFmtId="0" fontId="17" fillId="0" borderId="0"/>
    <xf numFmtId="0" fontId="17" fillId="0" borderId="0"/>
    <xf numFmtId="0" fontId="14" fillId="0" borderId="0"/>
    <xf numFmtId="0" fontId="17" fillId="0" borderId="0"/>
    <xf numFmtId="0" fontId="14" fillId="0" borderId="0"/>
    <xf numFmtId="0" fontId="17" fillId="0" borderId="0"/>
    <xf numFmtId="0" fontId="17" fillId="0" borderId="0"/>
    <xf numFmtId="0" fontId="17" fillId="0" borderId="0"/>
    <xf numFmtId="0" fontId="17" fillId="0" borderId="0"/>
    <xf numFmtId="0" fontId="14" fillId="0" borderId="0"/>
    <xf numFmtId="0"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7" fillId="0" borderId="0"/>
    <xf numFmtId="0" fontId="66" fillId="0" borderId="0"/>
    <xf numFmtId="0" fontId="14" fillId="0" borderId="0"/>
    <xf numFmtId="0" fontId="14" fillId="0" borderId="0"/>
    <xf numFmtId="0" fontId="17" fillId="0" borderId="0"/>
    <xf numFmtId="0" fontId="17" fillId="0" borderId="0"/>
    <xf numFmtId="0" fontId="17" fillId="0" borderId="0"/>
    <xf numFmtId="0" fontId="1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5" fillId="0" borderId="0"/>
    <xf numFmtId="0" fontId="65" fillId="0" borderId="0"/>
    <xf numFmtId="0" fontId="17" fillId="0" borderId="0"/>
    <xf numFmtId="0" fontId="17" fillId="0" borderId="0"/>
    <xf numFmtId="0" fontId="17" fillId="0" borderId="0"/>
    <xf numFmtId="0" fontId="17" fillId="0" borderId="0"/>
    <xf numFmtId="0" fontId="17" fillId="0" borderId="0"/>
    <xf numFmtId="0" fontId="66" fillId="0" borderId="0"/>
    <xf numFmtId="0" fontId="66" fillId="0" borderId="0"/>
    <xf numFmtId="0" fontId="66" fillId="0" borderId="0"/>
    <xf numFmtId="0" fontId="6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45" fillId="0" borderId="0"/>
    <xf numFmtId="0" fontId="14" fillId="0" borderId="0"/>
    <xf numFmtId="0" fontId="14" fillId="0" borderId="0"/>
    <xf numFmtId="0" fontId="14" fillId="0" borderId="0"/>
    <xf numFmtId="0" fontId="66" fillId="0" borderId="0"/>
    <xf numFmtId="4" fontId="48" fillId="0" borderId="74" applyFill="0" applyBorder="0" applyProtection="0">
      <alignment horizontal="right" vertical="center"/>
    </xf>
    <xf numFmtId="4" fontId="48" fillId="0" borderId="74" applyFill="0" applyBorder="0" applyProtection="0">
      <alignment horizontal="right" vertical="center"/>
    </xf>
    <xf numFmtId="4" fontId="48" fillId="0" borderId="74" applyFill="0" applyBorder="0" applyProtection="0">
      <alignment horizontal="right" vertical="center"/>
    </xf>
    <xf numFmtId="0" fontId="20" fillId="0" borderId="0"/>
    <xf numFmtId="0" fontId="20" fillId="0" borderId="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45" fillId="25" borderId="87" applyNumberFormat="0" applyFont="0" applyAlignment="0" applyProtection="0"/>
    <xf numFmtId="0" fontId="45"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17" fillId="25" borderId="87" applyNumberFormat="0" applyFont="0" applyAlignment="0" applyProtection="0"/>
    <xf numFmtId="0" fontId="45" fillId="25" borderId="87" applyNumberFormat="0" applyFont="0" applyAlignment="0" applyProtection="0"/>
    <xf numFmtId="0" fontId="45" fillId="25" borderId="87" applyNumberFormat="0" applyFont="0" applyAlignment="0" applyProtection="0"/>
    <xf numFmtId="0" fontId="17" fillId="25" borderId="87" applyNumberFormat="0" applyFont="0" applyAlignment="0" applyProtection="0"/>
    <xf numFmtId="0" fontId="14" fillId="57" borderId="78" applyNumberFormat="0" applyFont="0" applyAlignment="0" applyProtection="0"/>
    <xf numFmtId="0" fontId="14" fillId="57" borderId="78" applyNumberFormat="0" applyFont="0" applyAlignment="0" applyProtection="0"/>
    <xf numFmtId="0" fontId="14" fillId="57" borderId="78" applyNumberFormat="0" applyFont="0" applyAlignment="0" applyProtection="0"/>
    <xf numFmtId="0" fontId="14" fillId="57" borderId="78" applyNumberFormat="0" applyFont="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170" fontId="45" fillId="0" borderId="0" applyFont="0" applyFill="0" applyBorder="0" applyAlignment="0" applyProtection="0"/>
    <xf numFmtId="170" fontId="17" fillId="0" borderId="0" applyFont="0" applyFill="0" applyBorder="0" applyAlignment="0" applyProtection="0"/>
    <xf numFmtId="0" fontId="28" fillId="21" borderId="88" applyNumberFormat="0" applyAlignment="0" applyProtection="0"/>
    <xf numFmtId="0" fontId="28" fillId="21" borderId="88" applyNumberFormat="0" applyAlignment="0" applyProtection="0"/>
    <xf numFmtId="0" fontId="28" fillId="21" borderId="88" applyNumberFormat="0" applyAlignment="0" applyProtection="0"/>
    <xf numFmtId="0" fontId="28" fillId="21" borderId="88" applyNumberFormat="0" applyAlignment="0" applyProtection="0"/>
    <xf numFmtId="0" fontId="28" fillId="21" borderId="88" applyNumberFormat="0" applyAlignment="0" applyProtection="0"/>
    <xf numFmtId="0" fontId="28" fillId="21" borderId="88" applyNumberFormat="0" applyAlignment="0" applyProtection="0"/>
    <xf numFmtId="9" fontId="1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14"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45" fillId="0" borderId="0" applyFont="0" applyFill="0" applyBorder="0" applyAlignment="0" applyProtection="0"/>
    <xf numFmtId="9" fontId="1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44" fillId="83" borderId="74" applyNumberFormat="0" applyProtection="0">
      <alignment horizontal="right"/>
    </xf>
    <xf numFmtId="0" fontId="89" fillId="83" borderId="0" applyNumberFormat="0" applyBorder="0" applyProtection="0">
      <alignment horizontal="left"/>
    </xf>
    <xf numFmtId="0" fontId="44" fillId="83" borderId="74" applyNumberFormat="0" applyProtection="0">
      <alignment horizontal="left"/>
    </xf>
    <xf numFmtId="49" fontId="17" fillId="0" borderId="74" applyFill="0" applyProtection="0">
      <alignment horizontal="right"/>
    </xf>
    <xf numFmtId="0" fontId="90" fillId="84" borderId="0" applyNumberFormat="0" applyBorder="0" applyProtection="0">
      <alignment horizontal="lef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44" fillId="83" borderId="74" applyNumberFormat="0" applyProtection="0">
      <alignment horizontal="right"/>
    </xf>
    <xf numFmtId="0" fontId="89" fillId="83" borderId="0" applyNumberFormat="0" applyBorder="0" applyProtection="0">
      <alignment horizontal="left"/>
    </xf>
    <xf numFmtId="0" fontId="44" fillId="83" borderId="74" applyNumberFormat="0" applyProtection="0">
      <alignment horizontal="left"/>
    </xf>
    <xf numFmtId="49" fontId="17" fillId="0" borderId="74" applyFill="0" applyProtection="0">
      <alignment horizontal="right"/>
    </xf>
    <xf numFmtId="0" fontId="90" fillId="84" borderId="0" applyNumberFormat="0" applyBorder="0" applyProtection="0">
      <alignment horizontal="lef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44" fillId="83" borderId="74" applyNumberFormat="0" applyProtection="0">
      <alignment horizontal="right"/>
    </xf>
    <xf numFmtId="0" fontId="89" fillId="83" borderId="0" applyNumberFormat="0" applyBorder="0" applyProtection="0">
      <alignment horizontal="left"/>
    </xf>
    <xf numFmtId="0" fontId="44" fillId="83" borderId="74" applyNumberFormat="0" applyProtection="0">
      <alignment horizontal="left"/>
    </xf>
    <xf numFmtId="49" fontId="17" fillId="0" borderId="74" applyFill="0" applyProtection="0">
      <alignment horizontal="right"/>
    </xf>
    <xf numFmtId="0" fontId="90" fillId="84" borderId="0" applyNumberFormat="0" applyBorder="0" applyProtection="0">
      <alignment horizontal="lef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44" fillId="83" borderId="74" applyNumberFormat="0" applyProtection="0">
      <alignment horizontal="righ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44" fillId="83" borderId="74" applyNumberFormat="0" applyProtection="0">
      <alignment horizontal="right"/>
    </xf>
    <xf numFmtId="0" fontId="89" fillId="83" borderId="0" applyNumberFormat="0" applyBorder="0" applyProtection="0">
      <alignment horizontal="left"/>
    </xf>
    <xf numFmtId="0" fontId="44" fillId="83" borderId="74" applyNumberFormat="0" applyProtection="0">
      <alignment horizontal="left"/>
    </xf>
    <xf numFmtId="49" fontId="17" fillId="0" borderId="74" applyFill="0" applyProtection="0">
      <alignment horizontal="right"/>
    </xf>
    <xf numFmtId="0" fontId="90" fillId="84" borderId="0" applyNumberFormat="0" applyBorder="0" applyProtection="0">
      <alignment horizontal="lef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44" fillId="83" borderId="74" applyNumberFormat="0" applyProtection="0">
      <alignment horizontal="right"/>
    </xf>
    <xf numFmtId="0" fontId="89" fillId="83" borderId="0" applyNumberFormat="0" applyBorder="0" applyProtection="0">
      <alignment horizontal="left"/>
    </xf>
    <xf numFmtId="0" fontId="44" fillId="83" borderId="74" applyNumberFormat="0" applyProtection="0">
      <alignment horizontal="left"/>
    </xf>
    <xf numFmtId="49" fontId="17" fillId="0" borderId="74" applyFill="0" applyProtection="0">
      <alignment horizontal="right"/>
    </xf>
    <xf numFmtId="0" fontId="90" fillId="84" borderId="0" applyNumberFormat="0" applyBorder="0" applyProtection="0">
      <alignment horizontal="lef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44" fillId="83" borderId="74" applyNumberFormat="0" applyProtection="0">
      <alignment horizontal="right"/>
    </xf>
    <xf numFmtId="0" fontId="89" fillId="83" borderId="0" applyNumberFormat="0" applyBorder="0" applyProtection="0">
      <alignment horizontal="left"/>
    </xf>
    <xf numFmtId="0" fontId="44" fillId="83" borderId="74" applyNumberFormat="0" applyProtection="0">
      <alignment horizontal="left"/>
    </xf>
    <xf numFmtId="49" fontId="17" fillId="0" borderId="74" applyFill="0" applyProtection="0">
      <alignment horizontal="right"/>
    </xf>
    <xf numFmtId="0" fontId="90" fillId="84" borderId="0" applyNumberFormat="0" applyBorder="0" applyProtection="0">
      <alignment horizontal="left"/>
    </xf>
    <xf numFmtId="1" fontId="17" fillId="0" borderId="74" applyFill="0" applyProtection="0">
      <alignment horizontal="right" vertical="top" wrapText="1"/>
    </xf>
    <xf numFmtId="2" fontId="17" fillId="0" borderId="74" applyFill="0" applyProtection="0">
      <alignment horizontal="right" vertical="top" wrapText="1"/>
    </xf>
    <xf numFmtId="0" fontId="17" fillId="0" borderId="74" applyFill="0" applyProtection="0">
      <alignment horizontal="right" vertical="top" wrapText="1"/>
    </xf>
    <xf numFmtId="0" fontId="32" fillId="0" borderId="89" applyNumberFormat="0" applyFill="0" applyAlignment="0" applyProtection="0"/>
    <xf numFmtId="0" fontId="32" fillId="0" borderId="89" applyNumberFormat="0" applyFill="0" applyAlignment="0" applyProtection="0"/>
    <xf numFmtId="0" fontId="33" fillId="0" borderId="90" applyNumberFormat="0" applyFill="0" applyAlignment="0" applyProtection="0"/>
    <xf numFmtId="0" fontId="33" fillId="0" borderId="90"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35" fillId="0" borderId="91" applyNumberFormat="0" applyFill="0" applyAlignment="0" applyProtection="0"/>
    <xf numFmtId="0" fontId="91" fillId="0" borderId="0" applyNumberFormat="0" applyBorder="0" applyAlignment="0"/>
    <xf numFmtId="0" fontId="91" fillId="0" borderId="0" applyNumberFormat="0" applyBorder="0" applyAlignment="0"/>
    <xf numFmtId="0" fontId="91" fillId="0" borderId="0" applyNumberFormat="0" applyBorder="0" applyAlignment="0"/>
    <xf numFmtId="0" fontId="91" fillId="0" borderId="0" applyNumberFormat="0" applyBorder="0" applyAlignment="0"/>
    <xf numFmtId="0" fontId="91" fillId="0" borderId="0" applyNumberFormat="0" applyBorder="0" applyAlignment="0"/>
    <xf numFmtId="0" fontId="91" fillId="0" borderId="0" applyNumberFormat="0" applyBorder="0" applyAlignment="0"/>
    <xf numFmtId="0" fontId="94" fillId="49" borderId="92">
      <alignment vertical="top" wrapText="1"/>
    </xf>
    <xf numFmtId="0" fontId="13" fillId="0" borderId="0"/>
    <xf numFmtId="0" fontId="91" fillId="0" borderId="0" applyNumberFormat="0" applyBorder="0" applyAlignment="0"/>
    <xf numFmtId="165" fontId="13" fillId="0" borderId="0" applyFont="0" applyFill="0" applyBorder="0" applyAlignment="0" applyProtection="0"/>
    <xf numFmtId="9" fontId="13" fillId="0" borderId="0" applyFont="0" applyFill="0" applyBorder="0" applyAlignment="0" applyProtection="0"/>
    <xf numFmtId="0" fontId="94" fillId="49" borderId="92">
      <alignment horizontal="center" vertical="center"/>
    </xf>
    <xf numFmtId="0" fontId="94" fillId="0" borderId="92">
      <alignment horizontal="left" vertical="center" wrapText="1"/>
    </xf>
    <xf numFmtId="0" fontId="115" fillId="0" borderId="0" applyNumberFormat="0" applyFill="0" applyBorder="0" applyAlignment="0" applyProtection="0"/>
  </cellStyleXfs>
  <cellXfs count="1599">
    <xf numFmtId="0" fontId="0" fillId="0" borderId="0" xfId="0"/>
    <xf numFmtId="0" fontId="0" fillId="0" borderId="0" xfId="0" applyBorder="1"/>
    <xf numFmtId="0" fontId="19" fillId="0" borderId="0" xfId="0" applyFont="1"/>
    <xf numFmtId="0" fontId="0" fillId="0" borderId="0" xfId="0" applyFill="1" applyBorder="1"/>
    <xf numFmtId="0" fontId="0" fillId="0" borderId="0" xfId="0" applyAlignment="1">
      <alignment horizontal="center"/>
    </xf>
    <xf numFmtId="0" fontId="0" fillId="0" borderId="0" xfId="0" applyBorder="1" applyAlignment="1">
      <alignment horizontal="center"/>
    </xf>
    <xf numFmtId="0" fontId="0" fillId="0" borderId="0" xfId="0" applyAlignment="1">
      <alignment horizontal="left"/>
    </xf>
    <xf numFmtId="0" fontId="19" fillId="0" borderId="0" xfId="0" applyFont="1" applyAlignment="1">
      <alignment horizontal="left"/>
    </xf>
    <xf numFmtId="0" fontId="0" fillId="0" borderId="0" xfId="0" applyBorder="1" applyAlignment="1">
      <alignment horizontal="left"/>
    </xf>
    <xf numFmtId="2" fontId="19" fillId="0" borderId="0" xfId="0" applyNumberFormat="1" applyFont="1" applyAlignment="1">
      <alignment horizontal="left"/>
    </xf>
    <xf numFmtId="0" fontId="1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18" fillId="0" borderId="0" xfId="0" applyFont="1"/>
    <xf numFmtId="0" fontId="40" fillId="26" borderId="12" xfId="0" applyFont="1" applyFill="1" applyBorder="1" applyAlignment="1">
      <alignment horizontal="left" vertical="top" wrapText="1"/>
    </xf>
    <xf numFmtId="0" fontId="39" fillId="27" borderId="13" xfId="0" applyFont="1" applyFill="1" applyBorder="1" applyAlignment="1">
      <alignment horizontal="left" vertical="center" wrapText="1"/>
    </xf>
    <xf numFmtId="0" fontId="39" fillId="0" borderId="0" xfId="0" applyFont="1" applyFill="1"/>
    <xf numFmtId="0" fontId="0" fillId="28" borderId="0" xfId="0" applyFill="1"/>
    <xf numFmtId="0" fontId="39" fillId="27" borderId="14" xfId="0" applyFont="1" applyFill="1" applyBorder="1" applyAlignment="1">
      <alignment horizontal="left" vertical="center" wrapText="1"/>
    </xf>
    <xf numFmtId="0" fontId="39" fillId="27" borderId="13" xfId="0" applyFont="1" applyFill="1" applyBorder="1" applyAlignment="1">
      <alignment horizontal="center" vertical="center" wrapText="1"/>
    </xf>
    <xf numFmtId="0" fontId="40" fillId="29" borderId="12" xfId="0" applyFont="1" applyFill="1" applyBorder="1" applyAlignment="1">
      <alignment horizontal="left" vertical="center" wrapText="1"/>
    </xf>
    <xf numFmtId="0" fontId="40" fillId="29" borderId="12" xfId="0" applyFont="1" applyFill="1" applyBorder="1" applyAlignment="1">
      <alignment horizontal="right" vertical="center" wrapText="1"/>
    </xf>
    <xf numFmtId="0" fontId="40" fillId="29" borderId="15" xfId="0" applyFont="1" applyFill="1" applyBorder="1" applyAlignment="1">
      <alignment horizontal="right" vertical="center" wrapText="1"/>
    </xf>
    <xf numFmtId="0" fontId="4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9" fillId="27" borderId="18" xfId="0" applyFont="1" applyFill="1" applyBorder="1" applyAlignment="1">
      <alignment horizontal="left" vertical="center" wrapText="1"/>
    </xf>
    <xf numFmtId="2" fontId="0" fillId="0" borderId="0" xfId="0" applyNumberFormat="1" applyAlignment="1">
      <alignment horizontal="center"/>
    </xf>
    <xf numFmtId="172" fontId="0" fillId="0" borderId="0" xfId="0" applyNumberFormat="1" applyAlignment="1">
      <alignment horizontal="left"/>
    </xf>
    <xf numFmtId="43" fontId="0" fillId="0" borderId="0" xfId="0" applyNumberFormat="1"/>
    <xf numFmtId="0" fontId="0" fillId="0" borderId="17" xfId="0" applyFill="1" applyBorder="1"/>
    <xf numFmtId="0" fontId="0" fillId="0" borderId="17" xfId="0" applyBorder="1" applyAlignment="1">
      <alignment horizontal="left"/>
    </xf>
    <xf numFmtId="0" fontId="39" fillId="29" borderId="13" xfId="0" applyFont="1" applyFill="1" applyBorder="1" applyAlignment="1">
      <alignment horizontal="left" vertical="center" wrapText="1"/>
    </xf>
    <xf numFmtId="0" fontId="39" fillId="30" borderId="13" xfId="0" applyFont="1" applyFill="1" applyBorder="1" applyAlignment="1">
      <alignment horizontal="left" vertical="center" wrapText="1"/>
    </xf>
    <xf numFmtId="0" fontId="1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37" fillId="0" borderId="24" xfId="1814" applyFill="1" applyBorder="1"/>
    <xf numFmtId="0" fontId="37" fillId="0" borderId="21" xfId="1814"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165" fontId="0" fillId="0" borderId="0" xfId="0" applyNumberFormat="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165" fontId="45" fillId="29" borderId="0" xfId="39" applyFont="1" applyFill="1"/>
    <xf numFmtId="172" fontId="0" fillId="0" borderId="17" xfId="0" applyNumberFormat="1" applyBorder="1" applyAlignment="1">
      <alignment horizontal="left"/>
    </xf>
    <xf numFmtId="165" fontId="0" fillId="0" borderId="0" xfId="0" applyNumberFormat="1" applyBorder="1" applyAlignment="1">
      <alignment horizontal="center"/>
    </xf>
    <xf numFmtId="0" fontId="55" fillId="0" borderId="0" xfId="0" applyFont="1" applyAlignment="1">
      <alignment horizontal="left"/>
    </xf>
    <xf numFmtId="2" fontId="56" fillId="0" borderId="0" xfId="0" applyNumberFormat="1" applyFont="1" applyAlignment="1">
      <alignment horizontal="center"/>
    </xf>
    <xf numFmtId="0" fontId="55" fillId="0" borderId="0" xfId="0" applyFont="1"/>
    <xf numFmtId="0" fontId="56" fillId="0" borderId="0" xfId="0" applyFont="1"/>
    <xf numFmtId="165" fontId="45" fillId="0" borderId="0" xfId="38" applyFont="1" applyFill="1" applyBorder="1" applyAlignment="1">
      <alignment horizontal="left"/>
    </xf>
    <xf numFmtId="165" fontId="45" fillId="0" borderId="0" xfId="39" applyFont="1" applyFill="1" applyBorder="1" applyAlignment="1">
      <alignment horizontal="center"/>
    </xf>
    <xf numFmtId="0" fontId="66" fillId="0" borderId="0" xfId="876"/>
    <xf numFmtId="0" fontId="54" fillId="0" borderId="0" xfId="876" applyFont="1"/>
    <xf numFmtId="0" fontId="51" fillId="35" borderId="0" xfId="876" applyFont="1" applyFill="1"/>
    <xf numFmtId="0" fontId="66" fillId="28" borderId="0" xfId="876" applyFill="1"/>
    <xf numFmtId="0" fontId="54" fillId="0" borderId="0" xfId="876" applyFont="1" applyFill="1"/>
    <xf numFmtId="0" fontId="54" fillId="0" borderId="0" xfId="876" applyFont="1" applyAlignment="1">
      <alignment horizontal="right"/>
    </xf>
    <xf numFmtId="0" fontId="51" fillId="0" borderId="0" xfId="876" applyFont="1" applyFill="1"/>
    <xf numFmtId="0" fontId="39" fillId="27" borderId="18" xfId="876" applyFont="1" applyFill="1" applyBorder="1" applyAlignment="1">
      <alignment horizontal="left" vertical="center" wrapText="1"/>
    </xf>
    <xf numFmtId="1" fontId="39" fillId="36" borderId="18" xfId="876" applyNumberFormat="1" applyFont="1" applyFill="1" applyBorder="1" applyAlignment="1">
      <alignment horizontal="right"/>
    </xf>
    <xf numFmtId="0" fontId="39" fillId="26" borderId="27" xfId="876" applyFont="1" applyFill="1" applyBorder="1" applyAlignment="1">
      <alignment horizontal="left" wrapText="1"/>
    </xf>
    <xf numFmtId="0" fontId="39" fillId="26" borderId="27" xfId="876" applyFont="1" applyFill="1" applyBorder="1" applyAlignment="1">
      <alignment horizontal="right" wrapText="1"/>
    </xf>
    <xf numFmtId="0" fontId="39" fillId="37" borderId="0" xfId="876" applyFont="1" applyFill="1"/>
    <xf numFmtId="178" fontId="39" fillId="37" borderId="0" xfId="876" applyNumberFormat="1" applyFont="1" applyFill="1"/>
    <xf numFmtId="179" fontId="19" fillId="0" borderId="0" xfId="0" applyNumberFormat="1" applyFont="1"/>
    <xf numFmtId="179" fontId="0" fillId="0" borderId="0" xfId="0" applyNumberFormat="1"/>
    <xf numFmtId="179" fontId="39" fillId="27" borderId="13" xfId="0" applyNumberFormat="1" applyFont="1" applyFill="1" applyBorder="1" applyAlignment="1">
      <alignment horizontal="left" vertical="center" wrapText="1"/>
    </xf>
    <xf numFmtId="179" fontId="40" fillId="26" borderId="12" xfId="0" quotePrefix="1" applyNumberFormat="1" applyFont="1" applyFill="1" applyBorder="1" applyAlignment="1">
      <alignment horizontal="left" vertical="top" wrapText="1"/>
    </xf>
    <xf numFmtId="179" fontId="0" fillId="0" borderId="0" xfId="38" applyNumberFormat="1" applyFont="1"/>
    <xf numFmtId="179" fontId="18" fillId="0" borderId="0" xfId="0" applyNumberFormat="1" applyFont="1" applyFill="1" applyBorder="1"/>
    <xf numFmtId="179" fontId="0" fillId="0" borderId="0" xfId="0" applyNumberFormat="1" applyFill="1"/>
    <xf numFmtId="179" fontId="0" fillId="0" borderId="17" xfId="0" applyNumberFormat="1" applyBorder="1"/>
    <xf numFmtId="179" fontId="18" fillId="0" borderId="17" xfId="0" applyNumberFormat="1" applyFont="1" applyFill="1" applyBorder="1"/>
    <xf numFmtId="179" fontId="0" fillId="0" borderId="17" xfId="0" applyNumberFormat="1" applyFill="1" applyBorder="1"/>
    <xf numFmtId="179" fontId="18" fillId="0" borderId="0" xfId="0" applyNumberFormat="1" applyFont="1"/>
    <xf numFmtId="179" fontId="18" fillId="0" borderId="17" xfId="0" applyNumberFormat="1" applyFont="1" applyBorder="1"/>
    <xf numFmtId="179" fontId="45" fillId="0" borderId="0" xfId="0" applyNumberFormat="1" applyFont="1" applyBorder="1"/>
    <xf numFmtId="179" fontId="45" fillId="0" borderId="17" xfId="0" applyNumberFormat="1" applyFont="1" applyBorder="1"/>
    <xf numFmtId="179" fontId="18" fillId="0" borderId="0" xfId="0" applyNumberFormat="1" applyFont="1" applyBorder="1"/>
    <xf numFmtId="179" fontId="0" fillId="0" borderId="0" xfId="0" applyNumberFormat="1" applyBorder="1"/>
    <xf numFmtId="179" fontId="0" fillId="0" borderId="0" xfId="0" applyNumberFormat="1" applyFill="1" applyBorder="1"/>
    <xf numFmtId="179" fontId="45" fillId="0" borderId="0" xfId="0" applyNumberFormat="1" applyFont="1"/>
    <xf numFmtId="179" fontId="0" fillId="0" borderId="0" xfId="0" applyNumberFormat="1" applyFont="1" applyFill="1" applyBorder="1"/>
    <xf numFmtId="179" fontId="0" fillId="0" borderId="0" xfId="0" applyNumberFormat="1" applyFill="1" applyBorder="1" applyAlignment="1">
      <alignment wrapText="1"/>
    </xf>
    <xf numFmtId="179" fontId="18" fillId="0" borderId="0" xfId="38" applyNumberFormat="1" applyFont="1"/>
    <xf numFmtId="179" fontId="0" fillId="0" borderId="0" xfId="0" applyNumberFormat="1" applyAlignment="1">
      <alignment horizontal="left"/>
    </xf>
    <xf numFmtId="179" fontId="18" fillId="0" borderId="0" xfId="38" applyNumberFormat="1" applyFont="1" applyBorder="1"/>
    <xf numFmtId="179" fontId="0" fillId="0" borderId="0" xfId="0" applyNumberFormat="1" applyBorder="1" applyAlignment="1">
      <alignment horizontal="left"/>
    </xf>
    <xf numFmtId="179" fontId="18" fillId="0" borderId="17" xfId="38" applyNumberFormat="1" applyFont="1" applyBorder="1"/>
    <xf numFmtId="179" fontId="0" fillId="0" borderId="17" xfId="0" applyNumberFormat="1" applyBorder="1" applyAlignment="1">
      <alignment horizontal="left"/>
    </xf>
    <xf numFmtId="179" fontId="18" fillId="0" borderId="0" xfId="0" applyNumberFormat="1" applyFont="1" applyFill="1"/>
    <xf numFmtId="179" fontId="18" fillId="0" borderId="0" xfId="38" applyNumberFormat="1" applyFont="1" applyFill="1"/>
    <xf numFmtId="179" fontId="18" fillId="0" borderId="0" xfId="38" applyNumberFormat="1" applyFont="1" applyFill="1" applyBorder="1"/>
    <xf numFmtId="179" fontId="18" fillId="0" borderId="17" xfId="38" applyNumberFormat="1" applyFont="1" applyFill="1" applyBorder="1"/>
    <xf numFmtId="179" fontId="0" fillId="0" borderId="0" xfId="0" applyNumberFormat="1" applyFont="1" applyFill="1"/>
    <xf numFmtId="179" fontId="0" fillId="0" borderId="17" xfId="0" applyNumberFormat="1" applyFont="1" applyFill="1" applyBorder="1"/>
    <xf numFmtId="0" fontId="44" fillId="0" borderId="0" xfId="877" applyFont="1"/>
    <xf numFmtId="179" fontId="44" fillId="0" borderId="0" xfId="877" applyNumberFormat="1" applyFont="1" applyFill="1" applyBorder="1"/>
    <xf numFmtId="0" fontId="45" fillId="0" borderId="0" xfId="877"/>
    <xf numFmtId="14" fontId="45" fillId="0" borderId="0" xfId="877" applyNumberFormat="1" applyFont="1" applyAlignment="1">
      <alignment horizontal="left"/>
    </xf>
    <xf numFmtId="179" fontId="45" fillId="0" borderId="0" xfId="877" applyNumberFormat="1" applyFont="1" applyFill="1" applyBorder="1" applyAlignment="1">
      <alignment horizontal="left"/>
    </xf>
    <xf numFmtId="0" fontId="45" fillId="0" borderId="0" xfId="877" applyFont="1" applyAlignment="1">
      <alignment horizontal="left"/>
    </xf>
    <xf numFmtId="179" fontId="45" fillId="0" borderId="0" xfId="877" applyNumberFormat="1" applyFill="1" applyBorder="1" applyAlignment="1">
      <alignment horizontal="left"/>
    </xf>
    <xf numFmtId="0" fontId="18" fillId="0" borderId="0" xfId="877" applyFont="1" applyFill="1" applyBorder="1" applyAlignment="1">
      <alignment horizontal="left"/>
    </xf>
    <xf numFmtId="14" fontId="45" fillId="0" borderId="0" xfId="877" applyNumberFormat="1" applyFill="1" applyAlignment="1">
      <alignment horizontal="left"/>
    </xf>
    <xf numFmtId="0" fontId="18" fillId="0" borderId="0" xfId="877" applyFont="1"/>
    <xf numFmtId="0" fontId="18" fillId="0" borderId="0" xfId="877" applyFont="1" applyAlignment="1">
      <alignment horizontal="left"/>
    </xf>
    <xf numFmtId="179" fontId="18" fillId="0" borderId="0" xfId="877" applyNumberFormat="1" applyFont="1" applyFill="1" applyBorder="1" applyAlignment="1">
      <alignment horizontal="left"/>
    </xf>
    <xf numFmtId="14" fontId="18" fillId="0" borderId="0" xfId="877" applyNumberFormat="1" applyFont="1" applyAlignment="1">
      <alignment horizontal="left"/>
    </xf>
    <xf numFmtId="0" fontId="39" fillId="30" borderId="18" xfId="0" applyFont="1" applyFill="1" applyBorder="1" applyAlignment="1">
      <alignment horizontal="left" vertical="center" wrapText="1"/>
    </xf>
    <xf numFmtId="169" fontId="0" fillId="30" borderId="0" xfId="0" applyNumberFormat="1" applyFill="1" applyAlignment="1">
      <alignment horizontal="left"/>
    </xf>
    <xf numFmtId="172" fontId="0" fillId="0" borderId="0" xfId="0" applyNumberFormat="1" applyFill="1" applyBorder="1" applyAlignment="1">
      <alignment horizontal="left"/>
    </xf>
    <xf numFmtId="0" fontId="0" fillId="0" borderId="0" xfId="0" applyFill="1" applyBorder="1" applyAlignment="1">
      <alignment horizontal="center"/>
    </xf>
    <xf numFmtId="179" fontId="0" fillId="0" borderId="17" xfId="0" applyNumberFormat="1" applyFill="1" applyBorder="1" applyAlignment="1">
      <alignment horizontal="left"/>
    </xf>
    <xf numFmtId="0" fontId="17" fillId="0" borderId="0" xfId="0" applyFont="1"/>
    <xf numFmtId="1" fontId="0" fillId="0" borderId="0" xfId="0" applyNumberFormat="1" applyBorder="1"/>
    <xf numFmtId="0" fontId="67" fillId="0" borderId="41" xfId="0" applyFont="1" applyBorder="1" applyAlignment="1">
      <alignment horizontal="center"/>
    </xf>
    <xf numFmtId="0" fontId="68" fillId="0" borderId="42" xfId="0" applyFont="1" applyBorder="1" applyAlignment="1">
      <alignment horizontal="center" vertical="center" wrapText="1"/>
    </xf>
    <xf numFmtId="0" fontId="67" fillId="0" borderId="16" xfId="0" applyFont="1" applyBorder="1" applyAlignment="1">
      <alignment horizontal="left" vertical="center" wrapText="1"/>
    </xf>
    <xf numFmtId="0" fontId="67" fillId="0" borderId="0" xfId="0" applyFont="1" applyBorder="1" applyAlignment="1">
      <alignment horizontal="center" vertical="center" wrapText="1"/>
    </xf>
    <xf numFmtId="0" fontId="67" fillId="0" borderId="32" xfId="0" applyFont="1" applyBorder="1" applyAlignment="1">
      <alignment horizontal="center" vertical="center" wrapText="1"/>
    </xf>
    <xf numFmtId="0" fontId="67" fillId="0" borderId="38" xfId="0" applyFont="1" applyBorder="1" applyAlignment="1">
      <alignment horizontal="left" vertical="center" wrapText="1"/>
    </xf>
    <xf numFmtId="0" fontId="67" fillId="0" borderId="39" xfId="0" applyFont="1" applyBorder="1" applyAlignment="1">
      <alignment horizontal="center" vertical="center" wrapText="1"/>
    </xf>
    <xf numFmtId="0" fontId="67" fillId="0" borderId="40" xfId="0" applyFont="1" applyBorder="1" applyAlignment="1">
      <alignment horizontal="center" vertical="center" wrapText="1"/>
    </xf>
    <xf numFmtId="0" fontId="67" fillId="0" borderId="46" xfId="0" applyFont="1" applyBorder="1" applyAlignment="1">
      <alignment horizontal="left" vertical="center" wrapText="1"/>
    </xf>
    <xf numFmtId="0" fontId="67" fillId="0" borderId="26" xfId="0" applyFont="1" applyBorder="1" applyAlignment="1">
      <alignment horizontal="center" vertical="center" wrapText="1"/>
    </xf>
    <xf numFmtId="0" fontId="67" fillId="0" borderId="47" xfId="0" applyFont="1" applyBorder="1" applyAlignment="1">
      <alignment horizontal="center" vertical="center" wrapText="1"/>
    </xf>
    <xf numFmtId="0" fontId="67" fillId="0" borderId="49" xfId="0" applyFont="1" applyBorder="1" applyAlignment="1">
      <alignment horizontal="left" vertical="center" wrapText="1"/>
    </xf>
    <xf numFmtId="0" fontId="67" fillId="0" borderId="27" xfId="0" applyFont="1" applyBorder="1" applyAlignment="1">
      <alignment horizontal="center" vertical="center" wrapText="1"/>
    </xf>
    <xf numFmtId="0" fontId="67" fillId="0" borderId="50" xfId="0" applyFont="1" applyBorder="1" applyAlignment="1">
      <alignment horizontal="center" vertical="center" wrapText="1"/>
    </xf>
    <xf numFmtId="0" fontId="67" fillId="0" borderId="28" xfId="0" applyFont="1" applyBorder="1" applyAlignment="1">
      <alignment horizontal="center" vertical="center" wrapText="1"/>
    </xf>
    <xf numFmtId="0" fontId="67" fillId="0" borderId="30" xfId="0" applyFont="1" applyBorder="1" applyAlignment="1">
      <alignment horizontal="center" vertical="center" wrapText="1"/>
    </xf>
    <xf numFmtId="0" fontId="67" fillId="0" borderId="51" xfId="0" applyFont="1" applyBorder="1" applyAlignment="1">
      <alignment horizontal="center" vertical="center" wrapText="1"/>
    </xf>
    <xf numFmtId="0" fontId="67" fillId="0" borderId="52" xfId="0" applyFont="1" applyBorder="1" applyAlignment="1">
      <alignment horizontal="center" vertical="center" wrapText="1"/>
    </xf>
    <xf numFmtId="0" fontId="17" fillId="27" borderId="0" xfId="0" applyFont="1" applyFill="1" applyBorder="1"/>
    <xf numFmtId="0" fontId="17" fillId="0" borderId="0" xfId="0" applyFont="1" applyFill="1"/>
    <xf numFmtId="0" fontId="17" fillId="0" borderId="0" xfId="0" applyFont="1" applyFill="1" applyBorder="1"/>
    <xf numFmtId="179" fontId="0" fillId="0" borderId="55" xfId="0" applyNumberFormat="1" applyBorder="1"/>
    <xf numFmtId="179" fontId="17" fillId="0" borderId="55" xfId="0" applyNumberFormat="1" applyFont="1" applyBorder="1"/>
    <xf numFmtId="179" fontId="18" fillId="0" borderId="55" xfId="0" applyNumberFormat="1" applyFont="1" applyBorder="1"/>
    <xf numFmtId="179" fontId="18" fillId="0" borderId="55" xfId="0" applyNumberFormat="1" applyFont="1" applyFill="1" applyBorder="1"/>
    <xf numFmtId="179" fontId="0" fillId="0" borderId="56" xfId="0" applyNumberFormat="1" applyBorder="1"/>
    <xf numFmtId="179" fontId="18" fillId="0" borderId="56" xfId="0" applyNumberFormat="1" applyFont="1" applyBorder="1"/>
    <xf numFmtId="179" fontId="18" fillId="0" borderId="56" xfId="0" applyNumberFormat="1" applyFont="1" applyFill="1" applyBorder="1"/>
    <xf numFmtId="179" fontId="0" fillId="0" borderId="57" xfId="0" applyNumberFormat="1" applyBorder="1"/>
    <xf numFmtId="179" fontId="18" fillId="0" borderId="57" xfId="0" applyNumberFormat="1" applyFont="1" applyBorder="1"/>
    <xf numFmtId="179" fontId="18" fillId="0" borderId="57" xfId="0" applyNumberFormat="1" applyFont="1" applyFill="1" applyBorder="1"/>
    <xf numFmtId="179" fontId="45" fillId="0" borderId="57" xfId="0" applyNumberFormat="1" applyFont="1" applyBorder="1"/>
    <xf numFmtId="0" fontId="17" fillId="0" borderId="57" xfId="0" applyFont="1" applyFill="1" applyBorder="1"/>
    <xf numFmtId="179" fontId="0" fillId="0" borderId="55" xfId="0" applyNumberFormat="1" applyFont="1" applyFill="1" applyBorder="1"/>
    <xf numFmtId="179" fontId="45" fillId="0" borderId="55" xfId="0" applyNumberFormat="1" applyFont="1" applyBorder="1"/>
    <xf numFmtId="0" fontId="17" fillId="0" borderId="55" xfId="0" applyFont="1" applyFill="1" applyBorder="1"/>
    <xf numFmtId="179" fontId="0" fillId="0" borderId="57" xfId="0" applyNumberFormat="1" applyFont="1" applyFill="1" applyBorder="1"/>
    <xf numFmtId="179" fontId="0" fillId="0" borderId="57" xfId="0" applyNumberFormat="1" applyFill="1" applyBorder="1"/>
    <xf numFmtId="0" fontId="0" fillId="0" borderId="57" xfId="0" applyFill="1" applyBorder="1"/>
    <xf numFmtId="0" fontId="17" fillId="0" borderId="17" xfId="0" applyFont="1" applyFill="1" applyBorder="1"/>
    <xf numFmtId="179" fontId="0" fillId="0" borderId="0" xfId="38" applyNumberFormat="1" applyFont="1" applyBorder="1"/>
    <xf numFmtId="0" fontId="0" fillId="0" borderId="56" xfId="0" applyFill="1" applyBorder="1"/>
    <xf numFmtId="179" fontId="40" fillId="26" borderId="56" xfId="0" applyNumberFormat="1" applyFont="1" applyFill="1" applyBorder="1" applyAlignment="1">
      <alignment horizontal="left" vertical="top" wrapText="1"/>
    </xf>
    <xf numFmtId="179" fontId="40" fillId="26" borderId="56" xfId="0" quotePrefix="1" applyNumberFormat="1" applyFont="1" applyFill="1" applyBorder="1" applyAlignment="1">
      <alignment horizontal="left" vertical="top" wrapText="1"/>
    </xf>
    <xf numFmtId="179" fontId="18" fillId="0" borderId="55" xfId="0" applyNumberFormat="1" applyFont="1" applyFill="1" applyBorder="1" applyAlignment="1">
      <alignment horizontal="left"/>
    </xf>
    <xf numFmtId="179" fontId="0" fillId="0" borderId="55" xfId="38" applyNumberFormat="1" applyFont="1" applyBorder="1"/>
    <xf numFmtId="179" fontId="0" fillId="0" borderId="55" xfId="0" applyNumberFormat="1" applyFill="1" applyBorder="1"/>
    <xf numFmtId="0" fontId="0" fillId="0" borderId="55" xfId="0" applyFill="1" applyBorder="1"/>
    <xf numFmtId="0" fontId="44" fillId="0" borderId="0" xfId="0" applyFont="1"/>
    <xf numFmtId="179" fontId="17" fillId="0" borderId="0" xfId="0" applyNumberFormat="1" applyFont="1" applyFill="1" applyBorder="1"/>
    <xf numFmtId="165" fontId="45" fillId="0" borderId="0" xfId="39" applyFont="1" applyFill="1" applyBorder="1" applyAlignment="1">
      <alignment horizontal="left"/>
    </xf>
    <xf numFmtId="0" fontId="17" fillId="0" borderId="0" xfId="0" applyFont="1" applyFill="1" applyBorder="1" applyAlignment="1">
      <alignment horizontal="left"/>
    </xf>
    <xf numFmtId="2" fontId="0" fillId="0" borderId="0" xfId="0" applyNumberFormat="1" applyBorder="1"/>
    <xf numFmtId="0" fontId="70" fillId="0" borderId="0" xfId="0" applyFont="1"/>
    <xf numFmtId="0" fontId="17" fillId="0" borderId="0" xfId="0" applyFont="1" applyBorder="1"/>
    <xf numFmtId="0" fontId="18" fillId="0" borderId="57" xfId="0" applyFont="1" applyBorder="1"/>
    <xf numFmtId="0" fontId="18" fillId="0" borderId="49" xfId="0" applyFont="1" applyBorder="1"/>
    <xf numFmtId="0" fontId="17" fillId="0" borderId="57" xfId="0" applyFont="1" applyBorder="1"/>
    <xf numFmtId="2" fontId="0" fillId="0" borderId="0" xfId="38" applyNumberFormat="1" applyFont="1" applyBorder="1"/>
    <xf numFmtId="2" fontId="0" fillId="0" borderId="0" xfId="38" applyNumberFormat="1" applyFont="1"/>
    <xf numFmtId="179" fontId="17" fillId="0" borderId="0" xfId="0" applyNumberFormat="1" applyFont="1" applyBorder="1"/>
    <xf numFmtId="179" fontId="17" fillId="0" borderId="0" xfId="38" applyNumberFormat="1" applyFont="1" applyFill="1" applyBorder="1"/>
    <xf numFmtId="0" fontId="73" fillId="0" borderId="0" xfId="1816" applyFont="1"/>
    <xf numFmtId="0" fontId="16" fillId="0" borderId="0" xfId="1816"/>
    <xf numFmtId="0" fontId="72" fillId="0" borderId="0" xfId="1816" applyFont="1"/>
    <xf numFmtId="0" fontId="72" fillId="0" borderId="68" xfId="1816" applyFont="1" applyBorder="1"/>
    <xf numFmtId="179" fontId="17" fillId="0" borderId="0" xfId="877" applyNumberFormat="1" applyFont="1" applyFill="1" applyBorder="1" applyAlignment="1">
      <alignment horizontal="left"/>
    </xf>
    <xf numFmtId="0" fontId="72" fillId="50" borderId="0" xfId="1816" applyFont="1" applyFill="1"/>
    <xf numFmtId="0" fontId="82" fillId="33" borderId="0" xfId="0" applyFont="1" applyFill="1" applyAlignment="1">
      <alignment horizontal="center"/>
    </xf>
    <xf numFmtId="0" fontId="82" fillId="33" borderId="22" xfId="0" applyFont="1" applyFill="1" applyBorder="1"/>
    <xf numFmtId="14" fontId="17" fillId="0" borderId="0" xfId="877" applyNumberFormat="1" applyFont="1" applyAlignment="1">
      <alignment horizontal="left"/>
    </xf>
    <xf numFmtId="179" fontId="17" fillId="0" borderId="0" xfId="877" applyNumberFormat="1" applyFont="1" applyFill="1" applyBorder="1"/>
    <xf numFmtId="165" fontId="61" fillId="51" borderId="2" xfId="38" applyNumberFormat="1" applyFont="1" applyFill="1" applyBorder="1" applyAlignment="1">
      <alignment horizontal="center"/>
    </xf>
    <xf numFmtId="0" fontId="17" fillId="0" borderId="0" xfId="2585"/>
    <xf numFmtId="179" fontId="17" fillId="0" borderId="0" xfId="2591" applyNumberFormat="1" applyFill="1"/>
    <xf numFmtId="179" fontId="17" fillId="0" borderId="0" xfId="38" applyNumberFormat="1" applyFont="1" applyFill="1"/>
    <xf numFmtId="179" fontId="17" fillId="0" borderId="0" xfId="0" applyNumberFormat="1" applyFont="1"/>
    <xf numFmtId="0" fontId="17" fillId="0" borderId="0" xfId="877" applyFont="1" applyAlignment="1">
      <alignment horizontal="left"/>
    </xf>
    <xf numFmtId="179" fontId="17" fillId="0" borderId="0" xfId="38" applyNumberFormat="1" applyFont="1" applyFill="1" applyAlignment="1">
      <alignment horizontal="left"/>
    </xf>
    <xf numFmtId="179" fontId="17" fillId="0" borderId="0" xfId="0" applyNumberFormat="1" applyFont="1" applyFill="1" applyBorder="1" applyAlignment="1">
      <alignment horizontal="left"/>
    </xf>
    <xf numFmtId="179" fontId="17" fillId="0" borderId="0" xfId="0" applyNumberFormat="1" applyFont="1" applyAlignment="1">
      <alignment horizontal="left"/>
    </xf>
    <xf numFmtId="165" fontId="61" fillId="51" borderId="76" xfId="38" applyNumberFormat="1" applyFont="1" applyFill="1" applyBorder="1" applyAlignment="1">
      <alignment horizontal="center"/>
    </xf>
    <xf numFmtId="0" fontId="19" fillId="0" borderId="0" xfId="2585" applyFont="1" applyAlignment="1">
      <alignment horizontal="left"/>
    </xf>
    <xf numFmtId="0" fontId="17" fillId="0" borderId="0" xfId="2585" applyAlignment="1">
      <alignment horizontal="center"/>
    </xf>
    <xf numFmtId="0" fontId="17" fillId="0" borderId="0" xfId="2585" applyAlignment="1">
      <alignment horizontal="left"/>
    </xf>
    <xf numFmtId="0" fontId="19" fillId="0" borderId="0" xfId="2585" applyFont="1"/>
    <xf numFmtId="43" fontId="17" fillId="0" borderId="0" xfId="2585" applyNumberFormat="1" applyAlignment="1">
      <alignment horizontal="center"/>
    </xf>
    <xf numFmtId="2" fontId="19" fillId="0" borderId="0" xfId="2585" applyNumberFormat="1" applyFont="1" applyAlignment="1">
      <alignment horizontal="left"/>
    </xf>
    <xf numFmtId="0" fontId="17" fillId="0" borderId="0" xfId="2585" applyBorder="1" applyAlignment="1">
      <alignment horizontal="center"/>
    </xf>
    <xf numFmtId="0" fontId="39" fillId="27" borderId="56" xfId="2585" applyFont="1" applyFill="1" applyBorder="1" applyAlignment="1">
      <alignment horizontal="left" vertical="center" wrapText="1"/>
    </xf>
    <xf numFmtId="0" fontId="17" fillId="0" borderId="55" xfId="2585" applyBorder="1"/>
    <xf numFmtId="0" fontId="40" fillId="26" borderId="79" xfId="2585" applyFont="1" applyFill="1" applyBorder="1" applyAlignment="1">
      <alignment horizontal="left" vertical="top" wrapText="1"/>
    </xf>
    <xf numFmtId="0" fontId="17" fillId="0" borderId="55" xfId="2585" applyBorder="1" applyAlignment="1">
      <alignment horizontal="left"/>
    </xf>
    <xf numFmtId="2" fontId="17" fillId="0" borderId="55" xfId="2585" applyNumberFormat="1" applyBorder="1" applyAlignment="1">
      <alignment horizontal="center"/>
    </xf>
    <xf numFmtId="0" fontId="17" fillId="0" borderId="0" xfId="2585" applyBorder="1"/>
    <xf numFmtId="0" fontId="17" fillId="0" borderId="0" xfId="2585" applyBorder="1" applyAlignment="1">
      <alignment horizontal="left"/>
    </xf>
    <xf numFmtId="2" fontId="17" fillId="0" borderId="0" xfId="2585" applyNumberFormat="1" applyBorder="1" applyAlignment="1">
      <alignment horizontal="center"/>
    </xf>
    <xf numFmtId="167" fontId="17" fillId="0" borderId="0" xfId="2585" applyNumberFormat="1" applyBorder="1" applyAlignment="1">
      <alignment horizontal="left"/>
    </xf>
    <xf numFmtId="0" fontId="17" fillId="0" borderId="68" xfId="2585" applyBorder="1" applyAlignment="1">
      <alignment horizontal="left"/>
    </xf>
    <xf numFmtId="0" fontId="17" fillId="0" borderId="56" xfId="2585" applyBorder="1"/>
    <xf numFmtId="0" fontId="17" fillId="0" borderId="56" xfId="2585" applyBorder="1" applyAlignment="1">
      <alignment horizontal="left"/>
    </xf>
    <xf numFmtId="2" fontId="17" fillId="0" borderId="56" xfId="2585" applyNumberFormat="1" applyBorder="1" applyAlignment="1">
      <alignment horizontal="center"/>
    </xf>
    <xf numFmtId="0" fontId="17" fillId="0" borderId="0" xfId="2585" applyFill="1" applyBorder="1"/>
    <xf numFmtId="165" fontId="17" fillId="0" borderId="0" xfId="2585" applyNumberFormat="1" applyBorder="1" applyAlignment="1">
      <alignment horizontal="center"/>
    </xf>
    <xf numFmtId="0" fontId="17" fillId="0" borderId="0" xfId="2585" applyFill="1" applyBorder="1" applyAlignment="1">
      <alignment horizontal="left"/>
    </xf>
    <xf numFmtId="0" fontId="17" fillId="0" borderId="53" xfId="2585" applyFill="1" applyBorder="1" applyAlignment="1">
      <alignment horizontal="left"/>
    </xf>
    <xf numFmtId="0" fontId="17" fillId="0" borderId="0" xfId="2585" applyFont="1" applyFill="1" applyBorder="1" applyAlignment="1">
      <alignment horizontal="left"/>
    </xf>
    <xf numFmtId="0" fontId="17" fillId="0" borderId="34" xfId="2585" applyFill="1" applyBorder="1" applyAlignment="1">
      <alignment horizontal="left"/>
    </xf>
    <xf numFmtId="0" fontId="17" fillId="40" borderId="81" xfId="2585" applyFont="1" applyFill="1" applyBorder="1"/>
    <xf numFmtId="0" fontId="17" fillId="0" borderId="31" xfId="2585" applyFont="1" applyFill="1" applyBorder="1" applyAlignment="1">
      <alignment horizontal="left"/>
    </xf>
    <xf numFmtId="0" fontId="17" fillId="0" borderId="54" xfId="2585" applyFont="1" applyFill="1" applyBorder="1" applyAlignment="1">
      <alignment horizontal="left"/>
    </xf>
    <xf numFmtId="0" fontId="60" fillId="53" borderId="0" xfId="3365" applyFont="1" applyFill="1" applyBorder="1"/>
    <xf numFmtId="0" fontId="92" fillId="0" borderId="0" xfId="0" applyFont="1" applyFill="1" applyProtection="1"/>
    <xf numFmtId="0" fontId="0" fillId="0" borderId="0" xfId="0" applyFill="1" applyProtection="1"/>
    <xf numFmtId="0" fontId="70" fillId="0" borderId="0" xfId="0" applyFont="1" applyFill="1" applyProtection="1"/>
    <xf numFmtId="167" fontId="17" fillId="0" borderId="0" xfId="2585" applyNumberFormat="1" applyFill="1" applyBorder="1" applyAlignment="1">
      <alignment horizontal="left"/>
    </xf>
    <xf numFmtId="165" fontId="45" fillId="50" borderId="55" xfId="38" applyFont="1" applyFill="1" applyBorder="1" applyAlignment="1">
      <alignment horizontal="center"/>
    </xf>
    <xf numFmtId="165" fontId="45" fillId="50" borderId="0" xfId="38" applyFont="1" applyFill="1" applyBorder="1" applyAlignment="1">
      <alignment horizontal="center"/>
    </xf>
    <xf numFmtId="165" fontId="45" fillId="50" borderId="56" xfId="38" applyFont="1" applyFill="1" applyBorder="1" applyAlignment="1">
      <alignment horizontal="center"/>
    </xf>
    <xf numFmtId="0" fontId="0" fillId="0" borderId="63" xfId="0" applyFill="1" applyBorder="1" applyProtection="1"/>
    <xf numFmtId="0" fontId="70" fillId="0" borderId="55" xfId="0" applyFont="1" applyFill="1" applyBorder="1" applyProtection="1"/>
    <xf numFmtId="0" fontId="0" fillId="0" borderId="55" xfId="0" applyFill="1" applyBorder="1" applyProtection="1"/>
    <xf numFmtId="0" fontId="0" fillId="0" borderId="29" xfId="0" applyFill="1" applyBorder="1" applyProtection="1"/>
    <xf numFmtId="0" fontId="70" fillId="0" borderId="93" xfId="0" applyFont="1" applyFill="1" applyBorder="1" applyProtection="1"/>
    <xf numFmtId="182" fontId="0" fillId="0" borderId="94" xfId="38" applyNumberFormat="1" applyFont="1" applyFill="1" applyBorder="1" applyProtection="1"/>
    <xf numFmtId="0" fontId="0" fillId="0" borderId="94" xfId="0" applyFill="1" applyBorder="1" applyProtection="1"/>
    <xf numFmtId="0" fontId="0" fillId="0" borderId="98" xfId="0" applyFill="1" applyBorder="1" applyAlignment="1" applyProtection="1"/>
    <xf numFmtId="0" fontId="70" fillId="0" borderId="99" xfId="0" applyFont="1" applyFill="1" applyBorder="1" applyProtection="1"/>
    <xf numFmtId="182" fontId="0" fillId="0" borderId="100" xfId="0" applyNumberFormat="1" applyFill="1" applyBorder="1" applyProtection="1"/>
    <xf numFmtId="0" fontId="0" fillId="0" borderId="100" xfId="0" applyFill="1" applyBorder="1" applyProtection="1"/>
    <xf numFmtId="0" fontId="0" fillId="0" borderId="101" xfId="0" applyFill="1" applyBorder="1" applyProtection="1"/>
    <xf numFmtId="0" fontId="13" fillId="85" borderId="0" xfId="4343" applyFill="1"/>
    <xf numFmtId="0" fontId="13" fillId="0" borderId="0" xfId="4343"/>
    <xf numFmtId="0" fontId="13" fillId="86" borderId="0" xfId="4343" applyFill="1"/>
    <xf numFmtId="0" fontId="13" fillId="87" borderId="0" xfId="4343" applyFill="1"/>
    <xf numFmtId="0" fontId="70" fillId="0" borderId="0" xfId="4343" applyFont="1" applyFill="1" applyProtection="1"/>
    <xf numFmtId="0" fontId="13" fillId="86" borderId="30" xfId="4343" applyFill="1" applyBorder="1"/>
    <xf numFmtId="0" fontId="13" fillId="86" borderId="0" xfId="4343" applyFill="1" applyBorder="1"/>
    <xf numFmtId="0" fontId="13" fillId="86" borderId="83" xfId="4343" applyFill="1" applyBorder="1"/>
    <xf numFmtId="0" fontId="13" fillId="0" borderId="30" xfId="4343" applyBorder="1"/>
    <xf numFmtId="0" fontId="13" fillId="0" borderId="0" xfId="4343" applyBorder="1"/>
    <xf numFmtId="0" fontId="13" fillId="0" borderId="83" xfId="4343" applyBorder="1"/>
    <xf numFmtId="1" fontId="13" fillId="86" borderId="0" xfId="4343" applyNumberFormat="1" applyFill="1"/>
    <xf numFmtId="0" fontId="13" fillId="86" borderId="52" xfId="4343" applyFill="1" applyBorder="1"/>
    <xf numFmtId="0" fontId="13" fillId="86" borderId="84" xfId="4343" applyFill="1" applyBorder="1"/>
    <xf numFmtId="0" fontId="13" fillId="86" borderId="85" xfId="4343" applyFill="1" applyBorder="1"/>
    <xf numFmtId="9" fontId="13" fillId="87" borderId="0" xfId="4343" applyNumberFormat="1" applyFill="1" applyBorder="1"/>
    <xf numFmtId="1" fontId="13" fillId="0" borderId="0" xfId="4343" applyNumberFormat="1"/>
    <xf numFmtId="0" fontId="13" fillId="0" borderId="52" xfId="4343" applyBorder="1"/>
    <xf numFmtId="0" fontId="13" fillId="0" borderId="84" xfId="4343" applyBorder="1"/>
    <xf numFmtId="0" fontId="13" fillId="0" borderId="85" xfId="4343" applyBorder="1"/>
    <xf numFmtId="0" fontId="13" fillId="0" borderId="63" xfId="4343" applyBorder="1"/>
    <xf numFmtId="0" fontId="13" fillId="0" borderId="55" xfId="4343" applyBorder="1"/>
    <xf numFmtId="0" fontId="13" fillId="0" borderId="29" xfId="4343" applyBorder="1"/>
    <xf numFmtId="0" fontId="13" fillId="0" borderId="0" xfId="4343" applyAlignment="1">
      <alignment horizontal="center" vertical="center"/>
    </xf>
    <xf numFmtId="0" fontId="13" fillId="0" borderId="0" xfId="4343" applyAlignment="1">
      <alignment horizontal="center" wrapText="1"/>
    </xf>
    <xf numFmtId="0" fontId="13" fillId="87" borderId="30" xfId="4343" applyFill="1" applyBorder="1"/>
    <xf numFmtId="0" fontId="13" fillId="87" borderId="0" xfId="4343" applyFill="1" applyBorder="1"/>
    <xf numFmtId="0" fontId="13" fillId="87" borderId="83" xfId="4343" applyFill="1" applyBorder="1"/>
    <xf numFmtId="0" fontId="13" fillId="0" borderId="0" xfId="4343" applyAlignment="1">
      <alignment horizontal="left" vertical="center"/>
    </xf>
    <xf numFmtId="0" fontId="70" fillId="0" borderId="93" xfId="4343" applyFont="1" applyFill="1" applyBorder="1" applyProtection="1"/>
    <xf numFmtId="0" fontId="70" fillId="0" borderId="94" xfId="4343" applyFont="1" applyFill="1" applyBorder="1" applyProtection="1"/>
    <xf numFmtId="0" fontId="70" fillId="0" borderId="98" xfId="4343" applyFont="1" applyFill="1" applyBorder="1" applyProtection="1"/>
    <xf numFmtId="0" fontId="13" fillId="88" borderId="0" xfId="4343" applyFill="1"/>
    <xf numFmtId="0" fontId="13" fillId="88" borderId="63" xfId="4343" applyFill="1" applyBorder="1"/>
    <xf numFmtId="0" fontId="13" fillId="88" borderId="55" xfId="4343" applyFill="1" applyBorder="1"/>
    <xf numFmtId="0" fontId="13" fillId="88" borderId="29" xfId="4343" applyFill="1" applyBorder="1"/>
    <xf numFmtId="0" fontId="13" fillId="88" borderId="30" xfId="4343" applyFill="1" applyBorder="1"/>
    <xf numFmtId="0" fontId="13" fillId="88" borderId="0" xfId="4343" applyFill="1" applyBorder="1"/>
    <xf numFmtId="0" fontId="13" fillId="88" borderId="83" xfId="4343" applyFill="1" applyBorder="1"/>
    <xf numFmtId="0" fontId="13" fillId="88" borderId="52" xfId="4343" applyFill="1" applyBorder="1"/>
    <xf numFmtId="0" fontId="13" fillId="88" borderId="85" xfId="4343" applyFill="1" applyBorder="1"/>
    <xf numFmtId="0" fontId="70" fillId="88" borderId="0" xfId="4343" applyFont="1" applyFill="1" applyProtection="1"/>
    <xf numFmtId="0" fontId="70" fillId="88" borderId="93" xfId="4343" applyFont="1" applyFill="1" applyBorder="1" applyProtection="1"/>
    <xf numFmtId="0" fontId="70" fillId="88" borderId="94" xfId="4343" applyFont="1" applyFill="1" applyBorder="1" applyProtection="1"/>
    <xf numFmtId="0" fontId="70" fillId="88" borderId="98" xfId="4343" applyFont="1" applyFill="1" applyBorder="1" applyProtection="1"/>
    <xf numFmtId="0" fontId="17" fillId="0" borderId="84" xfId="2585" applyBorder="1" applyAlignment="1">
      <alignment horizontal="left"/>
    </xf>
    <xf numFmtId="165" fontId="45" fillId="50" borderId="55" xfId="38" applyFont="1" applyFill="1" applyBorder="1" applyAlignment="1">
      <alignment horizontal="left"/>
    </xf>
    <xf numFmtId="165" fontId="45" fillId="50" borderId="0" xfId="38" applyFont="1" applyFill="1" applyBorder="1" applyAlignment="1">
      <alignment horizontal="left"/>
    </xf>
    <xf numFmtId="165" fontId="45" fillId="50" borderId="56" xfId="38" applyFont="1" applyFill="1" applyBorder="1" applyAlignment="1">
      <alignment horizontal="left"/>
    </xf>
    <xf numFmtId="0" fontId="12" fillId="0" borderId="0" xfId="4343" applyFont="1" applyBorder="1"/>
    <xf numFmtId="0" fontId="60" fillId="53" borderId="0" xfId="3365" applyFont="1" applyFill="1" applyBorder="1" applyAlignment="1">
      <alignment horizontal="center"/>
    </xf>
    <xf numFmtId="0" fontId="60" fillId="0" borderId="55" xfId="3365" applyFont="1" applyBorder="1"/>
    <xf numFmtId="0" fontId="60" fillId="0" borderId="29" xfId="3365" applyFont="1" applyFill="1" applyBorder="1"/>
    <xf numFmtId="0" fontId="60" fillId="53" borderId="83" xfId="3365" applyFont="1" applyFill="1" applyBorder="1" applyAlignment="1">
      <alignment horizontal="center"/>
    </xf>
    <xf numFmtId="0" fontId="14" fillId="0" borderId="111" xfId="3365" applyBorder="1"/>
    <xf numFmtId="0" fontId="14" fillId="53" borderId="110" xfId="3365" applyFont="1" applyFill="1" applyBorder="1"/>
    <xf numFmtId="0" fontId="34" fillId="0" borderId="110" xfId="3365" applyFont="1" applyBorder="1" applyAlignment="1">
      <alignment horizontal="left"/>
    </xf>
    <xf numFmtId="0" fontId="58" fillId="0" borderId="110" xfId="3365" applyFont="1" applyBorder="1" applyAlignment="1">
      <alignment horizontal="left" indent="1"/>
    </xf>
    <xf numFmtId="0" fontId="29" fillId="0" borderId="110" xfId="3365" applyFont="1" applyBorder="1" applyAlignment="1">
      <alignment horizontal="left" indent="2"/>
    </xf>
    <xf numFmtId="0" fontId="59" fillId="0" borderId="112" xfId="3365" applyFont="1" applyBorder="1" applyAlignment="1">
      <alignment horizontal="left"/>
    </xf>
    <xf numFmtId="0" fontId="13" fillId="0" borderId="0" xfId="4343" applyBorder="1" applyAlignment="1">
      <alignment horizontal="center"/>
    </xf>
    <xf numFmtId="0" fontId="12" fillId="0" borderId="0" xfId="4343" applyFont="1" applyBorder="1" applyAlignment="1">
      <alignment horizontal="center"/>
    </xf>
    <xf numFmtId="0" fontId="70" fillId="0" borderId="0" xfId="4343" applyFont="1" applyFill="1" applyBorder="1" applyProtection="1"/>
    <xf numFmtId="0" fontId="13" fillId="0" borderId="0" xfId="4343" applyBorder="1" applyAlignment="1">
      <alignment horizontal="left"/>
    </xf>
    <xf numFmtId="0" fontId="13" fillId="0" borderId="0" xfId="4343" applyAlignment="1">
      <alignment horizontal="center" wrapText="1"/>
    </xf>
    <xf numFmtId="0" fontId="95" fillId="49" borderId="68" xfId="866" applyFont="1" applyFill="1" applyBorder="1"/>
    <xf numFmtId="0" fontId="96" fillId="49" borderId="68" xfId="866" applyFont="1" applyFill="1" applyBorder="1" applyAlignment="1">
      <alignment horizontal="center"/>
    </xf>
    <xf numFmtId="0" fontId="97" fillId="49" borderId="68" xfId="866" applyFont="1" applyFill="1" applyBorder="1" applyAlignment="1">
      <alignment horizontal="center"/>
    </xf>
    <xf numFmtId="0" fontId="95" fillId="49" borderId="68" xfId="866" applyFont="1" applyFill="1" applyBorder="1" applyAlignment="1">
      <alignment horizontal="center"/>
    </xf>
    <xf numFmtId="0" fontId="95" fillId="49" borderId="66" xfId="866" applyFont="1" applyFill="1" applyBorder="1" applyAlignment="1">
      <alignment horizontal="center"/>
    </xf>
    <xf numFmtId="0" fontId="95" fillId="49" borderId="0" xfId="866" applyFont="1" applyFill="1" applyAlignment="1">
      <alignment horizontal="center"/>
    </xf>
    <xf numFmtId="0" fontId="95" fillId="49" borderId="0" xfId="866" applyFont="1" applyFill="1"/>
    <xf numFmtId="0" fontId="98" fillId="49" borderId="65" xfId="866" applyFont="1" applyFill="1" applyBorder="1" applyAlignment="1">
      <alignment horizontal="centerContinuous" vertical="center"/>
    </xf>
    <xf numFmtId="0" fontId="98" fillId="49" borderId="65" xfId="866" applyFont="1" applyFill="1" applyBorder="1" applyAlignment="1">
      <alignment horizontal="center" vertical="center"/>
    </xf>
    <xf numFmtId="0" fontId="98" fillId="49" borderId="65" xfId="866" quotePrefix="1" applyFont="1" applyFill="1" applyBorder="1" applyAlignment="1">
      <alignment horizontal="center" vertical="center"/>
    </xf>
    <xf numFmtId="0" fontId="96" fillId="49" borderId="65" xfId="866" applyFont="1" applyFill="1" applyBorder="1" applyAlignment="1">
      <alignment horizontal="center" vertical="center"/>
    </xf>
    <xf numFmtId="0" fontId="96" fillId="89" borderId="65" xfId="866" applyFont="1" applyFill="1" applyBorder="1" applyAlignment="1">
      <alignment horizontal="center" vertical="center" wrapText="1"/>
    </xf>
    <xf numFmtId="0" fontId="96" fillId="89" borderId="67" xfId="866" applyFont="1" applyFill="1" applyBorder="1" applyAlignment="1">
      <alignment horizontal="center" vertical="center"/>
    </xf>
    <xf numFmtId="0" fontId="96" fillId="49" borderId="65" xfId="866" applyFont="1" applyFill="1" applyBorder="1" applyAlignment="1">
      <alignment horizontal="center" vertical="center" wrapText="1"/>
    </xf>
    <xf numFmtId="0" fontId="96" fillId="89" borderId="67" xfId="866" applyFont="1" applyFill="1" applyBorder="1" applyAlignment="1">
      <alignment horizontal="center" vertical="center" wrapText="1"/>
    </xf>
    <xf numFmtId="0" fontId="96" fillId="89" borderId="94" xfId="866" applyFont="1" applyFill="1" applyBorder="1" applyAlignment="1">
      <alignment horizontal="center" vertical="center" wrapText="1"/>
    </xf>
    <xf numFmtId="0" fontId="95" fillId="49" borderId="56" xfId="866" applyFont="1" applyFill="1" applyBorder="1"/>
    <xf numFmtId="0" fontId="97" fillId="49" borderId="56" xfId="866" applyFont="1" applyFill="1" applyBorder="1" applyAlignment="1">
      <alignment horizontal="center"/>
    </xf>
    <xf numFmtId="0" fontId="95" fillId="89" borderId="56" xfId="866" applyFont="1" applyFill="1" applyBorder="1" applyAlignment="1">
      <alignment horizontal="center"/>
    </xf>
    <xf numFmtId="0" fontId="95" fillId="89" borderId="113" xfId="866" applyFont="1" applyFill="1" applyBorder="1" applyAlignment="1">
      <alignment horizontal="center"/>
    </xf>
    <xf numFmtId="0" fontId="95" fillId="49" borderId="56" xfId="866" applyFont="1" applyFill="1" applyBorder="1" applyAlignment="1">
      <alignment horizontal="center"/>
    </xf>
    <xf numFmtId="3" fontId="95" fillId="89" borderId="113" xfId="866" applyNumberFormat="1" applyFont="1" applyFill="1" applyBorder="1" applyAlignment="1">
      <alignment horizontal="center"/>
    </xf>
    <xf numFmtId="3" fontId="95" fillId="49" borderId="56" xfId="866" applyNumberFormat="1" applyFont="1" applyFill="1" applyBorder="1" applyAlignment="1">
      <alignment horizontal="center"/>
    </xf>
    <xf numFmtId="0" fontId="95" fillId="89" borderId="69" xfId="866" applyFont="1" applyFill="1" applyBorder="1" applyAlignment="1">
      <alignment horizontal="center"/>
    </xf>
    <xf numFmtId="0" fontId="95" fillId="49" borderId="0" xfId="866" applyFont="1" applyFill="1" applyBorder="1"/>
    <xf numFmtId="0" fontId="96" fillId="49" borderId="114" xfId="866" applyFont="1" applyFill="1" applyBorder="1" applyAlignment="1">
      <alignment horizontal="center"/>
    </xf>
    <xf numFmtId="0" fontId="95" fillId="49" borderId="114" xfId="866" applyFont="1" applyFill="1" applyBorder="1" applyAlignment="1">
      <alignment horizontal="left"/>
    </xf>
    <xf numFmtId="0" fontId="97" fillId="49" borderId="114" xfId="866" applyFont="1" applyFill="1" applyBorder="1" applyAlignment="1">
      <alignment horizontal="center"/>
    </xf>
    <xf numFmtId="185" fontId="95" fillId="89" borderId="114" xfId="866" applyNumberFormat="1" applyFont="1" applyFill="1" applyBorder="1" applyAlignment="1">
      <alignment horizontal="right"/>
    </xf>
    <xf numFmtId="185" fontId="95" fillId="89" borderId="115" xfId="866" applyNumberFormat="1" applyFont="1" applyFill="1" applyBorder="1" applyAlignment="1">
      <alignment horizontal="right"/>
    </xf>
    <xf numFmtId="185" fontId="95" fillId="49" borderId="114" xfId="866" applyNumberFormat="1" applyFont="1" applyFill="1" applyBorder="1" applyAlignment="1">
      <alignment horizontal="right"/>
    </xf>
    <xf numFmtId="185" fontId="95" fillId="89" borderId="116" xfId="866" applyNumberFormat="1" applyFont="1" applyFill="1" applyBorder="1" applyAlignment="1">
      <alignment horizontal="right"/>
    </xf>
    <xf numFmtId="0" fontId="96" fillId="49" borderId="117" xfId="866" applyFont="1" applyFill="1" applyBorder="1" applyAlignment="1">
      <alignment horizontal="center"/>
    </xf>
    <xf numFmtId="0" fontId="95" fillId="49" borderId="117" xfId="866" applyFont="1" applyFill="1" applyBorder="1" applyAlignment="1">
      <alignment horizontal="left"/>
    </xf>
    <xf numFmtId="0" fontId="97" fillId="49" borderId="117" xfId="866" applyFont="1" applyFill="1" applyBorder="1" applyAlignment="1">
      <alignment horizontal="center"/>
    </xf>
    <xf numFmtId="185" fontId="95" fillId="89" borderId="117" xfId="866" applyNumberFormat="1" applyFont="1" applyFill="1" applyBorder="1" applyAlignment="1">
      <alignment horizontal="right"/>
    </xf>
    <xf numFmtId="185" fontId="95" fillId="89" borderId="118" xfId="866" applyNumberFormat="1" applyFont="1" applyFill="1" applyBorder="1" applyAlignment="1">
      <alignment horizontal="right"/>
    </xf>
    <xf numFmtId="185" fontId="95" fillId="49" borderId="117" xfId="866" applyNumberFormat="1" applyFont="1" applyFill="1" applyBorder="1" applyAlignment="1">
      <alignment horizontal="right"/>
    </xf>
    <xf numFmtId="185" fontId="95" fillId="89" borderId="119" xfId="866" applyNumberFormat="1" applyFont="1" applyFill="1" applyBorder="1" applyAlignment="1">
      <alignment horizontal="right"/>
    </xf>
    <xf numFmtId="0" fontId="95" fillId="49" borderId="117" xfId="866" applyFont="1" applyFill="1" applyBorder="1"/>
    <xf numFmtId="0" fontId="96" fillId="49" borderId="120" xfId="866" applyFont="1" applyFill="1" applyBorder="1" applyAlignment="1">
      <alignment horizontal="center"/>
    </xf>
    <xf numFmtId="0" fontId="95" fillId="49" borderId="120" xfId="866" applyFont="1" applyFill="1" applyBorder="1" applyAlignment="1">
      <alignment horizontal="left"/>
    </xf>
    <xf numFmtId="0" fontId="97" fillId="49" borderId="120" xfId="866" applyFont="1" applyFill="1" applyBorder="1" applyAlignment="1">
      <alignment horizontal="center"/>
    </xf>
    <xf numFmtId="185" fontId="95" fillId="89" borderId="120" xfId="866" applyNumberFormat="1" applyFont="1" applyFill="1" applyBorder="1" applyAlignment="1">
      <alignment horizontal="right"/>
    </xf>
    <xf numFmtId="185" fontId="95" fillId="89" borderId="121" xfId="866" applyNumberFormat="1" applyFont="1" applyFill="1" applyBorder="1" applyAlignment="1">
      <alignment horizontal="right"/>
    </xf>
    <xf numFmtId="185" fontId="95" fillId="49" borderId="120" xfId="866" applyNumberFormat="1" applyFont="1" applyFill="1" applyBorder="1" applyAlignment="1">
      <alignment horizontal="right"/>
    </xf>
    <xf numFmtId="185" fontId="95" fillId="89" borderId="122" xfId="866" applyNumberFormat="1" applyFont="1" applyFill="1" applyBorder="1" applyAlignment="1">
      <alignment horizontal="right"/>
    </xf>
    <xf numFmtId="0" fontId="96" fillId="49" borderId="68" xfId="866" applyFont="1" applyFill="1" applyBorder="1" applyAlignment="1">
      <alignment horizontal="left"/>
    </xf>
    <xf numFmtId="185" fontId="96" fillId="89" borderId="68" xfId="866" applyNumberFormat="1" applyFont="1" applyFill="1" applyBorder="1" applyAlignment="1">
      <alignment horizontal="right"/>
    </xf>
    <xf numFmtId="185" fontId="96" fillId="89" borderId="66" xfId="866" applyNumberFormat="1" applyFont="1" applyFill="1" applyBorder="1" applyAlignment="1">
      <alignment horizontal="right"/>
    </xf>
    <xf numFmtId="185" fontId="96" fillId="49" borderId="68" xfId="866" applyNumberFormat="1" applyFont="1" applyFill="1" applyBorder="1" applyAlignment="1">
      <alignment horizontal="right"/>
    </xf>
    <xf numFmtId="185" fontId="96" fillId="89" borderId="82" xfId="866" applyNumberFormat="1" applyFont="1" applyFill="1" applyBorder="1" applyAlignment="1">
      <alignment horizontal="right"/>
    </xf>
    <xf numFmtId="0" fontId="96" fillId="49" borderId="123" xfId="866" applyFont="1" applyFill="1" applyBorder="1" applyAlignment="1">
      <alignment horizontal="center"/>
    </xf>
    <xf numFmtId="0" fontId="95" fillId="49" borderId="123" xfId="866" applyFont="1" applyFill="1" applyBorder="1" applyAlignment="1">
      <alignment horizontal="left"/>
    </xf>
    <xf numFmtId="0" fontId="97" fillId="49" borderId="123" xfId="866" applyFont="1" applyFill="1" applyBorder="1" applyAlignment="1">
      <alignment horizontal="center"/>
    </xf>
    <xf numFmtId="185" fontId="95" fillId="89" borderId="123" xfId="866" applyNumberFormat="1" applyFont="1" applyFill="1" applyBorder="1" applyAlignment="1">
      <alignment horizontal="right"/>
    </xf>
    <xf numFmtId="185" fontId="95" fillId="89" borderId="124" xfId="866" applyNumberFormat="1" applyFont="1" applyFill="1" applyBorder="1" applyAlignment="1">
      <alignment horizontal="right"/>
    </xf>
    <xf numFmtId="185" fontId="95" fillId="49" borderId="123" xfId="866" applyNumberFormat="1" applyFont="1" applyFill="1" applyBorder="1" applyAlignment="1">
      <alignment horizontal="right"/>
    </xf>
    <xf numFmtId="185" fontId="95" fillId="89" borderId="125" xfId="866" applyNumberFormat="1" applyFont="1" applyFill="1" applyBorder="1" applyAlignment="1">
      <alignment horizontal="right"/>
    </xf>
    <xf numFmtId="0" fontId="96" fillId="49" borderId="65" xfId="866" applyFont="1" applyFill="1" applyBorder="1" applyAlignment="1">
      <alignment horizontal="left"/>
    </xf>
    <xf numFmtId="0" fontId="97" fillId="49" borderId="65" xfId="866" applyFont="1" applyFill="1" applyBorder="1" applyAlignment="1">
      <alignment horizontal="center"/>
    </xf>
    <xf numFmtId="185" fontId="96" fillId="89" borderId="65" xfId="866" applyNumberFormat="1" applyFont="1" applyFill="1" applyBorder="1" applyAlignment="1">
      <alignment horizontal="right"/>
    </xf>
    <xf numFmtId="185" fontId="96" fillId="89" borderId="67" xfId="866" applyNumberFormat="1" applyFont="1" applyFill="1" applyBorder="1" applyAlignment="1">
      <alignment horizontal="right"/>
    </xf>
    <xf numFmtId="185" fontId="96" fillId="49" borderId="65" xfId="866" applyNumberFormat="1" applyFont="1" applyFill="1" applyBorder="1" applyAlignment="1">
      <alignment horizontal="right"/>
    </xf>
    <xf numFmtId="185" fontId="96" fillId="89" borderId="94" xfId="866" applyNumberFormat="1" applyFont="1" applyFill="1" applyBorder="1" applyAlignment="1">
      <alignment horizontal="right"/>
    </xf>
    <xf numFmtId="0" fontId="96" fillId="90" borderId="117" xfId="866" applyFont="1" applyFill="1" applyBorder="1" applyAlignment="1">
      <alignment horizontal="center"/>
    </xf>
    <xf numFmtId="0" fontId="95" fillId="90" borderId="117" xfId="866" applyFont="1" applyFill="1" applyBorder="1" applyAlignment="1">
      <alignment horizontal="left"/>
    </xf>
    <xf numFmtId="0" fontId="97" fillId="90" borderId="117" xfId="866" applyFont="1" applyFill="1" applyBorder="1" applyAlignment="1">
      <alignment horizontal="center"/>
    </xf>
    <xf numFmtId="185" fontId="95" fillId="90" borderId="117" xfId="866" applyNumberFormat="1" applyFont="1" applyFill="1" applyBorder="1" applyAlignment="1">
      <alignment horizontal="right"/>
    </xf>
    <xf numFmtId="185" fontId="95" fillId="90" borderId="118" xfId="866" applyNumberFormat="1" applyFont="1" applyFill="1" applyBorder="1" applyAlignment="1">
      <alignment horizontal="right"/>
    </xf>
    <xf numFmtId="185" fontId="95" fillId="90" borderId="119" xfId="866" applyNumberFormat="1" applyFont="1" applyFill="1" applyBorder="1" applyAlignment="1">
      <alignment horizontal="right"/>
    </xf>
    <xf numFmtId="0" fontId="95" fillId="90" borderId="0" xfId="866" applyFont="1" applyFill="1"/>
    <xf numFmtId="0" fontId="95" fillId="90" borderId="117" xfId="866" applyFont="1" applyFill="1" applyBorder="1"/>
    <xf numFmtId="0" fontId="95" fillId="90" borderId="120" xfId="866" applyFont="1" applyFill="1" applyBorder="1"/>
    <xf numFmtId="0" fontId="96" fillId="90" borderId="120" xfId="866" applyFont="1" applyFill="1" applyBorder="1" applyAlignment="1">
      <alignment horizontal="center"/>
    </xf>
    <xf numFmtId="0" fontId="95" fillId="90" borderId="120" xfId="866" applyFont="1" applyFill="1" applyBorder="1" applyAlignment="1">
      <alignment horizontal="left"/>
    </xf>
    <xf numFmtId="0" fontId="97" fillId="90" borderId="120" xfId="866" applyFont="1" applyFill="1" applyBorder="1" applyAlignment="1">
      <alignment horizontal="center"/>
    </xf>
    <xf numFmtId="185" fontId="95" fillId="90" borderId="120" xfId="866" applyNumberFormat="1" applyFont="1" applyFill="1" applyBorder="1" applyAlignment="1">
      <alignment horizontal="right"/>
    </xf>
    <xf numFmtId="185" fontId="95" fillId="90" borderId="121" xfId="866" applyNumberFormat="1" applyFont="1" applyFill="1" applyBorder="1" applyAlignment="1">
      <alignment horizontal="right"/>
    </xf>
    <xf numFmtId="185" fontId="95" fillId="90" borderId="122" xfId="866" applyNumberFormat="1" applyFont="1" applyFill="1" applyBorder="1" applyAlignment="1">
      <alignment horizontal="right"/>
    </xf>
    <xf numFmtId="0" fontId="96" fillId="49" borderId="126" xfId="866" applyFont="1" applyFill="1" applyBorder="1" applyAlignment="1">
      <alignment horizontal="left"/>
    </xf>
    <xf numFmtId="0" fontId="97" fillId="49" borderId="126" xfId="866" applyFont="1" applyFill="1" applyBorder="1" applyAlignment="1">
      <alignment horizontal="center"/>
    </xf>
    <xf numFmtId="185" fontId="96" fillId="89" borderId="126" xfId="866" applyNumberFormat="1" applyFont="1" applyFill="1" applyBorder="1" applyAlignment="1">
      <alignment horizontal="right"/>
    </xf>
    <xf numFmtId="185" fontId="96" fillId="89" borderId="127" xfId="866" applyNumberFormat="1" applyFont="1" applyFill="1" applyBorder="1" applyAlignment="1">
      <alignment horizontal="right"/>
    </xf>
    <xf numFmtId="185" fontId="96" fillId="49" borderId="126" xfId="866" applyNumberFormat="1" applyFont="1" applyFill="1" applyBorder="1" applyAlignment="1">
      <alignment horizontal="right"/>
    </xf>
    <xf numFmtId="185" fontId="96" fillId="89" borderId="128" xfId="866" applyNumberFormat="1" applyFont="1" applyFill="1" applyBorder="1" applyAlignment="1">
      <alignment horizontal="right"/>
    </xf>
    <xf numFmtId="0" fontId="99" fillId="49" borderId="117" xfId="866" applyFont="1" applyFill="1" applyBorder="1" applyAlignment="1">
      <alignment horizontal="center"/>
    </xf>
    <xf numFmtId="0" fontId="100" fillId="49" borderId="117" xfId="866" applyFont="1" applyFill="1" applyBorder="1" applyAlignment="1">
      <alignment horizontal="left"/>
    </xf>
    <xf numFmtId="0" fontId="101" fillId="49" borderId="117" xfId="866" applyFont="1" applyFill="1" applyBorder="1" applyAlignment="1">
      <alignment horizontal="center"/>
    </xf>
    <xf numFmtId="185" fontId="100" fillId="89" borderId="117" xfId="866" applyNumberFormat="1" applyFont="1" applyFill="1" applyBorder="1" applyAlignment="1">
      <alignment horizontal="right"/>
    </xf>
    <xf numFmtId="185" fontId="100" fillId="89" borderId="118" xfId="866" applyNumberFormat="1" applyFont="1" applyFill="1" applyBorder="1" applyAlignment="1">
      <alignment horizontal="right"/>
    </xf>
    <xf numFmtId="185" fontId="100" fillId="49" borderId="117" xfId="866" applyNumberFormat="1" applyFont="1" applyFill="1" applyBorder="1" applyAlignment="1">
      <alignment horizontal="right"/>
    </xf>
    <xf numFmtId="185" fontId="100" fillId="89" borderId="119" xfId="866" applyNumberFormat="1" applyFont="1" applyFill="1" applyBorder="1" applyAlignment="1">
      <alignment horizontal="right"/>
    </xf>
    <xf numFmtId="0" fontId="100" fillId="49" borderId="0" xfId="866" applyFont="1" applyFill="1"/>
    <xf numFmtId="0" fontId="96" fillId="49" borderId="129" xfId="866" applyFont="1" applyFill="1" applyBorder="1" applyAlignment="1">
      <alignment horizontal="center"/>
    </xf>
    <xf numFmtId="0" fontId="95" fillId="49" borderId="129" xfId="866" applyFont="1" applyFill="1" applyBorder="1" applyAlignment="1">
      <alignment horizontal="left"/>
    </xf>
    <xf numFmtId="0" fontId="97" fillId="49" borderId="129" xfId="866" applyFont="1" applyFill="1" applyBorder="1" applyAlignment="1">
      <alignment horizontal="center"/>
    </xf>
    <xf numFmtId="185" fontId="95" fillId="89" borderId="129" xfId="866" applyNumberFormat="1" applyFont="1" applyFill="1" applyBorder="1" applyAlignment="1">
      <alignment horizontal="right"/>
    </xf>
    <xf numFmtId="185" fontId="95" fillId="89" borderId="130" xfId="866" applyNumberFormat="1" applyFont="1" applyFill="1" applyBorder="1" applyAlignment="1">
      <alignment horizontal="right"/>
    </xf>
    <xf numFmtId="185" fontId="95" fillId="49" borderId="129" xfId="866" applyNumberFormat="1" applyFont="1" applyFill="1" applyBorder="1" applyAlignment="1">
      <alignment horizontal="right"/>
    </xf>
    <xf numFmtId="185" fontId="95" fillId="89" borderId="131" xfId="866" applyNumberFormat="1" applyFont="1" applyFill="1" applyBorder="1" applyAlignment="1">
      <alignment horizontal="right"/>
    </xf>
    <xf numFmtId="0" fontId="95" fillId="41" borderId="117" xfId="866" applyFont="1" applyFill="1" applyBorder="1"/>
    <xf numFmtId="0" fontId="96" fillId="41" borderId="117" xfId="866" applyFont="1" applyFill="1" applyBorder="1" applyAlignment="1">
      <alignment horizontal="center"/>
    </xf>
    <xf numFmtId="0" fontId="95" fillId="41" borderId="117" xfId="866" applyFont="1" applyFill="1" applyBorder="1" applyAlignment="1">
      <alignment horizontal="left"/>
    </xf>
    <xf numFmtId="0" fontId="97" fillId="41" borderId="117" xfId="866" applyFont="1" applyFill="1" applyBorder="1" applyAlignment="1">
      <alignment horizontal="center"/>
    </xf>
    <xf numFmtId="185" fontId="95" fillId="41" borderId="117" xfId="866" applyNumberFormat="1" applyFont="1" applyFill="1" applyBorder="1" applyAlignment="1">
      <alignment horizontal="right"/>
    </xf>
    <xf numFmtId="185" fontId="95" fillId="41" borderId="118" xfId="866" applyNumberFormat="1" applyFont="1" applyFill="1" applyBorder="1" applyAlignment="1">
      <alignment horizontal="right"/>
    </xf>
    <xf numFmtId="185" fontId="95" fillId="41" borderId="119" xfId="866" applyNumberFormat="1" applyFont="1" applyFill="1" applyBorder="1" applyAlignment="1">
      <alignment horizontal="right"/>
    </xf>
    <xf numFmtId="0" fontId="95" fillId="41" borderId="0" xfId="866" applyFont="1" applyFill="1"/>
    <xf numFmtId="0" fontId="95" fillId="49" borderId="120" xfId="866" applyFont="1" applyFill="1" applyBorder="1"/>
    <xf numFmtId="0" fontId="97" fillId="49" borderId="0" xfId="866" applyFont="1" applyFill="1" applyBorder="1" applyAlignment="1">
      <alignment horizontal="center"/>
    </xf>
    <xf numFmtId="3" fontId="95" fillId="49" borderId="0" xfId="866" applyNumberFormat="1" applyFont="1" applyFill="1" applyBorder="1" applyAlignment="1">
      <alignment horizontal="right"/>
    </xf>
    <xf numFmtId="0" fontId="97" fillId="49" borderId="0" xfId="866" applyFont="1" applyFill="1" applyAlignment="1">
      <alignment horizontal="center"/>
    </xf>
    <xf numFmtId="0" fontId="95" fillId="49" borderId="132" xfId="866" applyFont="1" applyFill="1" applyBorder="1"/>
    <xf numFmtId="0" fontId="97" fillId="49" borderId="132" xfId="866" applyFont="1" applyFill="1" applyBorder="1" applyAlignment="1">
      <alignment horizontal="center"/>
    </xf>
    <xf numFmtId="3" fontId="95" fillId="49" borderId="132" xfId="866" applyNumberFormat="1" applyFont="1" applyFill="1" applyBorder="1" applyAlignment="1">
      <alignment horizontal="right"/>
    </xf>
    <xf numFmtId="0" fontId="96" fillId="89" borderId="0" xfId="866" applyFont="1" applyFill="1" applyBorder="1" applyAlignment="1">
      <alignment horizontal="left" vertical="center" wrapText="1"/>
    </xf>
    <xf numFmtId="0" fontId="0" fillId="0" borderId="94" xfId="0" applyBorder="1"/>
    <xf numFmtId="9" fontId="0" fillId="0" borderId="94" xfId="1346" applyFont="1" applyBorder="1"/>
    <xf numFmtId="0" fontId="96" fillId="89" borderId="35" xfId="866" applyFont="1" applyFill="1" applyBorder="1" applyAlignment="1">
      <alignment horizontal="left" vertical="center" wrapText="1"/>
    </xf>
    <xf numFmtId="0" fontId="0" fillId="0" borderId="33" xfId="0" applyBorder="1"/>
    <xf numFmtId="9" fontId="0" fillId="0" borderId="33" xfId="1346" applyFont="1" applyBorder="1"/>
    <xf numFmtId="0" fontId="96" fillId="89" borderId="93" xfId="866" applyFont="1" applyFill="1" applyBorder="1" applyAlignment="1">
      <alignment horizontal="left" vertical="center" wrapText="1"/>
    </xf>
    <xf numFmtId="0" fontId="17" fillId="0" borderId="98" xfId="0" applyFont="1" applyBorder="1"/>
    <xf numFmtId="9" fontId="0" fillId="0" borderId="100" xfId="1346" applyFont="1" applyBorder="1"/>
    <xf numFmtId="0" fontId="0" fillId="0" borderId="100" xfId="0" applyBorder="1"/>
    <xf numFmtId="0" fontId="0" fillId="0" borderId="101" xfId="0" applyBorder="1"/>
    <xf numFmtId="0" fontId="13" fillId="0" borderId="0" xfId="4343" applyAlignment="1">
      <alignment horizontal="center" vertical="center"/>
    </xf>
    <xf numFmtId="0" fontId="94" fillId="0" borderId="104" xfId="4347" applyFont="1" applyFill="1" applyBorder="1" applyAlignment="1">
      <alignment horizontal="left" vertical="center" indent="1"/>
    </xf>
    <xf numFmtId="0" fontId="94" fillId="0" borderId="136" xfId="4347" applyFont="1" applyFill="1" applyBorder="1" applyAlignment="1">
      <alignment horizontal="left" vertical="center" indent="1"/>
    </xf>
    <xf numFmtId="0" fontId="94" fillId="0" borderId="138" xfId="4347" applyFont="1" applyFill="1" applyBorder="1" applyAlignment="1">
      <alignment horizontal="left" vertical="center" indent="1"/>
    </xf>
    <xf numFmtId="0" fontId="94" fillId="0" borderId="134" xfId="4347" applyFont="1" applyFill="1" applyBorder="1" applyAlignment="1">
      <alignment horizontal="left" vertical="center" indent="1"/>
    </xf>
    <xf numFmtId="183" fontId="102" fillId="40" borderId="104" xfId="4342" applyNumberFormat="1" applyFont="1" applyFill="1" applyBorder="1" applyAlignment="1">
      <alignment vertical="center" shrinkToFit="1"/>
    </xf>
    <xf numFmtId="183" fontId="102" fillId="40" borderId="133" xfId="4342" applyNumberFormat="1" applyFont="1" applyFill="1" applyBorder="1" applyAlignment="1">
      <alignment vertical="center" shrinkToFit="1"/>
    </xf>
    <xf numFmtId="183" fontId="102" fillId="40" borderId="134" xfId="4342" applyNumberFormat="1" applyFont="1" applyFill="1" applyBorder="1" applyAlignment="1">
      <alignment vertical="center" shrinkToFit="1"/>
    </xf>
    <xf numFmtId="183" fontId="102" fillId="40" borderId="135" xfId="4342" applyNumberFormat="1" applyFont="1" applyFill="1" applyBorder="1" applyAlignment="1">
      <alignment vertical="center" shrinkToFit="1"/>
    </xf>
    <xf numFmtId="183" fontId="102" fillId="40" borderId="136" xfId="4342" applyNumberFormat="1" applyFont="1" applyFill="1" applyBorder="1" applyAlignment="1">
      <alignment vertical="center" shrinkToFit="1"/>
    </xf>
    <xf numFmtId="183" fontId="102" fillId="40" borderId="137" xfId="4342" applyNumberFormat="1" applyFont="1" applyFill="1" applyBorder="1" applyAlignment="1">
      <alignment vertical="center" shrinkToFit="1"/>
    </xf>
    <xf numFmtId="183" fontId="102" fillId="40" borderId="138" xfId="4342" applyNumberFormat="1" applyFont="1" applyFill="1" applyBorder="1" applyAlignment="1">
      <alignment vertical="center" shrinkToFit="1"/>
    </xf>
    <xf numFmtId="183" fontId="102" fillId="40" borderId="139" xfId="4342" applyNumberFormat="1" applyFont="1" applyFill="1" applyBorder="1" applyAlignment="1">
      <alignment vertical="center" shrinkToFit="1"/>
    </xf>
    <xf numFmtId="0" fontId="0" fillId="0" borderId="63" xfId="0" applyFill="1" applyBorder="1"/>
    <xf numFmtId="0" fontId="44" fillId="0" borderId="55" xfId="0" applyFont="1" applyBorder="1"/>
    <xf numFmtId="0" fontId="0" fillId="0" borderId="29" xfId="0" applyFill="1" applyBorder="1"/>
    <xf numFmtId="0" fontId="0" fillId="0" borderId="30" xfId="0" applyBorder="1"/>
    <xf numFmtId="0" fontId="0" fillId="0" borderId="83" xfId="0" applyBorder="1"/>
    <xf numFmtId="0" fontId="17" fillId="0" borderId="30" xfId="0" applyFont="1" applyBorder="1"/>
    <xf numFmtId="0" fontId="0" fillId="0" borderId="140" xfId="0" applyBorder="1"/>
    <xf numFmtId="0" fontId="11" fillId="0" borderId="0" xfId="4343" applyFont="1"/>
    <xf numFmtId="2" fontId="0" fillId="0" borderId="83" xfId="0" applyNumberFormat="1" applyBorder="1"/>
    <xf numFmtId="165" fontId="0" fillId="0" borderId="84" xfId="0" applyNumberFormat="1" applyBorder="1"/>
    <xf numFmtId="165" fontId="0" fillId="0" borderId="85" xfId="0" applyNumberFormat="1" applyBorder="1"/>
    <xf numFmtId="0" fontId="0" fillId="41" borderId="30" xfId="0" applyFill="1" applyBorder="1"/>
    <xf numFmtId="0" fontId="0" fillId="91" borderId="30" xfId="0" applyFill="1" applyBorder="1"/>
    <xf numFmtId="0" fontId="0" fillId="86" borderId="140" xfId="0" applyFill="1" applyBorder="1"/>
    <xf numFmtId="0" fontId="0" fillId="90" borderId="30" xfId="0" applyFill="1" applyBorder="1"/>
    <xf numFmtId="0" fontId="0" fillId="0" borderId="63" xfId="0" applyBorder="1"/>
    <xf numFmtId="0" fontId="0" fillId="50" borderId="30" xfId="0" applyFill="1" applyBorder="1"/>
    <xf numFmtId="0" fontId="13" fillId="0" borderId="140" xfId="4343" applyBorder="1"/>
    <xf numFmtId="0" fontId="13" fillId="88" borderId="0" xfId="4343" applyFill="1" applyBorder="1" applyAlignment="1">
      <alignment horizontal="center"/>
    </xf>
    <xf numFmtId="0" fontId="70" fillId="88" borderId="0" xfId="4343" applyFont="1" applyFill="1" applyBorder="1" applyProtection="1"/>
    <xf numFmtId="0" fontId="13" fillId="88" borderId="140" xfId="4343" applyFill="1" applyBorder="1"/>
    <xf numFmtId="0" fontId="13" fillId="41" borderId="140" xfId="4343" applyFill="1" applyBorder="1"/>
    <xf numFmtId="0" fontId="10" fillId="0" borderId="0" xfId="4343" applyFont="1" applyAlignment="1">
      <alignment horizontal="left" vertical="center"/>
    </xf>
    <xf numFmtId="165" fontId="13" fillId="0" borderId="0" xfId="38" applyFont="1" applyBorder="1"/>
    <xf numFmtId="184" fontId="13" fillId="0" borderId="0" xfId="4343" applyNumberFormat="1"/>
    <xf numFmtId="0" fontId="13" fillId="92" borderId="0" xfId="4343" applyFill="1"/>
    <xf numFmtId="0" fontId="13" fillId="92" borderId="30" xfId="4343" applyFill="1" applyBorder="1"/>
    <xf numFmtId="0" fontId="13" fillId="92" borderId="0" xfId="4343" applyFill="1" applyBorder="1"/>
    <xf numFmtId="0" fontId="13" fillId="92" borderId="83" xfId="4343" applyFill="1" applyBorder="1"/>
    <xf numFmtId="0" fontId="13" fillId="92" borderId="0" xfId="4343" applyFill="1" applyAlignment="1">
      <alignment horizontal="left" vertical="center"/>
    </xf>
    <xf numFmtId="183" fontId="94" fillId="92" borderId="102" xfId="4342" applyNumberFormat="1" applyFill="1" applyBorder="1" applyAlignment="1">
      <alignment vertical="center" shrinkToFit="1"/>
    </xf>
    <xf numFmtId="184" fontId="94" fillId="92" borderId="103" xfId="4342" applyNumberFormat="1" applyFill="1" applyBorder="1" applyAlignment="1">
      <alignment vertical="center" shrinkToFit="1"/>
    </xf>
    <xf numFmtId="184" fontId="94" fillId="92" borderId="104" xfId="4342" applyNumberFormat="1" applyFill="1" applyBorder="1" applyAlignment="1">
      <alignment vertical="center" shrinkToFit="1"/>
    </xf>
    <xf numFmtId="184" fontId="94" fillId="92" borderId="105" xfId="4342" applyNumberFormat="1" applyFill="1" applyBorder="1" applyAlignment="1">
      <alignment vertical="center" shrinkToFit="1"/>
    </xf>
    <xf numFmtId="183" fontId="94" fillId="92" borderId="104" xfId="4342" applyNumberFormat="1" applyFill="1" applyBorder="1" applyAlignment="1">
      <alignment vertical="center" shrinkToFit="1"/>
    </xf>
    <xf numFmtId="184" fontId="94" fillId="92" borderId="106" xfId="4342" applyNumberFormat="1" applyFill="1" applyBorder="1" applyAlignment="1">
      <alignment vertical="center" shrinkToFit="1"/>
    </xf>
    <xf numFmtId="184" fontId="94" fillId="92" borderId="107" xfId="4342" applyNumberFormat="1" applyFill="1" applyBorder="1" applyAlignment="1">
      <alignment vertical="center" shrinkToFit="1"/>
    </xf>
    <xf numFmtId="184" fontId="94" fillId="92" borderId="108" xfId="4342" applyNumberFormat="1" applyFill="1" applyBorder="1" applyAlignment="1">
      <alignment vertical="center" shrinkToFit="1"/>
    </xf>
    <xf numFmtId="0" fontId="10" fillId="0" borderId="0" xfId="4343" applyFont="1" applyBorder="1"/>
    <xf numFmtId="0" fontId="103" fillId="0" borderId="0" xfId="0" applyFont="1" applyAlignment="1">
      <alignment horizontal="left"/>
    </xf>
    <xf numFmtId="1" fontId="0" fillId="0" borderId="0" xfId="0" applyNumberFormat="1" applyFill="1" applyProtection="1"/>
    <xf numFmtId="1" fontId="95" fillId="49" borderId="0" xfId="866" applyNumberFormat="1" applyFont="1" applyFill="1"/>
    <xf numFmtId="0" fontId="44" fillId="0" borderId="0" xfId="0" applyFont="1" applyBorder="1" applyAlignment="1">
      <alignment horizontal="center"/>
    </xf>
    <xf numFmtId="173" fontId="0" fillId="0" borderId="0" xfId="0" applyNumberFormat="1" applyAlignment="1">
      <alignment horizontal="left"/>
    </xf>
    <xf numFmtId="0" fontId="9" fillId="0" borderId="0" xfId="4343" applyFont="1" applyBorder="1"/>
    <xf numFmtId="182" fontId="0" fillId="0" borderId="0" xfId="38" applyNumberFormat="1" applyFont="1" applyFill="1" applyProtection="1"/>
    <xf numFmtId="187" fontId="0" fillId="0" borderId="0" xfId="38" applyNumberFormat="1" applyFont="1" applyFill="1" applyProtection="1"/>
    <xf numFmtId="186" fontId="0" fillId="0" borderId="0" xfId="0" applyNumberFormat="1" applyFill="1" applyProtection="1"/>
    <xf numFmtId="188" fontId="0" fillId="87" borderId="30" xfId="4346" applyNumberFormat="1" applyFont="1" applyFill="1" applyBorder="1"/>
    <xf numFmtId="188" fontId="0" fillId="87" borderId="0" xfId="4346" applyNumberFormat="1" applyFont="1" applyFill="1" applyBorder="1"/>
    <xf numFmtId="188" fontId="0" fillId="52" borderId="30" xfId="4346" applyNumberFormat="1" applyFont="1" applyFill="1" applyBorder="1"/>
    <xf numFmtId="188" fontId="0" fillId="52" borderId="0" xfId="4346" applyNumberFormat="1" applyFont="1" applyFill="1" applyBorder="1"/>
    <xf numFmtId="188" fontId="0" fillId="87" borderId="52" xfId="4346" applyNumberFormat="1" applyFont="1" applyFill="1" applyBorder="1"/>
    <xf numFmtId="188" fontId="0" fillId="87" borderId="84" xfId="4346" applyNumberFormat="1" applyFont="1" applyFill="1" applyBorder="1"/>
    <xf numFmtId="188" fontId="13" fillId="87" borderId="83" xfId="4343" applyNumberFormat="1" applyFill="1" applyBorder="1"/>
    <xf numFmtId="188" fontId="13" fillId="87" borderId="85" xfId="4343" applyNumberFormat="1" applyFill="1" applyBorder="1"/>
    <xf numFmtId="175" fontId="13" fillId="0" borderId="0" xfId="38" applyNumberFormat="1" applyFont="1"/>
    <xf numFmtId="186" fontId="0" fillId="0" borderId="0" xfId="0" applyNumberFormat="1"/>
    <xf numFmtId="0" fontId="91" fillId="0" borderId="0" xfId="4344" applyFill="1" applyProtection="1"/>
    <xf numFmtId="0" fontId="92" fillId="0" borderId="0" xfId="4344" applyFont="1" applyFill="1" applyProtection="1"/>
    <xf numFmtId="0" fontId="70" fillId="0" borderId="0" xfId="4344" applyFont="1" applyFill="1" applyProtection="1"/>
    <xf numFmtId="165" fontId="61" fillId="53" borderId="2" xfId="38" applyNumberFormat="1" applyFont="1" applyFill="1" applyBorder="1" applyAlignment="1">
      <alignment horizontal="center"/>
    </xf>
    <xf numFmtId="165" fontId="61" fillId="53" borderId="2" xfId="38" applyNumberFormat="1" applyFont="1" applyFill="1" applyBorder="1" applyAlignment="1">
      <alignment horizontal="center" wrapText="1"/>
    </xf>
    <xf numFmtId="0" fontId="0" fillId="0" borderId="0" xfId="0" applyBorder="1" applyAlignment="1"/>
    <xf numFmtId="0" fontId="70" fillId="41" borderId="0" xfId="4344" applyFont="1" applyFill="1" applyProtection="1"/>
    <xf numFmtId="0" fontId="91" fillId="41" borderId="0" xfId="4344" applyFill="1" applyProtection="1"/>
    <xf numFmtId="190" fontId="13" fillId="0" borderId="0" xfId="4343" applyNumberFormat="1"/>
    <xf numFmtId="188" fontId="0" fillId="87" borderId="83" xfId="4346" applyNumberFormat="1" applyFont="1" applyFill="1" applyBorder="1"/>
    <xf numFmtId="188" fontId="0" fillId="87" borderId="85" xfId="4346" applyNumberFormat="1" applyFont="1" applyFill="1" applyBorder="1"/>
    <xf numFmtId="0" fontId="7" fillId="0" borderId="0" xfId="1816" applyFont="1"/>
    <xf numFmtId="14" fontId="17" fillId="0" borderId="0" xfId="877" applyNumberFormat="1" applyFont="1"/>
    <xf numFmtId="0" fontId="0" fillId="0" borderId="35" xfId="0" applyFill="1" applyBorder="1"/>
    <xf numFmtId="0" fontId="0" fillId="0" borderId="93" xfId="0" applyFill="1" applyBorder="1"/>
    <xf numFmtId="0" fontId="0" fillId="0" borderId="99" xfId="0" applyFill="1" applyBorder="1"/>
    <xf numFmtId="2" fontId="0" fillId="0" borderId="0" xfId="0" applyNumberFormat="1" applyFill="1" applyBorder="1"/>
    <xf numFmtId="0" fontId="6" fillId="0" borderId="0" xfId="1816" applyFont="1"/>
    <xf numFmtId="179" fontId="17" fillId="0" borderId="55" xfId="0" applyNumberFormat="1" applyFont="1" applyFill="1" applyBorder="1"/>
    <xf numFmtId="0" fontId="103" fillId="0" borderId="0" xfId="0" applyFont="1"/>
    <xf numFmtId="0" fontId="104" fillId="0" borderId="0" xfId="0" applyFont="1"/>
    <xf numFmtId="174" fontId="0" fillId="0" borderId="0" xfId="0" applyNumberFormat="1"/>
    <xf numFmtId="192" fontId="0" fillId="0" borderId="0" xfId="38" applyNumberFormat="1" applyFont="1"/>
    <xf numFmtId="165" fontId="13" fillId="0" borderId="0" xfId="4343" applyNumberFormat="1"/>
    <xf numFmtId="165" fontId="10" fillId="0" borderId="0" xfId="4343" applyNumberFormat="1" applyFont="1" applyAlignment="1">
      <alignment horizontal="left" vertical="center"/>
    </xf>
    <xf numFmtId="0" fontId="5" fillId="0" borderId="0" xfId="4343" applyFont="1"/>
    <xf numFmtId="0" fontId="5" fillId="0" borderId="0" xfId="4343" applyFont="1" applyAlignment="1">
      <alignment horizontal="left" vertical="center"/>
    </xf>
    <xf numFmtId="0" fontId="5" fillId="0" borderId="0" xfId="4343" applyFont="1" applyBorder="1" applyAlignment="1">
      <alignment horizontal="center"/>
    </xf>
    <xf numFmtId="0" fontId="13" fillId="0" borderId="94" xfId="4343" applyBorder="1"/>
    <xf numFmtId="0" fontId="5" fillId="0" borderId="94" xfId="4343" applyFont="1" applyBorder="1"/>
    <xf numFmtId="165" fontId="13" fillId="0" borderId="94" xfId="4343" applyNumberFormat="1" applyBorder="1"/>
    <xf numFmtId="11" fontId="0" fillId="0" borderId="0" xfId="0" applyNumberFormat="1"/>
    <xf numFmtId="192" fontId="103" fillId="0" borderId="0" xfId="38" applyNumberFormat="1" applyFont="1"/>
    <xf numFmtId="192" fontId="0" fillId="0" borderId="0" xfId="0" applyNumberFormat="1" applyBorder="1"/>
    <xf numFmtId="2" fontId="0" fillId="0" borderId="132" xfId="0" applyNumberFormat="1" applyBorder="1"/>
    <xf numFmtId="192" fontId="0" fillId="0" borderId="0" xfId="0" applyNumberFormat="1"/>
    <xf numFmtId="192" fontId="0" fillId="0" borderId="0" xfId="38" applyNumberFormat="1" applyFont="1" applyBorder="1"/>
    <xf numFmtId="191" fontId="0" fillId="0" borderId="0" xfId="0" applyNumberFormat="1"/>
    <xf numFmtId="191" fontId="0" fillId="0" borderId="0" xfId="0" applyNumberFormat="1" applyBorder="1"/>
    <xf numFmtId="0" fontId="0" fillId="0" borderId="132" xfId="0" applyBorder="1"/>
    <xf numFmtId="174" fontId="0" fillId="0" borderId="0" xfId="0" applyNumberFormat="1" applyFill="1"/>
    <xf numFmtId="179" fontId="17" fillId="0" borderId="57" xfId="0" applyNumberFormat="1" applyFont="1" applyBorder="1"/>
    <xf numFmtId="191" fontId="0" fillId="0" borderId="0" xfId="0" applyNumberFormat="1" applyFill="1" applyBorder="1"/>
    <xf numFmtId="174" fontId="0" fillId="0" borderId="0" xfId="0" applyNumberFormat="1" applyAlignment="1">
      <alignment horizontal="center"/>
    </xf>
    <xf numFmtId="174" fontId="0" fillId="0" borderId="17" xfId="0" applyNumberFormat="1" applyBorder="1" applyAlignment="1">
      <alignment horizontal="center"/>
    </xf>
    <xf numFmtId="165" fontId="0" fillId="0" borderId="0" xfId="0" applyNumberFormat="1" applyFill="1" applyBorder="1"/>
    <xf numFmtId="189" fontId="0" fillId="0" borderId="0" xfId="0" applyNumberFormat="1" applyFill="1" applyBorder="1"/>
    <xf numFmtId="175" fontId="0" fillId="0" borderId="0" xfId="0" applyNumberFormat="1" applyFill="1" applyBorder="1"/>
    <xf numFmtId="0" fontId="0" fillId="41" borderId="0" xfId="0" applyFill="1"/>
    <xf numFmtId="0" fontId="17" fillId="0" borderId="83" xfId="0" applyFont="1" applyBorder="1"/>
    <xf numFmtId="2" fontId="17" fillId="0" borderId="94" xfId="0" applyNumberFormat="1" applyFont="1" applyFill="1" applyBorder="1"/>
    <xf numFmtId="0" fontId="17" fillId="0" borderId="94" xfId="0" applyFont="1" applyBorder="1"/>
    <xf numFmtId="0" fontId="4" fillId="0" borderId="94" xfId="4343" applyFont="1" applyBorder="1"/>
    <xf numFmtId="0" fontId="4" fillId="88" borderId="0" xfId="4343" applyFont="1" applyFill="1" applyAlignment="1">
      <alignment horizontal="center" vertical="center"/>
    </xf>
    <xf numFmtId="179" fontId="17" fillId="0" borderId="144" xfId="0" applyNumberFormat="1" applyFont="1" applyFill="1" applyBorder="1"/>
    <xf numFmtId="0" fontId="17" fillId="0" borderId="144" xfId="0" applyFont="1" applyFill="1" applyBorder="1"/>
    <xf numFmtId="179" fontId="17" fillId="0" borderId="84" xfId="0" applyNumberFormat="1" applyFont="1" applyFill="1" applyBorder="1"/>
    <xf numFmtId="0" fontId="17" fillId="0" borderId="84" xfId="0" applyFont="1" applyFill="1" applyBorder="1"/>
    <xf numFmtId="179" fontId="0" fillId="0" borderId="144" xfId="0" applyNumberFormat="1" applyFont="1" applyFill="1" applyBorder="1"/>
    <xf numFmtId="179" fontId="45" fillId="0" borderId="144" xfId="0" applyNumberFormat="1" applyFont="1" applyFill="1" applyBorder="1"/>
    <xf numFmtId="179" fontId="45" fillId="0" borderId="0" xfId="0" applyNumberFormat="1" applyFont="1" applyFill="1" applyBorder="1"/>
    <xf numFmtId="179" fontId="0" fillId="0" borderId="84" xfId="0" applyNumberFormat="1" applyFont="1" applyFill="1" applyBorder="1"/>
    <xf numFmtId="179" fontId="45" fillId="0" borderId="84" xfId="0" applyNumberFormat="1" applyFont="1" applyFill="1" applyBorder="1"/>
    <xf numFmtId="0" fontId="69" fillId="0" borderId="0" xfId="2585" applyFont="1" applyFill="1" applyBorder="1" applyAlignment="1">
      <alignment horizontal="center"/>
    </xf>
    <xf numFmtId="0" fontId="69" fillId="0" borderId="39" xfId="2585" applyFont="1" applyFill="1" applyBorder="1" applyAlignment="1">
      <alignment horizontal="center"/>
    </xf>
    <xf numFmtId="0" fontId="17" fillId="0" borderId="0" xfId="2585" applyBorder="1" applyAlignment="1">
      <alignment horizontal="center"/>
    </xf>
    <xf numFmtId="0" fontId="17" fillId="0" borderId="0" xfId="2585" applyBorder="1" applyAlignment="1">
      <alignment horizontal="left"/>
    </xf>
    <xf numFmtId="0" fontId="0" fillId="0" borderId="94" xfId="0" applyBorder="1" applyAlignment="1">
      <alignment horizontal="center"/>
    </xf>
    <xf numFmtId="0" fontId="44" fillId="0" borderId="66" xfId="0" applyFont="1" applyBorder="1" applyAlignment="1">
      <alignment horizontal="center"/>
    </xf>
    <xf numFmtId="0" fontId="44" fillId="0" borderId="68" xfId="0" applyFont="1" applyBorder="1" applyAlignment="1">
      <alignment horizontal="center"/>
    </xf>
    <xf numFmtId="0" fontId="0" fillId="0" borderId="55" xfId="0" applyFill="1" applyBorder="1" applyAlignment="1">
      <alignment horizontal="center"/>
    </xf>
    <xf numFmtId="0" fontId="0" fillId="0" borderId="55" xfId="0" applyBorder="1" applyAlignment="1">
      <alignment horizontal="center"/>
    </xf>
    <xf numFmtId="0" fontId="0" fillId="0" borderId="29" xfId="0" applyBorder="1" applyAlignment="1">
      <alignment horizontal="center"/>
    </xf>
    <xf numFmtId="0" fontId="0" fillId="0" borderId="84" xfId="0" applyBorder="1" applyAlignment="1">
      <alignment horizontal="left"/>
    </xf>
    <xf numFmtId="0" fontId="70" fillId="0" borderId="0" xfId="4343" applyFont="1" applyFill="1" applyBorder="1" applyAlignment="1" applyProtection="1">
      <alignment horizontal="left"/>
    </xf>
    <xf numFmtId="175" fontId="13" fillId="0" borderId="30" xfId="38" applyNumberFormat="1" applyFont="1" applyBorder="1"/>
    <xf numFmtId="175" fontId="13" fillId="0" borderId="0" xfId="38" applyNumberFormat="1" applyFont="1" applyBorder="1"/>
    <xf numFmtId="175" fontId="13" fillId="0" borderId="83" xfId="38" applyNumberFormat="1" applyFont="1" applyBorder="1"/>
    <xf numFmtId="175" fontId="13" fillId="0" borderId="52" xfId="38" applyNumberFormat="1" applyFont="1" applyBorder="1"/>
    <xf numFmtId="175" fontId="13" fillId="0" borderId="84" xfId="38" applyNumberFormat="1" applyFont="1" applyBorder="1"/>
    <xf numFmtId="175" fontId="13" fillId="0" borderId="85" xfId="38" applyNumberFormat="1" applyFont="1" applyBorder="1"/>
    <xf numFmtId="165" fontId="13" fillId="0" borderId="0" xfId="38" applyFont="1"/>
    <xf numFmtId="175" fontId="13" fillId="88" borderId="30" xfId="38" applyNumberFormat="1" applyFont="1" applyFill="1" applyBorder="1"/>
    <xf numFmtId="175" fontId="13" fillId="88" borderId="0" xfId="38" applyNumberFormat="1" applyFont="1" applyFill="1" applyBorder="1"/>
    <xf numFmtId="175" fontId="13" fillId="88" borderId="83" xfId="38" applyNumberFormat="1" applyFont="1" applyFill="1" applyBorder="1"/>
    <xf numFmtId="175" fontId="13" fillId="88" borderId="52" xfId="38" applyNumberFormat="1" applyFont="1" applyFill="1" applyBorder="1"/>
    <xf numFmtId="175" fontId="13" fillId="88" borderId="84" xfId="38" applyNumberFormat="1" applyFont="1" applyFill="1" applyBorder="1"/>
    <xf numFmtId="175" fontId="13" fillId="88" borderId="85" xfId="38" applyNumberFormat="1" applyFont="1" applyFill="1" applyBorder="1"/>
    <xf numFmtId="175" fontId="10" fillId="0" borderId="0" xfId="38" applyNumberFormat="1" applyFont="1"/>
    <xf numFmtId="175" fontId="106" fillId="0" borderId="0" xfId="38" applyNumberFormat="1" applyFont="1"/>
    <xf numFmtId="0" fontId="44" fillId="0" borderId="0" xfId="0" applyFont="1" applyAlignment="1"/>
    <xf numFmtId="165" fontId="0" fillId="0" borderId="0" xfId="38" applyFont="1"/>
    <xf numFmtId="165" fontId="0" fillId="0" borderId="0" xfId="38" applyFont="1" applyFill="1"/>
    <xf numFmtId="175" fontId="58" fillId="0" borderId="0" xfId="38" applyNumberFormat="1" applyFont="1" applyBorder="1" applyAlignment="1">
      <alignment horizontal="left" indent="1"/>
    </xf>
    <xf numFmtId="175" fontId="58" fillId="0" borderId="83" xfId="38" applyNumberFormat="1" applyFont="1" applyBorder="1" applyAlignment="1">
      <alignment horizontal="left" indent="1"/>
    </xf>
    <xf numFmtId="175" fontId="29" fillId="0" borderId="0" xfId="38" applyNumberFormat="1" applyFont="1" applyBorder="1" applyAlignment="1">
      <alignment horizontal="left" indent="2"/>
    </xf>
    <xf numFmtId="175" fontId="29" fillId="0" borderId="83" xfId="38" applyNumberFormat="1" applyFont="1" applyBorder="1" applyAlignment="1">
      <alignment horizontal="left" indent="2"/>
    </xf>
    <xf numFmtId="175" fontId="29" fillId="0" borderId="83" xfId="38" applyNumberFormat="1" applyFont="1" applyBorder="1" applyAlignment="1"/>
    <xf numFmtId="175" fontId="58" fillId="0" borderId="83" xfId="38" applyNumberFormat="1" applyFont="1" applyBorder="1" applyAlignment="1"/>
    <xf numFmtId="175" fontId="34" fillId="0" borderId="0" xfId="38" applyNumberFormat="1" applyFont="1" applyBorder="1" applyAlignment="1">
      <alignment horizontal="left"/>
    </xf>
    <xf numFmtId="175" fontId="34" fillId="0" borderId="83" xfId="38" applyNumberFormat="1" applyFont="1" applyBorder="1" applyAlignment="1">
      <alignment horizontal="left"/>
    </xf>
    <xf numFmtId="175" fontId="14" fillId="0" borderId="84" xfId="38" applyNumberFormat="1" applyFont="1" applyBorder="1"/>
    <xf numFmtId="175" fontId="59" fillId="0" borderId="85" xfId="38" applyNumberFormat="1" applyFont="1" applyBorder="1" applyAlignment="1"/>
    <xf numFmtId="165" fontId="0" fillId="0" borderId="0" xfId="38" applyFont="1" applyFill="1" applyProtection="1"/>
    <xf numFmtId="175" fontId="13" fillId="0" borderId="52" xfId="38" applyNumberFormat="1" applyFont="1" applyFill="1" applyBorder="1"/>
    <xf numFmtId="175" fontId="13" fillId="0" borderId="84" xfId="38" applyNumberFormat="1" applyFont="1" applyFill="1" applyBorder="1"/>
    <xf numFmtId="175" fontId="13" fillId="0" borderId="85" xfId="38" applyNumberFormat="1" applyFont="1" applyFill="1" applyBorder="1"/>
    <xf numFmtId="179" fontId="0" fillId="0" borderId="56" xfId="0" applyNumberFormat="1" applyFill="1" applyBorder="1"/>
    <xf numFmtId="165" fontId="0" fillId="0" borderId="0" xfId="38" applyFont="1" applyAlignment="1">
      <alignment horizontal="left"/>
    </xf>
    <xf numFmtId="175" fontId="0" fillId="0" borderId="0" xfId="38" applyNumberFormat="1" applyFont="1" applyAlignment="1">
      <alignment horizontal="left"/>
    </xf>
    <xf numFmtId="175" fontId="0" fillId="40" borderId="0" xfId="38" applyNumberFormat="1" applyFont="1" applyFill="1" applyAlignment="1">
      <alignment horizontal="left"/>
    </xf>
    <xf numFmtId="175" fontId="0" fillId="0" borderId="0" xfId="38" applyNumberFormat="1" applyFont="1"/>
    <xf numFmtId="175" fontId="0" fillId="0" borderId="132" xfId="38" applyNumberFormat="1" applyFont="1" applyBorder="1"/>
    <xf numFmtId="175" fontId="0" fillId="0" borderId="143" xfId="38" applyNumberFormat="1" applyFont="1" applyBorder="1" applyAlignment="1">
      <alignment horizontal="left"/>
    </xf>
    <xf numFmtId="175" fontId="0" fillId="0" borderId="0" xfId="38" applyNumberFormat="1" applyFont="1" applyFill="1" applyAlignment="1">
      <alignment horizontal="left"/>
    </xf>
    <xf numFmtId="165" fontId="105" fillId="0" borderId="0" xfId="38" applyFont="1"/>
    <xf numFmtId="165" fontId="0" fillId="0" borderId="16" xfId="38" applyFont="1" applyBorder="1"/>
    <xf numFmtId="165" fontId="103" fillId="0" borderId="0" xfId="38" applyFont="1" applyBorder="1"/>
    <xf numFmtId="165" fontId="0" fillId="0" borderId="0" xfId="38" applyFont="1" applyBorder="1"/>
    <xf numFmtId="165" fontId="103" fillId="0" borderId="0" xfId="38" applyFont="1"/>
    <xf numFmtId="165" fontId="0" fillId="40" borderId="0" xfId="38" applyFont="1" applyFill="1"/>
    <xf numFmtId="165" fontId="0" fillId="40" borderId="16" xfId="38" applyFont="1" applyFill="1" applyBorder="1"/>
    <xf numFmtId="165" fontId="0" fillId="40" borderId="0" xfId="38" applyFont="1" applyFill="1" applyBorder="1"/>
    <xf numFmtId="165" fontId="0" fillId="0" borderId="17" xfId="38" applyFont="1" applyBorder="1"/>
    <xf numFmtId="165" fontId="105" fillId="0" borderId="17" xfId="38" applyFont="1" applyBorder="1"/>
    <xf numFmtId="165" fontId="0" fillId="0" borderId="66" xfId="38" applyFont="1" applyBorder="1"/>
    <xf numFmtId="165" fontId="0" fillId="0" borderId="68" xfId="38" applyFont="1" applyBorder="1"/>
    <xf numFmtId="165" fontId="0" fillId="0" borderId="109" xfId="38" applyFont="1" applyFill="1" applyBorder="1"/>
    <xf numFmtId="165" fontId="0" fillId="0" borderId="98" xfId="38" applyFont="1" applyFill="1" applyBorder="1"/>
    <xf numFmtId="165" fontId="0" fillId="0" borderId="101" xfId="38" applyFont="1" applyFill="1" applyBorder="1"/>
    <xf numFmtId="165" fontId="0" fillId="41" borderId="0" xfId="38" applyFont="1" applyFill="1"/>
    <xf numFmtId="165" fontId="57" fillId="0" borderId="0" xfId="38" applyFont="1" applyFill="1" applyBorder="1"/>
    <xf numFmtId="165" fontId="0" fillId="0" borderId="83" xfId="38" applyFont="1" applyBorder="1"/>
    <xf numFmtId="165" fontId="0" fillId="0" borderId="0" xfId="38" applyFont="1" applyFill="1" applyBorder="1"/>
    <xf numFmtId="165" fontId="0" fillId="0" borderId="84" xfId="38" applyFont="1" applyBorder="1"/>
    <xf numFmtId="165" fontId="0" fillId="0" borderId="85" xfId="38" applyFont="1" applyBorder="1"/>
    <xf numFmtId="165" fontId="0" fillId="0" borderId="94" xfId="38" applyFont="1" applyFill="1" applyBorder="1"/>
    <xf numFmtId="179" fontId="107" fillId="0" borderId="0" xfId="0" applyNumberFormat="1" applyFont="1"/>
    <xf numFmtId="0" fontId="0" fillId="0" borderId="55" xfId="0" applyBorder="1"/>
    <xf numFmtId="0" fontId="0" fillId="0" borderId="64" xfId="0" applyBorder="1"/>
    <xf numFmtId="0" fontId="18" fillId="0" borderId="132" xfId="0" applyFont="1" applyBorder="1"/>
    <xf numFmtId="0" fontId="0" fillId="0" borderId="132" xfId="0" applyFill="1" applyBorder="1"/>
    <xf numFmtId="0" fontId="0" fillId="0" borderId="146" xfId="0" applyBorder="1"/>
    <xf numFmtId="0" fontId="39" fillId="27" borderId="18" xfId="0" applyFont="1" applyFill="1" applyBorder="1" applyAlignment="1">
      <alignment horizontal="center" vertical="center" wrapText="1"/>
    </xf>
    <xf numFmtId="0" fontId="39" fillId="0" borderId="0" xfId="2585" applyFont="1" applyFill="1" applyBorder="1" applyAlignment="1">
      <alignment horizontal="left" vertical="center" wrapText="1"/>
    </xf>
    <xf numFmtId="0" fontId="17" fillId="0" borderId="0" xfId="2585" applyFill="1"/>
    <xf numFmtId="0" fontId="40" fillId="0" borderId="0" xfId="2585" applyFont="1" applyFill="1" applyBorder="1" applyAlignment="1">
      <alignment horizontal="left" vertical="top" wrapText="1"/>
    </xf>
    <xf numFmtId="165" fontId="17" fillId="0" borderId="0" xfId="2585" applyNumberFormat="1" applyFill="1" applyAlignment="1">
      <alignment horizontal="center"/>
    </xf>
    <xf numFmtId="175" fontId="17" fillId="0" borderId="0" xfId="38" applyNumberFormat="1"/>
    <xf numFmtId="175" fontId="17" fillId="0" borderId="30" xfId="38" applyNumberFormat="1" applyBorder="1" applyAlignment="1">
      <alignment horizontal="left"/>
    </xf>
    <xf numFmtId="175" fontId="17" fillId="0" borderId="83" xfId="38" applyNumberFormat="1" applyBorder="1" applyAlignment="1">
      <alignment horizontal="left"/>
    </xf>
    <xf numFmtId="175" fontId="17" fillId="0" borderId="52" xfId="38" applyNumberFormat="1" applyBorder="1" applyAlignment="1">
      <alignment horizontal="left"/>
    </xf>
    <xf numFmtId="175" fontId="17" fillId="0" borderId="85" xfId="38" applyNumberFormat="1" applyBorder="1" applyAlignment="1">
      <alignment horizontal="left"/>
    </xf>
    <xf numFmtId="175" fontId="17" fillId="0" borderId="0" xfId="38" applyNumberFormat="1" applyBorder="1" applyAlignment="1">
      <alignment horizontal="left"/>
    </xf>
    <xf numFmtId="175" fontId="17" fillId="0" borderId="84" xfId="38" applyNumberFormat="1" applyBorder="1" applyAlignment="1">
      <alignment horizontal="left"/>
    </xf>
    <xf numFmtId="165" fontId="17" fillId="0" borderId="16" xfId="38" applyNumberFormat="1" applyBorder="1"/>
    <xf numFmtId="165" fontId="0" fillId="0" borderId="0" xfId="38" applyNumberFormat="1" applyFont="1" applyBorder="1"/>
    <xf numFmtId="165" fontId="17" fillId="0" borderId="0" xfId="38" applyNumberFormat="1" applyBorder="1"/>
    <xf numFmtId="0" fontId="39" fillId="29" borderId="56" xfId="2585" applyFont="1" applyFill="1" applyBorder="1" applyAlignment="1">
      <alignment horizontal="center" vertical="center" wrapText="1"/>
    </xf>
    <xf numFmtId="0" fontId="39" fillId="30" borderId="56" xfId="2585" applyFont="1" applyFill="1" applyBorder="1" applyAlignment="1">
      <alignment horizontal="center" vertical="center" wrapText="1"/>
    </xf>
    <xf numFmtId="0" fontId="40" fillId="26" borderId="79" xfId="2585" applyFont="1" applyFill="1" applyBorder="1" applyAlignment="1">
      <alignment horizontal="center" vertical="top" wrapText="1"/>
    </xf>
    <xf numFmtId="0" fontId="17" fillId="85" borderId="60" xfId="2585" applyFont="1" applyFill="1" applyBorder="1"/>
    <xf numFmtId="165" fontId="45" fillId="93" borderId="30" xfId="39" applyFont="1" applyFill="1" applyBorder="1" applyAlignment="1">
      <alignment horizontal="left"/>
    </xf>
    <xf numFmtId="0" fontId="17" fillId="0" borderId="147" xfId="2585" applyFont="1" applyFill="1" applyBorder="1" applyAlignment="1">
      <alignment horizontal="left"/>
    </xf>
    <xf numFmtId="0" fontId="17" fillId="85" borderId="63" xfId="2585" applyFill="1" applyBorder="1" applyAlignment="1">
      <alignment horizontal="right"/>
    </xf>
    <xf numFmtId="0" fontId="17" fillId="85" borderId="55" xfId="2585" applyFill="1" applyBorder="1" applyAlignment="1">
      <alignment horizontal="center"/>
    </xf>
    <xf numFmtId="0" fontId="17" fillId="85" borderId="62" xfId="2585" applyFill="1" applyBorder="1" applyAlignment="1">
      <alignment horizontal="center"/>
    </xf>
    <xf numFmtId="0" fontId="17" fillId="85" borderId="47" xfId="2585" applyFill="1" applyBorder="1" applyAlignment="1">
      <alignment horizontal="center"/>
    </xf>
    <xf numFmtId="165" fontId="45" fillId="93" borderId="0" xfId="39" applyFont="1" applyFill="1" applyBorder="1" applyAlignment="1">
      <alignment horizontal="left"/>
    </xf>
    <xf numFmtId="165" fontId="45" fillId="93" borderId="63" xfId="39" applyFont="1" applyFill="1" applyBorder="1" applyAlignment="1">
      <alignment horizontal="left"/>
    </xf>
    <xf numFmtId="165" fontId="45" fillId="93" borderId="55" xfId="39" applyFont="1" applyFill="1" applyBorder="1" applyAlignment="1">
      <alignment horizontal="left"/>
    </xf>
    <xf numFmtId="165" fontId="45" fillId="93" borderId="29" xfId="39" applyFont="1" applyFill="1" applyBorder="1" applyAlignment="1">
      <alignment horizontal="center"/>
    </xf>
    <xf numFmtId="165" fontId="45" fillId="93" borderId="83" xfId="39" applyFont="1" applyFill="1" applyBorder="1" applyAlignment="1">
      <alignment horizontal="center"/>
    </xf>
    <xf numFmtId="165" fontId="45" fillId="93" borderId="140" xfId="39" applyFont="1" applyFill="1" applyBorder="1" applyAlignment="1">
      <alignment horizontal="left"/>
    </xf>
    <xf numFmtId="165" fontId="45" fillId="93" borderId="84" xfId="39" applyFont="1" applyFill="1" applyBorder="1" applyAlignment="1">
      <alignment horizontal="left"/>
    </xf>
    <xf numFmtId="165" fontId="45" fillId="93" borderId="85" xfId="39" applyFont="1" applyFill="1" applyBorder="1" applyAlignment="1">
      <alignment horizontal="center"/>
    </xf>
    <xf numFmtId="0" fontId="44" fillId="0" borderId="0" xfId="0" applyFont="1" applyFill="1" applyBorder="1" applyAlignment="1"/>
    <xf numFmtId="165" fontId="0" fillId="0" borderId="0" xfId="0" applyNumberFormat="1" applyFill="1"/>
    <xf numFmtId="0" fontId="0" fillId="0" borderId="0" xfId="0" applyFill="1" applyAlignment="1">
      <alignment horizontal="right"/>
    </xf>
    <xf numFmtId="0" fontId="17" fillId="0" borderId="144" xfId="2585" applyBorder="1"/>
    <xf numFmtId="0" fontId="17" fillId="0" borderId="144" xfId="2585" applyBorder="1" applyAlignment="1">
      <alignment horizontal="left"/>
    </xf>
    <xf numFmtId="165" fontId="45" fillId="50" borderId="144" xfId="38" applyFont="1" applyFill="1" applyBorder="1" applyAlignment="1">
      <alignment horizontal="left"/>
    </xf>
    <xf numFmtId="165" fontId="45" fillId="50" borderId="144" xfId="38" applyFont="1" applyFill="1" applyBorder="1" applyAlignment="1">
      <alignment horizontal="center"/>
    </xf>
    <xf numFmtId="2" fontId="17" fillId="0" borderId="144" xfId="2585" applyNumberFormat="1" applyBorder="1" applyAlignment="1">
      <alignment horizontal="center"/>
    </xf>
    <xf numFmtId="0" fontId="17" fillId="0" borderId="132" xfId="2585" applyBorder="1"/>
    <xf numFmtId="0" fontId="17" fillId="0" borderId="132" xfId="2585" applyBorder="1" applyAlignment="1">
      <alignment horizontal="left"/>
    </xf>
    <xf numFmtId="2" fontId="17" fillId="0" borderId="132" xfId="2585" applyNumberFormat="1" applyBorder="1" applyAlignment="1">
      <alignment horizontal="right"/>
    </xf>
    <xf numFmtId="167" fontId="17" fillId="0" borderId="132" xfId="2585" applyNumberFormat="1" applyBorder="1" applyAlignment="1">
      <alignment horizontal="left"/>
    </xf>
    <xf numFmtId="2" fontId="17" fillId="0" borderId="132" xfId="2585" applyNumberFormat="1" applyBorder="1" applyAlignment="1">
      <alignment horizontal="center"/>
    </xf>
    <xf numFmtId="0" fontId="17" fillId="0" borderId="132" xfId="2585" applyFill="1" applyBorder="1"/>
    <xf numFmtId="165" fontId="17" fillId="0" borderId="0" xfId="2585" applyNumberFormat="1" applyFill="1" applyBorder="1" applyAlignment="1">
      <alignment horizontal="left"/>
    </xf>
    <xf numFmtId="0" fontId="17" fillId="0" borderId="0" xfId="2585" applyFill="1" applyBorder="1" applyAlignment="1"/>
    <xf numFmtId="0" fontId="17" fillId="0" borderId="0" xfId="2585" applyFont="1" applyFill="1" applyBorder="1"/>
    <xf numFmtId="0" fontId="17" fillId="0" borderId="0" xfId="2585" applyFill="1" applyBorder="1" applyAlignment="1">
      <alignment horizontal="center"/>
    </xf>
    <xf numFmtId="165" fontId="45" fillId="93" borderId="30" xfId="39" applyNumberFormat="1" applyFont="1" applyFill="1" applyBorder="1" applyAlignment="1">
      <alignment horizontal="left"/>
    </xf>
    <xf numFmtId="165" fontId="45" fillId="93" borderId="63" xfId="39" applyNumberFormat="1" applyFont="1" applyFill="1" applyBorder="1" applyAlignment="1">
      <alignment horizontal="left"/>
    </xf>
    <xf numFmtId="165" fontId="45" fillId="93" borderId="140" xfId="39" applyNumberFormat="1" applyFont="1" applyFill="1" applyBorder="1" applyAlignment="1">
      <alignment horizontal="left"/>
    </xf>
    <xf numFmtId="0" fontId="17" fillId="40" borderId="35" xfId="2585" applyFont="1" applyFill="1" applyBorder="1" applyAlignment="1">
      <alignment horizontal="center"/>
    </xf>
    <xf numFmtId="0" fontId="17" fillId="40" borderId="33" xfId="2585" applyFont="1" applyFill="1" applyBorder="1" applyAlignment="1">
      <alignment horizontal="center"/>
    </xf>
    <xf numFmtId="0" fontId="17" fillId="40" borderId="109" xfId="2585" applyFont="1" applyFill="1" applyBorder="1" applyAlignment="1">
      <alignment horizontal="center"/>
    </xf>
    <xf numFmtId="0" fontId="17" fillId="82" borderId="22" xfId="2585" applyFont="1" applyFill="1" applyBorder="1"/>
    <xf numFmtId="165" fontId="45" fillId="82" borderId="99" xfId="39" applyFont="1" applyFill="1" applyBorder="1" applyAlignment="1">
      <alignment horizontal="center"/>
    </xf>
    <xf numFmtId="165" fontId="45" fillId="82" borderId="100" xfId="39" applyFont="1" applyFill="1" applyBorder="1" applyAlignment="1">
      <alignment horizontal="center"/>
    </xf>
    <xf numFmtId="165" fontId="45" fillId="82" borderId="101" xfId="39" applyFont="1" applyFill="1" applyBorder="1" applyAlignment="1">
      <alignment horizontal="center"/>
    </xf>
    <xf numFmtId="165" fontId="45" fillId="93" borderId="55" xfId="39" applyNumberFormat="1" applyFont="1" applyFill="1" applyBorder="1" applyAlignment="1">
      <alignment horizontal="center"/>
    </xf>
    <xf numFmtId="165" fontId="45" fillId="93" borderId="63" xfId="39" applyNumberFormat="1" applyFont="1" applyFill="1" applyBorder="1" applyAlignment="1">
      <alignment horizontal="center"/>
    </xf>
    <xf numFmtId="165" fontId="45" fillId="93" borderId="29" xfId="39" applyNumberFormat="1" applyFont="1" applyFill="1" applyBorder="1" applyAlignment="1">
      <alignment horizontal="center"/>
    </xf>
    <xf numFmtId="165" fontId="45" fillId="93" borderId="0" xfId="39" applyNumberFormat="1" applyFont="1" applyFill="1" applyBorder="1" applyAlignment="1">
      <alignment horizontal="center"/>
    </xf>
    <xf numFmtId="165" fontId="45" fillId="93" borderId="30" xfId="39" applyNumberFormat="1" applyFont="1" applyFill="1" applyBorder="1" applyAlignment="1">
      <alignment horizontal="center"/>
    </xf>
    <xf numFmtId="165" fontId="45" fillId="93" borderId="83" xfId="39" applyNumberFormat="1" applyFont="1" applyFill="1" applyBorder="1" applyAlignment="1">
      <alignment horizontal="center"/>
    </xf>
    <xf numFmtId="165" fontId="45" fillId="93" borderId="84" xfId="39" applyNumberFormat="1" applyFont="1" applyFill="1" applyBorder="1" applyAlignment="1">
      <alignment horizontal="center"/>
    </xf>
    <xf numFmtId="165" fontId="45" fillId="93" borderId="140" xfId="39" applyNumberFormat="1" applyFont="1" applyFill="1" applyBorder="1" applyAlignment="1">
      <alignment horizontal="center"/>
    </xf>
    <xf numFmtId="165" fontId="45" fillId="93" borderId="85" xfId="39" applyNumberFormat="1" applyFont="1" applyFill="1" applyBorder="1" applyAlignment="1">
      <alignment horizontal="center"/>
    </xf>
    <xf numFmtId="0" fontId="17" fillId="0" borderId="0" xfId="2585" applyBorder="1" applyAlignment="1">
      <alignment horizontal="right"/>
    </xf>
    <xf numFmtId="165" fontId="17" fillId="0" borderId="52" xfId="38" applyBorder="1" applyAlignment="1">
      <alignment horizontal="center" vertical="center"/>
    </xf>
    <xf numFmtId="165" fontId="17" fillId="0" borderId="85" xfId="38" applyBorder="1" applyAlignment="1">
      <alignment horizontal="center" vertical="center"/>
    </xf>
    <xf numFmtId="175" fontId="44" fillId="0" borderId="0" xfId="38" applyNumberFormat="1" applyFont="1" applyBorder="1" applyAlignment="1">
      <alignment horizontal="left"/>
    </xf>
    <xf numFmtId="175" fontId="44" fillId="0" borderId="0" xfId="38" applyNumberFormat="1" applyFont="1"/>
    <xf numFmtId="0" fontId="17" fillId="40" borderId="24" xfId="2585" applyFill="1" applyBorder="1" applyAlignment="1">
      <alignment horizontal="center"/>
    </xf>
    <xf numFmtId="0" fontId="17" fillId="40" borderId="132" xfId="2585" applyFill="1" applyBorder="1" applyAlignment="1">
      <alignment horizontal="center"/>
    </xf>
    <xf numFmtId="0" fontId="17" fillId="40" borderId="149" xfId="2585" applyFill="1" applyBorder="1" applyAlignment="1">
      <alignment horizontal="center"/>
    </xf>
    <xf numFmtId="0" fontId="17" fillId="53" borderId="24" xfId="2585" applyFill="1" applyBorder="1" applyAlignment="1">
      <alignment horizontal="center"/>
    </xf>
    <xf numFmtId="0" fontId="17" fillId="53" borderId="149" xfId="2585" applyFill="1" applyBorder="1" applyAlignment="1">
      <alignment horizontal="center"/>
    </xf>
    <xf numFmtId="0" fontId="108" fillId="0" borderId="84" xfId="2585" applyFont="1" applyBorder="1" applyAlignment="1">
      <alignment horizontal="left"/>
    </xf>
    <xf numFmtId="175" fontId="108" fillId="0" borderId="0" xfId="2585" applyNumberFormat="1" applyFont="1"/>
    <xf numFmtId="0" fontId="108" fillId="0" borderId="0" xfId="2585" applyFont="1" applyBorder="1" applyAlignment="1">
      <alignment horizontal="left"/>
    </xf>
    <xf numFmtId="165" fontId="44" fillId="0" borderId="30" xfId="38" applyFont="1" applyBorder="1" applyAlignment="1">
      <alignment horizontal="center" vertical="center"/>
    </xf>
    <xf numFmtId="165" fontId="44" fillId="0" borderId="83" xfId="38" applyFont="1" applyBorder="1" applyAlignment="1">
      <alignment horizontal="center" vertical="center"/>
    </xf>
    <xf numFmtId="0" fontId="44" fillId="0" borderId="0" xfId="2585" applyFont="1" applyBorder="1" applyAlignment="1">
      <alignment horizontal="left"/>
    </xf>
    <xf numFmtId="165" fontId="61" fillId="0" borderId="0" xfId="38" applyNumberFormat="1" applyFont="1" applyFill="1" applyBorder="1" applyAlignment="1">
      <alignment horizontal="center"/>
    </xf>
    <xf numFmtId="176" fontId="0" fillId="0" borderId="83" xfId="38" applyNumberFormat="1" applyFont="1" applyBorder="1"/>
    <xf numFmtId="182" fontId="72" fillId="0" borderId="84" xfId="4343" applyNumberFormat="1" applyFont="1" applyBorder="1" applyAlignment="1">
      <alignment horizontal="left"/>
    </xf>
    <xf numFmtId="182" fontId="13" fillId="0" borderId="84" xfId="4343" applyNumberFormat="1" applyBorder="1" applyAlignment="1">
      <alignment horizontal="left"/>
    </xf>
    <xf numFmtId="0" fontId="13" fillId="87" borderId="63" xfId="4343" applyFill="1" applyBorder="1" applyAlignment="1">
      <alignment horizontal="center"/>
    </xf>
    <xf numFmtId="0" fontId="13" fillId="87" borderId="55" xfId="4343" applyFill="1" applyBorder="1" applyAlignment="1">
      <alignment horizontal="center"/>
    </xf>
    <xf numFmtId="0" fontId="13" fillId="87" borderId="29" xfId="4343" applyFill="1" applyBorder="1" applyAlignment="1">
      <alignment horizontal="center"/>
    </xf>
    <xf numFmtId="0" fontId="13" fillId="0" borderId="0" xfId="4343" applyAlignment="1">
      <alignment horizontal="center" wrapText="1"/>
    </xf>
    <xf numFmtId="0" fontId="13" fillId="0" borderId="0" xfId="4343" applyAlignment="1">
      <alignment horizontal="center" vertical="center"/>
    </xf>
    <xf numFmtId="0" fontId="17" fillId="0" borderId="0" xfId="2585" applyFont="1" applyBorder="1"/>
    <xf numFmtId="0" fontId="17" fillId="94" borderId="0" xfId="2585" applyFill="1" applyBorder="1"/>
    <xf numFmtId="165" fontId="17" fillId="94" borderId="0" xfId="38" applyNumberFormat="1" applyFill="1" applyBorder="1"/>
    <xf numFmtId="165" fontId="17" fillId="94" borderId="0" xfId="38" applyNumberFormat="1" applyFill="1" applyBorder="1" applyAlignment="1">
      <alignment horizontal="center"/>
    </xf>
    <xf numFmtId="0" fontId="17" fillId="41" borderId="113" xfId="2585" applyFill="1" applyBorder="1" applyAlignment="1">
      <alignment horizontal="center"/>
    </xf>
    <xf numFmtId="0" fontId="17" fillId="41" borderId="144" xfId="2585" applyFill="1" applyBorder="1" applyAlignment="1">
      <alignment horizontal="center"/>
    </xf>
    <xf numFmtId="0" fontId="17" fillId="94" borderId="144" xfId="2585" applyFill="1" applyBorder="1" applyAlignment="1">
      <alignment horizontal="center"/>
    </xf>
    <xf numFmtId="0" fontId="17" fillId="41" borderId="153" xfId="2585" applyFill="1" applyBorder="1" applyAlignment="1">
      <alignment horizontal="center"/>
    </xf>
    <xf numFmtId="0" fontId="17" fillId="0" borderId="16" xfId="2585" applyFont="1" applyBorder="1"/>
    <xf numFmtId="0" fontId="17" fillId="0" borderId="19" xfId="2585" applyFont="1" applyBorder="1"/>
    <xf numFmtId="165" fontId="0" fillId="0" borderId="19" xfId="38" applyNumberFormat="1" applyFont="1" applyBorder="1"/>
    <xf numFmtId="0" fontId="17" fillId="94" borderId="132" xfId="2585" applyFill="1" applyBorder="1"/>
    <xf numFmtId="165" fontId="17" fillId="0" borderId="146" xfId="38" applyNumberFormat="1" applyBorder="1"/>
    <xf numFmtId="165" fontId="17" fillId="0" borderId="132" xfId="38" applyNumberFormat="1" applyBorder="1"/>
    <xf numFmtId="165" fontId="0" fillId="0" borderId="132" xfId="38" applyNumberFormat="1" applyFont="1" applyBorder="1"/>
    <xf numFmtId="165" fontId="0" fillId="0" borderId="154" xfId="38" applyNumberFormat="1" applyFont="1" applyBorder="1"/>
    <xf numFmtId="165" fontId="109" fillId="0" borderId="0" xfId="2585" applyNumberFormat="1" applyFont="1"/>
    <xf numFmtId="0" fontId="17" fillId="0" borderId="0" xfId="2585" applyAlignment="1">
      <alignment horizontal="right"/>
    </xf>
    <xf numFmtId="1" fontId="0" fillId="0" borderId="0" xfId="0" applyNumberFormat="1"/>
    <xf numFmtId="0" fontId="110" fillId="0" borderId="0" xfId="0" applyFont="1"/>
    <xf numFmtId="0" fontId="111" fillId="0" borderId="0" xfId="0" applyFont="1"/>
    <xf numFmtId="0" fontId="70" fillId="0" borderId="0" xfId="0" applyFont="1" applyAlignment="1">
      <alignment horizontal="center" vertical="center"/>
    </xf>
    <xf numFmtId="182" fontId="0" fillId="0" borderId="0" xfId="38" applyNumberFormat="1" applyFont="1"/>
    <xf numFmtId="0" fontId="13" fillId="0" borderId="30" xfId="4343" applyBorder="1" applyAlignment="1">
      <alignment horizontal="center" vertical="center"/>
    </xf>
    <xf numFmtId="0" fontId="17" fillId="0" borderId="0" xfId="0" applyFont="1" applyAlignment="1">
      <alignment horizontal="left"/>
    </xf>
    <xf numFmtId="0" fontId="17" fillId="0" borderId="0" xfId="0" applyFont="1" applyAlignment="1">
      <alignment horizontal="center" vertical="center"/>
    </xf>
    <xf numFmtId="166" fontId="0" fillId="0" borderId="0" xfId="0" applyNumberFormat="1" applyAlignment="1">
      <alignment horizontal="left"/>
    </xf>
    <xf numFmtId="166" fontId="0" fillId="0" borderId="0" xfId="0" applyNumberFormat="1"/>
    <xf numFmtId="0" fontId="115" fillId="0" borderId="0" xfId="4349"/>
    <xf numFmtId="182" fontId="44" fillId="0" borderId="0" xfId="38" applyNumberFormat="1" applyFont="1"/>
    <xf numFmtId="0" fontId="114" fillId="0" borderId="0" xfId="0" applyFont="1"/>
    <xf numFmtId="0" fontId="72" fillId="0" borderId="0" xfId="0" applyFont="1"/>
    <xf numFmtId="172" fontId="0" fillId="0" borderId="0" xfId="38" applyNumberFormat="1" applyFont="1"/>
    <xf numFmtId="0" fontId="112" fillId="0" borderId="0" xfId="0" applyFont="1"/>
    <xf numFmtId="0" fontId="91" fillId="85" borderId="16" xfId="4344" applyFill="1" applyBorder="1" applyProtection="1"/>
    <xf numFmtId="0" fontId="91" fillId="85" borderId="0" xfId="4344" applyFill="1" applyBorder="1" applyProtection="1"/>
    <xf numFmtId="0" fontId="91" fillId="85" borderId="19" xfId="4344" applyFill="1" applyBorder="1" applyProtection="1"/>
    <xf numFmtId="0" fontId="70" fillId="85" borderId="0" xfId="4343" applyFont="1" applyFill="1" applyAlignment="1" applyProtection="1"/>
    <xf numFmtId="0" fontId="70" fillId="85" borderId="156" xfId="4343" applyFont="1" applyFill="1" applyBorder="1" applyProtection="1"/>
    <xf numFmtId="0" fontId="70" fillId="85" borderId="148" xfId="4343" applyFont="1" applyFill="1" applyBorder="1" applyProtection="1"/>
    <xf numFmtId="0" fontId="70" fillId="85" borderId="157" xfId="4343" applyFont="1" applyFill="1" applyBorder="1" applyProtection="1"/>
    <xf numFmtId="0" fontId="13" fillId="85" borderId="150" xfId="4343" applyFill="1" applyBorder="1"/>
    <xf numFmtId="0" fontId="70" fillId="85" borderId="152" xfId="4343" applyFont="1" applyFill="1" applyBorder="1" applyProtection="1"/>
    <xf numFmtId="0" fontId="70" fillId="85" borderId="110" xfId="4343" applyFont="1" applyFill="1" applyBorder="1" applyProtection="1"/>
    <xf numFmtId="0" fontId="91" fillId="85" borderId="83" xfId="4344" applyFill="1" applyBorder="1" applyProtection="1"/>
    <xf numFmtId="0" fontId="70" fillId="85" borderId="112" xfId="4343" applyFont="1" applyFill="1" applyBorder="1" applyProtection="1"/>
    <xf numFmtId="0" fontId="91" fillId="85" borderId="49" xfId="4344" applyFill="1" applyBorder="1" applyProtection="1"/>
    <xf numFmtId="0" fontId="91" fillId="85" borderId="84" xfId="4344" applyFill="1" applyBorder="1" applyProtection="1"/>
    <xf numFmtId="0" fontId="91" fillId="85" borderId="161" xfId="4344" applyFill="1" applyBorder="1" applyProtection="1"/>
    <xf numFmtId="0" fontId="91" fillId="85" borderId="85" xfId="4344" applyFill="1" applyBorder="1" applyProtection="1"/>
    <xf numFmtId="182" fontId="0" fillId="0" borderId="0" xfId="4345" applyNumberFormat="1" applyFont="1" applyFill="1"/>
    <xf numFmtId="0" fontId="13" fillId="0" borderId="0" xfId="4343" applyFill="1"/>
    <xf numFmtId="182" fontId="13" fillId="0" borderId="0" xfId="38" applyNumberFormat="1" applyFont="1" applyFill="1"/>
    <xf numFmtId="182" fontId="13" fillId="0" borderId="0" xfId="4343" applyNumberFormat="1" applyBorder="1"/>
    <xf numFmtId="0" fontId="13" fillId="85" borderId="93" xfId="4343" applyFill="1" applyBorder="1"/>
    <xf numFmtId="0" fontId="70" fillId="85" borderId="160" xfId="4343" applyFont="1" applyFill="1" applyBorder="1" applyProtection="1"/>
    <xf numFmtId="0" fontId="91" fillId="85" borderId="113" xfId="4344" applyFill="1" applyBorder="1" applyProtection="1"/>
    <xf numFmtId="0" fontId="91" fillId="85" borderId="144" xfId="4344" applyFill="1" applyBorder="1" applyProtection="1"/>
    <xf numFmtId="0" fontId="91" fillId="85" borderId="153" xfId="4344" applyFill="1" applyBorder="1" applyProtection="1"/>
    <xf numFmtId="0" fontId="91" fillId="85" borderId="162" xfId="4344" applyFill="1" applyBorder="1" applyProtection="1"/>
    <xf numFmtId="0" fontId="72" fillId="0" borderId="0" xfId="4343" applyFont="1" applyAlignment="1"/>
    <xf numFmtId="0" fontId="109" fillId="0" borderId="0" xfId="0" applyFont="1" applyAlignment="1">
      <alignment horizontal="center"/>
    </xf>
    <xf numFmtId="176" fontId="106" fillId="0" borderId="0" xfId="38" applyNumberFormat="1" applyFont="1"/>
    <xf numFmtId="0" fontId="43" fillId="0" borderId="0" xfId="2585" applyFont="1" applyBorder="1" applyAlignment="1">
      <alignment horizontal="left"/>
    </xf>
    <xf numFmtId="0" fontId="43" fillId="0" borderId="0" xfId="2585" applyFont="1" applyBorder="1" applyAlignment="1">
      <alignment horizontal="center"/>
    </xf>
    <xf numFmtId="0" fontId="43" fillId="0" borderId="0" xfId="2585" applyFont="1"/>
    <xf numFmtId="0" fontId="43" fillId="53" borderId="24" xfId="2585" applyFont="1" applyFill="1" applyBorder="1" applyAlignment="1">
      <alignment horizontal="center"/>
    </xf>
    <xf numFmtId="0" fontId="43" fillId="53" borderId="149" xfId="2585" applyFont="1" applyFill="1" applyBorder="1" applyAlignment="1">
      <alignment horizontal="center"/>
    </xf>
    <xf numFmtId="165" fontId="43" fillId="0" borderId="30" xfId="38" applyFont="1" applyBorder="1" applyAlignment="1">
      <alignment horizontal="center" vertical="center"/>
    </xf>
    <xf numFmtId="165" fontId="43" fillId="0" borderId="83" xfId="38" applyFont="1" applyBorder="1" applyAlignment="1">
      <alignment horizontal="center" vertical="center"/>
    </xf>
    <xf numFmtId="165" fontId="43" fillId="0" borderId="52" xfId="38" applyFont="1" applyBorder="1" applyAlignment="1">
      <alignment horizontal="center" vertical="center"/>
    </xf>
    <xf numFmtId="165" fontId="43" fillId="0" borderId="85" xfId="38" applyFont="1" applyBorder="1" applyAlignment="1">
      <alignment horizontal="center" vertical="center"/>
    </xf>
    <xf numFmtId="182" fontId="13" fillId="0" borderId="30" xfId="38" applyNumberFormat="1" applyFont="1" applyBorder="1"/>
    <xf numFmtId="182" fontId="13" fillId="0" borderId="0" xfId="38" applyNumberFormat="1" applyFont="1" applyBorder="1"/>
    <xf numFmtId="182" fontId="13" fillId="0" borderId="83" xfId="38" applyNumberFormat="1" applyFont="1" applyBorder="1"/>
    <xf numFmtId="182" fontId="13" fillId="0" borderId="52" xfId="38" applyNumberFormat="1" applyFont="1" applyBorder="1"/>
    <xf numFmtId="182" fontId="13" fillId="0" borderId="84" xfId="38" applyNumberFormat="1" applyFont="1" applyBorder="1"/>
    <xf numFmtId="182" fontId="13" fillId="0" borderId="85" xfId="38" applyNumberFormat="1" applyFont="1" applyBorder="1"/>
    <xf numFmtId="182" fontId="13" fillId="0" borderId="0" xfId="38" applyNumberFormat="1" applyFont="1"/>
    <xf numFmtId="182" fontId="13" fillId="0" borderId="29" xfId="4343" applyNumberFormat="1" applyBorder="1"/>
    <xf numFmtId="182" fontId="13" fillId="0" borderId="83" xfId="4343" applyNumberFormat="1" applyBorder="1"/>
    <xf numFmtId="0" fontId="70" fillId="0" borderId="59" xfId="4343" applyFont="1" applyFill="1" applyBorder="1" applyAlignment="1" applyProtection="1">
      <alignment horizontal="left"/>
    </xf>
    <xf numFmtId="0" fontId="70" fillId="0" borderId="58" xfId="4343" applyFont="1" applyFill="1" applyBorder="1" applyAlignment="1" applyProtection="1">
      <alignment horizontal="left"/>
    </xf>
    <xf numFmtId="182" fontId="106" fillId="0" borderId="80" xfId="4343" applyNumberFormat="1" applyFont="1" applyBorder="1"/>
    <xf numFmtId="0" fontId="13" fillId="0" borderId="63" xfId="4343" applyBorder="1" applyAlignment="1">
      <alignment horizontal="center" vertical="center"/>
    </xf>
    <xf numFmtId="0" fontId="13" fillId="0" borderId="55" xfId="4343" applyBorder="1" applyAlignment="1">
      <alignment horizontal="center" vertical="center"/>
    </xf>
    <xf numFmtId="0" fontId="13" fillId="0" borderId="29" xfId="4343" applyBorder="1" applyAlignment="1">
      <alignment horizontal="center" vertical="center"/>
    </xf>
    <xf numFmtId="0" fontId="13" fillId="0" borderId="0" xfId="4343" applyBorder="1" applyAlignment="1">
      <alignment horizontal="center" vertical="center"/>
    </xf>
    <xf numFmtId="0" fontId="13" fillId="0" borderId="83" xfId="4343" applyBorder="1" applyAlignment="1">
      <alignment horizontal="center" vertical="center"/>
    </xf>
    <xf numFmtId="0" fontId="70" fillId="0" borderId="0" xfId="0" applyFont="1" applyBorder="1"/>
    <xf numFmtId="0" fontId="12" fillId="0" borderId="145" xfId="4343" applyFont="1" applyBorder="1" applyAlignment="1">
      <alignment horizontal="center"/>
    </xf>
    <xf numFmtId="9" fontId="13" fillId="0" borderId="0" xfId="4343" applyNumberFormat="1" applyFill="1" applyBorder="1"/>
    <xf numFmtId="0" fontId="13" fillId="0" borderId="84" xfId="4343" applyFill="1" applyBorder="1" applyAlignment="1"/>
    <xf numFmtId="0" fontId="13" fillId="0" borderId="0" xfId="4343" applyFill="1" applyBorder="1"/>
    <xf numFmtId="0" fontId="13" fillId="0" borderId="0" xfId="4343" applyFill="1" applyBorder="1" applyAlignment="1"/>
    <xf numFmtId="0" fontId="72" fillId="0" borderId="84" xfId="4343" applyFont="1" applyFill="1" applyBorder="1" applyAlignment="1"/>
    <xf numFmtId="1" fontId="13" fillId="0" borderId="0" xfId="4343" applyNumberFormat="1" applyFill="1"/>
    <xf numFmtId="0" fontId="70" fillId="0" borderId="0" xfId="0" applyFont="1" applyAlignment="1"/>
    <xf numFmtId="175" fontId="13" fillId="0" borderId="0" xfId="38" applyNumberFormat="1" applyFont="1" applyFill="1" applyBorder="1"/>
    <xf numFmtId="0" fontId="13" fillId="0" borderId="0" xfId="4343" applyAlignment="1">
      <alignment vertical="center"/>
    </xf>
    <xf numFmtId="0" fontId="13" fillId="86" borderId="24" xfId="4343" applyFill="1" applyBorder="1" applyAlignment="1">
      <alignment horizontal="center" vertical="center"/>
    </xf>
    <xf numFmtId="0" fontId="13" fillId="86" borderId="132" xfId="4343" applyFill="1" applyBorder="1" applyAlignment="1">
      <alignment horizontal="center" vertical="center"/>
    </xf>
    <xf numFmtId="0" fontId="13" fillId="86" borderId="149" xfId="4343" applyFill="1" applyBorder="1" applyAlignment="1">
      <alignment horizontal="center" vertical="center"/>
    </xf>
    <xf numFmtId="0" fontId="13" fillId="86" borderId="30" xfId="4343" applyFill="1" applyBorder="1" applyAlignment="1">
      <alignment horizontal="center" vertical="center"/>
    </xf>
    <xf numFmtId="0" fontId="13" fillId="86" borderId="0" xfId="4343" applyFill="1" applyBorder="1" applyAlignment="1">
      <alignment horizontal="center" vertical="center"/>
    </xf>
    <xf numFmtId="0" fontId="13" fillId="86" borderId="83" xfId="4343" applyFill="1" applyBorder="1" applyAlignment="1">
      <alignment horizontal="center" vertical="center"/>
    </xf>
    <xf numFmtId="0" fontId="13" fillId="0" borderId="0" xfId="4343" applyFill="1" applyBorder="1" applyAlignment="1">
      <alignment horizontal="center" vertical="center"/>
    </xf>
    <xf numFmtId="1" fontId="13" fillId="0" borderId="0" xfId="4343" applyNumberFormat="1" applyBorder="1"/>
    <xf numFmtId="182" fontId="3" fillId="0" borderId="0" xfId="38" applyNumberFormat="1" applyFont="1" applyFill="1" applyBorder="1" applyAlignment="1">
      <alignment vertical="center"/>
    </xf>
    <xf numFmtId="182" fontId="3" fillId="0" borderId="83" xfId="38" applyNumberFormat="1" applyFont="1" applyFill="1" applyBorder="1" applyAlignment="1">
      <alignment vertical="center"/>
    </xf>
    <xf numFmtId="182" fontId="13" fillId="0" borderId="140" xfId="38" applyNumberFormat="1" applyFont="1" applyBorder="1"/>
    <xf numFmtId="182" fontId="3" fillId="0" borderId="84" xfId="38" applyNumberFormat="1" applyFont="1" applyFill="1" applyBorder="1" applyAlignment="1">
      <alignment vertical="center"/>
    </xf>
    <xf numFmtId="182" fontId="3" fillId="0" borderId="85" xfId="38" applyNumberFormat="1" applyFont="1" applyFill="1" applyBorder="1" applyAlignment="1">
      <alignment vertical="center"/>
    </xf>
    <xf numFmtId="182" fontId="13" fillId="0" borderId="63" xfId="38" applyNumberFormat="1" applyFont="1" applyBorder="1"/>
    <xf numFmtId="182" fontId="13" fillId="0" borderId="55" xfId="38" applyNumberFormat="1" applyFont="1" applyBorder="1"/>
    <xf numFmtId="182" fontId="13" fillId="0" borderId="29" xfId="38" applyNumberFormat="1" applyFont="1" applyBorder="1"/>
    <xf numFmtId="182" fontId="3" fillId="0" borderId="55" xfId="38" applyNumberFormat="1" applyFont="1" applyFill="1" applyBorder="1" applyAlignment="1">
      <alignment vertical="center"/>
    </xf>
    <xf numFmtId="182" fontId="3" fillId="0" borderId="29" xfId="38" applyNumberFormat="1" applyFont="1" applyFill="1" applyBorder="1" applyAlignment="1">
      <alignment vertical="center"/>
    </xf>
    <xf numFmtId="182" fontId="13" fillId="0" borderId="24" xfId="38" applyNumberFormat="1" applyFont="1" applyBorder="1"/>
    <xf numFmtId="182" fontId="13" fillId="0" borderId="132" xfId="38" applyNumberFormat="1" applyFont="1" applyBorder="1"/>
    <xf numFmtId="182" fontId="13" fillId="0" borderId="149" xfId="38" applyNumberFormat="1" applyFont="1" applyBorder="1"/>
    <xf numFmtId="182" fontId="3" fillId="0" borderId="132" xfId="38" applyNumberFormat="1" applyFont="1" applyFill="1" applyBorder="1" applyAlignment="1">
      <alignment vertical="center"/>
    </xf>
    <xf numFmtId="182" fontId="3" fillId="0" borderId="149" xfId="38" applyNumberFormat="1" applyFont="1" applyFill="1" applyBorder="1" applyAlignment="1">
      <alignment vertical="center"/>
    </xf>
    <xf numFmtId="182" fontId="13" fillId="0" borderId="0" xfId="4343" applyNumberFormat="1" applyBorder="1" applyAlignment="1">
      <alignment horizontal="left"/>
    </xf>
    <xf numFmtId="0" fontId="13" fillId="0" borderId="30" xfId="4343" applyBorder="1" applyAlignment="1">
      <alignment horizontal="center"/>
    </xf>
    <xf numFmtId="0" fontId="13" fillId="0" borderId="83" xfId="4343" applyBorder="1" applyAlignment="1">
      <alignment horizontal="center"/>
    </xf>
    <xf numFmtId="0" fontId="3" fillId="0" borderId="0" xfId="4343" applyFont="1"/>
    <xf numFmtId="165" fontId="17" fillId="0" borderId="140" xfId="38" applyBorder="1" applyAlignment="1">
      <alignment horizontal="center" vertical="center"/>
    </xf>
    <xf numFmtId="0" fontId="72" fillId="86" borderId="24" xfId="4343" applyFont="1" applyFill="1" applyBorder="1" applyAlignment="1">
      <alignment horizontal="center" vertical="center"/>
    </xf>
    <xf numFmtId="0" fontId="72" fillId="86" borderId="132" xfId="4343" applyFont="1" applyFill="1" applyBorder="1" applyAlignment="1">
      <alignment horizontal="center" vertical="center"/>
    </xf>
    <xf numFmtId="0" fontId="72" fillId="86" borderId="149" xfId="4343" applyFont="1" applyFill="1" applyBorder="1" applyAlignment="1">
      <alignment horizontal="center" vertical="center"/>
    </xf>
    <xf numFmtId="0" fontId="72" fillId="86" borderId="30" xfId="4343" applyFont="1" applyFill="1" applyBorder="1" applyAlignment="1">
      <alignment horizontal="center" vertical="center"/>
    </xf>
    <xf numFmtId="0" fontId="72" fillId="86" borderId="0" xfId="4343" applyFont="1" applyFill="1" applyBorder="1" applyAlignment="1">
      <alignment horizontal="center" vertical="center"/>
    </xf>
    <xf numFmtId="0" fontId="72" fillId="86" borderId="83" xfId="4343" applyFont="1" applyFill="1" applyBorder="1" applyAlignment="1">
      <alignment horizontal="center" vertical="center"/>
    </xf>
    <xf numFmtId="1" fontId="13" fillId="0" borderId="0" xfId="4343" applyNumberFormat="1" applyFill="1" applyBorder="1"/>
    <xf numFmtId="0" fontId="3" fillId="0" borderId="0" xfId="4343" applyFont="1" applyFill="1" applyBorder="1"/>
    <xf numFmtId="0" fontId="122" fillId="86" borderId="52" xfId="4343" applyFont="1" applyFill="1" applyBorder="1" applyAlignment="1">
      <alignment horizontal="center" vertical="center"/>
    </xf>
    <xf numFmtId="0" fontId="122" fillId="86" borderId="84" xfId="4343" applyFont="1" applyFill="1" applyBorder="1" applyAlignment="1">
      <alignment horizontal="center" vertical="center"/>
    </xf>
    <xf numFmtId="0" fontId="122" fillId="86" borderId="85" xfId="4343" applyFont="1" applyFill="1" applyBorder="1" applyAlignment="1">
      <alignment horizontal="center" vertical="center"/>
    </xf>
    <xf numFmtId="0" fontId="122" fillId="86" borderId="140" xfId="4343" applyFont="1" applyFill="1" applyBorder="1" applyAlignment="1">
      <alignment horizontal="center" vertical="center"/>
    </xf>
    <xf numFmtId="0" fontId="13" fillId="90" borderId="0" xfId="4343" applyFill="1"/>
    <xf numFmtId="0" fontId="121" fillId="87" borderId="24" xfId="4343" applyFont="1" applyFill="1" applyBorder="1" applyAlignment="1">
      <alignment horizontal="center"/>
    </xf>
    <xf numFmtId="0" fontId="121" fillId="87" borderId="132" xfId="4343" applyFont="1" applyFill="1" applyBorder="1" applyAlignment="1">
      <alignment horizontal="center"/>
    </xf>
    <xf numFmtId="0" fontId="121" fillId="87" borderId="149" xfId="4343" applyFont="1" applyFill="1" applyBorder="1" applyAlignment="1">
      <alignment horizontal="center"/>
    </xf>
    <xf numFmtId="188" fontId="117" fillId="87" borderId="144" xfId="4346" applyNumberFormat="1" applyFont="1" applyFill="1" applyBorder="1"/>
    <xf numFmtId="188" fontId="121" fillId="87" borderId="162" xfId="4343" applyNumberFormat="1" applyFont="1" applyFill="1" applyBorder="1"/>
    <xf numFmtId="188" fontId="117" fillId="87" borderId="0" xfId="4346" applyNumberFormat="1" applyFont="1" applyFill="1" applyBorder="1"/>
    <xf numFmtId="188" fontId="121" fillId="87" borderId="83" xfId="4343" applyNumberFormat="1" applyFont="1" applyFill="1" applyBorder="1"/>
    <xf numFmtId="188" fontId="117" fillId="87" borderId="132" xfId="4346" applyNumberFormat="1" applyFont="1" applyFill="1" applyBorder="1"/>
    <xf numFmtId="188" fontId="121" fillId="87" borderId="149" xfId="4343" applyNumberFormat="1" applyFont="1" applyFill="1" applyBorder="1"/>
    <xf numFmtId="188" fontId="117" fillId="87" borderId="84" xfId="4346" applyNumberFormat="1" applyFont="1" applyFill="1" applyBorder="1"/>
    <xf numFmtId="188" fontId="121" fillId="87" borderId="85" xfId="4343" applyNumberFormat="1" applyFont="1" applyFill="1" applyBorder="1"/>
    <xf numFmtId="0" fontId="72" fillId="0" borderId="0" xfId="4343" applyFont="1"/>
    <xf numFmtId="182" fontId="72" fillId="0" borderId="0" xfId="4343" applyNumberFormat="1" applyFont="1"/>
    <xf numFmtId="0" fontId="13" fillId="90" borderId="0" xfId="4343" applyFill="1" applyAlignment="1">
      <alignment horizontal="left" vertical="center"/>
    </xf>
    <xf numFmtId="0" fontId="3" fillId="90" borderId="0" xfId="4343" applyFont="1" applyFill="1" applyAlignment="1">
      <alignment horizontal="left" vertical="center"/>
    </xf>
    <xf numFmtId="0" fontId="3" fillId="85" borderId="0" xfId="4343" applyFont="1" applyFill="1"/>
    <xf numFmtId="0" fontId="13" fillId="41" borderId="63" xfId="4343" applyFill="1" applyBorder="1" applyAlignment="1">
      <alignment horizontal="right" vertical="center"/>
    </xf>
    <xf numFmtId="0" fontId="13" fillId="41" borderId="62" xfId="4343" applyFill="1" applyBorder="1" applyAlignment="1">
      <alignment horizontal="right" vertical="center"/>
    </xf>
    <xf numFmtId="0" fontId="13" fillId="41" borderId="0" xfId="4343" applyFill="1" applyBorder="1" applyAlignment="1">
      <alignment horizontal="right" vertical="center"/>
    </xf>
    <xf numFmtId="0" fontId="13" fillId="41" borderId="83" xfId="4343" applyFill="1" applyBorder="1" applyAlignment="1">
      <alignment horizontal="right" vertical="center"/>
    </xf>
    <xf numFmtId="0" fontId="125" fillId="85" borderId="0" xfId="4343" applyFont="1" applyFill="1"/>
    <xf numFmtId="0" fontId="125" fillId="0" borderId="0" xfId="4343" applyFont="1"/>
    <xf numFmtId="0" fontId="126" fillId="90" borderId="0" xfId="4343" applyFont="1" applyFill="1" applyAlignment="1">
      <alignment vertical="center"/>
    </xf>
    <xf numFmtId="182" fontId="123" fillId="85" borderId="149" xfId="4343" applyNumberFormat="1" applyFont="1" applyFill="1" applyBorder="1" applyAlignment="1">
      <alignment horizontal="center" vertical="center"/>
    </xf>
    <xf numFmtId="182" fontId="123" fillId="0" borderId="85" xfId="38" applyNumberFormat="1" applyFont="1" applyBorder="1" applyAlignment="1">
      <alignment vertical="center"/>
    </xf>
    <xf numFmtId="184" fontId="127" fillId="90" borderId="29" xfId="4342" applyNumberFormat="1" applyFont="1" applyFill="1" applyBorder="1" applyAlignment="1">
      <alignment vertical="center" shrinkToFit="1"/>
    </xf>
    <xf numFmtId="184" fontId="127" fillId="90" borderId="83" xfId="4342" applyNumberFormat="1" applyFont="1" applyFill="1" applyBorder="1" applyAlignment="1">
      <alignment vertical="center" shrinkToFit="1"/>
    </xf>
    <xf numFmtId="0" fontId="13" fillId="41" borderId="59" xfId="4343" applyFill="1" applyBorder="1" applyAlignment="1">
      <alignment horizontal="right" vertical="center"/>
    </xf>
    <xf numFmtId="0" fontId="13" fillId="41" borderId="164" xfId="4343" applyFill="1" applyBorder="1" applyAlignment="1">
      <alignment horizontal="right" vertical="center"/>
    </xf>
    <xf numFmtId="175" fontId="72" fillId="0" borderId="156" xfId="38" applyNumberFormat="1" applyFont="1" applyBorder="1"/>
    <xf numFmtId="175" fontId="72" fillId="0" borderId="148" xfId="38" applyNumberFormat="1" applyFont="1" applyBorder="1"/>
    <xf numFmtId="175" fontId="72" fillId="0" borderId="157" xfId="38" applyNumberFormat="1" applyFont="1" applyBorder="1"/>
    <xf numFmtId="175" fontId="124" fillId="0" borderId="0" xfId="38" applyNumberFormat="1" applyFont="1"/>
    <xf numFmtId="0" fontId="13" fillId="0" borderId="150" xfId="4343" applyBorder="1" applyAlignment="1">
      <alignment horizontal="center"/>
    </xf>
    <xf numFmtId="0" fontId="13" fillId="0" borderId="145" xfId="4343" applyBorder="1" applyAlignment="1">
      <alignment horizontal="center"/>
    </xf>
    <xf numFmtId="0" fontId="13" fillId="0" borderId="151" xfId="4343" applyBorder="1" applyAlignment="1">
      <alignment horizontal="center"/>
    </xf>
    <xf numFmtId="0" fontId="131" fillId="40" borderId="0" xfId="4343" applyFont="1" applyFill="1"/>
    <xf numFmtId="0" fontId="13" fillId="40" borderId="0" xfId="4343" applyFill="1"/>
    <xf numFmtId="188" fontId="0" fillId="0" borderId="0" xfId="4346" applyNumberFormat="1" applyFont="1" applyFill="1" applyBorder="1"/>
    <xf numFmtId="176" fontId="106" fillId="0" borderId="0" xfId="38" applyNumberFormat="1" applyFont="1" applyFill="1" applyBorder="1"/>
    <xf numFmtId="0" fontId="72" fillId="0" borderId="0" xfId="4343" applyFont="1" applyFill="1" applyBorder="1" applyAlignment="1"/>
    <xf numFmtId="0" fontId="4" fillId="0" borderId="0" xfId="4343" applyFont="1" applyFill="1" applyBorder="1" applyAlignment="1">
      <alignment horizontal="center" vertical="center"/>
    </xf>
    <xf numFmtId="0" fontId="4" fillId="0" borderId="0" xfId="4343" applyFont="1" applyFill="1" applyBorder="1" applyAlignment="1">
      <alignment vertical="center"/>
    </xf>
    <xf numFmtId="0" fontId="13" fillId="0" borderId="0" xfId="4343" applyFill="1" applyBorder="1" applyAlignment="1">
      <alignment vertical="center"/>
    </xf>
    <xf numFmtId="0" fontId="4" fillId="0" borderId="0" xfId="4343" applyFont="1" applyFill="1" applyAlignment="1">
      <alignment horizontal="center" vertical="center"/>
    </xf>
    <xf numFmtId="0" fontId="13" fillId="50" borderId="0" xfId="4343" applyFill="1"/>
    <xf numFmtId="0" fontId="70" fillId="0" borderId="160" xfId="4343" applyFont="1" applyFill="1" applyBorder="1" applyProtection="1"/>
    <xf numFmtId="0" fontId="70" fillId="0" borderId="163" xfId="4343" applyFont="1" applyFill="1" applyBorder="1" applyProtection="1"/>
    <xf numFmtId="0" fontId="70" fillId="0" borderId="95" xfId="4343" applyFont="1" applyFill="1" applyBorder="1" applyProtection="1"/>
    <xf numFmtId="182" fontId="13" fillId="0" borderId="63" xfId="38" applyNumberFormat="1" applyFont="1" applyFill="1" applyBorder="1"/>
    <xf numFmtId="182" fontId="13" fillId="0" borderId="55" xfId="38" applyNumberFormat="1" applyFont="1" applyFill="1" applyBorder="1"/>
    <xf numFmtId="182" fontId="13" fillId="0" borderId="29" xfId="38" applyNumberFormat="1" applyFont="1" applyFill="1" applyBorder="1"/>
    <xf numFmtId="182" fontId="13" fillId="0" borderId="140" xfId="38" applyNumberFormat="1" applyFont="1" applyFill="1" applyBorder="1"/>
    <xf numFmtId="182" fontId="13" fillId="0" borderId="84" xfId="38" applyNumberFormat="1" applyFont="1" applyFill="1" applyBorder="1"/>
    <xf numFmtId="182" fontId="13" fillId="0" borderId="85" xfId="38" applyNumberFormat="1" applyFont="1" applyFill="1" applyBorder="1"/>
    <xf numFmtId="175" fontId="17" fillId="0" borderId="0" xfId="2585" applyNumberFormat="1"/>
    <xf numFmtId="0" fontId="17" fillId="40" borderId="0" xfId="2585" applyFill="1" applyBorder="1" applyAlignment="1">
      <alignment horizontal="center"/>
    </xf>
    <xf numFmtId="0" fontId="17" fillId="40" borderId="83" xfId="2585" applyFill="1" applyBorder="1" applyAlignment="1">
      <alignment horizontal="center"/>
    </xf>
    <xf numFmtId="175" fontId="17" fillId="0" borderId="63" xfId="38" applyNumberFormat="1" applyBorder="1" applyAlignment="1">
      <alignment horizontal="left"/>
    </xf>
    <xf numFmtId="175" fontId="17" fillId="0" borderId="55" xfId="38" applyNumberFormat="1" applyBorder="1" applyAlignment="1">
      <alignment horizontal="left"/>
    </xf>
    <xf numFmtId="175" fontId="17" fillId="0" borderId="29" xfId="38" applyNumberFormat="1" applyBorder="1" applyAlignment="1">
      <alignment horizontal="left"/>
    </xf>
    <xf numFmtId="175" fontId="17" fillId="0" borderId="140" xfId="38" applyNumberFormat="1" applyBorder="1" applyAlignment="1">
      <alignment horizontal="left"/>
    </xf>
    <xf numFmtId="0" fontId="17" fillId="40" borderId="155" xfId="2585" applyFill="1" applyBorder="1" applyAlignment="1">
      <alignment horizontal="center"/>
    </xf>
    <xf numFmtId="0" fontId="17" fillId="40" borderId="144" xfId="2585" applyFill="1" applyBorder="1" applyAlignment="1">
      <alignment horizontal="center"/>
    </xf>
    <xf numFmtId="0" fontId="17" fillId="40" borderId="153" xfId="2585" applyFill="1" applyBorder="1" applyAlignment="1">
      <alignment horizontal="center"/>
    </xf>
    <xf numFmtId="175" fontId="17" fillId="0" borderId="62" xfId="38" applyNumberFormat="1" applyBorder="1" applyAlignment="1">
      <alignment horizontal="left"/>
    </xf>
    <xf numFmtId="175" fontId="17" fillId="0" borderId="161" xfId="38" applyNumberFormat="1" applyBorder="1" applyAlignment="1">
      <alignment horizontal="left"/>
    </xf>
    <xf numFmtId="184" fontId="127" fillId="90" borderId="55" xfId="4342" applyNumberFormat="1" applyFont="1" applyFill="1" applyBorder="1" applyAlignment="1">
      <alignment vertical="center" shrinkToFit="1"/>
    </xf>
    <xf numFmtId="182" fontId="123" fillId="85" borderId="132" xfId="4343" applyNumberFormat="1" applyFont="1" applyFill="1" applyBorder="1" applyAlignment="1">
      <alignment horizontal="center" vertical="center"/>
    </xf>
    <xf numFmtId="182" fontId="3" fillId="0" borderId="84" xfId="38" applyNumberFormat="1" applyFont="1" applyBorder="1" applyAlignment="1">
      <alignment vertical="center"/>
    </xf>
    <xf numFmtId="0" fontId="10" fillId="0" borderId="0" xfId="4343" applyFont="1" applyFill="1" applyAlignment="1">
      <alignment horizontal="left" vertical="center"/>
    </xf>
    <xf numFmtId="0" fontId="9" fillId="0" borderId="0" xfId="4343" applyFont="1" applyFill="1" applyBorder="1"/>
    <xf numFmtId="0" fontId="0" fillId="0" borderId="0" xfId="0" applyFill="1" applyBorder="1" applyProtection="1"/>
    <xf numFmtId="165" fontId="0" fillId="0" borderId="0" xfId="38" applyFont="1" applyFill="1" applyBorder="1" applyProtection="1"/>
    <xf numFmtId="0" fontId="60" fillId="0" borderId="0" xfId="3365" applyFont="1" applyFill="1" applyBorder="1"/>
    <xf numFmtId="165" fontId="13" fillId="0" borderId="0" xfId="38" applyFont="1" applyFill="1" applyBorder="1"/>
    <xf numFmtId="0" fontId="14" fillId="0" borderId="0" xfId="3365" applyFill="1" applyBorder="1"/>
    <xf numFmtId="0" fontId="14" fillId="0" borderId="0" xfId="3365" applyFont="1" applyFill="1" applyBorder="1"/>
    <xf numFmtId="0" fontId="60" fillId="0" borderId="0" xfId="3365" applyFont="1" applyFill="1" applyBorder="1" applyAlignment="1">
      <alignment horizontal="center"/>
    </xf>
    <xf numFmtId="0" fontId="34" fillId="0" borderId="0" xfId="3365" applyFont="1" applyFill="1" applyBorder="1" applyAlignment="1">
      <alignment horizontal="left"/>
    </xf>
    <xf numFmtId="175" fontId="34" fillId="0" borderId="0" xfId="38" applyNumberFormat="1" applyFont="1" applyFill="1" applyBorder="1" applyAlignment="1">
      <alignment horizontal="left"/>
    </xf>
    <xf numFmtId="0" fontId="58" fillId="0" borderId="0" xfId="3365" applyFont="1" applyFill="1" applyBorder="1" applyAlignment="1">
      <alignment horizontal="left" indent="1"/>
    </xf>
    <xf numFmtId="175" fontId="58" fillId="0" borderId="0" xfId="38" applyNumberFormat="1" applyFont="1" applyFill="1" applyBorder="1" applyAlignment="1">
      <alignment horizontal="left" indent="1"/>
    </xf>
    <xf numFmtId="0" fontId="29" fillId="0" borderId="0" xfId="3365" applyFont="1" applyFill="1" applyBorder="1" applyAlignment="1">
      <alignment horizontal="left" indent="2"/>
    </xf>
    <xf numFmtId="175" fontId="29" fillId="0" borderId="0" xfId="38" applyNumberFormat="1" applyFont="1" applyFill="1" applyBorder="1" applyAlignment="1">
      <alignment horizontal="left" indent="2"/>
    </xf>
    <xf numFmtId="175" fontId="29" fillId="0" borderId="0" xfId="38" applyNumberFormat="1" applyFont="1" applyFill="1" applyBorder="1" applyAlignment="1"/>
    <xf numFmtId="175" fontId="58" fillId="0" borderId="0" xfId="38" applyNumberFormat="1" applyFont="1" applyFill="1" applyBorder="1" applyAlignment="1"/>
    <xf numFmtId="0" fontId="59" fillId="0" borderId="0" xfId="3365" applyFont="1" applyFill="1" applyBorder="1" applyAlignment="1">
      <alignment horizontal="left"/>
    </xf>
    <xf numFmtId="175" fontId="14" fillId="0" borderId="0" xfId="38" applyNumberFormat="1" applyFont="1" applyFill="1" applyBorder="1"/>
    <xf numFmtId="0" fontId="10" fillId="0" borderId="0" xfId="4343" applyFont="1" applyFill="1" applyBorder="1" applyAlignment="1">
      <alignment horizontal="left" vertical="center"/>
    </xf>
    <xf numFmtId="0" fontId="5" fillId="0" borderId="0" xfId="4343" applyFont="1" applyFill="1" applyBorder="1"/>
    <xf numFmtId="0" fontId="5" fillId="0" borderId="0" xfId="4343" applyFont="1" applyFill="1" applyBorder="1" applyAlignment="1">
      <alignment horizontal="left" vertical="center"/>
    </xf>
    <xf numFmtId="0" fontId="5" fillId="0" borderId="0" xfId="4343" applyFont="1" applyFill="1" applyBorder="1" applyAlignment="1">
      <alignment horizontal="center"/>
    </xf>
    <xf numFmtId="165" fontId="13" fillId="0" borderId="0" xfId="4343" applyNumberFormat="1" applyFill="1" applyBorder="1"/>
    <xf numFmtId="165" fontId="10" fillId="0" borderId="0" xfId="4343" applyNumberFormat="1" applyFont="1" applyFill="1" applyBorder="1" applyAlignment="1">
      <alignment horizontal="left" vertical="center"/>
    </xf>
    <xf numFmtId="0" fontId="13" fillId="0" borderId="0" xfId="4343" applyFill="1" applyBorder="1" applyAlignment="1">
      <alignment horizontal="left"/>
    </xf>
    <xf numFmtId="175" fontId="10" fillId="0" borderId="0" xfId="38" applyNumberFormat="1" applyFont="1" applyFill="1" applyBorder="1"/>
    <xf numFmtId="0" fontId="8" fillId="0" borderId="0" xfId="4343" applyFont="1" applyFill="1" applyBorder="1" applyAlignment="1"/>
    <xf numFmtId="0" fontId="5" fillId="0" borderId="0" xfId="4343" applyFont="1" applyFill="1" applyBorder="1" applyAlignment="1"/>
    <xf numFmtId="182" fontId="106" fillId="0" borderId="84" xfId="4343" applyNumberFormat="1" applyFont="1" applyBorder="1" applyAlignment="1">
      <alignment horizontal="left"/>
    </xf>
    <xf numFmtId="0" fontId="106" fillId="0" borderId="0" xfId="4343" applyFont="1" applyAlignment="1"/>
    <xf numFmtId="182" fontId="13" fillId="0" borderId="0" xfId="38" applyNumberFormat="1" applyFont="1" applyFill="1" applyBorder="1"/>
    <xf numFmtId="182" fontId="17" fillId="0" borderId="0" xfId="38" applyNumberFormat="1"/>
    <xf numFmtId="0" fontId="109" fillId="0" borderId="0" xfId="2585" applyFont="1"/>
    <xf numFmtId="182" fontId="109" fillId="0" borderId="0" xfId="38" applyNumberFormat="1" applyFont="1"/>
    <xf numFmtId="175" fontId="109" fillId="0" borderId="0" xfId="2585" applyNumberFormat="1" applyFont="1"/>
    <xf numFmtId="175" fontId="13" fillId="0" borderId="0" xfId="38" applyNumberFormat="1" applyFont="1" applyFill="1" applyBorder="1" applyAlignment="1">
      <alignment horizontal="right"/>
    </xf>
    <xf numFmtId="175" fontId="13" fillId="0" borderId="0" xfId="38" applyNumberFormat="1" applyFont="1" applyFill="1" applyBorder="1" applyAlignment="1"/>
    <xf numFmtId="0" fontId="12" fillId="0" borderId="0" xfId="4343" applyFont="1" applyFill="1" applyBorder="1" applyAlignment="1"/>
    <xf numFmtId="0" fontId="10" fillId="0" borderId="0" xfId="4343" applyFont="1" applyFill="1" applyBorder="1" applyAlignment="1"/>
    <xf numFmtId="182" fontId="0" fillId="0" borderId="0" xfId="38" applyNumberFormat="1" applyFont="1" applyFill="1" applyBorder="1"/>
    <xf numFmtId="182" fontId="3" fillId="0" borderId="0" xfId="4343" applyNumberFormat="1" applyFont="1" applyFill="1" applyBorder="1"/>
    <xf numFmtId="175" fontId="3" fillId="0" borderId="0" xfId="38" applyNumberFormat="1" applyFont="1" applyFill="1" applyBorder="1"/>
    <xf numFmtId="194" fontId="3" fillId="0" borderId="0" xfId="4343" applyNumberFormat="1" applyFont="1" applyFill="1" applyBorder="1" applyAlignment="1"/>
    <xf numFmtId="195" fontId="0" fillId="0" borderId="0" xfId="0" applyNumberFormat="1"/>
    <xf numFmtId="0" fontId="13" fillId="0" borderId="30" xfId="4343" applyBorder="1" applyAlignment="1">
      <alignment horizontal="center" vertical="center"/>
    </xf>
    <xf numFmtId="0" fontId="12" fillId="0" borderId="0" xfId="4343" applyFont="1" applyBorder="1" applyAlignment="1">
      <alignment horizontal="center"/>
    </xf>
    <xf numFmtId="0" fontId="13" fillId="0" borderId="0" xfId="4343" applyAlignment="1">
      <alignment horizontal="center" vertical="center"/>
    </xf>
    <xf numFmtId="179" fontId="18" fillId="0" borderId="0" xfId="0" applyNumberFormat="1" applyFont="1" applyFill="1" applyBorder="1" applyAlignment="1">
      <alignment horizontal="left"/>
    </xf>
    <xf numFmtId="179" fontId="17" fillId="0" borderId="0" xfId="0" applyNumberFormat="1" applyFont="1" applyFill="1"/>
    <xf numFmtId="179" fontId="0" fillId="0" borderId="55" xfId="0" applyNumberFormat="1" applyFill="1" applyBorder="1" applyAlignment="1">
      <alignment horizontal="left"/>
    </xf>
    <xf numFmtId="179" fontId="0" fillId="0" borderId="0" xfId="0" applyNumberFormat="1" applyFill="1" applyBorder="1" applyAlignment="1">
      <alignment horizontal="left"/>
    </xf>
    <xf numFmtId="179" fontId="0" fillId="0" borderId="57" xfId="0" applyNumberFormat="1" applyFill="1" applyBorder="1" applyAlignment="1">
      <alignment horizontal="left"/>
    </xf>
    <xf numFmtId="165" fontId="45" fillId="0" borderId="55" xfId="38" applyFont="1" applyFill="1" applyBorder="1" applyAlignment="1">
      <alignment horizontal="left"/>
    </xf>
    <xf numFmtId="165" fontId="45" fillId="0" borderId="55" xfId="38" applyFont="1" applyFill="1" applyBorder="1" applyAlignment="1">
      <alignment horizontal="center"/>
    </xf>
    <xf numFmtId="165" fontId="45" fillId="0" borderId="0" xfId="38" applyFont="1" applyFill="1" applyBorder="1" applyAlignment="1">
      <alignment horizontal="center"/>
    </xf>
    <xf numFmtId="0" fontId="17" fillId="0" borderId="0" xfId="2585" applyFill="1" applyAlignment="1">
      <alignment horizontal="center"/>
    </xf>
    <xf numFmtId="165" fontId="45" fillId="0" borderId="56" xfId="38" applyFont="1" applyFill="1" applyBorder="1" applyAlignment="1">
      <alignment horizontal="left"/>
    </xf>
    <xf numFmtId="165" fontId="45" fillId="0" borderId="56" xfId="38" applyFont="1" applyFill="1" applyBorder="1" applyAlignment="1">
      <alignment horizontal="center"/>
    </xf>
    <xf numFmtId="165" fontId="45" fillId="0" borderId="144" xfId="38" applyFont="1" applyFill="1" applyBorder="1" applyAlignment="1">
      <alignment horizontal="left"/>
    </xf>
    <xf numFmtId="165" fontId="45" fillId="0" borderId="144" xfId="38" applyFont="1" applyFill="1" applyBorder="1" applyAlignment="1">
      <alignment horizontal="center"/>
    </xf>
    <xf numFmtId="0" fontId="44" fillId="0" borderId="0" xfId="2585" applyFont="1" applyAlignment="1">
      <alignment horizontal="left"/>
    </xf>
    <xf numFmtId="175" fontId="44" fillId="0" borderId="0" xfId="2585" applyNumberFormat="1" applyFont="1" applyAlignment="1">
      <alignment horizontal="center"/>
    </xf>
    <xf numFmtId="193" fontId="44" fillId="0" borderId="0" xfId="0" applyNumberFormat="1" applyFont="1"/>
    <xf numFmtId="0" fontId="134" fillId="0" borderId="0" xfId="0" applyFont="1"/>
    <xf numFmtId="1" fontId="103" fillId="0" borderId="0" xfId="0" applyNumberFormat="1" applyFont="1"/>
    <xf numFmtId="0" fontId="135" fillId="0" borderId="0" xfId="0" applyFont="1"/>
    <xf numFmtId="0" fontId="70" fillId="41" borderId="0" xfId="0" applyFont="1" applyFill="1"/>
    <xf numFmtId="0" fontId="136" fillId="0" borderId="0" xfId="0" applyFont="1"/>
    <xf numFmtId="0" fontId="137" fillId="0" borderId="0" xfId="0" applyFont="1"/>
    <xf numFmtId="0" fontId="70" fillId="41" borderId="0" xfId="0" applyFont="1" applyFill="1" applyAlignment="1">
      <alignment horizontal="left"/>
    </xf>
    <xf numFmtId="0" fontId="138" fillId="0" borderId="0" xfId="0" applyFont="1"/>
    <xf numFmtId="182" fontId="139" fillId="0" borderId="0" xfId="38" applyNumberFormat="1" applyFont="1"/>
    <xf numFmtId="166" fontId="0" fillId="0" borderId="0" xfId="0" applyNumberFormat="1" applyFill="1"/>
    <xf numFmtId="0" fontId="140" fillId="0" borderId="0" xfId="0" applyFont="1"/>
    <xf numFmtId="1" fontId="91" fillId="85" borderId="16" xfId="4344" applyNumberFormat="1" applyFill="1" applyBorder="1" applyProtection="1"/>
    <xf numFmtId="0" fontId="70" fillId="0" borderId="144" xfId="0" applyFont="1" applyBorder="1"/>
    <xf numFmtId="1" fontId="0" fillId="0" borderId="144" xfId="0" applyNumberFormat="1" applyBorder="1"/>
    <xf numFmtId="186" fontId="13" fillId="0" borderId="0" xfId="38" applyNumberFormat="1" applyFont="1" applyBorder="1"/>
    <xf numFmtId="174" fontId="13" fillId="0" borderId="0" xfId="4343" applyNumberFormat="1"/>
    <xf numFmtId="0" fontId="70" fillId="53" borderId="156" xfId="4343" applyFont="1" applyFill="1" applyBorder="1" applyProtection="1"/>
    <xf numFmtId="0" fontId="70" fillId="53" borderId="148" xfId="4343" applyFont="1" applyFill="1" applyBorder="1" applyProtection="1"/>
    <xf numFmtId="0" fontId="70" fillId="53" borderId="152" xfId="4343" applyFont="1" applyFill="1" applyBorder="1" applyProtection="1"/>
    <xf numFmtId="0" fontId="91" fillId="53" borderId="16" xfId="4344" applyFill="1" applyBorder="1" applyProtection="1"/>
    <xf numFmtId="0" fontId="91" fillId="53" borderId="0" xfId="4344" applyFill="1" applyBorder="1" applyProtection="1"/>
    <xf numFmtId="0" fontId="91" fillId="53" borderId="83" xfId="4344" applyFill="1" applyBorder="1" applyProtection="1"/>
    <xf numFmtId="0" fontId="91" fillId="53" borderId="113" xfId="4344" applyFill="1" applyBorder="1" applyProtection="1"/>
    <xf numFmtId="0" fontId="91" fillId="53" borderId="144" xfId="4344" applyFill="1" applyBorder="1" applyProtection="1"/>
    <xf numFmtId="0" fontId="91" fillId="53" borderId="162" xfId="4344" applyFill="1" applyBorder="1" applyProtection="1"/>
    <xf numFmtId="0" fontId="91" fillId="53" borderId="49" xfId="4344" applyFill="1" applyBorder="1" applyProtection="1"/>
    <xf numFmtId="0" fontId="91" fillId="53" borderId="84" xfId="4344" applyFill="1" applyBorder="1" applyProtection="1"/>
    <xf numFmtId="0" fontId="91" fillId="53" borderId="85" xfId="4344" applyFill="1" applyBorder="1" applyProtection="1"/>
    <xf numFmtId="0" fontId="123" fillId="0" borderId="0" xfId="4343" applyFont="1" applyAlignment="1"/>
    <xf numFmtId="0" fontId="70" fillId="93" borderId="156" xfId="4343" applyFont="1" applyFill="1" applyBorder="1" applyProtection="1"/>
    <xf numFmtId="0" fontId="70" fillId="93" borderId="148" xfId="4343" applyFont="1" applyFill="1" applyBorder="1" applyProtection="1"/>
    <xf numFmtId="0" fontId="70" fillId="93" borderId="157" xfId="4343" applyFont="1" applyFill="1" applyBorder="1" applyProtection="1"/>
    <xf numFmtId="0" fontId="91" fillId="93" borderId="16" xfId="4344" applyFill="1" applyBorder="1" applyProtection="1"/>
    <xf numFmtId="0" fontId="91" fillId="93" borderId="0" xfId="4344" applyFill="1" applyBorder="1" applyProtection="1"/>
    <xf numFmtId="0" fontId="91" fillId="93" borderId="19" xfId="4344" applyFill="1" applyBorder="1" applyProtection="1"/>
    <xf numFmtId="0" fontId="91" fillId="93" borderId="113" xfId="4344" applyFill="1" applyBorder="1" applyProtection="1"/>
    <xf numFmtId="0" fontId="91" fillId="93" borderId="144" xfId="4344" applyFill="1" applyBorder="1" applyProtection="1"/>
    <xf numFmtId="0" fontId="91" fillId="93" borderId="153" xfId="4344" applyFill="1" applyBorder="1" applyProtection="1"/>
    <xf numFmtId="0" fontId="91" fillId="93" borderId="49" xfId="4344" applyFill="1" applyBorder="1" applyProtection="1"/>
    <xf numFmtId="0" fontId="91" fillId="93" borderId="84" xfId="4344" applyFill="1" applyBorder="1" applyProtection="1"/>
    <xf numFmtId="0" fontId="91" fillId="93" borderId="161" xfId="4344" applyFill="1" applyBorder="1" applyProtection="1"/>
    <xf numFmtId="0" fontId="13" fillId="0" borderId="113" xfId="4343" applyBorder="1" applyAlignment="1">
      <alignment horizontal="center" vertical="center"/>
    </xf>
    <xf numFmtId="0" fontId="12" fillId="0" borderId="144" xfId="4343" applyFont="1" applyBorder="1" applyAlignment="1">
      <alignment horizontal="center"/>
    </xf>
    <xf numFmtId="0" fontId="13" fillId="0" borderId="162" xfId="4343" applyBorder="1" applyAlignment="1">
      <alignment horizontal="center" vertical="center"/>
    </xf>
    <xf numFmtId="182" fontId="3" fillId="0" borderId="63" xfId="38" applyNumberFormat="1" applyFont="1" applyFill="1" applyBorder="1" applyAlignment="1">
      <alignment vertical="center"/>
    </xf>
    <xf numFmtId="182" fontId="3" fillId="0" borderId="30" xfId="38" applyNumberFormat="1" applyFont="1" applyFill="1" applyBorder="1" applyAlignment="1">
      <alignment vertical="center"/>
    </xf>
    <xf numFmtId="182" fontId="3" fillId="0" borderId="140" xfId="38" applyNumberFormat="1" applyFont="1" applyFill="1" applyBorder="1" applyAlignment="1">
      <alignment vertical="center"/>
    </xf>
    <xf numFmtId="182" fontId="3" fillId="0" borderId="24" xfId="38" applyNumberFormat="1" applyFont="1" applyFill="1" applyBorder="1" applyAlignment="1">
      <alignment vertical="center"/>
    </xf>
    <xf numFmtId="182" fontId="106" fillId="0" borderId="0" xfId="38" applyNumberFormat="1" applyFont="1" applyBorder="1"/>
    <xf numFmtId="0" fontId="144" fillId="0" borderId="0" xfId="0" applyFont="1" applyFill="1" applyBorder="1" applyAlignment="1">
      <alignment horizontal="left" vertical="top"/>
    </xf>
    <xf numFmtId="0" fontId="144" fillId="0" borderId="0" xfId="0" applyFont="1" applyFill="1" applyBorder="1" applyAlignment="1">
      <alignment horizontal="right" vertical="center"/>
    </xf>
    <xf numFmtId="0" fontId="144" fillId="0" borderId="0" xfId="0" applyFont="1" applyFill="1" applyBorder="1" applyAlignment="1">
      <alignment horizontal="left" vertical="center"/>
    </xf>
    <xf numFmtId="3" fontId="144" fillId="0" borderId="0" xfId="0" applyNumberFormat="1" applyFont="1" applyFill="1" applyBorder="1" applyAlignment="1">
      <alignment horizontal="center" vertical="center"/>
    </xf>
    <xf numFmtId="3" fontId="144" fillId="0" borderId="0" xfId="0" applyNumberFormat="1" applyFont="1" applyFill="1" applyBorder="1" applyAlignment="1">
      <alignment horizontal="right" vertical="center"/>
    </xf>
    <xf numFmtId="0" fontId="2" fillId="0" borderId="0" xfId="4343" applyFont="1" applyBorder="1"/>
    <xf numFmtId="0" fontId="2" fillId="0" borderId="0" xfId="4343" applyFont="1"/>
    <xf numFmtId="0" fontId="145" fillId="0" borderId="0" xfId="4349" applyFont="1"/>
    <xf numFmtId="184" fontId="127" fillId="90" borderId="0" xfId="4342" applyNumberFormat="1" applyFont="1" applyFill="1" applyBorder="1" applyAlignment="1">
      <alignment vertical="center" shrinkToFit="1"/>
    </xf>
    <xf numFmtId="184" fontId="146" fillId="90" borderId="30" xfId="4342" applyNumberFormat="1" applyFont="1" applyFill="1" applyBorder="1" applyAlignment="1">
      <alignment vertical="center" shrinkToFit="1"/>
    </xf>
    <xf numFmtId="184" fontId="146" fillId="90" borderId="0" xfId="4342" applyNumberFormat="1" applyFont="1" applyFill="1" applyBorder="1" applyAlignment="1">
      <alignment vertical="center" shrinkToFit="1"/>
    </xf>
    <xf numFmtId="183" fontId="146" fillId="0" borderId="167" xfId="4342" applyNumberFormat="1" applyFont="1" applyFill="1" applyBorder="1" applyAlignment="1">
      <alignment vertical="center" shrinkToFit="1"/>
    </xf>
    <xf numFmtId="182" fontId="146" fillId="0" borderId="165" xfId="38" applyNumberFormat="1" applyFont="1" applyFill="1" applyBorder="1" applyAlignment="1">
      <alignment vertical="center" shrinkToFit="1"/>
    </xf>
    <xf numFmtId="182" fontId="146" fillId="0" borderId="167" xfId="38" applyNumberFormat="1" applyFont="1" applyFill="1" applyBorder="1" applyAlignment="1">
      <alignment vertical="center" shrinkToFit="1"/>
    </xf>
    <xf numFmtId="183" fontId="146" fillId="0" borderId="166" xfId="4342" applyNumberFormat="1" applyFont="1" applyFill="1" applyBorder="1" applyAlignment="1">
      <alignment vertical="center" shrinkToFit="1"/>
    </xf>
    <xf numFmtId="0" fontId="124" fillId="0" borderId="0" xfId="4343" applyFont="1" applyBorder="1" applyAlignment="1">
      <alignment wrapText="1"/>
    </xf>
    <xf numFmtId="0" fontId="147" fillId="0" borderId="0" xfId="4343" applyFont="1" applyBorder="1"/>
    <xf numFmtId="0" fontId="72" fillId="0" borderId="0" xfId="4343" applyFont="1" applyAlignment="1">
      <alignment horizontal="left" vertical="center"/>
    </xf>
    <xf numFmtId="182" fontId="132" fillId="0" borderId="0" xfId="4343" applyNumberFormat="1" applyFont="1"/>
    <xf numFmtId="165" fontId="72" fillId="50" borderId="63" xfId="38" applyNumberFormat="1" applyFont="1" applyFill="1" applyBorder="1"/>
    <xf numFmtId="165" fontId="72" fillId="50" borderId="55" xfId="38" applyNumberFormat="1" applyFont="1" applyFill="1" applyBorder="1"/>
    <xf numFmtId="165" fontId="72" fillId="50" borderId="29" xfId="38" applyNumberFormat="1" applyFont="1" applyFill="1" applyBorder="1"/>
    <xf numFmtId="165" fontId="72" fillId="50" borderId="140" xfId="38" applyNumberFormat="1" applyFont="1" applyFill="1" applyBorder="1"/>
    <xf numFmtId="165" fontId="72" fillId="50" borderId="84" xfId="38" applyNumberFormat="1" applyFont="1" applyFill="1" applyBorder="1"/>
    <xf numFmtId="165" fontId="72" fillId="50" borderId="85" xfId="38" applyNumberFormat="1" applyFont="1" applyFill="1" applyBorder="1"/>
    <xf numFmtId="184" fontId="146" fillId="90" borderId="63" xfId="4342" applyNumberFormat="1" applyFont="1" applyFill="1" applyBorder="1" applyAlignment="1">
      <alignment vertical="center" shrinkToFit="1"/>
    </xf>
    <xf numFmtId="184" fontId="146" fillId="90" borderId="55" xfId="4342" applyNumberFormat="1" applyFont="1" applyFill="1" applyBorder="1" applyAlignment="1">
      <alignment vertical="center" shrinkToFit="1"/>
    </xf>
    <xf numFmtId="0" fontId="0" fillId="0" borderId="0" xfId="0" applyAlignment="1">
      <alignment horizontal="center" vertical="center"/>
    </xf>
    <xf numFmtId="0" fontId="151" fillId="0" borderId="0" xfId="0" applyFont="1" applyFill="1"/>
    <xf numFmtId="0" fontId="153" fillId="0" borderId="0" xfId="0" applyFont="1" applyFill="1"/>
    <xf numFmtId="172" fontId="154" fillId="0" borderId="0" xfId="38" applyNumberFormat="1" applyFont="1"/>
    <xf numFmtId="172" fontId="44" fillId="0" borderId="0" xfId="38" applyNumberFormat="1" applyFont="1"/>
    <xf numFmtId="0" fontId="156" fillId="0" borderId="0" xfId="0" applyFont="1"/>
    <xf numFmtId="0" fontId="0" fillId="41" borderId="0" xfId="0" applyFill="1" applyAlignment="1">
      <alignment horizontal="center"/>
    </xf>
    <xf numFmtId="0" fontId="155" fillId="41" borderId="0" xfId="0" applyFont="1" applyFill="1" applyAlignment="1">
      <alignment horizontal="center" vertical="center"/>
    </xf>
    <xf numFmtId="0" fontId="91" fillId="41" borderId="0" xfId="0" applyFont="1" applyFill="1" applyAlignment="1">
      <alignment horizontal="center" vertical="center"/>
    </xf>
    <xf numFmtId="182" fontId="109" fillId="0" borderId="0" xfId="38" applyNumberFormat="1" applyFont="1" applyAlignment="1">
      <alignment horizontal="center" vertical="center"/>
    </xf>
    <xf numFmtId="0" fontId="148" fillId="0" borderId="0" xfId="0" applyFont="1" applyFill="1" applyAlignment="1"/>
    <xf numFmtId="0" fontId="72" fillId="41" borderId="0" xfId="0" applyFont="1" applyFill="1"/>
    <xf numFmtId="0" fontId="2" fillId="0" borderId="0" xfId="0" applyFont="1"/>
    <xf numFmtId="0" fontId="72" fillId="46" borderId="0" xfId="0" applyFont="1" applyFill="1"/>
    <xf numFmtId="182" fontId="109" fillId="0" borderId="0" xfId="38" quotePrefix="1" applyNumberFormat="1" applyFont="1"/>
    <xf numFmtId="182" fontId="0" fillId="0" borderId="0" xfId="38" applyNumberFormat="1" applyFont="1" applyAlignment="1">
      <alignment horizontal="right"/>
    </xf>
    <xf numFmtId="0" fontId="157" fillId="0" borderId="0" xfId="0" applyFont="1"/>
    <xf numFmtId="0" fontId="72" fillId="0" borderId="170" xfId="0" applyFont="1" applyBorder="1"/>
    <xf numFmtId="182" fontId="44" fillId="0" borderId="171" xfId="38" applyNumberFormat="1" applyFont="1" applyBorder="1"/>
    <xf numFmtId="0" fontId="119" fillId="0" borderId="172" xfId="0" applyFont="1" applyBorder="1" applyAlignment="1">
      <alignment horizontal="right"/>
    </xf>
    <xf numFmtId="0" fontId="119" fillId="0" borderId="173" xfId="0" applyFont="1" applyBorder="1"/>
    <xf numFmtId="182" fontId="114" fillId="0" borderId="174" xfId="38" applyNumberFormat="1" applyFont="1" applyBorder="1"/>
    <xf numFmtId="0" fontId="108" fillId="0" borderId="0" xfId="0" applyFont="1"/>
    <xf numFmtId="165" fontId="149" fillId="0" borderId="0" xfId="38" applyNumberFormat="1" applyFont="1" applyFill="1" applyBorder="1" applyAlignment="1">
      <alignment horizontal="center"/>
    </xf>
    <xf numFmtId="165" fontId="128" fillId="0" borderId="0" xfId="38" applyNumberFormat="1" applyFont="1" applyFill="1" applyBorder="1" applyAlignment="1">
      <alignment horizontal="center"/>
    </xf>
    <xf numFmtId="0" fontId="159" fillId="0" borderId="0" xfId="0" applyFont="1"/>
    <xf numFmtId="0" fontId="160" fillId="0" borderId="0" xfId="0" applyFont="1" applyAlignment="1">
      <alignment horizontal="left"/>
    </xf>
    <xf numFmtId="0" fontId="161" fillId="0" borderId="0" xfId="0" applyFont="1" applyAlignment="1">
      <alignment horizontal="left"/>
    </xf>
    <xf numFmtId="0" fontId="159" fillId="0" borderId="0" xfId="0" applyFont="1" applyAlignment="1">
      <alignment horizontal="left"/>
    </xf>
    <xf numFmtId="2" fontId="162" fillId="0" borderId="0" xfId="0" applyNumberFormat="1" applyFont="1" applyAlignment="1">
      <alignment horizontal="center"/>
    </xf>
    <xf numFmtId="0" fontId="159" fillId="0" borderId="0" xfId="0" applyFont="1" applyAlignment="1">
      <alignment horizontal="center"/>
    </xf>
    <xf numFmtId="0" fontId="159" fillId="0" borderId="0" xfId="0" applyFont="1" applyFill="1"/>
    <xf numFmtId="2" fontId="160" fillId="0" borderId="0" xfId="0" applyNumberFormat="1" applyFont="1" applyAlignment="1">
      <alignment horizontal="left"/>
    </xf>
    <xf numFmtId="0" fontId="159" fillId="0" borderId="0" xfId="0" applyFont="1" applyBorder="1" applyAlignment="1">
      <alignment horizontal="center"/>
    </xf>
    <xf numFmtId="0" fontId="163" fillId="0" borderId="0" xfId="0" applyFont="1" applyBorder="1" applyAlignment="1">
      <alignment horizontal="center"/>
    </xf>
    <xf numFmtId="0" fontId="159" fillId="0" borderId="0" xfId="0" applyFont="1" applyFill="1" applyBorder="1"/>
    <xf numFmtId="0" fontId="159" fillId="27" borderId="13" xfId="0" applyFont="1" applyFill="1" applyBorder="1" applyAlignment="1">
      <alignment horizontal="left" vertical="center" wrapText="1"/>
    </xf>
    <xf numFmtId="0" fontId="159" fillId="29" borderId="13" xfId="0" applyFont="1" applyFill="1" applyBorder="1" applyAlignment="1">
      <alignment horizontal="left" vertical="center" wrapText="1"/>
    </xf>
    <xf numFmtId="0" fontId="159" fillId="30" borderId="13" xfId="0" applyFont="1" applyFill="1" applyBorder="1" applyAlignment="1">
      <alignment horizontal="left" vertical="center" wrapText="1"/>
    </xf>
    <xf numFmtId="0" fontId="159" fillId="0" borderId="0" xfId="0" applyFont="1" applyBorder="1"/>
    <xf numFmtId="0" fontId="164" fillId="26" borderId="12" xfId="0" applyFont="1" applyFill="1" applyBorder="1" applyAlignment="1">
      <alignment horizontal="left" vertical="top" wrapText="1"/>
    </xf>
    <xf numFmtId="0" fontId="164" fillId="26" borderId="79" xfId="0" applyFont="1" applyFill="1" applyBorder="1" applyAlignment="1">
      <alignment horizontal="left" vertical="top" wrapText="1"/>
    </xf>
    <xf numFmtId="174" fontId="159" fillId="0" borderId="0" xfId="0" applyNumberFormat="1" applyFont="1" applyAlignment="1">
      <alignment horizontal="center"/>
    </xf>
    <xf numFmtId="2" fontId="159" fillId="0" borderId="0" xfId="0" applyNumberFormat="1" applyFont="1"/>
    <xf numFmtId="172" fontId="159" fillId="0" borderId="0" xfId="0" applyNumberFormat="1" applyFont="1" applyAlignment="1">
      <alignment horizontal="left"/>
    </xf>
    <xf numFmtId="0" fontId="165" fillId="0" borderId="0" xfId="0" applyFont="1"/>
    <xf numFmtId="2" fontId="159" fillId="0" borderId="0" xfId="38" applyNumberFormat="1" applyFont="1" applyBorder="1"/>
    <xf numFmtId="186" fontId="159" fillId="0" borderId="0" xfId="0" applyNumberFormat="1" applyFont="1" applyFill="1" applyBorder="1"/>
    <xf numFmtId="165" fontId="159" fillId="0" borderId="0" xfId="38" applyFont="1" applyFill="1" applyBorder="1"/>
    <xf numFmtId="175" fontId="159" fillId="0" borderId="0" xfId="38" applyNumberFormat="1" applyFont="1" applyBorder="1" applyAlignment="1">
      <alignment horizontal="left"/>
    </xf>
    <xf numFmtId="165" fontId="166" fillId="0" borderId="0" xfId="38" applyFont="1" applyBorder="1"/>
    <xf numFmtId="0" fontId="167" fillId="0" borderId="0" xfId="0" applyFont="1"/>
    <xf numFmtId="165" fontId="159" fillId="0" borderId="0" xfId="0" applyNumberFormat="1" applyFont="1" applyFill="1" applyBorder="1"/>
    <xf numFmtId="0" fontId="168" fillId="0" borderId="0" xfId="0" applyFont="1"/>
    <xf numFmtId="0" fontId="165" fillId="0" borderId="0" xfId="0" applyFont="1" applyFill="1"/>
    <xf numFmtId="0" fontId="159" fillId="0" borderId="0" xfId="0" applyFont="1" applyFill="1" applyBorder="1" applyAlignment="1"/>
    <xf numFmtId="165" fontId="166" fillId="0" borderId="0" xfId="38" applyFont="1" applyFill="1" applyBorder="1"/>
    <xf numFmtId="2" fontId="159" fillId="0" borderId="0" xfId="38" applyNumberFormat="1" applyFont="1" applyFill="1" applyBorder="1"/>
    <xf numFmtId="0" fontId="159" fillId="0" borderId="17" xfId="0" applyFont="1" applyFill="1" applyBorder="1"/>
    <xf numFmtId="0" fontId="159" fillId="0" borderId="17" xfId="0" applyFont="1" applyBorder="1" applyAlignment="1">
      <alignment horizontal="left"/>
    </xf>
    <xf numFmtId="174" fontId="159" fillId="0" borderId="17" xfId="0" applyNumberFormat="1" applyFont="1" applyBorder="1" applyAlignment="1">
      <alignment horizontal="center"/>
    </xf>
    <xf numFmtId="2" fontId="159" fillId="0" borderId="132" xfId="0" applyNumberFormat="1" applyFont="1" applyBorder="1"/>
    <xf numFmtId="172" fontId="159" fillId="0" borderId="17" xfId="0" applyNumberFormat="1" applyFont="1" applyBorder="1" applyAlignment="1">
      <alignment horizontal="left"/>
    </xf>
    <xf numFmtId="0" fontId="159" fillId="0" borderId="0" xfId="0" applyFont="1" applyBorder="1" applyAlignment="1">
      <alignment horizontal="left"/>
    </xf>
    <xf numFmtId="189" fontId="159" fillId="0" borderId="0" xfId="0" applyNumberFormat="1" applyFont="1" applyFill="1" applyBorder="1"/>
    <xf numFmtId="166" fontId="159" fillId="0" borderId="0" xfId="0" applyNumberFormat="1" applyFont="1"/>
    <xf numFmtId="192" fontId="167" fillId="0" borderId="0" xfId="38" applyNumberFormat="1" applyFont="1"/>
    <xf numFmtId="175" fontId="159" fillId="0" borderId="0" xfId="0" applyNumberFormat="1" applyFont="1" applyFill="1" applyBorder="1"/>
    <xf numFmtId="0" fontId="159" fillId="0" borderId="0" xfId="0" applyFont="1" applyFill="1" applyBorder="1" applyAlignment="1">
      <alignment horizontal="left"/>
    </xf>
    <xf numFmtId="2" fontId="163" fillId="0" borderId="0" xfId="0" applyNumberFormat="1" applyFont="1"/>
    <xf numFmtId="173" fontId="159" fillId="0" borderId="0" xfId="0" applyNumberFormat="1" applyFont="1" applyAlignment="1">
      <alignment horizontal="left"/>
    </xf>
    <xf numFmtId="2" fontId="159" fillId="0" borderId="0" xfId="0" applyNumberFormat="1" applyFont="1" applyAlignment="1">
      <alignment horizontal="center"/>
    </xf>
    <xf numFmtId="175" fontId="159" fillId="0" borderId="0" xfId="38" applyNumberFormat="1" applyFont="1"/>
    <xf numFmtId="182" fontId="163" fillId="0" borderId="0" xfId="38" applyNumberFormat="1" applyFont="1"/>
    <xf numFmtId="165" fontId="159" fillId="0" borderId="0" xfId="38" applyFont="1" applyBorder="1"/>
    <xf numFmtId="173" fontId="146" fillId="0" borderId="0" xfId="0" applyNumberFormat="1" applyFont="1" applyAlignment="1">
      <alignment horizontal="right"/>
    </xf>
    <xf numFmtId="172" fontId="146" fillId="0" borderId="0" xfId="0" applyNumberFormat="1" applyFont="1" applyAlignment="1">
      <alignment horizontal="left"/>
    </xf>
    <xf numFmtId="165" fontId="149" fillId="0" borderId="0" xfId="38" applyNumberFormat="1" applyFont="1" applyFill="1" applyBorder="1" applyAlignment="1"/>
    <xf numFmtId="2" fontId="159" fillId="0" borderId="0" xfId="0" applyNumberFormat="1" applyFont="1" applyFill="1" applyAlignment="1">
      <alignment horizontal="center"/>
    </xf>
    <xf numFmtId="0" fontId="159" fillId="0" borderId="168" xfId="0" applyFont="1" applyBorder="1" applyAlignment="1">
      <alignment horizontal="center" vertical="center"/>
    </xf>
    <xf numFmtId="0" fontId="159" fillId="0" borderId="169" xfId="0" applyFont="1" applyBorder="1" applyAlignment="1">
      <alignment horizontal="center" vertical="center"/>
    </xf>
    <xf numFmtId="175" fontId="146" fillId="0" borderId="0" xfId="38" applyNumberFormat="1" applyFont="1"/>
    <xf numFmtId="182" fontId="159" fillId="0" borderId="0" xfId="38" applyNumberFormat="1" applyFont="1"/>
    <xf numFmtId="43" fontId="159" fillId="0" borderId="0" xfId="0" applyNumberFormat="1" applyFont="1"/>
    <xf numFmtId="165" fontId="159" fillId="0" borderId="0" xfId="38" applyFont="1"/>
    <xf numFmtId="0" fontId="159" fillId="99" borderId="0" xfId="0" applyFont="1" applyFill="1"/>
    <xf numFmtId="0" fontId="159" fillId="99" borderId="0" xfId="0" applyFont="1" applyFill="1" applyAlignment="1">
      <alignment horizontal="left"/>
    </xf>
    <xf numFmtId="173" fontId="159" fillId="99" borderId="0" xfId="0" applyNumberFormat="1" applyFont="1" applyFill="1" applyAlignment="1">
      <alignment horizontal="left"/>
    </xf>
    <xf numFmtId="165" fontId="149" fillId="99" borderId="0" xfId="38" applyNumberFormat="1" applyFont="1" applyFill="1" applyBorder="1" applyAlignment="1">
      <alignment horizontal="center"/>
    </xf>
    <xf numFmtId="2" fontId="159" fillId="99" borderId="0" xfId="0" applyNumberFormat="1" applyFont="1" applyFill="1" applyAlignment="1">
      <alignment horizontal="center"/>
    </xf>
    <xf numFmtId="43" fontId="159" fillId="99" borderId="0" xfId="0" applyNumberFormat="1" applyFont="1" applyFill="1"/>
    <xf numFmtId="165" fontId="159" fillId="99" borderId="0" xfId="38" applyFont="1" applyFill="1"/>
    <xf numFmtId="165" fontId="159" fillId="99" borderId="0" xfId="38" applyFont="1" applyFill="1" applyBorder="1"/>
    <xf numFmtId="2" fontId="159" fillId="99" borderId="0" xfId="38" applyNumberFormat="1" applyFont="1" applyFill="1" applyBorder="1"/>
    <xf numFmtId="0" fontId="159" fillId="99" borderId="0" xfId="0" applyFont="1" applyFill="1" applyBorder="1"/>
    <xf numFmtId="192" fontId="167" fillId="99" borderId="0" xfId="38" applyNumberFormat="1" applyFont="1" applyFill="1"/>
    <xf numFmtId="0" fontId="167" fillId="99" borderId="0" xfId="0" applyFont="1" applyFill="1"/>
    <xf numFmtId="0" fontId="169" fillId="41" borderId="0" xfId="0" applyFont="1" applyFill="1" applyAlignment="1">
      <alignment horizontal="center" vertical="center"/>
    </xf>
    <xf numFmtId="165" fontId="159" fillId="0" borderId="0" xfId="38" applyFont="1" applyAlignment="1">
      <alignment horizontal="left"/>
    </xf>
    <xf numFmtId="165" fontId="170" fillId="0" borderId="0" xfId="38" applyNumberFormat="1" applyFont="1" applyFill="1" applyBorder="1" applyAlignment="1">
      <alignment horizontal="center"/>
    </xf>
    <xf numFmtId="2" fontId="170" fillId="0" borderId="0" xfId="0" applyNumberFormat="1" applyFont="1" applyFill="1" applyAlignment="1">
      <alignment horizontal="center"/>
    </xf>
    <xf numFmtId="173" fontId="159" fillId="0" borderId="0" xfId="0" applyNumberFormat="1" applyFont="1" applyFill="1" applyBorder="1" applyAlignment="1">
      <alignment horizontal="left"/>
    </xf>
    <xf numFmtId="0" fontId="128" fillId="0" borderId="0" xfId="0" applyFont="1" applyFill="1" applyBorder="1" applyAlignment="1">
      <alignment horizontal="right"/>
    </xf>
    <xf numFmtId="182" fontId="128" fillId="0" borderId="0" xfId="38" applyNumberFormat="1" applyFont="1" applyFill="1" applyBorder="1" applyAlignment="1">
      <alignment horizontal="left"/>
    </xf>
    <xf numFmtId="182" fontId="159" fillId="0" borderId="0" xfId="38" applyNumberFormat="1" applyFont="1" applyFill="1" applyBorder="1" applyAlignment="1"/>
    <xf numFmtId="2" fontId="159" fillId="0" borderId="0" xfId="0" applyNumberFormat="1" applyFont="1" applyFill="1" applyBorder="1" applyAlignment="1">
      <alignment horizontal="center"/>
    </xf>
    <xf numFmtId="0" fontId="163" fillId="0" borderId="0" xfId="0" applyFont="1"/>
    <xf numFmtId="175" fontId="159" fillId="0" borderId="0" xfId="0" applyNumberFormat="1" applyFont="1" applyFill="1" applyBorder="1" applyAlignment="1">
      <alignment horizontal="left"/>
    </xf>
    <xf numFmtId="0" fontId="172" fillId="0" borderId="0" xfId="0" applyFont="1" applyFill="1" applyBorder="1" applyAlignment="1">
      <alignment horizontal="center" vertical="center"/>
    </xf>
    <xf numFmtId="2" fontId="159" fillId="0" borderId="0" xfId="38" applyNumberFormat="1" applyFont="1"/>
    <xf numFmtId="192" fontId="159" fillId="0" borderId="0" xfId="38" applyNumberFormat="1" applyFont="1"/>
    <xf numFmtId="191" fontId="159" fillId="0" borderId="0" xfId="0" applyNumberFormat="1" applyFont="1" applyBorder="1"/>
    <xf numFmtId="192" fontId="159" fillId="0" borderId="0" xfId="0" applyNumberFormat="1" applyFont="1" applyBorder="1"/>
    <xf numFmtId="192" fontId="159" fillId="0" borderId="0" xfId="38" applyNumberFormat="1" applyFont="1" applyBorder="1"/>
    <xf numFmtId="11" fontId="159" fillId="0" borderId="0" xfId="0" applyNumberFormat="1" applyFont="1"/>
    <xf numFmtId="0" fontId="146" fillId="0" borderId="0" xfId="0" applyFont="1" applyAlignment="1">
      <alignment horizontal="left"/>
    </xf>
    <xf numFmtId="0" fontId="174" fillId="0" borderId="0" xfId="4349" applyFont="1"/>
    <xf numFmtId="194" fontId="159" fillId="0" borderId="0" xfId="0" applyNumberFormat="1" applyFont="1" applyBorder="1" applyAlignment="1">
      <alignment horizontal="center"/>
    </xf>
    <xf numFmtId="179" fontId="159" fillId="0" borderId="0" xfId="2591" applyNumberFormat="1" applyFont="1" applyFill="1"/>
    <xf numFmtId="193" fontId="149" fillId="0" borderId="0" xfId="0" applyNumberFormat="1" applyFont="1" applyFill="1" applyAlignment="1">
      <alignment horizontal="center"/>
    </xf>
    <xf numFmtId="0" fontId="159" fillId="0" borderId="0" xfId="0" applyFont="1" applyBorder="1" applyAlignment="1">
      <alignment horizontal="right"/>
    </xf>
    <xf numFmtId="195" fontId="177" fillId="0" borderId="0" xfId="0" applyNumberFormat="1" applyFont="1" applyBorder="1"/>
    <xf numFmtId="0" fontId="169" fillId="0" borderId="0" xfId="0" applyFont="1" applyFill="1" applyBorder="1" applyAlignment="1">
      <alignment horizontal="right"/>
    </xf>
    <xf numFmtId="0" fontId="132" fillId="0" borderId="0" xfId="4343" applyFont="1" applyBorder="1" applyAlignment="1"/>
    <xf numFmtId="182" fontId="2" fillId="0" borderId="0" xfId="38" applyNumberFormat="1" applyFont="1" applyFill="1" applyBorder="1" applyAlignment="1"/>
    <xf numFmtId="182" fontId="91" fillId="0" borderId="0" xfId="38" applyNumberFormat="1" applyFont="1" applyFill="1" applyBorder="1" applyProtection="1"/>
    <xf numFmtId="182" fontId="2" fillId="0" borderId="0" xfId="38" applyNumberFormat="1" applyFont="1" applyFill="1" applyBorder="1"/>
    <xf numFmtId="182" fontId="150" fillId="0" borderId="0" xfId="38" applyNumberFormat="1" applyFont="1" applyFill="1" applyBorder="1" applyAlignment="1">
      <alignment horizontal="center"/>
    </xf>
    <xf numFmtId="195" fontId="177" fillId="0" borderId="186" xfId="0" applyNumberFormat="1" applyFont="1" applyBorder="1"/>
    <xf numFmtId="195" fontId="177" fillId="0" borderId="188" xfId="0" applyNumberFormat="1" applyFont="1" applyBorder="1"/>
    <xf numFmtId="195" fontId="177" fillId="0" borderId="189" xfId="0" applyNumberFormat="1" applyFont="1" applyBorder="1"/>
    <xf numFmtId="0" fontId="72" fillId="0" borderId="198" xfId="0" applyFont="1" applyBorder="1" applyAlignment="1">
      <alignment horizontal="center" vertical="center"/>
    </xf>
    <xf numFmtId="0" fontId="72" fillId="0" borderId="199" xfId="0" applyFont="1" applyBorder="1" applyAlignment="1">
      <alignment horizontal="center" vertical="center"/>
    </xf>
    <xf numFmtId="0" fontId="169" fillId="0" borderId="200" xfId="0" applyFont="1" applyFill="1" applyBorder="1" applyAlignment="1">
      <alignment horizontal="right"/>
    </xf>
    <xf numFmtId="0" fontId="169" fillId="0" borderId="200" xfId="0" applyFont="1" applyBorder="1" applyAlignment="1">
      <alignment horizontal="right"/>
    </xf>
    <xf numFmtId="0" fontId="169" fillId="0" borderId="201" xfId="0" applyFont="1" applyFill="1" applyBorder="1" applyAlignment="1">
      <alignment horizontal="right"/>
    </xf>
    <xf numFmtId="0" fontId="169" fillId="0" borderId="202" xfId="0" applyFont="1" applyBorder="1" applyAlignment="1">
      <alignment horizontal="right"/>
    </xf>
    <xf numFmtId="182" fontId="2" fillId="0" borderId="194" xfId="38" applyNumberFormat="1" applyFont="1" applyFill="1" applyBorder="1" applyAlignment="1"/>
    <xf numFmtId="0" fontId="169" fillId="0" borderId="202" xfId="0" applyFont="1" applyFill="1" applyBorder="1" applyAlignment="1">
      <alignment horizontal="right"/>
    </xf>
    <xf numFmtId="182" fontId="91" fillId="0" borderId="194" xfId="38" applyNumberFormat="1" applyFont="1" applyFill="1" applyBorder="1" applyProtection="1"/>
    <xf numFmtId="182" fontId="2" fillId="0" borderId="194" xfId="38" applyNumberFormat="1" applyFont="1" applyFill="1" applyBorder="1"/>
    <xf numFmtId="0" fontId="169" fillId="0" borderId="195" xfId="0" applyFont="1" applyFill="1" applyBorder="1" applyAlignment="1">
      <alignment horizontal="right"/>
    </xf>
    <xf numFmtId="182" fontId="2" fillId="0" borderId="190" xfId="38" applyNumberFormat="1" applyFont="1" applyFill="1" applyBorder="1"/>
    <xf numFmtId="182" fontId="2" fillId="0" borderId="196" xfId="38" applyNumberFormat="1" applyFont="1" applyFill="1" applyBorder="1"/>
    <xf numFmtId="0" fontId="159" fillId="0" borderId="203" xfId="0" applyFont="1" applyBorder="1"/>
    <xf numFmtId="0" fontId="2" fillId="0" borderId="204" xfId="4343" applyFont="1" applyFill="1" applyBorder="1" applyAlignment="1">
      <alignment horizontal="center" vertical="center"/>
    </xf>
    <xf numFmtId="0" fontId="2" fillId="0" borderId="205" xfId="4343" applyFont="1" applyFill="1" applyBorder="1" applyAlignment="1">
      <alignment horizontal="center" vertical="center"/>
    </xf>
    <xf numFmtId="0" fontId="159" fillId="0" borderId="192" xfId="0" applyFont="1" applyBorder="1" applyAlignment="1">
      <alignment horizontal="center"/>
    </xf>
    <xf numFmtId="182" fontId="2" fillId="0" borderId="190" xfId="38" applyNumberFormat="1" applyFont="1" applyFill="1" applyBorder="1" applyAlignment="1"/>
    <xf numFmtId="0" fontId="159" fillId="0" borderId="204" xfId="0" applyFont="1" applyBorder="1" applyAlignment="1">
      <alignment horizontal="center"/>
    </xf>
    <xf numFmtId="0" fontId="163" fillId="0" borderId="183" xfId="0" applyFont="1" applyBorder="1"/>
    <xf numFmtId="165" fontId="178" fillId="0" borderId="0" xfId="38" applyFont="1" applyBorder="1"/>
    <xf numFmtId="0" fontId="72" fillId="0" borderId="197" xfId="0" applyFont="1" applyBorder="1" applyAlignment="1">
      <alignment horizontal="center" vertical="center"/>
    </xf>
    <xf numFmtId="195" fontId="177" fillId="0" borderId="185" xfId="0" applyNumberFormat="1" applyFont="1" applyBorder="1"/>
    <xf numFmtId="195" fontId="177" fillId="0" borderId="187" xfId="0" applyNumberFormat="1" applyFont="1" applyBorder="1"/>
    <xf numFmtId="165" fontId="118" fillId="0" borderId="55" xfId="38" applyNumberFormat="1" applyFont="1" applyFill="1" applyBorder="1" applyAlignment="1">
      <alignment horizontal="center"/>
    </xf>
    <xf numFmtId="165" fontId="118" fillId="0" borderId="62" xfId="38" applyNumberFormat="1" applyFont="1" applyFill="1" applyBorder="1" applyAlignment="1">
      <alignment horizontal="center"/>
    </xf>
    <xf numFmtId="165" fontId="118" fillId="0" borderId="0" xfId="38" applyNumberFormat="1" applyFont="1" applyFill="1" applyBorder="1" applyAlignment="1">
      <alignment horizontal="center"/>
    </xf>
    <xf numFmtId="165" fontId="118" fillId="0" borderId="19" xfId="38" applyNumberFormat="1" applyFont="1" applyFill="1" applyBorder="1" applyAlignment="1">
      <alignment horizontal="center"/>
    </xf>
    <xf numFmtId="9" fontId="177" fillId="0" borderId="0" xfId="1346" applyFont="1" applyBorder="1"/>
    <xf numFmtId="0" fontId="158" fillId="95" borderId="0" xfId="0" applyFont="1" applyFill="1" applyBorder="1" applyAlignment="1">
      <alignment horizontal="left"/>
    </xf>
    <xf numFmtId="195" fontId="171" fillId="95" borderId="0" xfId="0" applyNumberFormat="1" applyFont="1" applyFill="1" applyBorder="1"/>
    <xf numFmtId="0" fontId="121" fillId="0" borderId="0" xfId="0" applyFont="1" applyFill="1" applyBorder="1" applyAlignment="1">
      <alignment horizontal="right"/>
    </xf>
    <xf numFmtId="9" fontId="159" fillId="0" borderId="0" xfId="0" applyNumberFormat="1" applyFont="1"/>
    <xf numFmtId="0" fontId="159" fillId="0" borderId="191" xfId="0" applyFont="1" applyBorder="1" applyAlignment="1">
      <alignment horizontal="center"/>
    </xf>
    <xf numFmtId="0" fontId="159" fillId="0" borderId="193" xfId="0" applyFont="1" applyBorder="1" applyAlignment="1">
      <alignment horizontal="center"/>
    </xf>
    <xf numFmtId="182" fontId="159" fillId="0" borderId="202" xfId="0" applyNumberFormat="1" applyFont="1" applyBorder="1" applyAlignment="1">
      <alignment horizontal="center"/>
    </xf>
    <xf numFmtId="188" fontId="125" fillId="0" borderId="194" xfId="1346" applyNumberFormat="1" applyFont="1" applyBorder="1" applyAlignment="1">
      <alignment horizontal="center"/>
    </xf>
    <xf numFmtId="182" fontId="159" fillId="0" borderId="195" xfId="0" applyNumberFormat="1" applyFont="1" applyBorder="1" applyAlignment="1">
      <alignment horizontal="center"/>
    </xf>
    <xf numFmtId="194" fontId="159" fillId="0" borderId="190" xfId="0" applyNumberFormat="1" applyFont="1" applyBorder="1" applyAlignment="1">
      <alignment horizontal="center"/>
    </xf>
    <xf numFmtId="188" fontId="125" fillId="0" borderId="196" xfId="1346" applyNumberFormat="1" applyFont="1" applyBorder="1" applyAlignment="1">
      <alignment horizontal="center"/>
    </xf>
    <xf numFmtId="182" fontId="159" fillId="0" borderId="191" xfId="0" applyNumberFormat="1" applyFont="1" applyBorder="1" applyAlignment="1">
      <alignment horizontal="center"/>
    </xf>
    <xf numFmtId="194" fontId="159" fillId="0" borderId="192" xfId="0" applyNumberFormat="1" applyFont="1" applyBorder="1" applyAlignment="1">
      <alignment horizontal="center"/>
    </xf>
    <xf numFmtId="188" fontId="159" fillId="0" borderId="0" xfId="1346" applyNumberFormat="1" applyFont="1"/>
    <xf numFmtId="188" fontId="159" fillId="0" borderId="0" xfId="0" applyNumberFormat="1" applyFont="1" applyBorder="1" applyAlignment="1">
      <alignment horizontal="left"/>
    </xf>
    <xf numFmtId="188" fontId="159" fillId="0" borderId="0" xfId="0" applyNumberFormat="1" applyFont="1" applyAlignment="1">
      <alignment horizontal="left"/>
    </xf>
    <xf numFmtId="165" fontId="179" fillId="0" borderId="0" xfId="38" applyNumberFormat="1" applyFont="1" applyFill="1" applyBorder="1" applyAlignment="1">
      <alignment horizontal="center"/>
    </xf>
    <xf numFmtId="165" fontId="179" fillId="0" borderId="19" xfId="38" applyNumberFormat="1" applyFont="1" applyFill="1" applyBorder="1" applyAlignment="1">
      <alignment horizontal="center"/>
    </xf>
    <xf numFmtId="165" fontId="179" fillId="0" borderId="132" xfId="38" applyNumberFormat="1" applyFont="1" applyFill="1" applyBorder="1" applyAlignment="1">
      <alignment horizontal="center"/>
    </xf>
    <xf numFmtId="165" fontId="179" fillId="0" borderId="154" xfId="38" applyNumberFormat="1" applyFont="1" applyFill="1" applyBorder="1" applyAlignment="1">
      <alignment horizontal="center"/>
    </xf>
    <xf numFmtId="2" fontId="161" fillId="0" borderId="0" xfId="0" applyNumberFormat="1" applyFont="1" applyAlignment="1">
      <alignment horizontal="center"/>
    </xf>
    <xf numFmtId="0" fontId="159" fillId="0" borderId="144" xfId="0" applyFont="1" applyBorder="1" applyAlignment="1">
      <alignment horizontal="center" vertical="center"/>
    </xf>
    <xf numFmtId="0" fontId="159" fillId="0" borderId="113" xfId="0" applyFont="1" applyBorder="1" applyAlignment="1">
      <alignment horizontal="center" vertical="center"/>
    </xf>
    <xf numFmtId="0" fontId="159" fillId="0" borderId="188" xfId="0" applyFont="1" applyBorder="1" applyAlignment="1">
      <alignment horizontal="center" vertical="center"/>
    </xf>
    <xf numFmtId="0" fontId="159" fillId="0" borderId="206" xfId="0" applyFont="1" applyBorder="1" applyAlignment="1">
      <alignment horizontal="center" vertical="center"/>
    </xf>
    <xf numFmtId="165" fontId="166" fillId="0" borderId="184" xfId="38" applyFont="1" applyBorder="1"/>
    <xf numFmtId="165" fontId="178" fillId="0" borderId="184" xfId="38" applyFont="1" applyBorder="1"/>
    <xf numFmtId="165" fontId="166" fillId="0" borderId="190" xfId="38" applyFont="1" applyBorder="1"/>
    <xf numFmtId="165" fontId="178" fillId="0" borderId="190" xfId="38" applyFont="1" applyBorder="1"/>
    <xf numFmtId="165" fontId="166" fillId="0" borderId="192" xfId="38" applyFont="1" applyBorder="1"/>
    <xf numFmtId="165" fontId="178" fillId="0" borderId="192" xfId="38" applyFont="1" applyBorder="1"/>
    <xf numFmtId="165" fontId="178" fillId="0" borderId="207" xfId="38" applyFont="1" applyBorder="1"/>
    <xf numFmtId="165" fontId="178" fillId="0" borderId="194" xfId="38" applyFont="1" applyBorder="1"/>
    <xf numFmtId="165" fontId="166" fillId="0" borderId="194" xfId="38" applyFont="1" applyBorder="1"/>
    <xf numFmtId="165" fontId="166" fillId="0" borderId="194" xfId="38" applyFont="1" applyFill="1" applyBorder="1"/>
    <xf numFmtId="165" fontId="178" fillId="0" borderId="196" xfId="38" applyFont="1" applyBorder="1"/>
    <xf numFmtId="165" fontId="178" fillId="0" borderId="193" xfId="38" applyFont="1" applyBorder="1"/>
    <xf numFmtId="0" fontId="109" fillId="0" borderId="0" xfId="0" applyFont="1" applyFill="1"/>
    <xf numFmtId="1" fontId="109" fillId="0" borderId="0" xfId="0" quotePrefix="1" applyNumberFormat="1" applyFont="1" applyFill="1"/>
    <xf numFmtId="1" fontId="17" fillId="0" borderId="0" xfId="0" applyNumberFormat="1" applyFont="1" applyFill="1"/>
    <xf numFmtId="0" fontId="89" fillId="0" borderId="0" xfId="0" applyFont="1" applyFill="1" applyAlignment="1">
      <alignment horizontal="center" vertical="center"/>
    </xf>
    <xf numFmtId="0" fontId="91" fillId="0" borderId="0" xfId="0" applyFont="1" applyFill="1" applyAlignment="1">
      <alignment horizontal="center" vertical="center"/>
    </xf>
    <xf numFmtId="0" fontId="0" fillId="0" borderId="0" xfId="0" applyFill="1" applyAlignment="1">
      <alignment horizontal="center" vertical="center"/>
    </xf>
    <xf numFmtId="0" fontId="109" fillId="0" borderId="0" xfId="0" applyFont="1" applyFill="1" applyAlignment="1">
      <alignment horizontal="right" vertical="center"/>
    </xf>
    <xf numFmtId="175" fontId="109" fillId="0" borderId="0" xfId="38" quotePrefix="1" applyNumberFormat="1" applyFont="1" applyFill="1"/>
    <xf numFmtId="175" fontId="17" fillId="0" borderId="0" xfId="38" applyNumberFormat="1" applyFont="1" applyFill="1"/>
    <xf numFmtId="182" fontId="0" fillId="0" borderId="0" xfId="38" applyNumberFormat="1" applyFont="1" applyFill="1"/>
    <xf numFmtId="182" fontId="109" fillId="0" borderId="0" xfId="38" applyNumberFormat="1" applyFont="1" applyFill="1" applyAlignment="1">
      <alignment horizontal="center" vertical="center"/>
    </xf>
    <xf numFmtId="173" fontId="103" fillId="0" borderId="55" xfId="0" applyNumberFormat="1" applyFont="1" applyBorder="1"/>
    <xf numFmtId="173" fontId="103" fillId="0" borderId="0" xfId="0" applyNumberFormat="1" applyFont="1" applyBorder="1"/>
    <xf numFmtId="173" fontId="103" fillId="0" borderId="132" xfId="0" applyNumberFormat="1" applyFont="1" applyBorder="1"/>
    <xf numFmtId="182" fontId="120" fillId="0" borderId="0" xfId="38" applyNumberFormat="1" applyFont="1" applyAlignment="1">
      <alignment horizontal="right"/>
    </xf>
    <xf numFmtId="165" fontId="120" fillId="0" borderId="0" xfId="0" applyNumberFormat="1" applyFont="1"/>
    <xf numFmtId="0" fontId="120" fillId="0" borderId="0" xfId="0" applyFont="1"/>
    <xf numFmtId="0" fontId="120" fillId="0" borderId="0" xfId="0" applyFont="1" applyAlignment="1">
      <alignment horizontal="right"/>
    </xf>
    <xf numFmtId="0" fontId="120" fillId="0" borderId="0" xfId="0" applyFont="1" applyAlignment="1">
      <alignment horizontal="right" vertical="center"/>
    </xf>
    <xf numFmtId="0" fontId="180" fillId="0" borderId="0" xfId="0" applyFont="1" applyAlignment="1">
      <alignment horizontal="right"/>
    </xf>
    <xf numFmtId="0" fontId="180" fillId="0" borderId="0" xfId="0" applyFont="1" applyAlignment="1">
      <alignment horizontal="right" vertical="center"/>
    </xf>
    <xf numFmtId="165" fontId="180" fillId="0" borderId="0" xfId="38" applyFont="1" applyAlignment="1">
      <alignment horizontal="right"/>
    </xf>
    <xf numFmtId="0" fontId="113" fillId="41" borderId="0" xfId="0" applyFont="1" applyFill="1" applyAlignment="1">
      <alignment horizontal="left"/>
    </xf>
    <xf numFmtId="0" fontId="0" fillId="41" borderId="0" xfId="0" applyFill="1" applyAlignment="1">
      <alignment horizontal="left"/>
    </xf>
    <xf numFmtId="0" fontId="44" fillId="0" borderId="0" xfId="0" applyFont="1" applyAlignment="1">
      <alignment horizontal="right"/>
    </xf>
    <xf numFmtId="165" fontId="0" fillId="0" borderId="0" xfId="38" applyFont="1" applyBorder="1" applyAlignment="1">
      <alignment horizontal="left"/>
    </xf>
    <xf numFmtId="0" fontId="44" fillId="0" borderId="0" xfId="0" applyFont="1" applyAlignment="1">
      <alignment horizontal="left"/>
    </xf>
    <xf numFmtId="182" fontId="0" fillId="0" borderId="0" xfId="38" applyNumberFormat="1" applyFont="1" applyBorder="1" applyAlignment="1">
      <alignment horizontal="left"/>
    </xf>
    <xf numFmtId="175" fontId="44" fillId="41" borderId="0" xfId="38" applyNumberFormat="1" applyFont="1" applyFill="1" applyBorder="1" applyAlignment="1">
      <alignment horizontal="left"/>
    </xf>
    <xf numFmtId="0" fontId="181" fillId="0" borderId="0" xfId="0" applyFont="1" applyAlignment="1">
      <alignment horizontal="right"/>
    </xf>
    <xf numFmtId="0" fontId="181" fillId="0" borderId="0" xfId="0" applyFont="1" applyAlignment="1">
      <alignment horizontal="left"/>
    </xf>
    <xf numFmtId="0" fontId="44" fillId="0" borderId="0" xfId="0" applyFont="1" applyAlignment="1">
      <alignment horizontal="center" vertical="center"/>
    </xf>
    <xf numFmtId="182" fontId="44" fillId="0" borderId="0" xfId="38" applyNumberFormat="1" applyFont="1" applyBorder="1" applyAlignment="1">
      <alignment horizontal="left"/>
    </xf>
    <xf numFmtId="0" fontId="152" fillId="0" borderId="0" xfId="0" applyFont="1" applyAlignment="1">
      <alignment horizontal="left"/>
    </xf>
    <xf numFmtId="182" fontId="133" fillId="0" borderId="0" xfId="38" quotePrefix="1" applyNumberFormat="1" applyFont="1"/>
    <xf numFmtId="182" fontId="109" fillId="0" borderId="0" xfId="38" quotePrefix="1" applyNumberFormat="1" applyFont="1" applyFill="1"/>
    <xf numFmtId="0" fontId="70" fillId="0" borderId="0" xfId="0" applyFont="1" applyFill="1" applyBorder="1"/>
    <xf numFmtId="0" fontId="70" fillId="0" borderId="0" xfId="0" applyFont="1" applyFill="1" applyBorder="1" applyAlignment="1"/>
    <xf numFmtId="1" fontId="0" fillId="0" borderId="0" xfId="0" applyNumberFormat="1" applyFill="1" applyBorder="1"/>
    <xf numFmtId="0" fontId="114" fillId="0" borderId="0" xfId="0" applyFont="1" applyFill="1" applyBorder="1"/>
    <xf numFmtId="0" fontId="17" fillId="0" borderId="0" xfId="2585" applyFill="1" applyBorder="1" applyAlignment="1">
      <alignment horizontal="right"/>
    </xf>
    <xf numFmtId="175" fontId="17" fillId="0" borderId="0" xfId="38" applyNumberFormat="1" applyFill="1" applyBorder="1" applyAlignment="1">
      <alignment horizontal="left"/>
    </xf>
    <xf numFmtId="0" fontId="108" fillId="0" borderId="0" xfId="2585" applyFont="1" applyFill="1" applyBorder="1" applyAlignment="1">
      <alignment horizontal="left"/>
    </xf>
    <xf numFmtId="0" fontId="44" fillId="0" borderId="0" xfId="2585" applyFont="1" applyFill="1" applyBorder="1" applyAlignment="1">
      <alignment horizontal="left"/>
    </xf>
    <xf numFmtId="165" fontId="44" fillId="0" borderId="0" xfId="38" applyFont="1" applyFill="1" applyBorder="1" applyAlignment="1">
      <alignment horizontal="center" vertical="center"/>
    </xf>
    <xf numFmtId="165" fontId="17" fillId="0" borderId="0" xfId="38" applyFill="1" applyBorder="1" applyAlignment="1">
      <alignment horizontal="center" vertical="center"/>
    </xf>
    <xf numFmtId="2" fontId="17" fillId="0" borderId="0" xfId="0" applyNumberFormat="1" applyFont="1" applyFill="1"/>
    <xf numFmtId="165" fontId="17" fillId="0" borderId="0" xfId="38" applyNumberFormat="1" applyFont="1" applyFill="1"/>
    <xf numFmtId="165" fontId="182" fillId="0" borderId="0" xfId="38" applyNumberFormat="1" applyFont="1" applyBorder="1" applyAlignment="1">
      <alignment horizontal="left"/>
    </xf>
    <xf numFmtId="1" fontId="0" fillId="0" borderId="0" xfId="0" applyNumberFormat="1" applyBorder="1" applyAlignment="1">
      <alignment horizontal="center"/>
    </xf>
    <xf numFmtId="1" fontId="0" fillId="0" borderId="193" xfId="0" applyNumberFormat="1" applyBorder="1" applyAlignment="1">
      <alignment horizontal="center"/>
    </xf>
    <xf numFmtId="1" fontId="0" fillId="0" borderId="196" xfId="0" applyNumberFormat="1" applyBorder="1" applyAlignment="1">
      <alignment horizontal="center"/>
    </xf>
    <xf numFmtId="0" fontId="183" fillId="0" borderId="0" xfId="4343" applyFont="1" applyFill="1" applyBorder="1" applyAlignment="1">
      <alignment vertical="center"/>
    </xf>
    <xf numFmtId="0" fontId="183" fillId="0" borderId="191" xfId="4343" applyFont="1" applyFill="1" applyBorder="1" applyAlignment="1">
      <alignment vertical="center"/>
    </xf>
    <xf numFmtId="0" fontId="183" fillId="0" borderId="195" xfId="4343" applyFont="1" applyFill="1" applyBorder="1" applyAlignment="1">
      <alignment vertical="center"/>
    </xf>
    <xf numFmtId="0" fontId="159" fillId="0" borderId="191" xfId="0" applyFont="1" applyBorder="1" applyAlignment="1">
      <alignment horizontal="left"/>
    </xf>
    <xf numFmtId="0" fontId="159" fillId="0" borderId="195" xfId="0" applyFont="1" applyBorder="1" applyAlignment="1">
      <alignment horizontal="left"/>
    </xf>
    <xf numFmtId="165" fontId="184" fillId="0" borderId="0" xfId="38" applyNumberFormat="1" applyFont="1" applyFill="1" applyBorder="1" applyAlignment="1"/>
    <xf numFmtId="165" fontId="185" fillId="0" borderId="0" xfId="38" applyNumberFormat="1" applyFont="1" applyFill="1" applyBorder="1" applyProtection="1"/>
    <xf numFmtId="165" fontId="13" fillId="0" borderId="0" xfId="38" applyNumberFormat="1" applyFont="1" applyFill="1" applyBorder="1"/>
    <xf numFmtId="174" fontId="13" fillId="0" borderId="0" xfId="4343" applyNumberFormat="1" applyFill="1" applyBorder="1" applyAlignment="1"/>
    <xf numFmtId="3" fontId="183" fillId="0" borderId="0" xfId="38" applyNumberFormat="1" applyFont="1" applyFill="1" applyBorder="1" applyAlignment="1">
      <alignment horizontal="left"/>
    </xf>
    <xf numFmtId="182" fontId="186" fillId="0" borderId="0" xfId="38" applyNumberFormat="1" applyFont="1" applyFill="1" applyBorder="1"/>
    <xf numFmtId="182" fontId="118" fillId="100" borderId="0" xfId="38" applyNumberFormat="1" applyFont="1" applyFill="1" applyBorder="1"/>
    <xf numFmtId="165" fontId="118" fillId="100" borderId="0" xfId="38" applyNumberFormat="1" applyFont="1" applyFill="1" applyBorder="1"/>
    <xf numFmtId="186" fontId="186" fillId="90" borderId="0" xfId="38" applyNumberFormat="1" applyFont="1" applyFill="1" applyBorder="1"/>
    <xf numFmtId="186" fontId="186" fillId="90" borderId="0" xfId="38" applyNumberFormat="1" applyFont="1" applyFill="1" applyBorder="1" applyAlignment="1"/>
    <xf numFmtId="182" fontId="121" fillId="0" borderId="0" xfId="38" applyNumberFormat="1" applyFont="1" applyFill="1" applyBorder="1"/>
    <xf numFmtId="182" fontId="150" fillId="51" borderId="0" xfId="38" applyNumberFormat="1" applyFont="1" applyFill="1" applyBorder="1" applyAlignment="1">
      <alignment horizontal="center"/>
    </xf>
    <xf numFmtId="196" fontId="171" fillId="0" borderId="0" xfId="38" applyNumberFormat="1" applyFont="1" applyFill="1" applyBorder="1" applyAlignment="1">
      <alignment horizontal="center"/>
    </xf>
    <xf numFmtId="196" fontId="149" fillId="0" borderId="0" xfId="38" applyNumberFormat="1" applyFont="1" applyFill="1" applyBorder="1" applyAlignment="1">
      <alignment horizontal="center"/>
    </xf>
    <xf numFmtId="0" fontId="72" fillId="0" borderId="191" xfId="0" applyFont="1" applyBorder="1"/>
    <xf numFmtId="182" fontId="163" fillId="0" borderId="193" xfId="38" applyNumberFormat="1" applyFont="1" applyBorder="1"/>
    <xf numFmtId="0" fontId="72" fillId="0" borderId="202" xfId="0" applyFont="1" applyBorder="1"/>
    <xf numFmtId="182" fontId="163" fillId="0" borderId="194" xfId="38" applyNumberFormat="1" applyFont="1" applyBorder="1"/>
    <xf numFmtId="0" fontId="159" fillId="0" borderId="202" xfId="0" applyFont="1" applyBorder="1"/>
    <xf numFmtId="182" fontId="159" fillId="0" borderId="194" xfId="38" applyNumberFormat="1" applyFont="1" applyBorder="1"/>
    <xf numFmtId="0" fontId="163" fillId="0" borderId="195" xfId="0" applyFont="1" applyBorder="1"/>
    <xf numFmtId="182" fontId="163" fillId="0" borderId="196" xfId="38" applyNumberFormat="1" applyFont="1" applyBorder="1"/>
    <xf numFmtId="182" fontId="129" fillId="0" borderId="193" xfId="38" applyNumberFormat="1" applyFont="1" applyFill="1" applyBorder="1" applyAlignment="1">
      <alignment horizontal="center"/>
    </xf>
    <xf numFmtId="182" fontId="129" fillId="0" borderId="194" xfId="38" applyNumberFormat="1" applyFont="1" applyFill="1" applyBorder="1" applyAlignment="1">
      <alignment horizontal="center"/>
    </xf>
    <xf numFmtId="0" fontId="72" fillId="0" borderId="195" xfId="0" applyFont="1" applyBorder="1"/>
    <xf numFmtId="182" fontId="150" fillId="51" borderId="196" xfId="38" applyNumberFormat="1" applyFont="1" applyFill="1" applyBorder="1" applyAlignment="1">
      <alignment horizontal="center"/>
    </xf>
    <xf numFmtId="0" fontId="173" fillId="0" borderId="175" xfId="0" applyFont="1" applyFill="1" applyBorder="1" applyAlignment="1">
      <alignment horizontal="left"/>
    </xf>
    <xf numFmtId="0" fontId="177" fillId="0" borderId="176" xfId="0" applyFont="1" applyFill="1" applyBorder="1" applyAlignment="1">
      <alignment horizontal="center"/>
    </xf>
    <xf numFmtId="0" fontId="177" fillId="0" borderId="176" xfId="0" applyFont="1" applyFill="1" applyBorder="1"/>
    <xf numFmtId="0" fontId="177" fillId="0" borderId="177" xfId="0" applyFont="1" applyFill="1" applyBorder="1"/>
    <xf numFmtId="0" fontId="176" fillId="0" borderId="178" xfId="0" applyFont="1" applyFill="1" applyBorder="1" applyAlignment="1"/>
    <xf numFmtId="165" fontId="177" fillId="0" borderId="0" xfId="38" applyNumberFormat="1" applyFont="1" applyFill="1" applyBorder="1" applyAlignment="1">
      <alignment horizontal="center"/>
    </xf>
    <xf numFmtId="2" fontId="177" fillId="0" borderId="0" xfId="0" applyNumberFormat="1" applyFont="1" applyFill="1" applyBorder="1" applyAlignment="1">
      <alignment horizontal="center"/>
    </xf>
    <xf numFmtId="0" fontId="177" fillId="0" borderId="0" xfId="0" applyFont="1" applyFill="1" applyBorder="1"/>
    <xf numFmtId="0" fontId="177" fillId="0" borderId="179" xfId="0" applyFont="1" applyFill="1" applyBorder="1"/>
    <xf numFmtId="165" fontId="177" fillId="0" borderId="178" xfId="38" applyNumberFormat="1" applyFont="1" applyFill="1" applyBorder="1" applyAlignment="1">
      <alignment horizontal="center"/>
    </xf>
    <xf numFmtId="0" fontId="175" fillId="0" borderId="0" xfId="0" applyFont="1" applyFill="1" applyBorder="1" applyAlignment="1">
      <alignment horizontal="center" vertical="center"/>
    </xf>
    <xf numFmtId="0" fontId="123" fillId="0" borderId="178" xfId="0" applyFont="1" applyFill="1" applyBorder="1"/>
    <xf numFmtId="175" fontId="177" fillId="0" borderId="0" xfId="38" applyNumberFormat="1" applyFont="1" applyFill="1" applyBorder="1" applyAlignment="1">
      <alignment horizontal="center"/>
    </xf>
    <xf numFmtId="0" fontId="177" fillId="0" borderId="0" xfId="0" applyFont="1" applyFill="1" applyBorder="1" applyAlignment="1">
      <alignment horizontal="right"/>
    </xf>
    <xf numFmtId="0" fontId="177" fillId="0" borderId="179" xfId="0" applyFont="1" applyFill="1" applyBorder="1" applyAlignment="1">
      <alignment horizontal="right"/>
    </xf>
    <xf numFmtId="0" fontId="123" fillId="0" borderId="180" xfId="0" applyFont="1" applyFill="1" applyBorder="1"/>
    <xf numFmtId="175" fontId="177" fillId="0" borderId="181" xfId="38" applyNumberFormat="1" applyFont="1" applyFill="1" applyBorder="1" applyAlignment="1">
      <alignment horizontal="center"/>
    </xf>
    <xf numFmtId="2" fontId="177" fillId="0" borderId="181" xfId="0" applyNumberFormat="1" applyFont="1" applyFill="1" applyBorder="1" applyAlignment="1">
      <alignment horizontal="center"/>
    </xf>
    <xf numFmtId="165" fontId="177" fillId="0" borderId="181" xfId="38" applyNumberFormat="1" applyFont="1" applyFill="1" applyBorder="1" applyAlignment="1">
      <alignment horizontal="center"/>
    </xf>
    <xf numFmtId="182" fontId="177" fillId="0" borderId="181" xfId="38" applyNumberFormat="1" applyFont="1" applyFill="1" applyBorder="1" applyAlignment="1">
      <alignment horizontal="left"/>
    </xf>
    <xf numFmtId="182" fontId="177" fillId="0" borderId="182" xfId="38" applyNumberFormat="1" applyFont="1" applyFill="1" applyBorder="1" applyAlignment="1">
      <alignment horizontal="left"/>
    </xf>
    <xf numFmtId="0" fontId="125" fillId="0" borderId="0" xfId="0" applyFont="1"/>
    <xf numFmtId="173" fontId="44" fillId="0" borderId="0" xfId="0" applyNumberFormat="1" applyFont="1"/>
    <xf numFmtId="14" fontId="45" fillId="0" borderId="0" xfId="877" applyNumberFormat="1" applyAlignment="1">
      <alignment horizontal="left"/>
    </xf>
    <xf numFmtId="179" fontId="45" fillId="0" borderId="0" xfId="877" applyNumberFormat="1" applyAlignment="1">
      <alignment horizontal="left"/>
    </xf>
    <xf numFmtId="179" fontId="44" fillId="0" borderId="0" xfId="877" applyNumberFormat="1" applyFont="1"/>
    <xf numFmtId="179" fontId="17" fillId="0" borderId="0" xfId="877" applyNumberFormat="1" applyFont="1"/>
    <xf numFmtId="43" fontId="159" fillId="0" borderId="0" xfId="0" applyNumberFormat="1" applyFont="1" applyFill="1"/>
    <xf numFmtId="0" fontId="92" fillId="0" borderId="0" xfId="0" applyFont="1"/>
    <xf numFmtId="193" fontId="0" fillId="0" borderId="0" xfId="0" applyNumberFormat="1"/>
    <xf numFmtId="0" fontId="164" fillId="26" borderId="144" xfId="0" applyFont="1" applyFill="1" applyBorder="1" applyAlignment="1">
      <alignment horizontal="left" vertical="top" wrapText="1"/>
    </xf>
    <xf numFmtId="179" fontId="39" fillId="27" borderId="0" xfId="0" applyNumberFormat="1" applyFont="1" applyFill="1" applyBorder="1" applyAlignment="1">
      <alignment horizontal="left" vertical="center" wrapText="1"/>
    </xf>
    <xf numFmtId="179" fontId="40" fillId="26" borderId="0" xfId="0" quotePrefix="1" applyNumberFormat="1" applyFont="1" applyFill="1" applyBorder="1" applyAlignment="1">
      <alignment horizontal="left" vertical="top" wrapText="1"/>
    </xf>
    <xf numFmtId="0" fontId="159" fillId="27" borderId="144" xfId="0" applyFont="1" applyFill="1" applyBorder="1" applyAlignment="1">
      <alignment horizontal="left" vertical="center" wrapText="1"/>
    </xf>
    <xf numFmtId="0" fontId="82" fillId="33" borderId="0" xfId="0" applyFont="1" applyFill="1" applyBorder="1" applyAlignment="1">
      <alignment horizontal="center"/>
    </xf>
    <xf numFmtId="0" fontId="0" fillId="28" borderId="0" xfId="0" applyFill="1" applyAlignment="1">
      <alignment horizontal="center"/>
    </xf>
    <xf numFmtId="0" fontId="43" fillId="29" borderId="0" xfId="0" applyFont="1" applyFill="1" applyAlignment="1">
      <alignment horizontal="center"/>
    </xf>
    <xf numFmtId="0" fontId="43" fillId="0" borderId="0" xfId="0" applyFont="1" applyAlignment="1">
      <alignment horizontal="center"/>
    </xf>
    <xf numFmtId="0" fontId="43" fillId="38" borderId="0" xfId="0" applyFont="1" applyFill="1" applyAlignment="1">
      <alignment horizontal="center"/>
    </xf>
    <xf numFmtId="0" fontId="43" fillId="34" borderId="0" xfId="0" applyFont="1" applyFill="1" applyAlignment="1">
      <alignment horizontal="center"/>
    </xf>
    <xf numFmtId="0" fontId="43" fillId="32" borderId="0" xfId="0" applyFont="1" applyFill="1" applyAlignment="1">
      <alignment horizontal="center"/>
    </xf>
    <xf numFmtId="0" fontId="43" fillId="31" borderId="0" xfId="0" applyFont="1" applyFill="1" applyAlignment="1">
      <alignment horizontal="center"/>
    </xf>
    <xf numFmtId="0" fontId="68" fillId="0" borderId="23" xfId="0" applyFont="1" applyBorder="1" applyAlignment="1">
      <alignment horizontal="center" vertical="center" wrapText="1"/>
    </xf>
    <xf numFmtId="0" fontId="68" fillId="0" borderId="43" xfId="0" applyFont="1" applyBorder="1" applyAlignment="1">
      <alignment horizontal="center" vertical="center" wrapText="1"/>
    </xf>
    <xf numFmtId="0" fontId="68" fillId="0" borderId="44" xfId="0" applyFont="1" applyBorder="1" applyAlignment="1">
      <alignment horizontal="center" vertical="center" wrapText="1"/>
    </xf>
    <xf numFmtId="0" fontId="67" fillId="0" borderId="45" xfId="0" applyFont="1" applyBorder="1" applyAlignment="1">
      <alignment horizontal="center" vertical="center"/>
    </xf>
    <xf numFmtId="0" fontId="67" fillId="0" borderId="36" xfId="0" applyFont="1" applyBorder="1" applyAlignment="1">
      <alignment horizontal="center" vertical="center"/>
    </xf>
    <xf numFmtId="0" fontId="67" fillId="0" borderId="48" xfId="0" applyFont="1" applyBorder="1" applyAlignment="1">
      <alignment horizontal="center" vertical="center"/>
    </xf>
    <xf numFmtId="0" fontId="67" fillId="0" borderId="37" xfId="0" applyFont="1" applyBorder="1" applyAlignment="1">
      <alignment horizontal="center" vertical="center"/>
    </xf>
    <xf numFmtId="0" fontId="0" fillId="0" borderId="95" xfId="0" applyFill="1" applyBorder="1" applyAlignment="1" applyProtection="1">
      <alignment horizontal="center" vertical="center"/>
    </xf>
    <xf numFmtId="0" fontId="0" fillId="0" borderId="96" xfId="0" applyFill="1" applyBorder="1" applyAlignment="1" applyProtection="1">
      <alignment horizontal="center" vertical="center"/>
    </xf>
    <xf numFmtId="0" fontId="0" fillId="0" borderId="97" xfId="0" applyFill="1" applyBorder="1" applyAlignment="1" applyProtection="1">
      <alignment horizontal="center" vertical="center"/>
    </xf>
    <xf numFmtId="0" fontId="163" fillId="41" borderId="132" xfId="0" applyFont="1" applyFill="1" applyBorder="1" applyAlignment="1">
      <alignment horizontal="center"/>
    </xf>
    <xf numFmtId="0" fontId="163" fillId="41" borderId="154" xfId="0" applyFont="1" applyFill="1" applyBorder="1" applyAlignment="1">
      <alignment horizontal="center"/>
    </xf>
    <xf numFmtId="0" fontId="163" fillId="41" borderId="146" xfId="0" applyFont="1" applyFill="1" applyBorder="1" applyAlignment="1">
      <alignment horizontal="center"/>
    </xf>
    <xf numFmtId="175" fontId="17" fillId="0" borderId="0" xfId="38" applyNumberFormat="1" applyAlignment="1">
      <alignment horizontal="center"/>
    </xf>
    <xf numFmtId="0" fontId="17" fillId="41" borderId="23" xfId="2585" applyFont="1" applyFill="1" applyBorder="1" applyAlignment="1">
      <alignment horizontal="center"/>
    </xf>
    <xf numFmtId="0" fontId="17" fillId="41" borderId="43" xfId="2585" applyFont="1" applyFill="1" applyBorder="1" applyAlignment="1">
      <alignment horizontal="center"/>
    </xf>
    <xf numFmtId="0" fontId="17" fillId="41" borderId="61" xfId="2585" applyFont="1" applyFill="1" applyBorder="1" applyAlignment="1">
      <alignment horizontal="center"/>
    </xf>
    <xf numFmtId="0" fontId="17" fillId="41" borderId="42" xfId="2585" applyFont="1" applyFill="1" applyBorder="1" applyAlignment="1">
      <alignment horizontal="center"/>
    </xf>
    <xf numFmtId="0" fontId="17" fillId="41" borderId="44" xfId="2585" applyFont="1" applyFill="1" applyBorder="1" applyAlignment="1">
      <alignment horizontal="center"/>
    </xf>
    <xf numFmtId="0" fontId="17" fillId="82" borderId="150" xfId="2585" applyFill="1" applyBorder="1" applyAlignment="1">
      <alignment horizontal="center"/>
    </xf>
    <xf numFmtId="0" fontId="17" fillId="82" borderId="145" xfId="2585" applyFill="1" applyBorder="1" applyAlignment="1">
      <alignment horizontal="center"/>
    </xf>
    <xf numFmtId="0" fontId="17" fillId="82" borderId="151" xfId="2585" applyFill="1" applyBorder="1" applyAlignment="1">
      <alignment horizontal="center"/>
    </xf>
    <xf numFmtId="0" fontId="17" fillId="53" borderId="75" xfId="2585" applyFill="1" applyBorder="1" applyAlignment="1">
      <alignment horizontal="center"/>
    </xf>
    <xf numFmtId="0" fontId="17" fillId="53" borderId="148" xfId="2585" applyFill="1" applyBorder="1" applyAlignment="1">
      <alignment horizontal="center"/>
    </xf>
    <xf numFmtId="0" fontId="17" fillId="53" borderId="152" xfId="2585" applyFill="1" applyBorder="1" applyAlignment="1">
      <alignment horizontal="center"/>
    </xf>
    <xf numFmtId="0" fontId="17" fillId="82" borderId="63" xfId="2585" applyFill="1" applyBorder="1" applyAlignment="1">
      <alignment horizontal="center"/>
    </xf>
    <xf numFmtId="0" fontId="17" fillId="82" borderId="29" xfId="2585" applyFill="1" applyBorder="1" applyAlignment="1">
      <alignment horizontal="center"/>
    </xf>
    <xf numFmtId="0" fontId="13" fillId="86" borderId="63" xfId="4343" applyFill="1" applyBorder="1" applyAlignment="1">
      <alignment horizontal="center"/>
    </xf>
    <xf numFmtId="0" fontId="13" fillId="86" borderId="55" xfId="4343" applyFill="1" applyBorder="1" applyAlignment="1">
      <alignment horizontal="center"/>
    </xf>
    <xf numFmtId="0" fontId="13" fillId="86" borderId="29" xfId="4343" applyFill="1" applyBorder="1" applyAlignment="1">
      <alignment horizontal="center"/>
    </xf>
    <xf numFmtId="0" fontId="72" fillId="86" borderId="63" xfId="4343" applyFont="1" applyFill="1" applyBorder="1" applyAlignment="1">
      <alignment horizontal="center"/>
    </xf>
    <xf numFmtId="0" fontId="72" fillId="86" borderId="55" xfId="4343" applyFont="1" applyFill="1" applyBorder="1" applyAlignment="1">
      <alignment horizontal="center"/>
    </xf>
    <xf numFmtId="0" fontId="72" fillId="86" borderId="29" xfId="4343" applyFont="1" applyFill="1" applyBorder="1" applyAlignment="1">
      <alignment horizontal="center"/>
    </xf>
    <xf numFmtId="0" fontId="17" fillId="41" borderId="59" xfId="2585" applyFill="1" applyBorder="1" applyAlignment="1">
      <alignment horizontal="center"/>
    </xf>
    <xf numFmtId="0" fontId="17" fillId="41" borderId="80" xfId="2585" applyFill="1" applyBorder="1" applyAlignment="1">
      <alignment horizontal="center"/>
    </xf>
    <xf numFmtId="0" fontId="17" fillId="0" borderId="0" xfId="2585" applyFill="1" applyBorder="1" applyAlignment="1">
      <alignment horizontal="center"/>
    </xf>
    <xf numFmtId="0" fontId="0" fillId="0" borderId="0" xfId="0" applyFill="1" applyAlignment="1">
      <alignment horizontal="center"/>
    </xf>
    <xf numFmtId="0" fontId="17" fillId="0" borderId="0" xfId="0" applyFont="1" applyFill="1" applyBorder="1" applyAlignment="1">
      <alignment horizontal="center"/>
    </xf>
    <xf numFmtId="0" fontId="0" fillId="0" borderId="0" xfId="0" applyFill="1" applyBorder="1" applyAlignment="1">
      <alignment horizontal="center"/>
    </xf>
    <xf numFmtId="0" fontId="17" fillId="0" borderId="0" xfId="0" applyFont="1" applyFill="1" applyAlignment="1">
      <alignment horizontal="center"/>
    </xf>
    <xf numFmtId="0" fontId="144" fillId="0" borderId="0" xfId="0" applyFont="1" applyFill="1" applyBorder="1" applyAlignment="1">
      <alignment horizontal="center" vertical="top"/>
    </xf>
    <xf numFmtId="0" fontId="12" fillId="41" borderId="155" xfId="4343" applyFont="1" applyFill="1" applyBorder="1" applyAlignment="1">
      <alignment horizontal="center"/>
    </xf>
    <xf numFmtId="0" fontId="12" fillId="41" borderId="144" xfId="4343" applyFont="1" applyFill="1" applyBorder="1" applyAlignment="1">
      <alignment horizontal="center"/>
    </xf>
    <xf numFmtId="0" fontId="12" fillId="41" borderId="162" xfId="4343" applyFont="1" applyFill="1" applyBorder="1" applyAlignment="1">
      <alignment horizontal="center"/>
    </xf>
    <xf numFmtId="1" fontId="128" fillId="0" borderId="140" xfId="4342" applyNumberFormat="1" applyFont="1" applyFill="1" applyBorder="1" applyAlignment="1">
      <alignment horizontal="center" vertical="center" shrinkToFit="1"/>
    </xf>
    <xf numFmtId="1" fontId="128" fillId="0" borderId="84" xfId="4342" applyNumberFormat="1" applyFont="1" applyFill="1" applyBorder="1" applyAlignment="1">
      <alignment horizontal="center" vertical="center" shrinkToFit="1"/>
    </xf>
    <xf numFmtId="1" fontId="3" fillId="0" borderId="140" xfId="38" applyNumberFormat="1" applyFont="1" applyBorder="1" applyAlignment="1">
      <alignment horizontal="center" vertical="center"/>
    </xf>
    <xf numFmtId="1" fontId="3" fillId="0" borderId="84" xfId="38" applyNumberFormat="1" applyFont="1" applyBorder="1" applyAlignment="1">
      <alignment horizontal="center" vertical="center"/>
    </xf>
    <xf numFmtId="0" fontId="4" fillId="0" borderId="0" xfId="4343" applyFont="1" applyAlignment="1">
      <alignment horizontal="center" vertical="center"/>
    </xf>
    <xf numFmtId="0" fontId="13" fillId="0" borderId="0" xfId="4343" applyAlignment="1">
      <alignment horizontal="center" vertical="center"/>
    </xf>
    <xf numFmtId="0" fontId="132" fillId="0" borderId="84" xfId="4343" applyFont="1" applyBorder="1" applyAlignment="1">
      <alignment horizontal="left"/>
    </xf>
    <xf numFmtId="0" fontId="13" fillId="93" borderId="35" xfId="4343" applyFill="1" applyBorder="1" applyAlignment="1">
      <alignment horizontal="center"/>
    </xf>
    <xf numFmtId="0" fontId="13" fillId="93" borderId="33" xfId="4343" applyFill="1" applyBorder="1" applyAlignment="1">
      <alignment horizontal="center"/>
    </xf>
    <xf numFmtId="0" fontId="13" fillId="93" borderId="109" xfId="4343" applyFill="1" applyBorder="1" applyAlignment="1">
      <alignment horizontal="center"/>
    </xf>
    <xf numFmtId="0" fontId="124" fillId="0" borderId="0" xfId="4343" applyFont="1" applyBorder="1" applyAlignment="1">
      <alignment horizontal="center" vertical="center"/>
    </xf>
    <xf numFmtId="0" fontId="106" fillId="97" borderId="150" xfId="4343" applyFont="1" applyFill="1" applyBorder="1" applyAlignment="1">
      <alignment horizontal="center"/>
    </xf>
    <xf numFmtId="0" fontId="106" fillId="97" borderId="145" xfId="4343" applyFont="1" applyFill="1" applyBorder="1" applyAlignment="1">
      <alignment horizontal="center"/>
    </xf>
    <xf numFmtId="0" fontId="106" fillId="97" borderId="151" xfId="4343" applyFont="1" applyFill="1" applyBorder="1" applyAlignment="1">
      <alignment horizontal="center"/>
    </xf>
    <xf numFmtId="0" fontId="3" fillId="41" borderId="59" xfId="4343" applyFont="1" applyFill="1" applyBorder="1" applyAlignment="1">
      <alignment horizontal="center"/>
    </xf>
    <xf numFmtId="0" fontId="3" fillId="41" borderId="58" xfId="4343" applyFont="1" applyFill="1" applyBorder="1" applyAlignment="1">
      <alignment horizontal="center"/>
    </xf>
    <xf numFmtId="0" fontId="3" fillId="41" borderId="80" xfId="4343" applyFont="1" applyFill="1" applyBorder="1" applyAlignment="1">
      <alignment horizontal="center"/>
    </xf>
    <xf numFmtId="182" fontId="72" fillId="85" borderId="24" xfId="4343" applyNumberFormat="1" applyFont="1" applyFill="1" applyBorder="1" applyAlignment="1">
      <alignment horizontal="center" vertical="center"/>
    </xf>
    <xf numFmtId="0" fontId="72" fillId="85" borderId="132" xfId="4343" applyFont="1" applyFill="1" applyBorder="1" applyAlignment="1">
      <alignment horizontal="center" vertical="center"/>
    </xf>
    <xf numFmtId="182" fontId="72" fillId="85" borderId="132" xfId="4343" applyNumberFormat="1" applyFont="1" applyFill="1" applyBorder="1" applyAlignment="1">
      <alignment horizontal="center" vertical="center"/>
    </xf>
    <xf numFmtId="0" fontId="124" fillId="0" borderId="16" xfId="4343" applyFont="1" applyBorder="1" applyAlignment="1">
      <alignment horizontal="center" vertical="center" wrapText="1"/>
    </xf>
    <xf numFmtId="0" fontId="12" fillId="41" borderId="75" xfId="4343" applyFont="1" applyFill="1" applyBorder="1" applyAlignment="1">
      <alignment horizontal="center"/>
    </xf>
    <xf numFmtId="0" fontId="12" fillId="41" borderId="148" xfId="4343" applyFont="1" applyFill="1" applyBorder="1" applyAlignment="1">
      <alignment horizontal="center"/>
    </xf>
    <xf numFmtId="0" fontId="12" fillId="41" borderId="152" xfId="4343" applyFont="1" applyFill="1" applyBorder="1" applyAlignment="1">
      <alignment horizontal="center"/>
    </xf>
    <xf numFmtId="0" fontId="72" fillId="41" borderId="150" xfId="4343" applyFont="1" applyFill="1" applyBorder="1" applyAlignment="1">
      <alignment horizontal="center" vertical="center"/>
    </xf>
    <xf numFmtId="0" fontId="72" fillId="41" borderId="145" xfId="4343" applyFont="1" applyFill="1" applyBorder="1" applyAlignment="1">
      <alignment horizontal="center" vertical="center"/>
    </xf>
    <xf numFmtId="0" fontId="72" fillId="41" borderId="55" xfId="4343" applyFont="1" applyFill="1" applyBorder="1" applyAlignment="1">
      <alignment horizontal="center" vertical="center"/>
    </xf>
    <xf numFmtId="0" fontId="72" fillId="41" borderId="29" xfId="4343" applyFont="1" applyFill="1" applyBorder="1" applyAlignment="1">
      <alignment horizontal="center" vertical="center"/>
    </xf>
    <xf numFmtId="0" fontId="5" fillId="0" borderId="0" xfId="4343" applyFont="1" applyFill="1" applyBorder="1" applyAlignment="1">
      <alignment horizontal="center"/>
    </xf>
    <xf numFmtId="0" fontId="13" fillId="0" borderId="0" xfId="4343" applyFill="1" applyBorder="1" applyAlignment="1">
      <alignment horizontal="center"/>
    </xf>
    <xf numFmtId="0" fontId="72" fillId="0" borderId="0" xfId="4343" applyFont="1" applyBorder="1" applyAlignment="1">
      <alignment horizontal="left"/>
    </xf>
    <xf numFmtId="0" fontId="12" fillId="0" borderId="0" xfId="4343" applyFont="1" applyBorder="1" applyAlignment="1">
      <alignment horizontal="center"/>
    </xf>
    <xf numFmtId="0" fontId="13" fillId="0" borderId="0" xfId="4343" applyBorder="1" applyAlignment="1">
      <alignment horizontal="center"/>
    </xf>
    <xf numFmtId="0" fontId="13" fillId="41" borderId="93" xfId="4343" applyFill="1" applyBorder="1" applyAlignment="1">
      <alignment horizontal="center"/>
    </xf>
    <xf numFmtId="0" fontId="13" fillId="41" borderId="94" xfId="4343" applyFill="1" applyBorder="1" applyAlignment="1">
      <alignment horizontal="center"/>
    </xf>
    <xf numFmtId="0" fontId="13" fillId="41" borderId="98" xfId="4343" applyFill="1" applyBorder="1" applyAlignment="1">
      <alignment horizontal="center"/>
    </xf>
    <xf numFmtId="0" fontId="70" fillId="82" borderId="64" xfId="4343" applyFont="1" applyFill="1" applyBorder="1" applyAlignment="1" applyProtection="1">
      <alignment horizontal="center"/>
    </xf>
    <xf numFmtId="0" fontId="70" fillId="82" borderId="55" xfId="4343" applyFont="1" applyFill="1" applyBorder="1" applyAlignment="1" applyProtection="1">
      <alignment horizontal="center"/>
    </xf>
    <xf numFmtId="0" fontId="70" fillId="82" borderId="29" xfId="4343" applyFont="1" applyFill="1" applyBorder="1" applyAlignment="1" applyProtection="1">
      <alignment horizontal="center"/>
    </xf>
    <xf numFmtId="0" fontId="70" fillId="0" borderId="63" xfId="4343" applyFont="1" applyFill="1" applyBorder="1" applyAlignment="1" applyProtection="1">
      <alignment horizontal="left"/>
    </xf>
    <xf numFmtId="0" fontId="70" fillId="0" borderId="55" xfId="4343" applyFont="1" applyFill="1" applyBorder="1" applyAlignment="1" applyProtection="1">
      <alignment horizontal="left"/>
    </xf>
    <xf numFmtId="0" fontId="70" fillId="0" borderId="30" xfId="4343" applyFont="1" applyFill="1" applyBorder="1" applyAlignment="1" applyProtection="1">
      <alignment horizontal="left"/>
    </xf>
    <xf numFmtId="0" fontId="70" fillId="0" borderId="0" xfId="4343" applyFont="1" applyFill="1" applyBorder="1" applyAlignment="1" applyProtection="1">
      <alignment horizontal="left"/>
    </xf>
    <xf numFmtId="0" fontId="70" fillId="96" borderId="158" xfId="4343" applyFont="1" applyFill="1" applyBorder="1" applyAlignment="1" applyProtection="1">
      <alignment horizontal="center"/>
    </xf>
    <xf numFmtId="0" fontId="70" fillId="96" borderId="145" xfId="4343" applyFont="1" applyFill="1" applyBorder="1" applyAlignment="1" applyProtection="1">
      <alignment horizontal="center"/>
    </xf>
    <xf numFmtId="0" fontId="70" fillId="96" borderId="159" xfId="4343" applyFont="1" applyFill="1" applyBorder="1" applyAlignment="1" applyProtection="1">
      <alignment horizontal="center"/>
    </xf>
    <xf numFmtId="0" fontId="70" fillId="98" borderId="64" xfId="4343" applyFont="1" applyFill="1" applyBorder="1" applyAlignment="1" applyProtection="1">
      <alignment horizontal="center"/>
    </xf>
    <xf numFmtId="0" fontId="70" fillId="98" borderId="55" xfId="4343" applyFont="1" applyFill="1" applyBorder="1" applyAlignment="1" applyProtection="1">
      <alignment horizontal="center"/>
    </xf>
    <xf numFmtId="0" fontId="70" fillId="98" borderId="62" xfId="4343" applyFont="1" applyFill="1" applyBorder="1" applyAlignment="1" applyProtection="1">
      <alignment horizontal="center"/>
    </xf>
    <xf numFmtId="0" fontId="121" fillId="87" borderId="150" xfId="4343" applyFont="1" applyFill="1" applyBorder="1" applyAlignment="1">
      <alignment horizontal="center"/>
    </xf>
    <xf numFmtId="0" fontId="121" fillId="87" borderId="145" xfId="4343" applyFont="1" applyFill="1" applyBorder="1" applyAlignment="1">
      <alignment horizontal="center"/>
    </xf>
    <xf numFmtId="0" fontId="121" fillId="87" borderId="151" xfId="4343" applyFont="1" applyFill="1" applyBorder="1" applyAlignment="1">
      <alignment horizontal="center"/>
    </xf>
    <xf numFmtId="0" fontId="70" fillId="0" borderId="0" xfId="0" applyFont="1" applyFill="1" applyAlignment="1" applyProtection="1">
      <alignment horizontal="center"/>
    </xf>
    <xf numFmtId="0" fontId="96" fillId="89" borderId="93" xfId="866" applyFont="1" applyFill="1" applyBorder="1" applyAlignment="1">
      <alignment horizontal="left" vertical="center" wrapText="1"/>
    </xf>
    <xf numFmtId="0" fontId="96" fillId="89" borderId="99" xfId="866" applyFont="1" applyFill="1" applyBorder="1" applyAlignment="1">
      <alignment horizontal="left" vertical="center" wrapText="1"/>
    </xf>
    <xf numFmtId="0" fontId="0" fillId="0" borderId="94" xfId="0" applyBorder="1" applyAlignment="1">
      <alignment horizontal="left" vertical="center"/>
    </xf>
    <xf numFmtId="0" fontId="0" fillId="0" borderId="100" xfId="0" applyBorder="1" applyAlignment="1">
      <alignment horizontal="left" vertical="center"/>
    </xf>
    <xf numFmtId="0" fontId="17" fillId="0" borderId="141" xfId="0" applyFont="1" applyBorder="1" applyAlignment="1">
      <alignment horizontal="center" vertical="center" wrapText="1"/>
    </xf>
    <xf numFmtId="0" fontId="17" fillId="0" borderId="96" xfId="0" applyFont="1" applyBorder="1" applyAlignment="1">
      <alignment horizontal="center" vertical="center" wrapText="1"/>
    </xf>
    <xf numFmtId="0" fontId="17" fillId="0" borderId="142" xfId="0" applyFont="1" applyBorder="1" applyAlignment="1">
      <alignment horizontal="center" vertical="center" wrapText="1"/>
    </xf>
    <xf numFmtId="0" fontId="0" fillId="0" borderId="63" xfId="0" applyFill="1" applyBorder="1" applyAlignment="1">
      <alignment horizontal="center"/>
    </xf>
    <xf numFmtId="0" fontId="0" fillId="0" borderId="55" xfId="0" applyFill="1" applyBorder="1" applyAlignment="1">
      <alignment horizontal="center"/>
    </xf>
    <xf numFmtId="0" fontId="0" fillId="0" borderId="29" xfId="0" applyFill="1" applyBorder="1" applyAlignment="1">
      <alignment horizontal="center"/>
    </xf>
    <xf numFmtId="0" fontId="43" fillId="82" borderId="63" xfId="2585" applyFont="1" applyFill="1" applyBorder="1" applyAlignment="1">
      <alignment horizontal="center"/>
    </xf>
    <xf numFmtId="0" fontId="43" fillId="82" borderId="29" xfId="2585" applyFont="1" applyFill="1" applyBorder="1" applyAlignment="1">
      <alignment horizontal="center"/>
    </xf>
    <xf numFmtId="0" fontId="72" fillId="86" borderId="84" xfId="4343" applyFont="1" applyFill="1" applyBorder="1" applyAlignment="1">
      <alignment horizontal="left"/>
    </xf>
    <xf numFmtId="0" fontId="13" fillId="86" borderId="84" xfId="4343" applyFill="1" applyBorder="1" applyAlignment="1">
      <alignment horizontal="left"/>
    </xf>
    <xf numFmtId="0" fontId="72" fillId="0" borderId="0" xfId="4343" applyFont="1" applyAlignment="1">
      <alignment horizontal="left"/>
    </xf>
    <xf numFmtId="0" fontId="13" fillId="0" borderId="0" xfId="4343" applyAlignment="1">
      <alignment horizontal="left"/>
    </xf>
    <xf numFmtId="0" fontId="13" fillId="87" borderId="55" xfId="4343" applyFill="1" applyBorder="1" applyAlignment="1">
      <alignment horizontal="center"/>
    </xf>
    <xf numFmtId="0" fontId="70" fillId="96" borderId="64" xfId="4343" applyFont="1" applyFill="1" applyBorder="1" applyAlignment="1" applyProtection="1">
      <alignment horizontal="center"/>
    </xf>
    <xf numFmtId="0" fontId="70" fillId="96" borderId="55" xfId="4343" applyFont="1" applyFill="1" applyBorder="1" applyAlignment="1" applyProtection="1">
      <alignment horizontal="center"/>
    </xf>
    <xf numFmtId="0" fontId="70" fillId="96" borderId="62" xfId="4343" applyFont="1" applyFill="1" applyBorder="1" applyAlignment="1" applyProtection="1">
      <alignment horizontal="center"/>
    </xf>
    <xf numFmtId="0" fontId="13" fillId="88" borderId="35" xfId="4343" applyFill="1" applyBorder="1" applyAlignment="1">
      <alignment horizontal="center"/>
    </xf>
    <xf numFmtId="0" fontId="13" fillId="88" borderId="33" xfId="4343" applyFill="1" applyBorder="1" applyAlignment="1">
      <alignment horizontal="center"/>
    </xf>
    <xf numFmtId="0" fontId="13" fillId="88" borderId="109" xfId="4343" applyFill="1" applyBorder="1" applyAlignment="1">
      <alignment horizontal="center"/>
    </xf>
    <xf numFmtId="0" fontId="8" fillId="0" borderId="84" xfId="4343" applyFont="1" applyBorder="1" applyAlignment="1">
      <alignment horizontal="left"/>
    </xf>
    <xf numFmtId="0" fontId="13" fillId="0" borderId="84" xfId="4343" applyBorder="1" applyAlignment="1">
      <alignment horizontal="left"/>
    </xf>
    <xf numFmtId="0" fontId="13" fillId="88" borderId="94" xfId="4343" applyFill="1" applyBorder="1" applyAlignment="1">
      <alignment horizontal="center"/>
    </xf>
    <xf numFmtId="0" fontId="13" fillId="88" borderId="98" xfId="4343" applyFill="1" applyBorder="1" applyAlignment="1">
      <alignment horizontal="center"/>
    </xf>
    <xf numFmtId="0" fontId="13" fillId="88" borderId="93" xfId="4343" applyFill="1" applyBorder="1" applyAlignment="1">
      <alignment horizontal="center"/>
    </xf>
    <xf numFmtId="0" fontId="13" fillId="0" borderId="63" xfId="4343" applyBorder="1" applyAlignment="1">
      <alignment horizontal="center"/>
    </xf>
    <xf numFmtId="0" fontId="13" fillId="0" borderId="55" xfId="4343" applyBorder="1" applyAlignment="1">
      <alignment horizontal="center"/>
    </xf>
    <xf numFmtId="0" fontId="13" fillId="87" borderId="63" xfId="4343" applyFill="1" applyBorder="1" applyAlignment="1">
      <alignment horizontal="center"/>
    </xf>
    <xf numFmtId="0" fontId="13" fillId="87" borderId="29" xfId="4343" applyFill="1" applyBorder="1" applyAlignment="1">
      <alignment horizontal="center"/>
    </xf>
    <xf numFmtId="0" fontId="12" fillId="0" borderId="59" xfId="4343" applyFont="1" applyBorder="1" applyAlignment="1">
      <alignment horizontal="center"/>
    </xf>
    <xf numFmtId="0" fontId="13" fillId="0" borderId="80" xfId="4343" applyBorder="1" applyAlignment="1">
      <alignment horizontal="center"/>
    </xf>
    <xf numFmtId="0" fontId="12" fillId="0" borderId="63" xfId="4343" applyFont="1" applyBorder="1" applyAlignment="1">
      <alignment horizontal="center"/>
    </xf>
    <xf numFmtId="0" fontId="12" fillId="0" borderId="55" xfId="4343" applyFont="1" applyBorder="1" applyAlignment="1">
      <alignment horizontal="center"/>
    </xf>
    <xf numFmtId="0" fontId="12" fillId="0" borderId="29" xfId="4343" applyFont="1" applyBorder="1" applyAlignment="1">
      <alignment horizontal="center"/>
    </xf>
    <xf numFmtId="0" fontId="13" fillId="0" borderId="58" xfId="4343" applyBorder="1" applyAlignment="1">
      <alignment horizontal="center"/>
    </xf>
    <xf numFmtId="0" fontId="13" fillId="0" borderId="35" xfId="4343" applyBorder="1" applyAlignment="1">
      <alignment horizontal="center"/>
    </xf>
    <xf numFmtId="0" fontId="13" fillId="0" borderId="33" xfId="4343" applyBorder="1" applyAlignment="1">
      <alignment horizontal="center"/>
    </xf>
    <xf numFmtId="0" fontId="13" fillId="0" borderId="109" xfId="4343" applyBorder="1" applyAlignment="1">
      <alignment horizontal="center"/>
    </xf>
    <xf numFmtId="182" fontId="72" fillId="0" borderId="84" xfId="4343" applyNumberFormat="1" applyFont="1" applyBorder="1" applyAlignment="1">
      <alignment horizontal="left"/>
    </xf>
    <xf numFmtId="0" fontId="13" fillId="0" borderId="29" xfId="4343" applyBorder="1" applyAlignment="1">
      <alignment horizontal="center"/>
    </xf>
    <xf numFmtId="0" fontId="72" fillId="0" borderId="84" xfId="4343" applyFont="1" applyBorder="1" applyAlignment="1">
      <alignment horizontal="left"/>
    </xf>
    <xf numFmtId="0" fontId="5" fillId="0" borderId="0" xfId="4343" applyFont="1" applyAlignment="1">
      <alignment horizontal="center"/>
    </xf>
    <xf numFmtId="0" fontId="13" fillId="0" borderId="0" xfId="4343" applyAlignment="1">
      <alignment horizontal="center"/>
    </xf>
    <xf numFmtId="0" fontId="5" fillId="0" borderId="94" xfId="4343" applyFont="1" applyBorder="1" applyAlignment="1">
      <alignment horizontal="center"/>
    </xf>
    <xf numFmtId="0" fontId="13" fillId="0" borderId="94" xfId="4343" applyBorder="1" applyAlignment="1">
      <alignment horizontal="center"/>
    </xf>
    <xf numFmtId="0" fontId="13" fillId="0" borderId="0" xfId="4343" applyAlignment="1">
      <alignment horizontal="center" wrapText="1"/>
    </xf>
    <xf numFmtId="0" fontId="13" fillId="92" borderId="63" xfId="4343" applyFill="1" applyBorder="1" applyAlignment="1">
      <alignment horizontal="center"/>
    </xf>
    <xf numFmtId="0" fontId="13" fillId="92" borderId="55" xfId="4343" applyFill="1" applyBorder="1" applyAlignment="1">
      <alignment horizontal="center"/>
    </xf>
    <xf numFmtId="0" fontId="13" fillId="92" borderId="29" xfId="4343" applyFill="1" applyBorder="1" applyAlignment="1">
      <alignment horizontal="center"/>
    </xf>
    <xf numFmtId="0" fontId="10" fillId="0" borderId="59" xfId="4343" applyFont="1" applyBorder="1" applyAlignment="1">
      <alignment horizontal="center"/>
    </xf>
    <xf numFmtId="0" fontId="13" fillId="0" borderId="59" xfId="4343" applyBorder="1" applyAlignment="1">
      <alignment horizontal="center"/>
    </xf>
    <xf numFmtId="175" fontId="13" fillId="0" borderId="52" xfId="38" applyNumberFormat="1" applyFont="1" applyBorder="1" applyAlignment="1">
      <alignment horizontal="center"/>
    </xf>
    <xf numFmtId="175" fontId="13" fillId="0" borderId="84" xfId="38" applyNumberFormat="1" applyFont="1" applyBorder="1" applyAlignment="1">
      <alignment horizontal="center"/>
    </xf>
    <xf numFmtId="0" fontId="13" fillId="0" borderId="93" xfId="4343" applyBorder="1" applyAlignment="1">
      <alignment horizontal="center"/>
    </xf>
    <xf numFmtId="0" fontId="13" fillId="0" borderId="98" xfId="4343" applyBorder="1" applyAlignment="1">
      <alignment horizontal="center"/>
    </xf>
    <xf numFmtId="0" fontId="70" fillId="85" borderId="64" xfId="4343" applyFont="1" applyFill="1" applyBorder="1" applyAlignment="1" applyProtection="1">
      <alignment horizontal="center"/>
    </xf>
    <xf numFmtId="0" fontId="70" fillId="85" borderId="55" xfId="4343" applyFont="1" applyFill="1" applyBorder="1" applyAlignment="1" applyProtection="1">
      <alignment horizontal="center"/>
    </xf>
    <xf numFmtId="0" fontId="70" fillId="85" borderId="29" xfId="4343" applyFont="1" applyFill="1" applyBorder="1" applyAlignment="1" applyProtection="1">
      <alignment horizontal="center"/>
    </xf>
    <xf numFmtId="0" fontId="159" fillId="0" borderId="132" xfId="0" applyFont="1" applyBorder="1" applyAlignment="1">
      <alignment horizontal="left"/>
    </xf>
    <xf numFmtId="175" fontId="159" fillId="0" borderId="132" xfId="38" applyNumberFormat="1" applyFont="1" applyBorder="1" applyAlignment="1">
      <alignment horizontal="left"/>
    </xf>
  </cellXfs>
  <cellStyles count="4350">
    <cellStyle name="_x000a_shell=progma 2" xfId="1817" xr:uid="{00000000-0005-0000-0000-000000000000}"/>
    <cellStyle name="_x000a_shell=progma 2 2" xfId="1818" xr:uid="{00000000-0005-0000-0000-000001000000}"/>
    <cellStyle name="1.000" xfId="1819" xr:uid="{00000000-0005-0000-0000-000002000000}"/>
    <cellStyle name="1.000 2" xfId="1820" xr:uid="{00000000-0005-0000-0000-000003000000}"/>
    <cellStyle name="20 % - Markeringsfarve1" xfId="3366" xr:uid="{00000000-0005-0000-0000-000004000000}"/>
    <cellStyle name="20 % - Markeringsfarve1 2" xfId="3367" xr:uid="{00000000-0005-0000-0000-000005000000}"/>
    <cellStyle name="20 % - Markeringsfarve2" xfId="3368" xr:uid="{00000000-0005-0000-0000-000006000000}"/>
    <cellStyle name="20 % - Markeringsfarve2 2" xfId="3369" xr:uid="{00000000-0005-0000-0000-000007000000}"/>
    <cellStyle name="20 % - Markeringsfarve3" xfId="3370" xr:uid="{00000000-0005-0000-0000-000008000000}"/>
    <cellStyle name="20 % - Markeringsfarve3 2" xfId="3371" xr:uid="{00000000-0005-0000-0000-000009000000}"/>
    <cellStyle name="20 % - Markeringsfarve4" xfId="3372" xr:uid="{00000000-0005-0000-0000-00000A000000}"/>
    <cellStyle name="20 % - Markeringsfarve4 2" xfId="3373" xr:uid="{00000000-0005-0000-0000-00000B000000}"/>
    <cellStyle name="20 % - Markeringsfarve5" xfId="3374" xr:uid="{00000000-0005-0000-0000-00000C000000}"/>
    <cellStyle name="20 % - Markeringsfarve5 2" xfId="3375" xr:uid="{00000000-0005-0000-0000-00000D000000}"/>
    <cellStyle name="20 % - Markeringsfarve6" xfId="3376" xr:uid="{00000000-0005-0000-0000-00000E000000}"/>
    <cellStyle name="20 % - Markeringsfarve6 2" xfId="3377" xr:uid="{00000000-0005-0000-0000-00000F000000}"/>
    <cellStyle name="20% - Colore 1" xfId="1" xr:uid="{00000000-0005-0000-0000-000010000000}"/>
    <cellStyle name="20% - Colore 1 2" xfId="3378" xr:uid="{00000000-0005-0000-0000-000011000000}"/>
    <cellStyle name="20% - Colore 2" xfId="2" xr:uid="{00000000-0005-0000-0000-000012000000}"/>
    <cellStyle name="20% - Colore 2 2" xfId="3379" xr:uid="{00000000-0005-0000-0000-000013000000}"/>
    <cellStyle name="20% - Colore 3" xfId="3" xr:uid="{00000000-0005-0000-0000-000014000000}"/>
    <cellStyle name="20% - Colore 3 2" xfId="3380" xr:uid="{00000000-0005-0000-0000-000015000000}"/>
    <cellStyle name="20% - Colore 4" xfId="4" xr:uid="{00000000-0005-0000-0000-000016000000}"/>
    <cellStyle name="20% - Colore 4 2" xfId="3381" xr:uid="{00000000-0005-0000-0000-000017000000}"/>
    <cellStyle name="20% - Colore 5" xfId="5" xr:uid="{00000000-0005-0000-0000-000018000000}"/>
    <cellStyle name="20% - Colore 5 2" xfId="3382" xr:uid="{00000000-0005-0000-0000-000019000000}"/>
    <cellStyle name="20% - Colore 6" xfId="6" xr:uid="{00000000-0005-0000-0000-00001A000000}"/>
    <cellStyle name="20% - Colore 6 2" xfId="3383" xr:uid="{00000000-0005-0000-0000-00001B000000}"/>
    <cellStyle name="40 % - Markeringsfarve1" xfId="3384" xr:uid="{00000000-0005-0000-0000-00001C000000}"/>
    <cellStyle name="40 % - Markeringsfarve1 2" xfId="3385" xr:uid="{00000000-0005-0000-0000-00001D000000}"/>
    <cellStyle name="40 % - Markeringsfarve2" xfId="3386" xr:uid="{00000000-0005-0000-0000-00001E000000}"/>
    <cellStyle name="40 % - Markeringsfarve2 2" xfId="3387" xr:uid="{00000000-0005-0000-0000-00001F000000}"/>
    <cellStyle name="40 % - Markeringsfarve3" xfId="3388" xr:uid="{00000000-0005-0000-0000-000020000000}"/>
    <cellStyle name="40 % - Markeringsfarve3 2" xfId="3389" xr:uid="{00000000-0005-0000-0000-000021000000}"/>
    <cellStyle name="40 % - Markeringsfarve4" xfId="3390" xr:uid="{00000000-0005-0000-0000-000022000000}"/>
    <cellStyle name="40 % - Markeringsfarve4 2" xfId="3391" xr:uid="{00000000-0005-0000-0000-000023000000}"/>
    <cellStyle name="40 % - Markeringsfarve5" xfId="3392" xr:uid="{00000000-0005-0000-0000-000024000000}"/>
    <cellStyle name="40 % - Markeringsfarve5 2" xfId="3393" xr:uid="{00000000-0005-0000-0000-000025000000}"/>
    <cellStyle name="40 % - Markeringsfarve6" xfId="3394" xr:uid="{00000000-0005-0000-0000-000026000000}"/>
    <cellStyle name="40 % - Markeringsfarve6 2" xfId="3395" xr:uid="{00000000-0005-0000-0000-000027000000}"/>
    <cellStyle name="40% - Colore 1" xfId="7" xr:uid="{00000000-0005-0000-0000-000028000000}"/>
    <cellStyle name="40% - Colore 1 2" xfId="3396" xr:uid="{00000000-0005-0000-0000-000029000000}"/>
    <cellStyle name="40% - Colore 2" xfId="8" xr:uid="{00000000-0005-0000-0000-00002A000000}"/>
    <cellStyle name="40% - Colore 2 2" xfId="3397" xr:uid="{00000000-0005-0000-0000-00002B000000}"/>
    <cellStyle name="40% - Colore 3" xfId="9" xr:uid="{00000000-0005-0000-0000-00002C000000}"/>
    <cellStyle name="40% - Colore 3 2" xfId="3398" xr:uid="{00000000-0005-0000-0000-00002D000000}"/>
    <cellStyle name="40% - Colore 4" xfId="10" xr:uid="{00000000-0005-0000-0000-00002E000000}"/>
    <cellStyle name="40% - Colore 4 2" xfId="3399" xr:uid="{00000000-0005-0000-0000-00002F000000}"/>
    <cellStyle name="40% - Colore 5" xfId="11" xr:uid="{00000000-0005-0000-0000-000030000000}"/>
    <cellStyle name="40% - Colore 5 2" xfId="3400" xr:uid="{00000000-0005-0000-0000-000031000000}"/>
    <cellStyle name="40% - Colore 6" xfId="12" xr:uid="{00000000-0005-0000-0000-000032000000}"/>
    <cellStyle name="40% - Colore 6 2" xfId="3401" xr:uid="{00000000-0005-0000-0000-000033000000}"/>
    <cellStyle name="5x indented GHG Textfiels" xfId="13" xr:uid="{00000000-0005-0000-0000-000034000000}"/>
    <cellStyle name="5x indented GHG Textfiels 2" xfId="1821" xr:uid="{00000000-0005-0000-0000-000035000000}"/>
    <cellStyle name="60 % - Markeringsfarve1" xfId="3402" xr:uid="{00000000-0005-0000-0000-000036000000}"/>
    <cellStyle name="60 % - Markeringsfarve2" xfId="3403" xr:uid="{00000000-0005-0000-0000-000037000000}"/>
    <cellStyle name="60 % - Markeringsfarve3" xfId="3404" xr:uid="{00000000-0005-0000-0000-000038000000}"/>
    <cellStyle name="60 % - Markeringsfarve4" xfId="3405" xr:uid="{00000000-0005-0000-0000-000039000000}"/>
    <cellStyle name="60 % - Markeringsfarve5" xfId="3406" xr:uid="{00000000-0005-0000-0000-00003A000000}"/>
    <cellStyle name="60 % - Markeringsfarve6" xfId="3407"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2" xr:uid="{00000000-0005-0000-0000-000045000000}"/>
    <cellStyle name="Bruger data" xfId="1823" xr:uid="{00000000-0005-0000-0000-000046000000}"/>
    <cellStyle name="Calcolo" xfId="23" xr:uid="{00000000-0005-0000-0000-000047000000}"/>
    <cellStyle name="Calcolo 2" xfId="24" xr:uid="{00000000-0005-0000-0000-000048000000}"/>
    <cellStyle name="Calcolo 2 2" xfId="3408" xr:uid="{00000000-0005-0000-0000-000049000000}"/>
    <cellStyle name="Calcolo 2 3" xfId="3409" xr:uid="{00000000-0005-0000-0000-00004A000000}"/>
    <cellStyle name="Calcolo 3" xfId="25" xr:uid="{00000000-0005-0000-0000-00004B000000}"/>
    <cellStyle name="Calcolo 3 2" xfId="3410"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1" xr:uid="{00000000-0005-0000-0000-000051000000}"/>
    <cellStyle name="Calculation 2" xfId="1824" xr:uid="{00000000-0005-0000-0000-000052000000}"/>
    <cellStyle name="Calculations" xfId="1825"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6" xr:uid="{00000000-0005-0000-0000-00005F000000}"/>
    <cellStyle name="Comma 2 2 2 2" xfId="1827" xr:uid="{00000000-0005-0000-0000-000060000000}"/>
    <cellStyle name="Comma 2 2 2 2 2" xfId="1828" xr:uid="{00000000-0005-0000-0000-000061000000}"/>
    <cellStyle name="Comma 2 2 2 3" xfId="1829" xr:uid="{00000000-0005-0000-0000-000062000000}"/>
    <cellStyle name="Comma 2 2 3" xfId="1830" xr:uid="{00000000-0005-0000-0000-000063000000}"/>
    <cellStyle name="Comma 2 3" xfId="41" xr:uid="{00000000-0005-0000-0000-000064000000}"/>
    <cellStyle name="Comma 2 3 2" xfId="42" xr:uid="{00000000-0005-0000-0000-000065000000}"/>
    <cellStyle name="Comma 2 3 2 2" xfId="1831" xr:uid="{00000000-0005-0000-0000-000066000000}"/>
    <cellStyle name="Comma 2 3 2 2 2" xfId="3412" xr:uid="{00000000-0005-0000-0000-000067000000}"/>
    <cellStyle name="Comma 2 3 3" xfId="43" xr:uid="{00000000-0005-0000-0000-000068000000}"/>
    <cellStyle name="Comma 2 3 3 2" xfId="1832" xr:uid="{00000000-0005-0000-0000-000069000000}"/>
    <cellStyle name="Comma 2 3 3 2 2" xfId="1833" xr:uid="{00000000-0005-0000-0000-00006A000000}"/>
    <cellStyle name="Comma 2 3 3 3" xfId="1834" xr:uid="{00000000-0005-0000-0000-00006B000000}"/>
    <cellStyle name="Comma 2 3 4" xfId="1835" xr:uid="{00000000-0005-0000-0000-00006C000000}"/>
    <cellStyle name="Comma 2 3 4 2" xfId="1836" xr:uid="{00000000-0005-0000-0000-00006D000000}"/>
    <cellStyle name="Comma 2 3 5" xfId="1837" xr:uid="{00000000-0005-0000-0000-00006E000000}"/>
    <cellStyle name="Comma 2 3 6" xfId="3413" xr:uid="{00000000-0005-0000-0000-00006F000000}"/>
    <cellStyle name="Comma 2 4" xfId="44" xr:uid="{00000000-0005-0000-0000-000070000000}"/>
    <cellStyle name="Comma 2 4 2" xfId="1838" xr:uid="{00000000-0005-0000-0000-000071000000}"/>
    <cellStyle name="Comma 2 5" xfId="1839" xr:uid="{00000000-0005-0000-0000-000072000000}"/>
    <cellStyle name="Comma 2 5 2" xfId="1840" xr:uid="{00000000-0005-0000-0000-000073000000}"/>
    <cellStyle name="Comma 2 6" xfId="1841" xr:uid="{00000000-0005-0000-0000-000074000000}"/>
    <cellStyle name="Comma 2 6 2" xfId="1842" xr:uid="{00000000-0005-0000-0000-000075000000}"/>
    <cellStyle name="Comma 2 7" xfId="1843" xr:uid="{00000000-0005-0000-0000-000076000000}"/>
    <cellStyle name="Comma 2 8" xfId="3414" xr:uid="{00000000-0005-0000-0000-000077000000}"/>
    <cellStyle name="Comma 3" xfId="45" xr:uid="{00000000-0005-0000-0000-000078000000}"/>
    <cellStyle name="Comma 3 2" xfId="1844" xr:uid="{00000000-0005-0000-0000-000079000000}"/>
    <cellStyle name="Comma 3 2 2" xfId="1845" xr:uid="{00000000-0005-0000-0000-00007A000000}"/>
    <cellStyle name="Comma 3 2 2 2" xfId="1846" xr:uid="{00000000-0005-0000-0000-00007B000000}"/>
    <cellStyle name="Comma 3 2 3" xfId="1847" xr:uid="{00000000-0005-0000-0000-00007C000000}"/>
    <cellStyle name="Comma 3 3" xfId="1848" xr:uid="{00000000-0005-0000-0000-00007D000000}"/>
    <cellStyle name="Comma 3 3 2" xfId="1849" xr:uid="{00000000-0005-0000-0000-00007E000000}"/>
    <cellStyle name="Comma 3 3 2 2" xfId="1850" xr:uid="{00000000-0005-0000-0000-00007F000000}"/>
    <cellStyle name="Comma 3 3 3" xfId="1851" xr:uid="{00000000-0005-0000-0000-000080000000}"/>
    <cellStyle name="Comma 3 4" xfId="1852" xr:uid="{00000000-0005-0000-0000-000081000000}"/>
    <cellStyle name="Comma 3 4 2" xfId="1853" xr:uid="{00000000-0005-0000-0000-000082000000}"/>
    <cellStyle name="Comma 3 5" xfId="1854" xr:uid="{00000000-0005-0000-0000-000083000000}"/>
    <cellStyle name="Comma 3 6" xfId="3415" xr:uid="{00000000-0005-0000-0000-000084000000}"/>
    <cellStyle name="Comma 4" xfId="46" xr:uid="{00000000-0005-0000-0000-000085000000}"/>
    <cellStyle name="Comma 4 2" xfId="1855" xr:uid="{00000000-0005-0000-0000-000086000000}"/>
    <cellStyle name="Comma 4 2 2" xfId="1856" xr:uid="{00000000-0005-0000-0000-000087000000}"/>
    <cellStyle name="Comma 4 2 2 2" xfId="1857" xr:uid="{00000000-0005-0000-0000-000088000000}"/>
    <cellStyle name="Comma 4 2 3" xfId="1858" xr:uid="{00000000-0005-0000-0000-000089000000}"/>
    <cellStyle name="Comma 4 2 4" xfId="3416" xr:uid="{00000000-0005-0000-0000-00008A000000}"/>
    <cellStyle name="Comma 4 3" xfId="1859" xr:uid="{00000000-0005-0000-0000-00008B000000}"/>
    <cellStyle name="Comma 4 3 2" xfId="1860" xr:uid="{00000000-0005-0000-0000-00008C000000}"/>
    <cellStyle name="Comma 4 3 2 2" xfId="1861" xr:uid="{00000000-0005-0000-0000-00008D000000}"/>
    <cellStyle name="Comma 4 3 3" xfId="1862" xr:uid="{00000000-0005-0000-0000-00008E000000}"/>
    <cellStyle name="Comma 4 4" xfId="1863" xr:uid="{00000000-0005-0000-0000-00008F000000}"/>
    <cellStyle name="Comma 4 4 2" xfId="1864" xr:uid="{00000000-0005-0000-0000-000090000000}"/>
    <cellStyle name="Comma 4 4 2 2" xfId="1865" xr:uid="{00000000-0005-0000-0000-000091000000}"/>
    <cellStyle name="Comma 4 4 3" xfId="1866" xr:uid="{00000000-0005-0000-0000-000092000000}"/>
    <cellStyle name="Comma 4 5" xfId="1867" xr:uid="{00000000-0005-0000-0000-000093000000}"/>
    <cellStyle name="Comma 4 5 2" xfId="1868" xr:uid="{00000000-0005-0000-0000-000094000000}"/>
    <cellStyle name="Comma 4 6" xfId="1869" xr:uid="{00000000-0005-0000-0000-000095000000}"/>
    <cellStyle name="Comma 4 7" xfId="3417" xr:uid="{00000000-0005-0000-0000-000096000000}"/>
    <cellStyle name="Comma 5" xfId="47" xr:uid="{00000000-0005-0000-0000-000097000000}"/>
    <cellStyle name="Comma 5 2" xfId="1870" xr:uid="{00000000-0005-0000-0000-000098000000}"/>
    <cellStyle name="Comma 5 2 2" xfId="1871" xr:uid="{00000000-0005-0000-0000-000099000000}"/>
    <cellStyle name="Comma 5 3" xfId="1872" xr:uid="{00000000-0005-0000-0000-00009A000000}"/>
    <cellStyle name="Comma 5 4" xfId="3418" xr:uid="{00000000-0005-0000-0000-00009B000000}"/>
    <cellStyle name="Comma 6" xfId="48" xr:uid="{00000000-0005-0000-0000-00009C000000}"/>
    <cellStyle name="Comma 6 2" xfId="1873" xr:uid="{00000000-0005-0000-0000-00009D000000}"/>
    <cellStyle name="Comma 6 2 2" xfId="1874" xr:uid="{00000000-0005-0000-0000-00009E000000}"/>
    <cellStyle name="Comma 6 3" xfId="1875" xr:uid="{00000000-0005-0000-0000-00009F000000}"/>
    <cellStyle name="Comma 6 4" xfId="3419" xr:uid="{00000000-0005-0000-0000-0000A0000000}"/>
    <cellStyle name="Comma 7" xfId="49" xr:uid="{00000000-0005-0000-0000-0000A1000000}"/>
    <cellStyle name="Comma 7 2" xfId="1876" xr:uid="{00000000-0005-0000-0000-0000A2000000}"/>
    <cellStyle name="Comma 7 2 2" xfId="1877" xr:uid="{00000000-0005-0000-0000-0000A3000000}"/>
    <cellStyle name="Comma 7 3" xfId="1878" xr:uid="{00000000-0005-0000-0000-0000A4000000}"/>
    <cellStyle name="Comma 8" xfId="3420" xr:uid="{00000000-0005-0000-0000-0000A5000000}"/>
    <cellStyle name="Comma 9" xfId="4345" xr:uid="{00000000-0005-0000-0000-0000A6000000}"/>
    <cellStyle name="Comma0 - Type3" xfId="50" xr:uid="{00000000-0005-0000-0000-0000A7000000}"/>
    <cellStyle name="Constant" xfId="4348" xr:uid="{00000000-0005-0000-0000-0000A8000000}"/>
    <cellStyle name="CustomizationCells" xfId="51" xr:uid="{00000000-0005-0000-0000-0000A9000000}"/>
    <cellStyle name="CustomizationCells 2" xfId="52" xr:uid="{00000000-0005-0000-0000-0000AA000000}"/>
    <cellStyle name="CustomizationCells 2 2" xfId="3421"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2" xr:uid="{00000000-0005-0000-0000-0000B0000000}"/>
    <cellStyle name="Euro" xfId="57" xr:uid="{00000000-0005-0000-0000-0000B1000000}"/>
    <cellStyle name="Euro 10" xfId="58" xr:uid="{00000000-0005-0000-0000-0000B2000000}"/>
    <cellStyle name="Euro 10 2" xfId="59" xr:uid="{00000000-0005-0000-0000-0000B3000000}"/>
    <cellStyle name="Euro 10 2 2" xfId="1879" xr:uid="{00000000-0005-0000-0000-0000B4000000}"/>
    <cellStyle name="Euro 10 3" xfId="60" xr:uid="{00000000-0005-0000-0000-0000B5000000}"/>
    <cellStyle name="Euro 10 3 2" xfId="61" xr:uid="{00000000-0005-0000-0000-0000B6000000}"/>
    <cellStyle name="Euro 10 3 2 2" xfId="3423" xr:uid="{00000000-0005-0000-0000-0000B7000000}"/>
    <cellStyle name="Euro 10 3 2 3" xfId="3424" xr:uid="{00000000-0005-0000-0000-0000B8000000}"/>
    <cellStyle name="Euro 10 3 3" xfId="62" xr:uid="{00000000-0005-0000-0000-0000B9000000}"/>
    <cellStyle name="Euro 10 3 3 2" xfId="1880" xr:uid="{00000000-0005-0000-0000-0000BA000000}"/>
    <cellStyle name="Euro 10 3 4" xfId="1881" xr:uid="{00000000-0005-0000-0000-0000BB000000}"/>
    <cellStyle name="Euro 10 4" xfId="63" xr:uid="{00000000-0005-0000-0000-0000BC000000}"/>
    <cellStyle name="Euro 10 4 2" xfId="1882" xr:uid="{00000000-0005-0000-0000-0000BD000000}"/>
    <cellStyle name="Euro 10 4 2 2" xfId="1883" xr:uid="{00000000-0005-0000-0000-0000BE000000}"/>
    <cellStyle name="Euro 10 4 3" xfId="1884" xr:uid="{00000000-0005-0000-0000-0000BF000000}"/>
    <cellStyle name="Euro 10 5" xfId="64" xr:uid="{00000000-0005-0000-0000-0000C0000000}"/>
    <cellStyle name="Euro 11" xfId="65" xr:uid="{00000000-0005-0000-0000-0000C1000000}"/>
    <cellStyle name="Euro 11 2" xfId="66" xr:uid="{00000000-0005-0000-0000-0000C2000000}"/>
    <cellStyle name="Euro 11 2 2" xfId="1885" xr:uid="{00000000-0005-0000-0000-0000C3000000}"/>
    <cellStyle name="Euro 11 3" xfId="67" xr:uid="{00000000-0005-0000-0000-0000C4000000}"/>
    <cellStyle name="Euro 11 3 2" xfId="68" xr:uid="{00000000-0005-0000-0000-0000C5000000}"/>
    <cellStyle name="Euro 11 3 2 2" xfId="3425" xr:uid="{00000000-0005-0000-0000-0000C6000000}"/>
    <cellStyle name="Euro 11 3 2 3" xfId="3426" xr:uid="{00000000-0005-0000-0000-0000C7000000}"/>
    <cellStyle name="Euro 11 3 3" xfId="69" xr:uid="{00000000-0005-0000-0000-0000C8000000}"/>
    <cellStyle name="Euro 11 3 3 2" xfId="1886" xr:uid="{00000000-0005-0000-0000-0000C9000000}"/>
    <cellStyle name="Euro 11 3 4" xfId="1887" xr:uid="{00000000-0005-0000-0000-0000CA000000}"/>
    <cellStyle name="Euro 11 4" xfId="70" xr:uid="{00000000-0005-0000-0000-0000CB000000}"/>
    <cellStyle name="Euro 11 4 2" xfId="1888" xr:uid="{00000000-0005-0000-0000-0000CC000000}"/>
    <cellStyle name="Euro 11 4 2 2" xfId="1889" xr:uid="{00000000-0005-0000-0000-0000CD000000}"/>
    <cellStyle name="Euro 11 4 3" xfId="1890" xr:uid="{00000000-0005-0000-0000-0000CE000000}"/>
    <cellStyle name="Euro 11 5" xfId="71" xr:uid="{00000000-0005-0000-0000-0000CF000000}"/>
    <cellStyle name="Euro 12" xfId="72" xr:uid="{00000000-0005-0000-0000-0000D0000000}"/>
    <cellStyle name="Euro 12 2" xfId="73" xr:uid="{00000000-0005-0000-0000-0000D1000000}"/>
    <cellStyle name="Euro 12 2 2" xfId="1891" xr:uid="{00000000-0005-0000-0000-0000D2000000}"/>
    <cellStyle name="Euro 12 3" xfId="74" xr:uid="{00000000-0005-0000-0000-0000D3000000}"/>
    <cellStyle name="Euro 12 3 2" xfId="75" xr:uid="{00000000-0005-0000-0000-0000D4000000}"/>
    <cellStyle name="Euro 12 3 2 2" xfId="3427" xr:uid="{00000000-0005-0000-0000-0000D5000000}"/>
    <cellStyle name="Euro 12 3 2 3" xfId="3428" xr:uid="{00000000-0005-0000-0000-0000D6000000}"/>
    <cellStyle name="Euro 12 3 3" xfId="76" xr:uid="{00000000-0005-0000-0000-0000D7000000}"/>
    <cellStyle name="Euro 12 3 3 2" xfId="1892" xr:uid="{00000000-0005-0000-0000-0000D8000000}"/>
    <cellStyle name="Euro 12 3 4" xfId="1893" xr:uid="{00000000-0005-0000-0000-0000D9000000}"/>
    <cellStyle name="Euro 12 4" xfId="77" xr:uid="{00000000-0005-0000-0000-0000DA000000}"/>
    <cellStyle name="Euro 12 4 2" xfId="1894" xr:uid="{00000000-0005-0000-0000-0000DB000000}"/>
    <cellStyle name="Euro 12 4 2 2" xfId="1895" xr:uid="{00000000-0005-0000-0000-0000DC000000}"/>
    <cellStyle name="Euro 12 4 3" xfId="1896" xr:uid="{00000000-0005-0000-0000-0000DD000000}"/>
    <cellStyle name="Euro 12 5" xfId="78" xr:uid="{00000000-0005-0000-0000-0000DE000000}"/>
    <cellStyle name="Euro 13" xfId="79" xr:uid="{00000000-0005-0000-0000-0000DF000000}"/>
    <cellStyle name="Euro 13 2" xfId="80" xr:uid="{00000000-0005-0000-0000-0000E0000000}"/>
    <cellStyle name="Euro 13 2 2" xfId="1897" xr:uid="{00000000-0005-0000-0000-0000E1000000}"/>
    <cellStyle name="Euro 13 3" xfId="81" xr:uid="{00000000-0005-0000-0000-0000E2000000}"/>
    <cellStyle name="Euro 13 3 2" xfId="82" xr:uid="{00000000-0005-0000-0000-0000E3000000}"/>
    <cellStyle name="Euro 13 3 2 2" xfId="3429" xr:uid="{00000000-0005-0000-0000-0000E4000000}"/>
    <cellStyle name="Euro 13 3 2 3" xfId="3430" xr:uid="{00000000-0005-0000-0000-0000E5000000}"/>
    <cellStyle name="Euro 13 3 3" xfId="83" xr:uid="{00000000-0005-0000-0000-0000E6000000}"/>
    <cellStyle name="Euro 13 3 3 2" xfId="1898" xr:uid="{00000000-0005-0000-0000-0000E7000000}"/>
    <cellStyle name="Euro 13 3 4" xfId="1899" xr:uid="{00000000-0005-0000-0000-0000E8000000}"/>
    <cellStyle name="Euro 13 4" xfId="84" xr:uid="{00000000-0005-0000-0000-0000E9000000}"/>
    <cellStyle name="Euro 13 4 2" xfId="1900" xr:uid="{00000000-0005-0000-0000-0000EA000000}"/>
    <cellStyle name="Euro 13 4 2 2" xfId="1901" xr:uid="{00000000-0005-0000-0000-0000EB000000}"/>
    <cellStyle name="Euro 13 4 3" xfId="1902" xr:uid="{00000000-0005-0000-0000-0000EC000000}"/>
    <cellStyle name="Euro 13 5" xfId="85" xr:uid="{00000000-0005-0000-0000-0000ED000000}"/>
    <cellStyle name="Euro 14" xfId="86" xr:uid="{00000000-0005-0000-0000-0000EE000000}"/>
    <cellStyle name="Euro 14 2" xfId="87" xr:uid="{00000000-0005-0000-0000-0000EF000000}"/>
    <cellStyle name="Euro 14 2 2" xfId="1903" xr:uid="{00000000-0005-0000-0000-0000F0000000}"/>
    <cellStyle name="Euro 14 3" xfId="88" xr:uid="{00000000-0005-0000-0000-0000F1000000}"/>
    <cellStyle name="Euro 14 3 2" xfId="89" xr:uid="{00000000-0005-0000-0000-0000F2000000}"/>
    <cellStyle name="Euro 14 3 2 2" xfId="3431" xr:uid="{00000000-0005-0000-0000-0000F3000000}"/>
    <cellStyle name="Euro 14 3 2 3" xfId="3432" xr:uid="{00000000-0005-0000-0000-0000F4000000}"/>
    <cellStyle name="Euro 14 3 3" xfId="90" xr:uid="{00000000-0005-0000-0000-0000F5000000}"/>
    <cellStyle name="Euro 14 3 3 2" xfId="1904" xr:uid="{00000000-0005-0000-0000-0000F6000000}"/>
    <cellStyle name="Euro 14 3 4" xfId="1905" xr:uid="{00000000-0005-0000-0000-0000F7000000}"/>
    <cellStyle name="Euro 14 4" xfId="91" xr:uid="{00000000-0005-0000-0000-0000F8000000}"/>
    <cellStyle name="Euro 14 4 2" xfId="1906" xr:uid="{00000000-0005-0000-0000-0000F9000000}"/>
    <cellStyle name="Euro 14 4 2 2" xfId="1907" xr:uid="{00000000-0005-0000-0000-0000FA000000}"/>
    <cellStyle name="Euro 14 4 3" xfId="1908" xr:uid="{00000000-0005-0000-0000-0000FB000000}"/>
    <cellStyle name="Euro 14 5" xfId="92" xr:uid="{00000000-0005-0000-0000-0000FC000000}"/>
    <cellStyle name="Euro 15" xfId="93" xr:uid="{00000000-0005-0000-0000-0000FD000000}"/>
    <cellStyle name="Euro 15 2" xfId="94" xr:uid="{00000000-0005-0000-0000-0000FE000000}"/>
    <cellStyle name="Euro 15 2 2" xfId="1909" xr:uid="{00000000-0005-0000-0000-0000FF000000}"/>
    <cellStyle name="Euro 15 3" xfId="95" xr:uid="{00000000-0005-0000-0000-000000010000}"/>
    <cellStyle name="Euro 15 3 2" xfId="96" xr:uid="{00000000-0005-0000-0000-000001010000}"/>
    <cellStyle name="Euro 15 3 2 2" xfId="3433" xr:uid="{00000000-0005-0000-0000-000002010000}"/>
    <cellStyle name="Euro 15 3 2 3" xfId="3434" xr:uid="{00000000-0005-0000-0000-000003010000}"/>
    <cellStyle name="Euro 15 3 3" xfId="97" xr:uid="{00000000-0005-0000-0000-000004010000}"/>
    <cellStyle name="Euro 15 3 3 2" xfId="1910" xr:uid="{00000000-0005-0000-0000-000005010000}"/>
    <cellStyle name="Euro 15 3 4" xfId="1911" xr:uid="{00000000-0005-0000-0000-000006010000}"/>
    <cellStyle name="Euro 15 4" xfId="98" xr:uid="{00000000-0005-0000-0000-000007010000}"/>
    <cellStyle name="Euro 15 4 2" xfId="1912" xr:uid="{00000000-0005-0000-0000-000008010000}"/>
    <cellStyle name="Euro 15 4 2 2" xfId="1913" xr:uid="{00000000-0005-0000-0000-000009010000}"/>
    <cellStyle name="Euro 15 4 3" xfId="1914" xr:uid="{00000000-0005-0000-0000-00000A010000}"/>
    <cellStyle name="Euro 15 5" xfId="99" xr:uid="{00000000-0005-0000-0000-00000B010000}"/>
    <cellStyle name="Euro 16" xfId="100" xr:uid="{00000000-0005-0000-0000-00000C010000}"/>
    <cellStyle name="Euro 16 2" xfId="101" xr:uid="{00000000-0005-0000-0000-00000D010000}"/>
    <cellStyle name="Euro 16 2 2" xfId="1915" xr:uid="{00000000-0005-0000-0000-00000E010000}"/>
    <cellStyle name="Euro 16 3" xfId="102" xr:uid="{00000000-0005-0000-0000-00000F010000}"/>
    <cellStyle name="Euro 16 3 2" xfId="103" xr:uid="{00000000-0005-0000-0000-000010010000}"/>
    <cellStyle name="Euro 16 3 2 2" xfId="3435" xr:uid="{00000000-0005-0000-0000-000011010000}"/>
    <cellStyle name="Euro 16 3 2 3" xfId="3436" xr:uid="{00000000-0005-0000-0000-000012010000}"/>
    <cellStyle name="Euro 16 3 3" xfId="104" xr:uid="{00000000-0005-0000-0000-000013010000}"/>
    <cellStyle name="Euro 16 3 3 2" xfId="1916" xr:uid="{00000000-0005-0000-0000-000014010000}"/>
    <cellStyle name="Euro 16 3 4" xfId="1917" xr:uid="{00000000-0005-0000-0000-000015010000}"/>
    <cellStyle name="Euro 16 4" xfId="105" xr:uid="{00000000-0005-0000-0000-000016010000}"/>
    <cellStyle name="Euro 16 4 2" xfId="1918" xr:uid="{00000000-0005-0000-0000-000017010000}"/>
    <cellStyle name="Euro 16 4 2 2" xfId="1919" xr:uid="{00000000-0005-0000-0000-000018010000}"/>
    <cellStyle name="Euro 16 4 3" xfId="1920"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1" xr:uid="{00000000-0005-0000-0000-00001D010000}"/>
    <cellStyle name="Euro 17 3" xfId="109" xr:uid="{00000000-0005-0000-0000-00001E010000}"/>
    <cellStyle name="Euro 17 3 2" xfId="110" xr:uid="{00000000-0005-0000-0000-00001F010000}"/>
    <cellStyle name="Euro 17 3 2 2" xfId="3437" xr:uid="{00000000-0005-0000-0000-000020010000}"/>
    <cellStyle name="Euro 17 3 2 3" xfId="3438" xr:uid="{00000000-0005-0000-0000-000021010000}"/>
    <cellStyle name="Euro 17 3 3" xfId="111" xr:uid="{00000000-0005-0000-0000-000022010000}"/>
    <cellStyle name="Euro 17 3 3 2" xfId="1922" xr:uid="{00000000-0005-0000-0000-000023010000}"/>
    <cellStyle name="Euro 17 3 4" xfId="1923" xr:uid="{00000000-0005-0000-0000-000024010000}"/>
    <cellStyle name="Euro 17 4" xfId="112" xr:uid="{00000000-0005-0000-0000-000025010000}"/>
    <cellStyle name="Euro 17 4 2" xfId="1924" xr:uid="{00000000-0005-0000-0000-000026010000}"/>
    <cellStyle name="Euro 17 4 2 2" xfId="1925" xr:uid="{00000000-0005-0000-0000-000027010000}"/>
    <cellStyle name="Euro 17 4 3" xfId="1926"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7" xr:uid="{00000000-0005-0000-0000-00002C010000}"/>
    <cellStyle name="Euro 18 3" xfId="116" xr:uid="{00000000-0005-0000-0000-00002D010000}"/>
    <cellStyle name="Euro 18 3 2" xfId="117" xr:uid="{00000000-0005-0000-0000-00002E010000}"/>
    <cellStyle name="Euro 18 3 2 2" xfId="3439" xr:uid="{00000000-0005-0000-0000-00002F010000}"/>
    <cellStyle name="Euro 18 3 2 3" xfId="3440" xr:uid="{00000000-0005-0000-0000-000030010000}"/>
    <cellStyle name="Euro 18 3 3" xfId="118" xr:uid="{00000000-0005-0000-0000-000031010000}"/>
    <cellStyle name="Euro 18 3 3 2" xfId="1928" xr:uid="{00000000-0005-0000-0000-000032010000}"/>
    <cellStyle name="Euro 18 3 4" xfId="1929" xr:uid="{00000000-0005-0000-0000-000033010000}"/>
    <cellStyle name="Euro 18 4" xfId="119" xr:uid="{00000000-0005-0000-0000-000034010000}"/>
    <cellStyle name="Euro 18 4 2" xfId="1930" xr:uid="{00000000-0005-0000-0000-000035010000}"/>
    <cellStyle name="Euro 18 4 2 2" xfId="1931" xr:uid="{00000000-0005-0000-0000-000036010000}"/>
    <cellStyle name="Euro 18 4 3" xfId="1932"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3" xr:uid="{00000000-0005-0000-0000-00003B010000}"/>
    <cellStyle name="Euro 19 3" xfId="123" xr:uid="{00000000-0005-0000-0000-00003C010000}"/>
    <cellStyle name="Euro 19 3 2" xfId="124" xr:uid="{00000000-0005-0000-0000-00003D010000}"/>
    <cellStyle name="Euro 19 3 2 2" xfId="3441" xr:uid="{00000000-0005-0000-0000-00003E010000}"/>
    <cellStyle name="Euro 19 3 2 3" xfId="3442" xr:uid="{00000000-0005-0000-0000-00003F010000}"/>
    <cellStyle name="Euro 19 3 3" xfId="125" xr:uid="{00000000-0005-0000-0000-000040010000}"/>
    <cellStyle name="Euro 19 3 3 2" xfId="1934" xr:uid="{00000000-0005-0000-0000-000041010000}"/>
    <cellStyle name="Euro 19 3 4" xfId="1935" xr:uid="{00000000-0005-0000-0000-000042010000}"/>
    <cellStyle name="Euro 19 4" xfId="126" xr:uid="{00000000-0005-0000-0000-000043010000}"/>
    <cellStyle name="Euro 19 4 2" xfId="1936" xr:uid="{00000000-0005-0000-0000-000044010000}"/>
    <cellStyle name="Euro 19 4 2 2" xfId="1937" xr:uid="{00000000-0005-0000-0000-000045010000}"/>
    <cellStyle name="Euro 19 4 3" xfId="1938" xr:uid="{00000000-0005-0000-0000-000046010000}"/>
    <cellStyle name="Euro 19 5" xfId="127" xr:uid="{00000000-0005-0000-0000-000047010000}"/>
    <cellStyle name="Euro 2" xfId="128" xr:uid="{00000000-0005-0000-0000-000048010000}"/>
    <cellStyle name="Euro 2 2" xfId="129" xr:uid="{00000000-0005-0000-0000-000049010000}"/>
    <cellStyle name="Euro 2 2 2" xfId="1939" xr:uid="{00000000-0005-0000-0000-00004A010000}"/>
    <cellStyle name="Euro 2 3" xfId="130" xr:uid="{00000000-0005-0000-0000-00004B010000}"/>
    <cellStyle name="Euro 2 3 2" xfId="131" xr:uid="{00000000-0005-0000-0000-00004C010000}"/>
    <cellStyle name="Euro 2 3 2 2" xfId="3443" xr:uid="{00000000-0005-0000-0000-00004D010000}"/>
    <cellStyle name="Euro 2 3 2 3" xfId="3444" xr:uid="{00000000-0005-0000-0000-00004E010000}"/>
    <cellStyle name="Euro 2 3 3" xfId="132" xr:uid="{00000000-0005-0000-0000-00004F010000}"/>
    <cellStyle name="Euro 2 3 3 2" xfId="1940" xr:uid="{00000000-0005-0000-0000-000050010000}"/>
    <cellStyle name="Euro 2 3 4" xfId="1941" xr:uid="{00000000-0005-0000-0000-000051010000}"/>
    <cellStyle name="Euro 2 4" xfId="133" xr:uid="{00000000-0005-0000-0000-000052010000}"/>
    <cellStyle name="Euro 2 4 2" xfId="1942" xr:uid="{00000000-0005-0000-0000-000053010000}"/>
    <cellStyle name="Euro 2 4 2 2" xfId="1943" xr:uid="{00000000-0005-0000-0000-000054010000}"/>
    <cellStyle name="Euro 2 4 3" xfId="1944" xr:uid="{00000000-0005-0000-0000-000055010000}"/>
    <cellStyle name="Euro 2 5" xfId="134" xr:uid="{00000000-0005-0000-0000-000056010000}"/>
    <cellStyle name="Euro 20" xfId="135" xr:uid="{00000000-0005-0000-0000-000057010000}"/>
    <cellStyle name="Euro 20 2" xfId="136" xr:uid="{00000000-0005-0000-0000-000058010000}"/>
    <cellStyle name="Euro 20 2 2" xfId="1945" xr:uid="{00000000-0005-0000-0000-000059010000}"/>
    <cellStyle name="Euro 20 3" xfId="137" xr:uid="{00000000-0005-0000-0000-00005A010000}"/>
    <cellStyle name="Euro 20 3 2" xfId="138" xr:uid="{00000000-0005-0000-0000-00005B010000}"/>
    <cellStyle name="Euro 20 3 2 2" xfId="3445" xr:uid="{00000000-0005-0000-0000-00005C010000}"/>
    <cellStyle name="Euro 20 3 2 3" xfId="3446" xr:uid="{00000000-0005-0000-0000-00005D010000}"/>
    <cellStyle name="Euro 20 3 3" xfId="139" xr:uid="{00000000-0005-0000-0000-00005E010000}"/>
    <cellStyle name="Euro 20 3 3 2" xfId="1946" xr:uid="{00000000-0005-0000-0000-00005F010000}"/>
    <cellStyle name="Euro 20 3 4" xfId="1947" xr:uid="{00000000-0005-0000-0000-000060010000}"/>
    <cellStyle name="Euro 20 4" xfId="140" xr:uid="{00000000-0005-0000-0000-000061010000}"/>
    <cellStyle name="Euro 20 4 2" xfId="1948" xr:uid="{00000000-0005-0000-0000-000062010000}"/>
    <cellStyle name="Euro 20 4 2 2" xfId="1949" xr:uid="{00000000-0005-0000-0000-000063010000}"/>
    <cellStyle name="Euro 20 4 3" xfId="1950"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1" xr:uid="{00000000-0005-0000-0000-000068010000}"/>
    <cellStyle name="Euro 21 3" xfId="144" xr:uid="{00000000-0005-0000-0000-000069010000}"/>
    <cellStyle name="Euro 21 3 2" xfId="145" xr:uid="{00000000-0005-0000-0000-00006A010000}"/>
    <cellStyle name="Euro 21 3 2 2" xfId="3447" xr:uid="{00000000-0005-0000-0000-00006B010000}"/>
    <cellStyle name="Euro 21 3 2 3" xfId="3448" xr:uid="{00000000-0005-0000-0000-00006C010000}"/>
    <cellStyle name="Euro 21 3 3" xfId="146" xr:uid="{00000000-0005-0000-0000-00006D010000}"/>
    <cellStyle name="Euro 21 3 3 2" xfId="1952" xr:uid="{00000000-0005-0000-0000-00006E010000}"/>
    <cellStyle name="Euro 21 3 4" xfId="1953" xr:uid="{00000000-0005-0000-0000-00006F010000}"/>
    <cellStyle name="Euro 21 4" xfId="147" xr:uid="{00000000-0005-0000-0000-000070010000}"/>
    <cellStyle name="Euro 21 4 2" xfId="1954" xr:uid="{00000000-0005-0000-0000-000071010000}"/>
    <cellStyle name="Euro 21 4 2 2" xfId="1955" xr:uid="{00000000-0005-0000-0000-000072010000}"/>
    <cellStyle name="Euro 21 4 3" xfId="1956"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7" xr:uid="{00000000-0005-0000-0000-000077010000}"/>
    <cellStyle name="Euro 22 3" xfId="151" xr:uid="{00000000-0005-0000-0000-000078010000}"/>
    <cellStyle name="Euro 22 3 2" xfId="152" xr:uid="{00000000-0005-0000-0000-000079010000}"/>
    <cellStyle name="Euro 22 3 2 2" xfId="3449" xr:uid="{00000000-0005-0000-0000-00007A010000}"/>
    <cellStyle name="Euro 22 3 2 3" xfId="3450" xr:uid="{00000000-0005-0000-0000-00007B010000}"/>
    <cellStyle name="Euro 22 3 3" xfId="153" xr:uid="{00000000-0005-0000-0000-00007C010000}"/>
    <cellStyle name="Euro 22 3 3 2" xfId="1958" xr:uid="{00000000-0005-0000-0000-00007D010000}"/>
    <cellStyle name="Euro 22 3 4" xfId="1959" xr:uid="{00000000-0005-0000-0000-00007E010000}"/>
    <cellStyle name="Euro 22 4" xfId="154" xr:uid="{00000000-0005-0000-0000-00007F010000}"/>
    <cellStyle name="Euro 22 4 2" xfId="1960" xr:uid="{00000000-0005-0000-0000-000080010000}"/>
    <cellStyle name="Euro 22 4 2 2" xfId="1961" xr:uid="{00000000-0005-0000-0000-000081010000}"/>
    <cellStyle name="Euro 22 4 3" xfId="1962"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3" xr:uid="{00000000-0005-0000-0000-000086010000}"/>
    <cellStyle name="Euro 23 3" xfId="158" xr:uid="{00000000-0005-0000-0000-000087010000}"/>
    <cellStyle name="Euro 23 3 2" xfId="159" xr:uid="{00000000-0005-0000-0000-000088010000}"/>
    <cellStyle name="Euro 23 3 2 2" xfId="3451" xr:uid="{00000000-0005-0000-0000-000089010000}"/>
    <cellStyle name="Euro 23 3 2 3" xfId="3452" xr:uid="{00000000-0005-0000-0000-00008A010000}"/>
    <cellStyle name="Euro 23 3 3" xfId="160" xr:uid="{00000000-0005-0000-0000-00008B010000}"/>
    <cellStyle name="Euro 23 3 3 2" xfId="1964" xr:uid="{00000000-0005-0000-0000-00008C010000}"/>
    <cellStyle name="Euro 23 3 4" xfId="1965" xr:uid="{00000000-0005-0000-0000-00008D010000}"/>
    <cellStyle name="Euro 23 4" xfId="161" xr:uid="{00000000-0005-0000-0000-00008E010000}"/>
    <cellStyle name="Euro 23 4 2" xfId="1966" xr:uid="{00000000-0005-0000-0000-00008F010000}"/>
    <cellStyle name="Euro 23 4 2 2" xfId="1967" xr:uid="{00000000-0005-0000-0000-000090010000}"/>
    <cellStyle name="Euro 23 4 3" xfId="1968"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9" xr:uid="{00000000-0005-0000-0000-000095010000}"/>
    <cellStyle name="Euro 24 3" xfId="165" xr:uid="{00000000-0005-0000-0000-000096010000}"/>
    <cellStyle name="Euro 24 3 2" xfId="166" xr:uid="{00000000-0005-0000-0000-000097010000}"/>
    <cellStyle name="Euro 24 3 2 2" xfId="3453" xr:uid="{00000000-0005-0000-0000-000098010000}"/>
    <cellStyle name="Euro 24 3 2 3" xfId="3454" xr:uid="{00000000-0005-0000-0000-000099010000}"/>
    <cellStyle name="Euro 24 3 3" xfId="167" xr:uid="{00000000-0005-0000-0000-00009A010000}"/>
    <cellStyle name="Euro 24 3 3 2" xfId="1970" xr:uid="{00000000-0005-0000-0000-00009B010000}"/>
    <cellStyle name="Euro 24 3 4" xfId="1971" xr:uid="{00000000-0005-0000-0000-00009C010000}"/>
    <cellStyle name="Euro 24 4" xfId="168" xr:uid="{00000000-0005-0000-0000-00009D010000}"/>
    <cellStyle name="Euro 24 4 2" xfId="1972" xr:uid="{00000000-0005-0000-0000-00009E010000}"/>
    <cellStyle name="Euro 24 4 2 2" xfId="1973" xr:uid="{00000000-0005-0000-0000-00009F010000}"/>
    <cellStyle name="Euro 24 4 3" xfId="1974"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5" xr:uid="{00000000-0005-0000-0000-0000A4010000}"/>
    <cellStyle name="Euro 25 3" xfId="172" xr:uid="{00000000-0005-0000-0000-0000A5010000}"/>
    <cellStyle name="Euro 25 3 2" xfId="173" xr:uid="{00000000-0005-0000-0000-0000A6010000}"/>
    <cellStyle name="Euro 25 3 2 2" xfId="3455" xr:uid="{00000000-0005-0000-0000-0000A7010000}"/>
    <cellStyle name="Euro 25 3 2 3" xfId="3456" xr:uid="{00000000-0005-0000-0000-0000A8010000}"/>
    <cellStyle name="Euro 25 3 3" xfId="174" xr:uid="{00000000-0005-0000-0000-0000A9010000}"/>
    <cellStyle name="Euro 25 3 3 2" xfId="1976" xr:uid="{00000000-0005-0000-0000-0000AA010000}"/>
    <cellStyle name="Euro 25 3 4" xfId="1977" xr:uid="{00000000-0005-0000-0000-0000AB010000}"/>
    <cellStyle name="Euro 25 4" xfId="175" xr:uid="{00000000-0005-0000-0000-0000AC010000}"/>
    <cellStyle name="Euro 25 4 2" xfId="1978" xr:uid="{00000000-0005-0000-0000-0000AD010000}"/>
    <cellStyle name="Euro 25 4 2 2" xfId="1979" xr:uid="{00000000-0005-0000-0000-0000AE010000}"/>
    <cellStyle name="Euro 25 4 3" xfId="1980"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1" xr:uid="{00000000-0005-0000-0000-0000B3010000}"/>
    <cellStyle name="Euro 26 3" xfId="179" xr:uid="{00000000-0005-0000-0000-0000B4010000}"/>
    <cellStyle name="Euro 26 3 2" xfId="180" xr:uid="{00000000-0005-0000-0000-0000B5010000}"/>
    <cellStyle name="Euro 26 3 2 2" xfId="3457" xr:uid="{00000000-0005-0000-0000-0000B6010000}"/>
    <cellStyle name="Euro 26 3 2 3" xfId="3458" xr:uid="{00000000-0005-0000-0000-0000B7010000}"/>
    <cellStyle name="Euro 26 3 3" xfId="181" xr:uid="{00000000-0005-0000-0000-0000B8010000}"/>
    <cellStyle name="Euro 26 3 3 2" xfId="1982" xr:uid="{00000000-0005-0000-0000-0000B9010000}"/>
    <cellStyle name="Euro 26 3 4" xfId="1983" xr:uid="{00000000-0005-0000-0000-0000BA010000}"/>
    <cellStyle name="Euro 26 4" xfId="182" xr:uid="{00000000-0005-0000-0000-0000BB010000}"/>
    <cellStyle name="Euro 26 4 2" xfId="1984" xr:uid="{00000000-0005-0000-0000-0000BC010000}"/>
    <cellStyle name="Euro 26 4 2 2" xfId="1985" xr:uid="{00000000-0005-0000-0000-0000BD010000}"/>
    <cellStyle name="Euro 26 4 3" xfId="1986"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7" xr:uid="{00000000-0005-0000-0000-0000C2010000}"/>
    <cellStyle name="Euro 27 3" xfId="186" xr:uid="{00000000-0005-0000-0000-0000C3010000}"/>
    <cellStyle name="Euro 27 3 2" xfId="187" xr:uid="{00000000-0005-0000-0000-0000C4010000}"/>
    <cellStyle name="Euro 27 3 2 2" xfId="3459" xr:uid="{00000000-0005-0000-0000-0000C5010000}"/>
    <cellStyle name="Euro 27 3 2 3" xfId="3460" xr:uid="{00000000-0005-0000-0000-0000C6010000}"/>
    <cellStyle name="Euro 27 3 3" xfId="188" xr:uid="{00000000-0005-0000-0000-0000C7010000}"/>
    <cellStyle name="Euro 27 3 3 2" xfId="1988" xr:uid="{00000000-0005-0000-0000-0000C8010000}"/>
    <cellStyle name="Euro 27 3 4" xfId="1989" xr:uid="{00000000-0005-0000-0000-0000C9010000}"/>
    <cellStyle name="Euro 27 4" xfId="189" xr:uid="{00000000-0005-0000-0000-0000CA010000}"/>
    <cellStyle name="Euro 27 4 2" xfId="1990" xr:uid="{00000000-0005-0000-0000-0000CB010000}"/>
    <cellStyle name="Euro 27 4 2 2" xfId="1991" xr:uid="{00000000-0005-0000-0000-0000CC010000}"/>
    <cellStyle name="Euro 27 4 3" xfId="1992"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3" xr:uid="{00000000-0005-0000-0000-0000D1010000}"/>
    <cellStyle name="Euro 28 3" xfId="193" xr:uid="{00000000-0005-0000-0000-0000D2010000}"/>
    <cellStyle name="Euro 28 3 2" xfId="194" xr:uid="{00000000-0005-0000-0000-0000D3010000}"/>
    <cellStyle name="Euro 28 3 2 2" xfId="3461" xr:uid="{00000000-0005-0000-0000-0000D4010000}"/>
    <cellStyle name="Euro 28 3 2 3" xfId="3462" xr:uid="{00000000-0005-0000-0000-0000D5010000}"/>
    <cellStyle name="Euro 28 3 3" xfId="195" xr:uid="{00000000-0005-0000-0000-0000D6010000}"/>
    <cellStyle name="Euro 28 3 3 2" xfId="1994" xr:uid="{00000000-0005-0000-0000-0000D7010000}"/>
    <cellStyle name="Euro 28 3 4" xfId="1995" xr:uid="{00000000-0005-0000-0000-0000D8010000}"/>
    <cellStyle name="Euro 28 4" xfId="196" xr:uid="{00000000-0005-0000-0000-0000D9010000}"/>
    <cellStyle name="Euro 28 4 2" xfId="1996" xr:uid="{00000000-0005-0000-0000-0000DA010000}"/>
    <cellStyle name="Euro 28 4 2 2" xfId="1997" xr:uid="{00000000-0005-0000-0000-0000DB010000}"/>
    <cellStyle name="Euro 28 4 3" xfId="1998"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9" xr:uid="{00000000-0005-0000-0000-0000E0010000}"/>
    <cellStyle name="Euro 29 3" xfId="200" xr:uid="{00000000-0005-0000-0000-0000E1010000}"/>
    <cellStyle name="Euro 29 3 2" xfId="201" xr:uid="{00000000-0005-0000-0000-0000E2010000}"/>
    <cellStyle name="Euro 29 3 2 2" xfId="3463" xr:uid="{00000000-0005-0000-0000-0000E3010000}"/>
    <cellStyle name="Euro 29 3 2 3" xfId="3464" xr:uid="{00000000-0005-0000-0000-0000E4010000}"/>
    <cellStyle name="Euro 29 3 3" xfId="202" xr:uid="{00000000-0005-0000-0000-0000E5010000}"/>
    <cellStyle name="Euro 29 3 3 2" xfId="2000" xr:uid="{00000000-0005-0000-0000-0000E6010000}"/>
    <cellStyle name="Euro 29 3 4" xfId="2001" xr:uid="{00000000-0005-0000-0000-0000E7010000}"/>
    <cellStyle name="Euro 29 4" xfId="203" xr:uid="{00000000-0005-0000-0000-0000E8010000}"/>
    <cellStyle name="Euro 29 4 2" xfId="2002" xr:uid="{00000000-0005-0000-0000-0000E9010000}"/>
    <cellStyle name="Euro 29 4 2 2" xfId="2003" xr:uid="{00000000-0005-0000-0000-0000EA010000}"/>
    <cellStyle name="Euro 29 4 3" xfId="2004" xr:uid="{00000000-0005-0000-0000-0000EB010000}"/>
    <cellStyle name="Euro 29 5" xfId="204" xr:uid="{00000000-0005-0000-0000-0000EC010000}"/>
    <cellStyle name="Euro 3" xfId="205" xr:uid="{00000000-0005-0000-0000-0000ED010000}"/>
    <cellStyle name="Euro 3 2" xfId="206" xr:uid="{00000000-0005-0000-0000-0000EE010000}"/>
    <cellStyle name="Euro 3 2 2" xfId="2005" xr:uid="{00000000-0005-0000-0000-0000EF010000}"/>
    <cellStyle name="Euro 3 3" xfId="207" xr:uid="{00000000-0005-0000-0000-0000F0010000}"/>
    <cellStyle name="Euro 3 3 2" xfId="208" xr:uid="{00000000-0005-0000-0000-0000F1010000}"/>
    <cellStyle name="Euro 3 3 2 2" xfId="3465" xr:uid="{00000000-0005-0000-0000-0000F2010000}"/>
    <cellStyle name="Euro 3 3 2 3" xfId="3466" xr:uid="{00000000-0005-0000-0000-0000F3010000}"/>
    <cellStyle name="Euro 3 3 3" xfId="209" xr:uid="{00000000-0005-0000-0000-0000F4010000}"/>
    <cellStyle name="Euro 3 3 3 2" xfId="2006" xr:uid="{00000000-0005-0000-0000-0000F5010000}"/>
    <cellStyle name="Euro 3 3 4" xfId="2007" xr:uid="{00000000-0005-0000-0000-0000F6010000}"/>
    <cellStyle name="Euro 3 4" xfId="210" xr:uid="{00000000-0005-0000-0000-0000F7010000}"/>
    <cellStyle name="Euro 3 4 2" xfId="2008" xr:uid="{00000000-0005-0000-0000-0000F8010000}"/>
    <cellStyle name="Euro 3 4 2 2" xfId="2009" xr:uid="{00000000-0005-0000-0000-0000F9010000}"/>
    <cellStyle name="Euro 3 4 3" xfId="2010" xr:uid="{00000000-0005-0000-0000-0000FA010000}"/>
    <cellStyle name="Euro 3 5" xfId="211" xr:uid="{00000000-0005-0000-0000-0000FB010000}"/>
    <cellStyle name="Euro 30" xfId="212" xr:uid="{00000000-0005-0000-0000-0000FC010000}"/>
    <cellStyle name="Euro 30 2" xfId="213" xr:uid="{00000000-0005-0000-0000-0000FD010000}"/>
    <cellStyle name="Euro 30 2 2" xfId="2011" xr:uid="{00000000-0005-0000-0000-0000FE010000}"/>
    <cellStyle name="Euro 30 3" xfId="214" xr:uid="{00000000-0005-0000-0000-0000FF010000}"/>
    <cellStyle name="Euro 30 3 2" xfId="215" xr:uid="{00000000-0005-0000-0000-000000020000}"/>
    <cellStyle name="Euro 30 3 2 2" xfId="3467" xr:uid="{00000000-0005-0000-0000-000001020000}"/>
    <cellStyle name="Euro 30 3 2 3" xfId="3468" xr:uid="{00000000-0005-0000-0000-000002020000}"/>
    <cellStyle name="Euro 30 3 3" xfId="216" xr:uid="{00000000-0005-0000-0000-000003020000}"/>
    <cellStyle name="Euro 30 3 3 2" xfId="2012" xr:uid="{00000000-0005-0000-0000-000004020000}"/>
    <cellStyle name="Euro 30 3 4" xfId="2013" xr:uid="{00000000-0005-0000-0000-000005020000}"/>
    <cellStyle name="Euro 30 4" xfId="217" xr:uid="{00000000-0005-0000-0000-000006020000}"/>
    <cellStyle name="Euro 30 4 2" xfId="2014" xr:uid="{00000000-0005-0000-0000-000007020000}"/>
    <cellStyle name="Euro 30 4 2 2" xfId="2015" xr:uid="{00000000-0005-0000-0000-000008020000}"/>
    <cellStyle name="Euro 30 4 3" xfId="2016"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7" xr:uid="{00000000-0005-0000-0000-00000D020000}"/>
    <cellStyle name="Euro 31 3" xfId="221" xr:uid="{00000000-0005-0000-0000-00000E020000}"/>
    <cellStyle name="Euro 31 3 2" xfId="222" xr:uid="{00000000-0005-0000-0000-00000F020000}"/>
    <cellStyle name="Euro 31 3 2 2" xfId="3469" xr:uid="{00000000-0005-0000-0000-000010020000}"/>
    <cellStyle name="Euro 31 3 2 3" xfId="3470" xr:uid="{00000000-0005-0000-0000-000011020000}"/>
    <cellStyle name="Euro 31 3 3" xfId="223" xr:uid="{00000000-0005-0000-0000-000012020000}"/>
    <cellStyle name="Euro 31 3 3 2" xfId="2018" xr:uid="{00000000-0005-0000-0000-000013020000}"/>
    <cellStyle name="Euro 31 3 4" xfId="2019" xr:uid="{00000000-0005-0000-0000-000014020000}"/>
    <cellStyle name="Euro 31 4" xfId="224" xr:uid="{00000000-0005-0000-0000-000015020000}"/>
    <cellStyle name="Euro 31 4 2" xfId="2020" xr:uid="{00000000-0005-0000-0000-000016020000}"/>
    <cellStyle name="Euro 31 4 2 2" xfId="2021" xr:uid="{00000000-0005-0000-0000-000017020000}"/>
    <cellStyle name="Euro 31 4 3" xfId="2022"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3" xr:uid="{00000000-0005-0000-0000-00001C020000}"/>
    <cellStyle name="Euro 32 3" xfId="228" xr:uid="{00000000-0005-0000-0000-00001D020000}"/>
    <cellStyle name="Euro 32 3 2" xfId="229" xr:uid="{00000000-0005-0000-0000-00001E020000}"/>
    <cellStyle name="Euro 32 3 2 2" xfId="3471" xr:uid="{00000000-0005-0000-0000-00001F020000}"/>
    <cellStyle name="Euro 32 3 2 3" xfId="3472" xr:uid="{00000000-0005-0000-0000-000020020000}"/>
    <cellStyle name="Euro 32 3 3" xfId="230" xr:uid="{00000000-0005-0000-0000-000021020000}"/>
    <cellStyle name="Euro 32 3 3 2" xfId="2024" xr:uid="{00000000-0005-0000-0000-000022020000}"/>
    <cellStyle name="Euro 32 3 4" xfId="2025" xr:uid="{00000000-0005-0000-0000-000023020000}"/>
    <cellStyle name="Euro 32 4" xfId="231" xr:uid="{00000000-0005-0000-0000-000024020000}"/>
    <cellStyle name="Euro 32 4 2" xfId="2026" xr:uid="{00000000-0005-0000-0000-000025020000}"/>
    <cellStyle name="Euro 32 4 2 2" xfId="2027" xr:uid="{00000000-0005-0000-0000-000026020000}"/>
    <cellStyle name="Euro 32 4 3" xfId="2028"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9" xr:uid="{00000000-0005-0000-0000-00002B020000}"/>
    <cellStyle name="Euro 33 3" xfId="235" xr:uid="{00000000-0005-0000-0000-00002C020000}"/>
    <cellStyle name="Euro 33 3 2" xfId="236" xr:uid="{00000000-0005-0000-0000-00002D020000}"/>
    <cellStyle name="Euro 33 3 2 2" xfId="3473" xr:uid="{00000000-0005-0000-0000-00002E020000}"/>
    <cellStyle name="Euro 33 3 2 3" xfId="3474" xr:uid="{00000000-0005-0000-0000-00002F020000}"/>
    <cellStyle name="Euro 33 3 3" xfId="237" xr:uid="{00000000-0005-0000-0000-000030020000}"/>
    <cellStyle name="Euro 33 3 3 2" xfId="2030" xr:uid="{00000000-0005-0000-0000-000031020000}"/>
    <cellStyle name="Euro 33 3 4" xfId="2031" xr:uid="{00000000-0005-0000-0000-000032020000}"/>
    <cellStyle name="Euro 33 4" xfId="238" xr:uid="{00000000-0005-0000-0000-000033020000}"/>
    <cellStyle name="Euro 33 4 2" xfId="2032" xr:uid="{00000000-0005-0000-0000-000034020000}"/>
    <cellStyle name="Euro 33 4 2 2" xfId="2033" xr:uid="{00000000-0005-0000-0000-000035020000}"/>
    <cellStyle name="Euro 33 4 3" xfId="2034"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5" xr:uid="{00000000-0005-0000-0000-00003A020000}"/>
    <cellStyle name="Euro 34 3" xfId="242" xr:uid="{00000000-0005-0000-0000-00003B020000}"/>
    <cellStyle name="Euro 34 3 2" xfId="243" xr:uid="{00000000-0005-0000-0000-00003C020000}"/>
    <cellStyle name="Euro 34 3 2 2" xfId="3475" xr:uid="{00000000-0005-0000-0000-00003D020000}"/>
    <cellStyle name="Euro 34 3 2 3" xfId="3476" xr:uid="{00000000-0005-0000-0000-00003E020000}"/>
    <cellStyle name="Euro 34 3 3" xfId="244" xr:uid="{00000000-0005-0000-0000-00003F020000}"/>
    <cellStyle name="Euro 34 3 3 2" xfId="2036" xr:uid="{00000000-0005-0000-0000-000040020000}"/>
    <cellStyle name="Euro 34 3 4" xfId="2037" xr:uid="{00000000-0005-0000-0000-000041020000}"/>
    <cellStyle name="Euro 34 4" xfId="245" xr:uid="{00000000-0005-0000-0000-000042020000}"/>
    <cellStyle name="Euro 34 4 2" xfId="2038" xr:uid="{00000000-0005-0000-0000-000043020000}"/>
    <cellStyle name="Euro 34 4 2 2" xfId="2039" xr:uid="{00000000-0005-0000-0000-000044020000}"/>
    <cellStyle name="Euro 34 4 3" xfId="2040"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1" xr:uid="{00000000-0005-0000-0000-000049020000}"/>
    <cellStyle name="Euro 35 3" xfId="249" xr:uid="{00000000-0005-0000-0000-00004A020000}"/>
    <cellStyle name="Euro 35 3 2" xfId="250" xr:uid="{00000000-0005-0000-0000-00004B020000}"/>
    <cellStyle name="Euro 35 3 2 2" xfId="3477" xr:uid="{00000000-0005-0000-0000-00004C020000}"/>
    <cellStyle name="Euro 35 3 2 3" xfId="3478" xr:uid="{00000000-0005-0000-0000-00004D020000}"/>
    <cellStyle name="Euro 35 3 3" xfId="251" xr:uid="{00000000-0005-0000-0000-00004E020000}"/>
    <cellStyle name="Euro 35 3 3 2" xfId="2042" xr:uid="{00000000-0005-0000-0000-00004F020000}"/>
    <cellStyle name="Euro 35 3 4" xfId="2043" xr:uid="{00000000-0005-0000-0000-000050020000}"/>
    <cellStyle name="Euro 35 4" xfId="252" xr:uid="{00000000-0005-0000-0000-000051020000}"/>
    <cellStyle name="Euro 35 4 2" xfId="2044" xr:uid="{00000000-0005-0000-0000-000052020000}"/>
    <cellStyle name="Euro 35 4 2 2" xfId="2045" xr:uid="{00000000-0005-0000-0000-000053020000}"/>
    <cellStyle name="Euro 35 4 3" xfId="2046"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7" xr:uid="{00000000-0005-0000-0000-000058020000}"/>
    <cellStyle name="Euro 36 3" xfId="256" xr:uid="{00000000-0005-0000-0000-000059020000}"/>
    <cellStyle name="Euro 36 3 2" xfId="257" xr:uid="{00000000-0005-0000-0000-00005A020000}"/>
    <cellStyle name="Euro 36 3 2 2" xfId="3479" xr:uid="{00000000-0005-0000-0000-00005B020000}"/>
    <cellStyle name="Euro 36 3 2 3" xfId="3480" xr:uid="{00000000-0005-0000-0000-00005C020000}"/>
    <cellStyle name="Euro 36 3 3" xfId="258" xr:uid="{00000000-0005-0000-0000-00005D020000}"/>
    <cellStyle name="Euro 36 3 3 2" xfId="2048" xr:uid="{00000000-0005-0000-0000-00005E020000}"/>
    <cellStyle name="Euro 36 3 4" xfId="2049" xr:uid="{00000000-0005-0000-0000-00005F020000}"/>
    <cellStyle name="Euro 36 4" xfId="259" xr:uid="{00000000-0005-0000-0000-000060020000}"/>
    <cellStyle name="Euro 36 4 2" xfId="2050" xr:uid="{00000000-0005-0000-0000-000061020000}"/>
    <cellStyle name="Euro 36 4 2 2" xfId="2051" xr:uid="{00000000-0005-0000-0000-000062020000}"/>
    <cellStyle name="Euro 36 4 3" xfId="2052"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3" xr:uid="{00000000-0005-0000-0000-000067020000}"/>
    <cellStyle name="Euro 37 3" xfId="263" xr:uid="{00000000-0005-0000-0000-000068020000}"/>
    <cellStyle name="Euro 37 3 2" xfId="264" xr:uid="{00000000-0005-0000-0000-000069020000}"/>
    <cellStyle name="Euro 37 3 2 2" xfId="3481" xr:uid="{00000000-0005-0000-0000-00006A020000}"/>
    <cellStyle name="Euro 37 3 2 3" xfId="3482" xr:uid="{00000000-0005-0000-0000-00006B020000}"/>
    <cellStyle name="Euro 37 3 3" xfId="265" xr:uid="{00000000-0005-0000-0000-00006C020000}"/>
    <cellStyle name="Euro 37 3 3 2" xfId="2054" xr:uid="{00000000-0005-0000-0000-00006D020000}"/>
    <cellStyle name="Euro 37 3 4" xfId="2055" xr:uid="{00000000-0005-0000-0000-00006E020000}"/>
    <cellStyle name="Euro 37 4" xfId="266" xr:uid="{00000000-0005-0000-0000-00006F020000}"/>
    <cellStyle name="Euro 37 4 2" xfId="2056" xr:uid="{00000000-0005-0000-0000-000070020000}"/>
    <cellStyle name="Euro 37 4 2 2" xfId="2057" xr:uid="{00000000-0005-0000-0000-000071020000}"/>
    <cellStyle name="Euro 37 4 3" xfId="2058"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9" xr:uid="{00000000-0005-0000-0000-000076020000}"/>
    <cellStyle name="Euro 38 3" xfId="270" xr:uid="{00000000-0005-0000-0000-000077020000}"/>
    <cellStyle name="Euro 38 3 2" xfId="271" xr:uid="{00000000-0005-0000-0000-000078020000}"/>
    <cellStyle name="Euro 38 3 2 2" xfId="3483" xr:uid="{00000000-0005-0000-0000-000079020000}"/>
    <cellStyle name="Euro 38 3 2 3" xfId="3484" xr:uid="{00000000-0005-0000-0000-00007A020000}"/>
    <cellStyle name="Euro 38 3 3" xfId="272" xr:uid="{00000000-0005-0000-0000-00007B020000}"/>
    <cellStyle name="Euro 38 3 3 2" xfId="2060" xr:uid="{00000000-0005-0000-0000-00007C020000}"/>
    <cellStyle name="Euro 38 3 4" xfId="2061" xr:uid="{00000000-0005-0000-0000-00007D020000}"/>
    <cellStyle name="Euro 38 4" xfId="273" xr:uid="{00000000-0005-0000-0000-00007E020000}"/>
    <cellStyle name="Euro 38 4 2" xfId="2062" xr:uid="{00000000-0005-0000-0000-00007F020000}"/>
    <cellStyle name="Euro 38 4 2 2" xfId="2063" xr:uid="{00000000-0005-0000-0000-000080020000}"/>
    <cellStyle name="Euro 38 4 3" xfId="2064"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5" xr:uid="{00000000-0005-0000-0000-000085020000}"/>
    <cellStyle name="Euro 39 3" xfId="277" xr:uid="{00000000-0005-0000-0000-000086020000}"/>
    <cellStyle name="Euro 39 3 2" xfId="278" xr:uid="{00000000-0005-0000-0000-000087020000}"/>
    <cellStyle name="Euro 39 3 2 2" xfId="3485" xr:uid="{00000000-0005-0000-0000-000088020000}"/>
    <cellStyle name="Euro 39 3 2 3" xfId="3486" xr:uid="{00000000-0005-0000-0000-000089020000}"/>
    <cellStyle name="Euro 39 3 3" xfId="279" xr:uid="{00000000-0005-0000-0000-00008A020000}"/>
    <cellStyle name="Euro 39 3 3 2" xfId="2066" xr:uid="{00000000-0005-0000-0000-00008B020000}"/>
    <cellStyle name="Euro 39 3 4" xfId="2067" xr:uid="{00000000-0005-0000-0000-00008C020000}"/>
    <cellStyle name="Euro 39 4" xfId="280" xr:uid="{00000000-0005-0000-0000-00008D020000}"/>
    <cellStyle name="Euro 39 4 2" xfId="2068" xr:uid="{00000000-0005-0000-0000-00008E020000}"/>
    <cellStyle name="Euro 39 4 2 2" xfId="2069" xr:uid="{00000000-0005-0000-0000-00008F020000}"/>
    <cellStyle name="Euro 39 4 3" xfId="2070" xr:uid="{00000000-0005-0000-0000-000090020000}"/>
    <cellStyle name="Euro 39 5" xfId="281" xr:uid="{00000000-0005-0000-0000-000091020000}"/>
    <cellStyle name="Euro 4" xfId="282" xr:uid="{00000000-0005-0000-0000-000092020000}"/>
    <cellStyle name="Euro 4 2" xfId="283" xr:uid="{00000000-0005-0000-0000-000093020000}"/>
    <cellStyle name="Euro 4 2 2" xfId="2071" xr:uid="{00000000-0005-0000-0000-000094020000}"/>
    <cellStyle name="Euro 4 3" xfId="284" xr:uid="{00000000-0005-0000-0000-000095020000}"/>
    <cellStyle name="Euro 4 3 2" xfId="285" xr:uid="{00000000-0005-0000-0000-000096020000}"/>
    <cellStyle name="Euro 4 3 2 2" xfId="3487" xr:uid="{00000000-0005-0000-0000-000097020000}"/>
    <cellStyle name="Euro 4 3 2 3" xfId="3488" xr:uid="{00000000-0005-0000-0000-000098020000}"/>
    <cellStyle name="Euro 4 3 3" xfId="286" xr:uid="{00000000-0005-0000-0000-000099020000}"/>
    <cellStyle name="Euro 4 3 3 2" xfId="2072" xr:uid="{00000000-0005-0000-0000-00009A020000}"/>
    <cellStyle name="Euro 4 3 4" xfId="2073" xr:uid="{00000000-0005-0000-0000-00009B020000}"/>
    <cellStyle name="Euro 4 4" xfId="287" xr:uid="{00000000-0005-0000-0000-00009C020000}"/>
    <cellStyle name="Euro 4 4 2" xfId="2074" xr:uid="{00000000-0005-0000-0000-00009D020000}"/>
    <cellStyle name="Euro 4 4 2 2" xfId="2075" xr:uid="{00000000-0005-0000-0000-00009E020000}"/>
    <cellStyle name="Euro 4 4 3" xfId="2076" xr:uid="{00000000-0005-0000-0000-00009F020000}"/>
    <cellStyle name="Euro 4 5" xfId="288" xr:uid="{00000000-0005-0000-0000-0000A0020000}"/>
    <cellStyle name="Euro 40" xfId="289" xr:uid="{00000000-0005-0000-0000-0000A1020000}"/>
    <cellStyle name="Euro 40 2" xfId="290" xr:uid="{00000000-0005-0000-0000-0000A2020000}"/>
    <cellStyle name="Euro 40 2 2" xfId="2077" xr:uid="{00000000-0005-0000-0000-0000A3020000}"/>
    <cellStyle name="Euro 40 3" xfId="291" xr:uid="{00000000-0005-0000-0000-0000A4020000}"/>
    <cellStyle name="Euro 40 3 2" xfId="292" xr:uid="{00000000-0005-0000-0000-0000A5020000}"/>
    <cellStyle name="Euro 40 3 2 2" xfId="3489" xr:uid="{00000000-0005-0000-0000-0000A6020000}"/>
    <cellStyle name="Euro 40 3 2 3" xfId="3490" xr:uid="{00000000-0005-0000-0000-0000A7020000}"/>
    <cellStyle name="Euro 40 3 3" xfId="293" xr:uid="{00000000-0005-0000-0000-0000A8020000}"/>
    <cellStyle name="Euro 40 3 3 2" xfId="2078" xr:uid="{00000000-0005-0000-0000-0000A9020000}"/>
    <cellStyle name="Euro 40 3 4" xfId="2079" xr:uid="{00000000-0005-0000-0000-0000AA020000}"/>
    <cellStyle name="Euro 40 4" xfId="294" xr:uid="{00000000-0005-0000-0000-0000AB020000}"/>
    <cellStyle name="Euro 40 4 2" xfId="2080" xr:uid="{00000000-0005-0000-0000-0000AC020000}"/>
    <cellStyle name="Euro 40 4 2 2" xfId="2081" xr:uid="{00000000-0005-0000-0000-0000AD020000}"/>
    <cellStyle name="Euro 40 4 3" xfId="2082"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3" xr:uid="{00000000-0005-0000-0000-0000B2020000}"/>
    <cellStyle name="Euro 41 3" xfId="298" xr:uid="{00000000-0005-0000-0000-0000B3020000}"/>
    <cellStyle name="Euro 41 3 2" xfId="299" xr:uid="{00000000-0005-0000-0000-0000B4020000}"/>
    <cellStyle name="Euro 41 3 2 2" xfId="3491" xr:uid="{00000000-0005-0000-0000-0000B5020000}"/>
    <cellStyle name="Euro 41 3 2 3" xfId="3492" xr:uid="{00000000-0005-0000-0000-0000B6020000}"/>
    <cellStyle name="Euro 41 3 3" xfId="300" xr:uid="{00000000-0005-0000-0000-0000B7020000}"/>
    <cellStyle name="Euro 41 3 3 2" xfId="2084" xr:uid="{00000000-0005-0000-0000-0000B8020000}"/>
    <cellStyle name="Euro 41 3 4" xfId="2085" xr:uid="{00000000-0005-0000-0000-0000B9020000}"/>
    <cellStyle name="Euro 41 4" xfId="301" xr:uid="{00000000-0005-0000-0000-0000BA020000}"/>
    <cellStyle name="Euro 41 4 2" xfId="2086" xr:uid="{00000000-0005-0000-0000-0000BB020000}"/>
    <cellStyle name="Euro 41 4 2 2" xfId="2087" xr:uid="{00000000-0005-0000-0000-0000BC020000}"/>
    <cellStyle name="Euro 41 4 3" xfId="2088"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9" xr:uid="{00000000-0005-0000-0000-0000C1020000}"/>
    <cellStyle name="Euro 42 3" xfId="305" xr:uid="{00000000-0005-0000-0000-0000C2020000}"/>
    <cellStyle name="Euro 42 3 2" xfId="306" xr:uid="{00000000-0005-0000-0000-0000C3020000}"/>
    <cellStyle name="Euro 42 3 2 2" xfId="3493" xr:uid="{00000000-0005-0000-0000-0000C4020000}"/>
    <cellStyle name="Euro 42 3 2 3" xfId="3494" xr:uid="{00000000-0005-0000-0000-0000C5020000}"/>
    <cellStyle name="Euro 42 3 3" xfId="307" xr:uid="{00000000-0005-0000-0000-0000C6020000}"/>
    <cellStyle name="Euro 42 3 3 2" xfId="2090" xr:uid="{00000000-0005-0000-0000-0000C7020000}"/>
    <cellStyle name="Euro 42 3 4" xfId="2091" xr:uid="{00000000-0005-0000-0000-0000C8020000}"/>
    <cellStyle name="Euro 42 4" xfId="308" xr:uid="{00000000-0005-0000-0000-0000C9020000}"/>
    <cellStyle name="Euro 42 4 2" xfId="2092" xr:uid="{00000000-0005-0000-0000-0000CA020000}"/>
    <cellStyle name="Euro 42 4 2 2" xfId="2093" xr:uid="{00000000-0005-0000-0000-0000CB020000}"/>
    <cellStyle name="Euro 42 4 3" xfId="2094"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5" xr:uid="{00000000-0005-0000-0000-0000D0020000}"/>
    <cellStyle name="Euro 43 3" xfId="312" xr:uid="{00000000-0005-0000-0000-0000D1020000}"/>
    <cellStyle name="Euro 43 3 2" xfId="313" xr:uid="{00000000-0005-0000-0000-0000D2020000}"/>
    <cellStyle name="Euro 43 3 2 2" xfId="3495" xr:uid="{00000000-0005-0000-0000-0000D3020000}"/>
    <cellStyle name="Euro 43 3 2 3" xfId="3496" xr:uid="{00000000-0005-0000-0000-0000D4020000}"/>
    <cellStyle name="Euro 43 3 3" xfId="314" xr:uid="{00000000-0005-0000-0000-0000D5020000}"/>
    <cellStyle name="Euro 43 3 3 2" xfId="2096" xr:uid="{00000000-0005-0000-0000-0000D6020000}"/>
    <cellStyle name="Euro 43 3 4" xfId="2097" xr:uid="{00000000-0005-0000-0000-0000D7020000}"/>
    <cellStyle name="Euro 43 4" xfId="315" xr:uid="{00000000-0005-0000-0000-0000D8020000}"/>
    <cellStyle name="Euro 43 4 2" xfId="2098" xr:uid="{00000000-0005-0000-0000-0000D9020000}"/>
    <cellStyle name="Euro 43 4 2 2" xfId="2099" xr:uid="{00000000-0005-0000-0000-0000DA020000}"/>
    <cellStyle name="Euro 43 4 3" xfId="2100"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1" xr:uid="{00000000-0005-0000-0000-0000DF020000}"/>
    <cellStyle name="Euro 44 3" xfId="319" xr:uid="{00000000-0005-0000-0000-0000E0020000}"/>
    <cellStyle name="Euro 44 3 2" xfId="320" xr:uid="{00000000-0005-0000-0000-0000E1020000}"/>
    <cellStyle name="Euro 44 3 2 2" xfId="3497" xr:uid="{00000000-0005-0000-0000-0000E2020000}"/>
    <cellStyle name="Euro 44 3 2 3" xfId="3498" xr:uid="{00000000-0005-0000-0000-0000E3020000}"/>
    <cellStyle name="Euro 44 3 3" xfId="321" xr:uid="{00000000-0005-0000-0000-0000E4020000}"/>
    <cellStyle name="Euro 44 3 3 2" xfId="2102" xr:uid="{00000000-0005-0000-0000-0000E5020000}"/>
    <cellStyle name="Euro 44 3 4" xfId="2103" xr:uid="{00000000-0005-0000-0000-0000E6020000}"/>
    <cellStyle name="Euro 44 4" xfId="322" xr:uid="{00000000-0005-0000-0000-0000E7020000}"/>
    <cellStyle name="Euro 44 4 2" xfId="2104" xr:uid="{00000000-0005-0000-0000-0000E8020000}"/>
    <cellStyle name="Euro 44 4 2 2" xfId="2105" xr:uid="{00000000-0005-0000-0000-0000E9020000}"/>
    <cellStyle name="Euro 44 4 3" xfId="2106" xr:uid="{00000000-0005-0000-0000-0000EA020000}"/>
    <cellStyle name="Euro 44 5" xfId="323" xr:uid="{00000000-0005-0000-0000-0000EB020000}"/>
    <cellStyle name="Euro 45" xfId="324" xr:uid="{00000000-0005-0000-0000-0000EC020000}"/>
    <cellStyle name="Euro 45 2" xfId="2107" xr:uid="{00000000-0005-0000-0000-0000ED020000}"/>
    <cellStyle name="Euro 45 2 2" xfId="2108" xr:uid="{00000000-0005-0000-0000-0000EE020000}"/>
    <cellStyle name="Euro 45 2 3" xfId="3499" xr:uid="{00000000-0005-0000-0000-0000EF020000}"/>
    <cellStyle name="Euro 45 3" xfId="2109" xr:uid="{00000000-0005-0000-0000-0000F0020000}"/>
    <cellStyle name="Euro 46" xfId="325" xr:uid="{00000000-0005-0000-0000-0000F1020000}"/>
    <cellStyle name="Euro 46 2" xfId="2110" xr:uid="{00000000-0005-0000-0000-0000F2020000}"/>
    <cellStyle name="Euro 47" xfId="326" xr:uid="{00000000-0005-0000-0000-0000F3020000}"/>
    <cellStyle name="Euro 47 2" xfId="327" xr:uid="{00000000-0005-0000-0000-0000F4020000}"/>
    <cellStyle name="Euro 47 2 2" xfId="3500" xr:uid="{00000000-0005-0000-0000-0000F5020000}"/>
    <cellStyle name="Euro 47 2 3" xfId="3501" xr:uid="{00000000-0005-0000-0000-0000F6020000}"/>
    <cellStyle name="Euro 47 3" xfId="328" xr:uid="{00000000-0005-0000-0000-0000F7020000}"/>
    <cellStyle name="Euro 47 3 2" xfId="2111" xr:uid="{00000000-0005-0000-0000-0000F8020000}"/>
    <cellStyle name="Euro 47 4" xfId="2112" xr:uid="{00000000-0005-0000-0000-0000F9020000}"/>
    <cellStyle name="Euro 48" xfId="329" xr:uid="{00000000-0005-0000-0000-0000FA020000}"/>
    <cellStyle name="Euro 48 2" xfId="2113" xr:uid="{00000000-0005-0000-0000-0000FB020000}"/>
    <cellStyle name="Euro 49" xfId="330" xr:uid="{00000000-0005-0000-0000-0000FC020000}"/>
    <cellStyle name="Euro 49 2" xfId="2114" xr:uid="{00000000-0005-0000-0000-0000FD020000}"/>
    <cellStyle name="Euro 49 2 2" xfId="2115" xr:uid="{00000000-0005-0000-0000-0000FE020000}"/>
    <cellStyle name="Euro 49 3" xfId="2116" xr:uid="{00000000-0005-0000-0000-0000FF020000}"/>
    <cellStyle name="Euro 5" xfId="331" xr:uid="{00000000-0005-0000-0000-000000030000}"/>
    <cellStyle name="Euro 5 2" xfId="332" xr:uid="{00000000-0005-0000-0000-000001030000}"/>
    <cellStyle name="Euro 5 2 2" xfId="2117" xr:uid="{00000000-0005-0000-0000-000002030000}"/>
    <cellStyle name="Euro 5 3" xfId="333" xr:uid="{00000000-0005-0000-0000-000003030000}"/>
    <cellStyle name="Euro 5 3 2" xfId="334" xr:uid="{00000000-0005-0000-0000-000004030000}"/>
    <cellStyle name="Euro 5 3 2 2" xfId="3502" xr:uid="{00000000-0005-0000-0000-000005030000}"/>
    <cellStyle name="Euro 5 3 2 3" xfId="3503" xr:uid="{00000000-0005-0000-0000-000006030000}"/>
    <cellStyle name="Euro 5 3 3" xfId="335" xr:uid="{00000000-0005-0000-0000-000007030000}"/>
    <cellStyle name="Euro 5 3 3 2" xfId="2118" xr:uid="{00000000-0005-0000-0000-000008030000}"/>
    <cellStyle name="Euro 5 3 4" xfId="2119" xr:uid="{00000000-0005-0000-0000-000009030000}"/>
    <cellStyle name="Euro 5 4" xfId="336" xr:uid="{00000000-0005-0000-0000-00000A030000}"/>
    <cellStyle name="Euro 5 4 2" xfId="2120" xr:uid="{00000000-0005-0000-0000-00000B030000}"/>
    <cellStyle name="Euro 5 4 2 2" xfId="2121" xr:uid="{00000000-0005-0000-0000-00000C030000}"/>
    <cellStyle name="Euro 5 4 3" xfId="2122" xr:uid="{00000000-0005-0000-0000-00000D030000}"/>
    <cellStyle name="Euro 5 5" xfId="337" xr:uid="{00000000-0005-0000-0000-00000E030000}"/>
    <cellStyle name="Euro 50" xfId="338" xr:uid="{00000000-0005-0000-0000-00000F030000}"/>
    <cellStyle name="Euro 51" xfId="2123" xr:uid="{00000000-0005-0000-0000-000010030000}"/>
    <cellStyle name="Euro 51 2" xfId="2124" xr:uid="{00000000-0005-0000-0000-000011030000}"/>
    <cellStyle name="Euro 6" xfId="339" xr:uid="{00000000-0005-0000-0000-000012030000}"/>
    <cellStyle name="Euro 6 2" xfId="340" xr:uid="{00000000-0005-0000-0000-000013030000}"/>
    <cellStyle name="Euro 6 2 2" xfId="2125" xr:uid="{00000000-0005-0000-0000-000014030000}"/>
    <cellStyle name="Euro 6 3" xfId="341" xr:uid="{00000000-0005-0000-0000-000015030000}"/>
    <cellStyle name="Euro 6 3 2" xfId="342" xr:uid="{00000000-0005-0000-0000-000016030000}"/>
    <cellStyle name="Euro 6 3 2 2" xfId="3504" xr:uid="{00000000-0005-0000-0000-000017030000}"/>
    <cellStyle name="Euro 6 3 2 3" xfId="3505" xr:uid="{00000000-0005-0000-0000-000018030000}"/>
    <cellStyle name="Euro 6 3 3" xfId="343" xr:uid="{00000000-0005-0000-0000-000019030000}"/>
    <cellStyle name="Euro 6 3 3 2" xfId="2126" xr:uid="{00000000-0005-0000-0000-00001A030000}"/>
    <cellStyle name="Euro 6 3 4" xfId="2127" xr:uid="{00000000-0005-0000-0000-00001B030000}"/>
    <cellStyle name="Euro 6 4" xfId="344" xr:uid="{00000000-0005-0000-0000-00001C030000}"/>
    <cellStyle name="Euro 6 4 2" xfId="2128" xr:uid="{00000000-0005-0000-0000-00001D030000}"/>
    <cellStyle name="Euro 6 4 2 2" xfId="2129" xr:uid="{00000000-0005-0000-0000-00001E030000}"/>
    <cellStyle name="Euro 6 4 3" xfId="2130" xr:uid="{00000000-0005-0000-0000-00001F030000}"/>
    <cellStyle name="Euro 6 5" xfId="345" xr:uid="{00000000-0005-0000-0000-000020030000}"/>
    <cellStyle name="Euro 7" xfId="346" xr:uid="{00000000-0005-0000-0000-000021030000}"/>
    <cellStyle name="Euro 7 2" xfId="347" xr:uid="{00000000-0005-0000-0000-000022030000}"/>
    <cellStyle name="Euro 7 2 2" xfId="2131" xr:uid="{00000000-0005-0000-0000-000023030000}"/>
    <cellStyle name="Euro 7 3" xfId="348" xr:uid="{00000000-0005-0000-0000-000024030000}"/>
    <cellStyle name="Euro 7 3 2" xfId="349" xr:uid="{00000000-0005-0000-0000-000025030000}"/>
    <cellStyle name="Euro 7 3 2 2" xfId="3506" xr:uid="{00000000-0005-0000-0000-000026030000}"/>
    <cellStyle name="Euro 7 3 2 3" xfId="3507" xr:uid="{00000000-0005-0000-0000-000027030000}"/>
    <cellStyle name="Euro 7 3 3" xfId="350" xr:uid="{00000000-0005-0000-0000-000028030000}"/>
    <cellStyle name="Euro 7 3 3 2" xfId="2132" xr:uid="{00000000-0005-0000-0000-000029030000}"/>
    <cellStyle name="Euro 7 3 4" xfId="2133" xr:uid="{00000000-0005-0000-0000-00002A030000}"/>
    <cellStyle name="Euro 7 4" xfId="351" xr:uid="{00000000-0005-0000-0000-00002B030000}"/>
    <cellStyle name="Euro 7 4 2" xfId="2134" xr:uid="{00000000-0005-0000-0000-00002C030000}"/>
    <cellStyle name="Euro 7 4 2 2" xfId="2135" xr:uid="{00000000-0005-0000-0000-00002D030000}"/>
    <cellStyle name="Euro 7 4 3" xfId="2136" xr:uid="{00000000-0005-0000-0000-00002E030000}"/>
    <cellStyle name="Euro 7 5" xfId="352" xr:uid="{00000000-0005-0000-0000-00002F030000}"/>
    <cellStyle name="Euro 8" xfId="353" xr:uid="{00000000-0005-0000-0000-000030030000}"/>
    <cellStyle name="Euro 8 2" xfId="354" xr:uid="{00000000-0005-0000-0000-000031030000}"/>
    <cellStyle name="Euro 8 2 2" xfId="2137" xr:uid="{00000000-0005-0000-0000-000032030000}"/>
    <cellStyle name="Euro 8 3" xfId="355" xr:uid="{00000000-0005-0000-0000-000033030000}"/>
    <cellStyle name="Euro 8 3 2" xfId="356" xr:uid="{00000000-0005-0000-0000-000034030000}"/>
    <cellStyle name="Euro 8 3 2 2" xfId="3508" xr:uid="{00000000-0005-0000-0000-000035030000}"/>
    <cellStyle name="Euro 8 3 2 3" xfId="3509" xr:uid="{00000000-0005-0000-0000-000036030000}"/>
    <cellStyle name="Euro 8 3 3" xfId="357" xr:uid="{00000000-0005-0000-0000-000037030000}"/>
    <cellStyle name="Euro 8 3 3 2" xfId="2138" xr:uid="{00000000-0005-0000-0000-000038030000}"/>
    <cellStyle name="Euro 8 3 4" xfId="2139" xr:uid="{00000000-0005-0000-0000-000039030000}"/>
    <cellStyle name="Euro 8 4" xfId="358" xr:uid="{00000000-0005-0000-0000-00003A030000}"/>
    <cellStyle name="Euro 8 4 2" xfId="2140" xr:uid="{00000000-0005-0000-0000-00003B030000}"/>
    <cellStyle name="Euro 8 4 2 2" xfId="2141" xr:uid="{00000000-0005-0000-0000-00003C030000}"/>
    <cellStyle name="Euro 8 4 3" xfId="2142" xr:uid="{00000000-0005-0000-0000-00003D030000}"/>
    <cellStyle name="Euro 8 5" xfId="359" xr:uid="{00000000-0005-0000-0000-00003E030000}"/>
    <cellStyle name="Euro 9" xfId="360" xr:uid="{00000000-0005-0000-0000-00003F030000}"/>
    <cellStyle name="Euro 9 2" xfId="361" xr:uid="{00000000-0005-0000-0000-000040030000}"/>
    <cellStyle name="Euro 9 2 2" xfId="2143" xr:uid="{00000000-0005-0000-0000-000041030000}"/>
    <cellStyle name="Euro 9 3" xfId="362" xr:uid="{00000000-0005-0000-0000-000042030000}"/>
    <cellStyle name="Euro 9 3 2" xfId="363" xr:uid="{00000000-0005-0000-0000-000043030000}"/>
    <cellStyle name="Euro 9 3 2 2" xfId="3510" xr:uid="{00000000-0005-0000-0000-000044030000}"/>
    <cellStyle name="Euro 9 3 2 3" xfId="3511" xr:uid="{00000000-0005-0000-0000-000045030000}"/>
    <cellStyle name="Euro 9 3 3" xfId="364" xr:uid="{00000000-0005-0000-0000-000046030000}"/>
    <cellStyle name="Euro 9 3 3 2" xfId="2144" xr:uid="{00000000-0005-0000-0000-000047030000}"/>
    <cellStyle name="Euro 9 3 4" xfId="2145" xr:uid="{00000000-0005-0000-0000-000048030000}"/>
    <cellStyle name="Euro 9 4" xfId="365" xr:uid="{00000000-0005-0000-0000-000049030000}"/>
    <cellStyle name="Euro 9 4 2" xfId="2146" xr:uid="{00000000-0005-0000-0000-00004A030000}"/>
    <cellStyle name="Euro 9 4 2 2" xfId="2147" xr:uid="{00000000-0005-0000-0000-00004B030000}"/>
    <cellStyle name="Euro 9 4 3" xfId="2148" xr:uid="{00000000-0005-0000-0000-00004C030000}"/>
    <cellStyle name="Euro 9 5" xfId="366" xr:uid="{00000000-0005-0000-0000-00004D030000}"/>
    <cellStyle name="Fixed2 - Type2" xfId="367" xr:uid="{00000000-0005-0000-0000-00004E030000}"/>
    <cellStyle name="Formel" xfId="4347" xr:uid="{00000000-0005-0000-0000-00004F030000}"/>
    <cellStyle name="Formula" xfId="4342" xr:uid="{00000000-0005-0000-0000-000050030000}"/>
    <cellStyle name="Good 2" xfId="3512" xr:uid="{00000000-0005-0000-0000-000051030000}"/>
    <cellStyle name="Hyperlink" xfId="4349" builtinId="8"/>
    <cellStyle name="Hyperlink 2" xfId="368" xr:uid="{00000000-0005-0000-0000-000052030000}"/>
    <cellStyle name="Hyperlink 2 2" xfId="3513" xr:uid="{00000000-0005-0000-0000-000053030000}"/>
    <cellStyle name="Hyperlink 3" xfId="3514" xr:uid="{00000000-0005-0000-0000-000054030000}"/>
    <cellStyle name="Hyperlink 4" xfId="3515" xr:uid="{00000000-0005-0000-0000-000055030000}"/>
    <cellStyle name="Input" xfId="369" builtinId="20" customBuiltin="1"/>
    <cellStyle name="Input 2" xfId="370" xr:uid="{00000000-0005-0000-0000-000057030000}"/>
    <cellStyle name="Input 2 2" xfId="371" xr:uid="{00000000-0005-0000-0000-000058030000}"/>
    <cellStyle name="Input 2 2 2" xfId="3516" xr:uid="{00000000-0005-0000-0000-000059030000}"/>
    <cellStyle name="Input 2 2 3" xfId="3517" xr:uid="{00000000-0005-0000-0000-00005A030000}"/>
    <cellStyle name="Input 2 3" xfId="372" xr:uid="{00000000-0005-0000-0000-00005B030000}"/>
    <cellStyle name="Input 2 3 2" xfId="3518"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9" xr:uid="{00000000-0005-0000-0000-000061030000}"/>
    <cellStyle name="Input 3" xfId="377" xr:uid="{00000000-0005-0000-0000-000062030000}"/>
    <cellStyle name="Input 3 2" xfId="378" xr:uid="{00000000-0005-0000-0000-000063030000}"/>
    <cellStyle name="Input 3 2 2" xfId="3520"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1" xr:uid="{00000000-0005-0000-0000-000069030000}"/>
    <cellStyle name="Input 4" xfId="2149" xr:uid="{00000000-0005-0000-0000-00006A030000}"/>
    <cellStyle name="InputCells" xfId="383" xr:uid="{00000000-0005-0000-0000-00006B030000}"/>
    <cellStyle name="Komma 2" xfId="2150" xr:uid="{00000000-0005-0000-0000-00006C030000}"/>
    <cellStyle name="Komma 2 2" xfId="2151" xr:uid="{00000000-0005-0000-0000-00006D030000}"/>
    <cellStyle name="Komma 2 2 2" xfId="2152" xr:uid="{00000000-0005-0000-0000-00006E030000}"/>
    <cellStyle name="Komma 2 3" xfId="2153" xr:uid="{00000000-0005-0000-0000-00006F030000}"/>
    <cellStyle name="Komma 2 4" xfId="3364" xr:uid="{00000000-0005-0000-0000-000070030000}"/>
    <cellStyle name="Komma 2 5" xfId="3522" xr:uid="{00000000-0005-0000-0000-000071030000}"/>
    <cellStyle name="Komma 3" xfId="2154" xr:uid="{00000000-0005-0000-0000-000072030000}"/>
    <cellStyle name="Komma 3 2" xfId="2155" xr:uid="{00000000-0005-0000-0000-000073030000}"/>
    <cellStyle name="Komma 4" xfId="2156" xr:uid="{00000000-0005-0000-0000-000074030000}"/>
    <cellStyle name="Komma 4 2" xfId="2157" xr:uid="{00000000-0005-0000-0000-000075030000}"/>
    <cellStyle name="Komma 4 2 2" xfId="2158" xr:uid="{00000000-0005-0000-0000-000076030000}"/>
    <cellStyle name="Komma 4 3" xfId="2159" xr:uid="{00000000-0005-0000-0000-000077030000}"/>
    <cellStyle name="Komma 5" xfId="2160" xr:uid="{00000000-0005-0000-0000-000078030000}"/>
    <cellStyle name="Komma 5 2" xfId="2161" xr:uid="{00000000-0005-0000-0000-000079030000}"/>
    <cellStyle name="Komma 5 2 2" xfId="2162" xr:uid="{00000000-0005-0000-0000-00007A030000}"/>
    <cellStyle name="Komma 5 3" xfId="2163" xr:uid="{00000000-0005-0000-0000-00007B030000}"/>
    <cellStyle name="Kontroller celle" xfId="3523" xr:uid="{00000000-0005-0000-0000-00007C030000}"/>
    <cellStyle name="Link 2" xfId="2164" xr:uid="{00000000-0005-0000-0000-00007D030000}"/>
    <cellStyle name="Link 3" xfId="2165" xr:uid="{00000000-0005-0000-0000-00007E030000}"/>
    <cellStyle name="Markeringsfarve1" xfId="3524" xr:uid="{00000000-0005-0000-0000-00007F030000}"/>
    <cellStyle name="Markeringsfarve2" xfId="3525" xr:uid="{00000000-0005-0000-0000-000080030000}"/>
    <cellStyle name="Markeringsfarve3" xfId="3526" xr:uid="{00000000-0005-0000-0000-000081030000}"/>
    <cellStyle name="Markeringsfarve4" xfId="3527" xr:uid="{00000000-0005-0000-0000-000082030000}"/>
    <cellStyle name="Markeringsfarve5" xfId="3528" xr:uid="{00000000-0005-0000-0000-000083030000}"/>
    <cellStyle name="Markeringsfarve6" xfId="3529" xr:uid="{00000000-0005-0000-0000-000084030000}"/>
    <cellStyle name="Migliaia [0] 10" xfId="384" xr:uid="{00000000-0005-0000-0000-000085030000}"/>
    <cellStyle name="Migliaia [0] 10 2" xfId="2166" xr:uid="{00000000-0005-0000-0000-000086030000}"/>
    <cellStyle name="Migliaia [0] 10 2 2" xfId="3530" xr:uid="{00000000-0005-0000-0000-000087030000}"/>
    <cellStyle name="Migliaia [0] 10 3" xfId="3531" xr:uid="{00000000-0005-0000-0000-000088030000}"/>
    <cellStyle name="Migliaia [0] 11" xfId="385" xr:uid="{00000000-0005-0000-0000-000089030000}"/>
    <cellStyle name="Migliaia [0] 11 2" xfId="2167" xr:uid="{00000000-0005-0000-0000-00008A030000}"/>
    <cellStyle name="Migliaia [0] 11 2 2" xfId="3532" xr:uid="{00000000-0005-0000-0000-00008B030000}"/>
    <cellStyle name="Migliaia [0] 11 3" xfId="3533" xr:uid="{00000000-0005-0000-0000-00008C030000}"/>
    <cellStyle name="Migliaia [0] 12" xfId="386" xr:uid="{00000000-0005-0000-0000-00008D030000}"/>
    <cellStyle name="Migliaia [0] 12 2" xfId="2168" xr:uid="{00000000-0005-0000-0000-00008E030000}"/>
    <cellStyle name="Migliaia [0] 12 2 2" xfId="3534" xr:uid="{00000000-0005-0000-0000-00008F030000}"/>
    <cellStyle name="Migliaia [0] 12 3" xfId="3535" xr:uid="{00000000-0005-0000-0000-000090030000}"/>
    <cellStyle name="Migliaia [0] 13" xfId="387" xr:uid="{00000000-0005-0000-0000-000091030000}"/>
    <cellStyle name="Migliaia [0] 13 2" xfId="2169" xr:uid="{00000000-0005-0000-0000-000092030000}"/>
    <cellStyle name="Migliaia [0] 13 2 2" xfId="3536" xr:uid="{00000000-0005-0000-0000-000093030000}"/>
    <cellStyle name="Migliaia [0] 13 3" xfId="3537" xr:uid="{00000000-0005-0000-0000-000094030000}"/>
    <cellStyle name="Migliaia [0] 14" xfId="388" xr:uid="{00000000-0005-0000-0000-000095030000}"/>
    <cellStyle name="Migliaia [0] 14 2" xfId="2170" xr:uid="{00000000-0005-0000-0000-000096030000}"/>
    <cellStyle name="Migliaia [0] 14 2 2" xfId="3538" xr:uid="{00000000-0005-0000-0000-000097030000}"/>
    <cellStyle name="Migliaia [0] 14 3" xfId="3539" xr:uid="{00000000-0005-0000-0000-000098030000}"/>
    <cellStyle name="Migliaia [0] 15" xfId="389" xr:uid="{00000000-0005-0000-0000-000099030000}"/>
    <cellStyle name="Migliaia [0] 15 2" xfId="2171" xr:uid="{00000000-0005-0000-0000-00009A030000}"/>
    <cellStyle name="Migliaia [0] 15 2 2" xfId="3540" xr:uid="{00000000-0005-0000-0000-00009B030000}"/>
    <cellStyle name="Migliaia [0] 15 3" xfId="3541" xr:uid="{00000000-0005-0000-0000-00009C030000}"/>
    <cellStyle name="Migliaia [0] 16" xfId="390" xr:uid="{00000000-0005-0000-0000-00009D030000}"/>
    <cellStyle name="Migliaia [0] 16 2" xfId="2172" xr:uid="{00000000-0005-0000-0000-00009E030000}"/>
    <cellStyle name="Migliaia [0] 16 2 2" xfId="3542" xr:uid="{00000000-0005-0000-0000-00009F030000}"/>
    <cellStyle name="Migliaia [0] 16 3" xfId="3543" xr:uid="{00000000-0005-0000-0000-0000A0030000}"/>
    <cellStyle name="Migliaia [0] 17" xfId="391" xr:uid="{00000000-0005-0000-0000-0000A1030000}"/>
    <cellStyle name="Migliaia [0] 17 2" xfId="2173" xr:uid="{00000000-0005-0000-0000-0000A2030000}"/>
    <cellStyle name="Migliaia [0] 17 2 2" xfId="3544" xr:uid="{00000000-0005-0000-0000-0000A3030000}"/>
    <cellStyle name="Migliaia [0] 17 3" xfId="3545" xr:uid="{00000000-0005-0000-0000-0000A4030000}"/>
    <cellStyle name="Migliaia [0] 18" xfId="392" xr:uid="{00000000-0005-0000-0000-0000A5030000}"/>
    <cellStyle name="Migliaia [0] 18 2" xfId="2174" xr:uid="{00000000-0005-0000-0000-0000A6030000}"/>
    <cellStyle name="Migliaia [0] 18 2 2" xfId="3546" xr:uid="{00000000-0005-0000-0000-0000A7030000}"/>
    <cellStyle name="Migliaia [0] 18 3" xfId="3547" xr:uid="{00000000-0005-0000-0000-0000A8030000}"/>
    <cellStyle name="Migliaia [0] 19" xfId="393" xr:uid="{00000000-0005-0000-0000-0000A9030000}"/>
    <cellStyle name="Migliaia [0] 19 2" xfId="2175" xr:uid="{00000000-0005-0000-0000-0000AA030000}"/>
    <cellStyle name="Migliaia [0] 19 2 2" xfId="3548" xr:uid="{00000000-0005-0000-0000-0000AB030000}"/>
    <cellStyle name="Migliaia [0] 19 3" xfId="3549" xr:uid="{00000000-0005-0000-0000-0000AC030000}"/>
    <cellStyle name="Migliaia [0] 2" xfId="394" xr:uid="{00000000-0005-0000-0000-0000AD030000}"/>
    <cellStyle name="Migliaia [0] 2 2" xfId="2176" xr:uid="{00000000-0005-0000-0000-0000AE030000}"/>
    <cellStyle name="Migliaia [0] 2 2 2" xfId="3550" xr:uid="{00000000-0005-0000-0000-0000AF030000}"/>
    <cellStyle name="Migliaia [0] 2 3" xfId="3551" xr:uid="{00000000-0005-0000-0000-0000B0030000}"/>
    <cellStyle name="Migliaia [0] 20" xfId="395" xr:uid="{00000000-0005-0000-0000-0000B1030000}"/>
    <cellStyle name="Migliaia [0] 20 2" xfId="2177" xr:uid="{00000000-0005-0000-0000-0000B2030000}"/>
    <cellStyle name="Migliaia [0] 20 2 2" xfId="3552" xr:uid="{00000000-0005-0000-0000-0000B3030000}"/>
    <cellStyle name="Migliaia [0] 20 3" xfId="3553" xr:uid="{00000000-0005-0000-0000-0000B4030000}"/>
    <cellStyle name="Migliaia [0] 21" xfId="396" xr:uid="{00000000-0005-0000-0000-0000B5030000}"/>
    <cellStyle name="Migliaia [0] 21 2" xfId="2178" xr:uid="{00000000-0005-0000-0000-0000B6030000}"/>
    <cellStyle name="Migliaia [0] 21 2 2" xfId="3554" xr:uid="{00000000-0005-0000-0000-0000B7030000}"/>
    <cellStyle name="Migliaia [0] 21 3" xfId="3555" xr:uid="{00000000-0005-0000-0000-0000B8030000}"/>
    <cellStyle name="Migliaia [0] 22" xfId="397" xr:uid="{00000000-0005-0000-0000-0000B9030000}"/>
    <cellStyle name="Migliaia [0] 22 2" xfId="2179" xr:uid="{00000000-0005-0000-0000-0000BA030000}"/>
    <cellStyle name="Migliaia [0] 22 2 2" xfId="3556" xr:uid="{00000000-0005-0000-0000-0000BB030000}"/>
    <cellStyle name="Migliaia [0] 22 3" xfId="3557" xr:uid="{00000000-0005-0000-0000-0000BC030000}"/>
    <cellStyle name="Migliaia [0] 23" xfId="398" xr:uid="{00000000-0005-0000-0000-0000BD030000}"/>
    <cellStyle name="Migliaia [0] 23 2" xfId="2180" xr:uid="{00000000-0005-0000-0000-0000BE030000}"/>
    <cellStyle name="Migliaia [0] 23 2 2" xfId="3558" xr:uid="{00000000-0005-0000-0000-0000BF030000}"/>
    <cellStyle name="Migliaia [0] 23 3" xfId="3559" xr:uid="{00000000-0005-0000-0000-0000C0030000}"/>
    <cellStyle name="Migliaia [0] 24" xfId="399" xr:uid="{00000000-0005-0000-0000-0000C1030000}"/>
    <cellStyle name="Migliaia [0] 24 2" xfId="2181" xr:uid="{00000000-0005-0000-0000-0000C2030000}"/>
    <cellStyle name="Migliaia [0] 24 2 2" xfId="3560" xr:uid="{00000000-0005-0000-0000-0000C3030000}"/>
    <cellStyle name="Migliaia [0] 24 3" xfId="3561" xr:uid="{00000000-0005-0000-0000-0000C4030000}"/>
    <cellStyle name="Migliaia [0] 25" xfId="400" xr:uid="{00000000-0005-0000-0000-0000C5030000}"/>
    <cellStyle name="Migliaia [0] 25 2" xfId="2182" xr:uid="{00000000-0005-0000-0000-0000C6030000}"/>
    <cellStyle name="Migliaia [0] 25 2 2" xfId="3562" xr:uid="{00000000-0005-0000-0000-0000C7030000}"/>
    <cellStyle name="Migliaia [0] 25 3" xfId="3563" xr:uid="{00000000-0005-0000-0000-0000C8030000}"/>
    <cellStyle name="Migliaia [0] 26" xfId="401" xr:uid="{00000000-0005-0000-0000-0000C9030000}"/>
    <cellStyle name="Migliaia [0] 26 2" xfId="2183" xr:uid="{00000000-0005-0000-0000-0000CA030000}"/>
    <cellStyle name="Migliaia [0] 26 2 2" xfId="3564" xr:uid="{00000000-0005-0000-0000-0000CB030000}"/>
    <cellStyle name="Migliaia [0] 26 3" xfId="3565" xr:uid="{00000000-0005-0000-0000-0000CC030000}"/>
    <cellStyle name="Migliaia [0] 27" xfId="402" xr:uid="{00000000-0005-0000-0000-0000CD030000}"/>
    <cellStyle name="Migliaia [0] 27 2" xfId="2184" xr:uid="{00000000-0005-0000-0000-0000CE030000}"/>
    <cellStyle name="Migliaia [0] 27 2 2" xfId="3566" xr:uid="{00000000-0005-0000-0000-0000CF030000}"/>
    <cellStyle name="Migliaia [0] 27 3" xfId="3567" xr:uid="{00000000-0005-0000-0000-0000D0030000}"/>
    <cellStyle name="Migliaia [0] 28" xfId="403" xr:uid="{00000000-0005-0000-0000-0000D1030000}"/>
    <cellStyle name="Migliaia [0] 28 2" xfId="2185" xr:uid="{00000000-0005-0000-0000-0000D2030000}"/>
    <cellStyle name="Migliaia [0] 28 2 2" xfId="3568" xr:uid="{00000000-0005-0000-0000-0000D3030000}"/>
    <cellStyle name="Migliaia [0] 28 3" xfId="3569" xr:uid="{00000000-0005-0000-0000-0000D4030000}"/>
    <cellStyle name="Migliaia [0] 29" xfId="404" xr:uid="{00000000-0005-0000-0000-0000D5030000}"/>
    <cellStyle name="Migliaia [0] 29 2" xfId="2186" xr:uid="{00000000-0005-0000-0000-0000D6030000}"/>
    <cellStyle name="Migliaia [0] 29 2 2" xfId="3570" xr:uid="{00000000-0005-0000-0000-0000D7030000}"/>
    <cellStyle name="Migliaia [0] 29 3" xfId="3571" xr:uid="{00000000-0005-0000-0000-0000D8030000}"/>
    <cellStyle name="Migliaia [0] 3" xfId="405" xr:uid="{00000000-0005-0000-0000-0000D9030000}"/>
    <cellStyle name="Migliaia [0] 3 2" xfId="2187" xr:uid="{00000000-0005-0000-0000-0000DA030000}"/>
    <cellStyle name="Migliaia [0] 3 2 2" xfId="3572" xr:uid="{00000000-0005-0000-0000-0000DB030000}"/>
    <cellStyle name="Migliaia [0] 3 3" xfId="3573" xr:uid="{00000000-0005-0000-0000-0000DC030000}"/>
    <cellStyle name="Migliaia [0] 30" xfId="406" xr:uid="{00000000-0005-0000-0000-0000DD030000}"/>
    <cellStyle name="Migliaia [0] 30 2" xfId="2188" xr:uid="{00000000-0005-0000-0000-0000DE030000}"/>
    <cellStyle name="Migliaia [0] 30 2 2" xfId="3574" xr:uid="{00000000-0005-0000-0000-0000DF030000}"/>
    <cellStyle name="Migliaia [0] 30 3" xfId="3575" xr:uid="{00000000-0005-0000-0000-0000E0030000}"/>
    <cellStyle name="Migliaia [0] 31" xfId="407" xr:uid="{00000000-0005-0000-0000-0000E1030000}"/>
    <cellStyle name="Migliaia [0] 31 2" xfId="2189" xr:uid="{00000000-0005-0000-0000-0000E2030000}"/>
    <cellStyle name="Migliaia [0] 31 2 2" xfId="3576" xr:uid="{00000000-0005-0000-0000-0000E3030000}"/>
    <cellStyle name="Migliaia [0] 31 3" xfId="3577" xr:uid="{00000000-0005-0000-0000-0000E4030000}"/>
    <cellStyle name="Migliaia [0] 32" xfId="408" xr:uid="{00000000-0005-0000-0000-0000E5030000}"/>
    <cellStyle name="Migliaia [0] 32 2" xfId="2190" xr:uid="{00000000-0005-0000-0000-0000E6030000}"/>
    <cellStyle name="Migliaia [0] 32 2 2" xfId="3578" xr:uid="{00000000-0005-0000-0000-0000E7030000}"/>
    <cellStyle name="Migliaia [0] 32 3" xfId="3579" xr:uid="{00000000-0005-0000-0000-0000E8030000}"/>
    <cellStyle name="Migliaia [0] 33" xfId="409" xr:uid="{00000000-0005-0000-0000-0000E9030000}"/>
    <cellStyle name="Migliaia [0] 33 2" xfId="2191" xr:uid="{00000000-0005-0000-0000-0000EA030000}"/>
    <cellStyle name="Migliaia [0] 33 2 2" xfId="3580" xr:uid="{00000000-0005-0000-0000-0000EB030000}"/>
    <cellStyle name="Migliaia [0] 33 3" xfId="3581" xr:uid="{00000000-0005-0000-0000-0000EC030000}"/>
    <cellStyle name="Migliaia [0] 34" xfId="410" xr:uid="{00000000-0005-0000-0000-0000ED030000}"/>
    <cellStyle name="Migliaia [0] 34 2" xfId="2192" xr:uid="{00000000-0005-0000-0000-0000EE030000}"/>
    <cellStyle name="Migliaia [0] 34 2 2" xfId="3582" xr:uid="{00000000-0005-0000-0000-0000EF030000}"/>
    <cellStyle name="Migliaia [0] 34 3" xfId="3583" xr:uid="{00000000-0005-0000-0000-0000F0030000}"/>
    <cellStyle name="Migliaia [0] 35" xfId="411" xr:uid="{00000000-0005-0000-0000-0000F1030000}"/>
    <cellStyle name="Migliaia [0] 35 2" xfId="2193" xr:uid="{00000000-0005-0000-0000-0000F2030000}"/>
    <cellStyle name="Migliaia [0] 35 2 2" xfId="3584" xr:uid="{00000000-0005-0000-0000-0000F3030000}"/>
    <cellStyle name="Migliaia [0] 35 3" xfId="3585" xr:uid="{00000000-0005-0000-0000-0000F4030000}"/>
    <cellStyle name="Migliaia [0] 36" xfId="412" xr:uid="{00000000-0005-0000-0000-0000F5030000}"/>
    <cellStyle name="Migliaia [0] 36 2" xfId="2194" xr:uid="{00000000-0005-0000-0000-0000F6030000}"/>
    <cellStyle name="Migliaia [0] 36 2 2" xfId="3586" xr:uid="{00000000-0005-0000-0000-0000F7030000}"/>
    <cellStyle name="Migliaia [0] 36 3" xfId="3587" xr:uid="{00000000-0005-0000-0000-0000F8030000}"/>
    <cellStyle name="Migliaia [0] 37" xfId="413" xr:uid="{00000000-0005-0000-0000-0000F9030000}"/>
    <cellStyle name="Migliaia [0] 37 2" xfId="2195" xr:uid="{00000000-0005-0000-0000-0000FA030000}"/>
    <cellStyle name="Migliaia [0] 37 2 2" xfId="3588" xr:uid="{00000000-0005-0000-0000-0000FB030000}"/>
    <cellStyle name="Migliaia [0] 37 3" xfId="3589" xr:uid="{00000000-0005-0000-0000-0000FC030000}"/>
    <cellStyle name="Migliaia [0] 38" xfId="414" xr:uid="{00000000-0005-0000-0000-0000FD030000}"/>
    <cellStyle name="Migliaia [0] 38 2" xfId="2196" xr:uid="{00000000-0005-0000-0000-0000FE030000}"/>
    <cellStyle name="Migliaia [0] 38 2 2" xfId="3590" xr:uid="{00000000-0005-0000-0000-0000FF030000}"/>
    <cellStyle name="Migliaia [0] 38 3" xfId="3591" xr:uid="{00000000-0005-0000-0000-000000040000}"/>
    <cellStyle name="Migliaia [0] 39" xfId="415" xr:uid="{00000000-0005-0000-0000-000001040000}"/>
    <cellStyle name="Migliaia [0] 39 2" xfId="2197" xr:uid="{00000000-0005-0000-0000-000002040000}"/>
    <cellStyle name="Migliaia [0] 39 2 2" xfId="3592" xr:uid="{00000000-0005-0000-0000-000003040000}"/>
    <cellStyle name="Migliaia [0] 39 3" xfId="3593" xr:uid="{00000000-0005-0000-0000-000004040000}"/>
    <cellStyle name="Migliaia [0] 4" xfId="416" xr:uid="{00000000-0005-0000-0000-000005040000}"/>
    <cellStyle name="Migliaia [0] 4 2" xfId="2198" xr:uid="{00000000-0005-0000-0000-000006040000}"/>
    <cellStyle name="Migliaia [0] 4 2 2" xfId="3594" xr:uid="{00000000-0005-0000-0000-000007040000}"/>
    <cellStyle name="Migliaia [0] 4 3" xfId="3595" xr:uid="{00000000-0005-0000-0000-000008040000}"/>
    <cellStyle name="Migliaia [0] 40" xfId="417" xr:uid="{00000000-0005-0000-0000-000009040000}"/>
    <cellStyle name="Migliaia [0] 40 2" xfId="2199" xr:uid="{00000000-0005-0000-0000-00000A040000}"/>
    <cellStyle name="Migliaia [0] 40 2 2" xfId="3596" xr:uid="{00000000-0005-0000-0000-00000B040000}"/>
    <cellStyle name="Migliaia [0] 40 3" xfId="3597" xr:uid="{00000000-0005-0000-0000-00000C040000}"/>
    <cellStyle name="Migliaia [0] 41" xfId="418" xr:uid="{00000000-0005-0000-0000-00000D040000}"/>
    <cellStyle name="Migliaia [0] 41 2" xfId="2200" xr:uid="{00000000-0005-0000-0000-00000E040000}"/>
    <cellStyle name="Migliaia [0] 41 2 2" xfId="3598" xr:uid="{00000000-0005-0000-0000-00000F040000}"/>
    <cellStyle name="Migliaia [0] 41 3" xfId="3599" xr:uid="{00000000-0005-0000-0000-000010040000}"/>
    <cellStyle name="Migliaia [0] 42" xfId="419" xr:uid="{00000000-0005-0000-0000-000011040000}"/>
    <cellStyle name="Migliaia [0] 42 2" xfId="2201" xr:uid="{00000000-0005-0000-0000-000012040000}"/>
    <cellStyle name="Migliaia [0] 42 2 2" xfId="3600" xr:uid="{00000000-0005-0000-0000-000013040000}"/>
    <cellStyle name="Migliaia [0] 42 3" xfId="3601" xr:uid="{00000000-0005-0000-0000-000014040000}"/>
    <cellStyle name="Migliaia [0] 43" xfId="420" xr:uid="{00000000-0005-0000-0000-000015040000}"/>
    <cellStyle name="Migliaia [0] 43 2" xfId="2202" xr:uid="{00000000-0005-0000-0000-000016040000}"/>
    <cellStyle name="Migliaia [0] 43 2 2" xfId="3602" xr:uid="{00000000-0005-0000-0000-000017040000}"/>
    <cellStyle name="Migliaia [0] 43 3" xfId="3603" xr:uid="{00000000-0005-0000-0000-000018040000}"/>
    <cellStyle name="Migliaia [0] 44" xfId="421" xr:uid="{00000000-0005-0000-0000-000019040000}"/>
    <cellStyle name="Migliaia [0] 44 2" xfId="2203" xr:uid="{00000000-0005-0000-0000-00001A040000}"/>
    <cellStyle name="Migliaia [0] 44 2 2" xfId="3604" xr:uid="{00000000-0005-0000-0000-00001B040000}"/>
    <cellStyle name="Migliaia [0] 44 3" xfId="3605" xr:uid="{00000000-0005-0000-0000-00001C040000}"/>
    <cellStyle name="Migliaia [0] 45" xfId="422" xr:uid="{00000000-0005-0000-0000-00001D040000}"/>
    <cellStyle name="Migliaia [0] 45 2" xfId="2204" xr:uid="{00000000-0005-0000-0000-00001E040000}"/>
    <cellStyle name="Migliaia [0] 45 2 2" xfId="3606" xr:uid="{00000000-0005-0000-0000-00001F040000}"/>
    <cellStyle name="Migliaia [0] 45 3" xfId="3607" xr:uid="{00000000-0005-0000-0000-000020040000}"/>
    <cellStyle name="Migliaia [0] 46" xfId="423" xr:uid="{00000000-0005-0000-0000-000021040000}"/>
    <cellStyle name="Migliaia [0] 46 2" xfId="2205" xr:uid="{00000000-0005-0000-0000-000022040000}"/>
    <cellStyle name="Migliaia [0] 46 2 2" xfId="3608" xr:uid="{00000000-0005-0000-0000-000023040000}"/>
    <cellStyle name="Migliaia [0] 46 3" xfId="3609" xr:uid="{00000000-0005-0000-0000-000024040000}"/>
    <cellStyle name="Migliaia [0] 47" xfId="424" xr:uid="{00000000-0005-0000-0000-000025040000}"/>
    <cellStyle name="Migliaia [0] 47 2" xfId="2206" xr:uid="{00000000-0005-0000-0000-000026040000}"/>
    <cellStyle name="Migliaia [0] 47 2 2" xfId="3610" xr:uid="{00000000-0005-0000-0000-000027040000}"/>
    <cellStyle name="Migliaia [0] 47 3" xfId="3611" xr:uid="{00000000-0005-0000-0000-000028040000}"/>
    <cellStyle name="Migliaia [0] 48" xfId="425" xr:uid="{00000000-0005-0000-0000-000029040000}"/>
    <cellStyle name="Migliaia [0] 48 2" xfId="2207" xr:uid="{00000000-0005-0000-0000-00002A040000}"/>
    <cellStyle name="Migliaia [0] 48 2 2" xfId="3612" xr:uid="{00000000-0005-0000-0000-00002B040000}"/>
    <cellStyle name="Migliaia [0] 48 3" xfId="3613" xr:uid="{00000000-0005-0000-0000-00002C040000}"/>
    <cellStyle name="Migliaia [0] 49" xfId="426" xr:uid="{00000000-0005-0000-0000-00002D040000}"/>
    <cellStyle name="Migliaia [0] 49 2" xfId="2208" xr:uid="{00000000-0005-0000-0000-00002E040000}"/>
    <cellStyle name="Migliaia [0] 49 2 2" xfId="3614" xr:uid="{00000000-0005-0000-0000-00002F040000}"/>
    <cellStyle name="Migliaia [0] 49 3" xfId="3615" xr:uid="{00000000-0005-0000-0000-000030040000}"/>
    <cellStyle name="Migliaia [0] 5" xfId="427" xr:uid="{00000000-0005-0000-0000-000031040000}"/>
    <cellStyle name="Migliaia [0] 5 2" xfId="2209" xr:uid="{00000000-0005-0000-0000-000032040000}"/>
    <cellStyle name="Migliaia [0] 5 2 2" xfId="3616" xr:uid="{00000000-0005-0000-0000-000033040000}"/>
    <cellStyle name="Migliaia [0] 5 3" xfId="3617" xr:uid="{00000000-0005-0000-0000-000034040000}"/>
    <cellStyle name="Migliaia [0] 50" xfId="428" xr:uid="{00000000-0005-0000-0000-000035040000}"/>
    <cellStyle name="Migliaia [0] 50 2" xfId="2210" xr:uid="{00000000-0005-0000-0000-000036040000}"/>
    <cellStyle name="Migliaia [0] 50 2 2" xfId="3618" xr:uid="{00000000-0005-0000-0000-000037040000}"/>
    <cellStyle name="Migliaia [0] 50 3" xfId="3619" xr:uid="{00000000-0005-0000-0000-000038040000}"/>
    <cellStyle name="Migliaia [0] 51" xfId="429" xr:uid="{00000000-0005-0000-0000-000039040000}"/>
    <cellStyle name="Migliaia [0] 51 2" xfId="2211" xr:uid="{00000000-0005-0000-0000-00003A040000}"/>
    <cellStyle name="Migliaia [0] 51 2 2" xfId="3620" xr:uid="{00000000-0005-0000-0000-00003B040000}"/>
    <cellStyle name="Migliaia [0] 51 3" xfId="3621" xr:uid="{00000000-0005-0000-0000-00003C040000}"/>
    <cellStyle name="Migliaia [0] 52" xfId="430" xr:uid="{00000000-0005-0000-0000-00003D040000}"/>
    <cellStyle name="Migliaia [0] 52 2" xfId="2212" xr:uid="{00000000-0005-0000-0000-00003E040000}"/>
    <cellStyle name="Migliaia [0] 52 2 2" xfId="3622" xr:uid="{00000000-0005-0000-0000-00003F040000}"/>
    <cellStyle name="Migliaia [0] 52 3" xfId="3623" xr:uid="{00000000-0005-0000-0000-000040040000}"/>
    <cellStyle name="Migliaia [0] 53" xfId="431" xr:uid="{00000000-0005-0000-0000-000041040000}"/>
    <cellStyle name="Migliaia [0] 53 2" xfId="2213" xr:uid="{00000000-0005-0000-0000-000042040000}"/>
    <cellStyle name="Migliaia [0] 53 2 2" xfId="3624" xr:uid="{00000000-0005-0000-0000-000043040000}"/>
    <cellStyle name="Migliaia [0] 53 3" xfId="3625" xr:uid="{00000000-0005-0000-0000-000044040000}"/>
    <cellStyle name="Migliaia [0] 54" xfId="432" xr:uid="{00000000-0005-0000-0000-000045040000}"/>
    <cellStyle name="Migliaia [0] 54 2" xfId="2214" xr:uid="{00000000-0005-0000-0000-000046040000}"/>
    <cellStyle name="Migliaia [0] 54 2 2" xfId="3626" xr:uid="{00000000-0005-0000-0000-000047040000}"/>
    <cellStyle name="Migliaia [0] 54 3" xfId="3627" xr:uid="{00000000-0005-0000-0000-000048040000}"/>
    <cellStyle name="Migliaia [0] 55" xfId="433" xr:uid="{00000000-0005-0000-0000-000049040000}"/>
    <cellStyle name="Migliaia [0] 55 2" xfId="2215" xr:uid="{00000000-0005-0000-0000-00004A040000}"/>
    <cellStyle name="Migliaia [0] 55 2 2" xfId="3628" xr:uid="{00000000-0005-0000-0000-00004B040000}"/>
    <cellStyle name="Migliaia [0] 55 3" xfId="3629" xr:uid="{00000000-0005-0000-0000-00004C040000}"/>
    <cellStyle name="Migliaia [0] 56" xfId="434" xr:uid="{00000000-0005-0000-0000-00004D040000}"/>
    <cellStyle name="Migliaia [0] 56 2" xfId="2216" xr:uid="{00000000-0005-0000-0000-00004E040000}"/>
    <cellStyle name="Migliaia [0] 56 2 2" xfId="3630" xr:uid="{00000000-0005-0000-0000-00004F040000}"/>
    <cellStyle name="Migliaia [0] 56 3" xfId="3631" xr:uid="{00000000-0005-0000-0000-000050040000}"/>
    <cellStyle name="Migliaia [0] 57" xfId="435" xr:uid="{00000000-0005-0000-0000-000051040000}"/>
    <cellStyle name="Migliaia [0] 57 2" xfId="2217" xr:uid="{00000000-0005-0000-0000-000052040000}"/>
    <cellStyle name="Migliaia [0] 57 2 2" xfId="3632" xr:uid="{00000000-0005-0000-0000-000053040000}"/>
    <cellStyle name="Migliaia [0] 57 3" xfId="3633" xr:uid="{00000000-0005-0000-0000-000054040000}"/>
    <cellStyle name="Migliaia [0] 58" xfId="436" xr:uid="{00000000-0005-0000-0000-000055040000}"/>
    <cellStyle name="Migliaia [0] 58 2" xfId="2218" xr:uid="{00000000-0005-0000-0000-000056040000}"/>
    <cellStyle name="Migliaia [0] 58 2 2" xfId="3634" xr:uid="{00000000-0005-0000-0000-000057040000}"/>
    <cellStyle name="Migliaia [0] 58 3" xfId="3635" xr:uid="{00000000-0005-0000-0000-000058040000}"/>
    <cellStyle name="Migliaia [0] 59" xfId="437" xr:uid="{00000000-0005-0000-0000-000059040000}"/>
    <cellStyle name="Migliaia [0] 59 2" xfId="2219" xr:uid="{00000000-0005-0000-0000-00005A040000}"/>
    <cellStyle name="Migliaia [0] 59 2 2" xfId="3636" xr:uid="{00000000-0005-0000-0000-00005B040000}"/>
    <cellStyle name="Migliaia [0] 59 3" xfId="3637" xr:uid="{00000000-0005-0000-0000-00005C040000}"/>
    <cellStyle name="Migliaia [0] 6" xfId="438" xr:uid="{00000000-0005-0000-0000-00005D040000}"/>
    <cellStyle name="Migliaia [0] 6 2" xfId="2220" xr:uid="{00000000-0005-0000-0000-00005E040000}"/>
    <cellStyle name="Migliaia [0] 6 2 2" xfId="3638" xr:uid="{00000000-0005-0000-0000-00005F040000}"/>
    <cellStyle name="Migliaia [0] 6 3" xfId="3639" xr:uid="{00000000-0005-0000-0000-000060040000}"/>
    <cellStyle name="Migliaia [0] 7" xfId="439" xr:uid="{00000000-0005-0000-0000-000061040000}"/>
    <cellStyle name="Migliaia [0] 7 2" xfId="2221" xr:uid="{00000000-0005-0000-0000-000062040000}"/>
    <cellStyle name="Migliaia [0] 7 2 2" xfId="3640" xr:uid="{00000000-0005-0000-0000-000063040000}"/>
    <cellStyle name="Migliaia [0] 7 3" xfId="3641" xr:uid="{00000000-0005-0000-0000-000064040000}"/>
    <cellStyle name="Migliaia [0] 8" xfId="440" xr:uid="{00000000-0005-0000-0000-000065040000}"/>
    <cellStyle name="Migliaia [0] 8 2" xfId="2222" xr:uid="{00000000-0005-0000-0000-000066040000}"/>
    <cellStyle name="Migliaia [0] 8 2 2" xfId="3642" xr:uid="{00000000-0005-0000-0000-000067040000}"/>
    <cellStyle name="Migliaia [0] 8 3" xfId="3643" xr:uid="{00000000-0005-0000-0000-000068040000}"/>
    <cellStyle name="Migliaia [0] 9" xfId="441" xr:uid="{00000000-0005-0000-0000-000069040000}"/>
    <cellStyle name="Migliaia [0] 9 2" xfId="2223" xr:uid="{00000000-0005-0000-0000-00006A040000}"/>
    <cellStyle name="Migliaia [0] 9 2 2" xfId="3644" xr:uid="{00000000-0005-0000-0000-00006B040000}"/>
    <cellStyle name="Migliaia [0] 9 3" xfId="3645" xr:uid="{00000000-0005-0000-0000-00006C040000}"/>
    <cellStyle name="Migliaia 10" xfId="442" xr:uid="{00000000-0005-0000-0000-00006D040000}"/>
    <cellStyle name="Migliaia 10 2" xfId="443" xr:uid="{00000000-0005-0000-0000-00006E040000}"/>
    <cellStyle name="Migliaia 10 2 2" xfId="2224" xr:uid="{00000000-0005-0000-0000-00006F040000}"/>
    <cellStyle name="Migliaia 10 2 2 2" xfId="3646" xr:uid="{00000000-0005-0000-0000-000070040000}"/>
    <cellStyle name="Migliaia 10 3" xfId="444" xr:uid="{00000000-0005-0000-0000-000071040000}"/>
    <cellStyle name="Migliaia 10 3 2" xfId="445" xr:uid="{00000000-0005-0000-0000-000072040000}"/>
    <cellStyle name="Migliaia 10 3 2 2" xfId="3647" xr:uid="{00000000-0005-0000-0000-000073040000}"/>
    <cellStyle name="Migliaia 10 3 2 3" xfId="3648" xr:uid="{00000000-0005-0000-0000-000074040000}"/>
    <cellStyle name="Migliaia 10 3 3" xfId="446" xr:uid="{00000000-0005-0000-0000-000075040000}"/>
    <cellStyle name="Migliaia 10 3 3 2" xfId="2225" xr:uid="{00000000-0005-0000-0000-000076040000}"/>
    <cellStyle name="Migliaia 10 3 4" xfId="2226" xr:uid="{00000000-0005-0000-0000-000077040000}"/>
    <cellStyle name="Migliaia 10 4" xfId="447" xr:uid="{00000000-0005-0000-0000-000078040000}"/>
    <cellStyle name="Migliaia 10 4 2" xfId="2227" xr:uid="{00000000-0005-0000-0000-000079040000}"/>
    <cellStyle name="Migliaia 10 4 2 2" xfId="2228" xr:uid="{00000000-0005-0000-0000-00007A040000}"/>
    <cellStyle name="Migliaia 10 4 2 3" xfId="3649" xr:uid="{00000000-0005-0000-0000-00007B040000}"/>
    <cellStyle name="Migliaia 10 4 3" xfId="2229"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30" xr:uid="{00000000-0005-0000-0000-000080040000}"/>
    <cellStyle name="Migliaia 11 2 2 2" xfId="3650" xr:uid="{00000000-0005-0000-0000-000081040000}"/>
    <cellStyle name="Migliaia 11 3" xfId="451" xr:uid="{00000000-0005-0000-0000-000082040000}"/>
    <cellStyle name="Migliaia 11 3 2" xfId="452" xr:uid="{00000000-0005-0000-0000-000083040000}"/>
    <cellStyle name="Migliaia 11 3 2 2" xfId="3651" xr:uid="{00000000-0005-0000-0000-000084040000}"/>
    <cellStyle name="Migliaia 11 3 2 3" xfId="3652" xr:uid="{00000000-0005-0000-0000-000085040000}"/>
    <cellStyle name="Migliaia 11 3 3" xfId="453" xr:uid="{00000000-0005-0000-0000-000086040000}"/>
    <cellStyle name="Migliaia 11 3 3 2" xfId="2231" xr:uid="{00000000-0005-0000-0000-000087040000}"/>
    <cellStyle name="Migliaia 11 3 4" xfId="2232" xr:uid="{00000000-0005-0000-0000-000088040000}"/>
    <cellStyle name="Migliaia 11 4" xfId="454" xr:uid="{00000000-0005-0000-0000-000089040000}"/>
    <cellStyle name="Migliaia 11 4 2" xfId="2233" xr:uid="{00000000-0005-0000-0000-00008A040000}"/>
    <cellStyle name="Migliaia 11 4 2 2" xfId="2234" xr:uid="{00000000-0005-0000-0000-00008B040000}"/>
    <cellStyle name="Migliaia 11 4 2 3" xfId="3653" xr:uid="{00000000-0005-0000-0000-00008C040000}"/>
    <cellStyle name="Migliaia 11 4 3" xfId="2235"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6" xr:uid="{00000000-0005-0000-0000-000091040000}"/>
    <cellStyle name="Migliaia 12 2 2 2" xfId="3654" xr:uid="{00000000-0005-0000-0000-000092040000}"/>
    <cellStyle name="Migliaia 12 3" xfId="458" xr:uid="{00000000-0005-0000-0000-000093040000}"/>
    <cellStyle name="Migliaia 12 3 2" xfId="459" xr:uid="{00000000-0005-0000-0000-000094040000}"/>
    <cellStyle name="Migliaia 12 3 2 2" xfId="3655" xr:uid="{00000000-0005-0000-0000-000095040000}"/>
    <cellStyle name="Migliaia 12 3 2 3" xfId="3656" xr:uid="{00000000-0005-0000-0000-000096040000}"/>
    <cellStyle name="Migliaia 12 3 3" xfId="460" xr:uid="{00000000-0005-0000-0000-000097040000}"/>
    <cellStyle name="Migliaia 12 3 3 2" xfId="2237" xr:uid="{00000000-0005-0000-0000-000098040000}"/>
    <cellStyle name="Migliaia 12 3 4" xfId="2238" xr:uid="{00000000-0005-0000-0000-000099040000}"/>
    <cellStyle name="Migliaia 12 4" xfId="461" xr:uid="{00000000-0005-0000-0000-00009A040000}"/>
    <cellStyle name="Migliaia 12 4 2" xfId="2239" xr:uid="{00000000-0005-0000-0000-00009B040000}"/>
    <cellStyle name="Migliaia 12 4 2 2" xfId="2240" xr:uid="{00000000-0005-0000-0000-00009C040000}"/>
    <cellStyle name="Migliaia 12 4 2 3" xfId="3657" xr:uid="{00000000-0005-0000-0000-00009D040000}"/>
    <cellStyle name="Migliaia 12 4 3" xfId="2241"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2" xr:uid="{00000000-0005-0000-0000-0000A2040000}"/>
    <cellStyle name="Migliaia 13 2 2 2" xfId="3658" xr:uid="{00000000-0005-0000-0000-0000A3040000}"/>
    <cellStyle name="Migliaia 13 3" xfId="465" xr:uid="{00000000-0005-0000-0000-0000A4040000}"/>
    <cellStyle name="Migliaia 13 3 2" xfId="466" xr:uid="{00000000-0005-0000-0000-0000A5040000}"/>
    <cellStyle name="Migliaia 13 3 2 2" xfId="3659" xr:uid="{00000000-0005-0000-0000-0000A6040000}"/>
    <cellStyle name="Migliaia 13 3 2 3" xfId="3660" xr:uid="{00000000-0005-0000-0000-0000A7040000}"/>
    <cellStyle name="Migliaia 13 3 3" xfId="467" xr:uid="{00000000-0005-0000-0000-0000A8040000}"/>
    <cellStyle name="Migliaia 13 3 3 2" xfId="2243" xr:uid="{00000000-0005-0000-0000-0000A9040000}"/>
    <cellStyle name="Migliaia 13 3 4" xfId="2244" xr:uid="{00000000-0005-0000-0000-0000AA040000}"/>
    <cellStyle name="Migliaia 13 4" xfId="468" xr:uid="{00000000-0005-0000-0000-0000AB040000}"/>
    <cellStyle name="Migliaia 13 4 2" xfId="2245" xr:uid="{00000000-0005-0000-0000-0000AC040000}"/>
    <cellStyle name="Migliaia 13 4 2 2" xfId="2246" xr:uid="{00000000-0005-0000-0000-0000AD040000}"/>
    <cellStyle name="Migliaia 13 4 2 3" xfId="3661" xr:uid="{00000000-0005-0000-0000-0000AE040000}"/>
    <cellStyle name="Migliaia 13 4 3" xfId="2247"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8" xr:uid="{00000000-0005-0000-0000-0000B3040000}"/>
    <cellStyle name="Migliaia 14 2 2 2" xfId="3662" xr:uid="{00000000-0005-0000-0000-0000B4040000}"/>
    <cellStyle name="Migliaia 14 3" xfId="472" xr:uid="{00000000-0005-0000-0000-0000B5040000}"/>
    <cellStyle name="Migliaia 14 3 2" xfId="473" xr:uid="{00000000-0005-0000-0000-0000B6040000}"/>
    <cellStyle name="Migliaia 14 3 2 2" xfId="3663" xr:uid="{00000000-0005-0000-0000-0000B7040000}"/>
    <cellStyle name="Migliaia 14 3 2 3" xfId="3664" xr:uid="{00000000-0005-0000-0000-0000B8040000}"/>
    <cellStyle name="Migliaia 14 3 3" xfId="474" xr:uid="{00000000-0005-0000-0000-0000B9040000}"/>
    <cellStyle name="Migliaia 14 3 3 2" xfId="2249" xr:uid="{00000000-0005-0000-0000-0000BA040000}"/>
    <cellStyle name="Migliaia 14 3 4" xfId="2250" xr:uid="{00000000-0005-0000-0000-0000BB040000}"/>
    <cellStyle name="Migliaia 14 4" xfId="475" xr:uid="{00000000-0005-0000-0000-0000BC040000}"/>
    <cellStyle name="Migliaia 14 4 2" xfId="2251" xr:uid="{00000000-0005-0000-0000-0000BD040000}"/>
    <cellStyle name="Migliaia 14 4 2 2" xfId="2252" xr:uid="{00000000-0005-0000-0000-0000BE040000}"/>
    <cellStyle name="Migliaia 14 4 2 3" xfId="3665" xr:uid="{00000000-0005-0000-0000-0000BF040000}"/>
    <cellStyle name="Migliaia 14 4 3" xfId="2253"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4" xr:uid="{00000000-0005-0000-0000-0000C4040000}"/>
    <cellStyle name="Migliaia 15 2 2 2" xfId="3666" xr:uid="{00000000-0005-0000-0000-0000C5040000}"/>
    <cellStyle name="Migliaia 15 3" xfId="479" xr:uid="{00000000-0005-0000-0000-0000C6040000}"/>
    <cellStyle name="Migliaia 15 3 2" xfId="480" xr:uid="{00000000-0005-0000-0000-0000C7040000}"/>
    <cellStyle name="Migliaia 15 3 2 2" xfId="3667" xr:uid="{00000000-0005-0000-0000-0000C8040000}"/>
    <cellStyle name="Migliaia 15 3 2 3" xfId="3668" xr:uid="{00000000-0005-0000-0000-0000C9040000}"/>
    <cellStyle name="Migliaia 15 3 3" xfId="481" xr:uid="{00000000-0005-0000-0000-0000CA040000}"/>
    <cellStyle name="Migliaia 15 3 3 2" xfId="2255" xr:uid="{00000000-0005-0000-0000-0000CB040000}"/>
    <cellStyle name="Migliaia 15 3 4" xfId="2256" xr:uid="{00000000-0005-0000-0000-0000CC040000}"/>
    <cellStyle name="Migliaia 15 4" xfId="482" xr:uid="{00000000-0005-0000-0000-0000CD040000}"/>
    <cellStyle name="Migliaia 15 4 2" xfId="2257" xr:uid="{00000000-0005-0000-0000-0000CE040000}"/>
    <cellStyle name="Migliaia 15 4 2 2" xfId="2258" xr:uid="{00000000-0005-0000-0000-0000CF040000}"/>
    <cellStyle name="Migliaia 15 4 2 3" xfId="3669" xr:uid="{00000000-0005-0000-0000-0000D0040000}"/>
    <cellStyle name="Migliaia 15 4 3" xfId="2259"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60" xr:uid="{00000000-0005-0000-0000-0000D5040000}"/>
    <cellStyle name="Migliaia 16 2 2 2" xfId="3670" xr:uid="{00000000-0005-0000-0000-0000D6040000}"/>
    <cellStyle name="Migliaia 16 3" xfId="486" xr:uid="{00000000-0005-0000-0000-0000D7040000}"/>
    <cellStyle name="Migliaia 16 3 2" xfId="487" xr:uid="{00000000-0005-0000-0000-0000D8040000}"/>
    <cellStyle name="Migliaia 16 3 2 2" xfId="3671" xr:uid="{00000000-0005-0000-0000-0000D9040000}"/>
    <cellStyle name="Migliaia 16 3 2 3" xfId="3672" xr:uid="{00000000-0005-0000-0000-0000DA040000}"/>
    <cellStyle name="Migliaia 16 3 3" xfId="488" xr:uid="{00000000-0005-0000-0000-0000DB040000}"/>
    <cellStyle name="Migliaia 16 3 3 2" xfId="2261" xr:uid="{00000000-0005-0000-0000-0000DC040000}"/>
    <cellStyle name="Migliaia 16 3 4" xfId="2262" xr:uid="{00000000-0005-0000-0000-0000DD040000}"/>
    <cellStyle name="Migliaia 16 4" xfId="489" xr:uid="{00000000-0005-0000-0000-0000DE040000}"/>
    <cellStyle name="Migliaia 16 4 2" xfId="2263" xr:uid="{00000000-0005-0000-0000-0000DF040000}"/>
    <cellStyle name="Migliaia 16 4 2 2" xfId="2264" xr:uid="{00000000-0005-0000-0000-0000E0040000}"/>
    <cellStyle name="Migliaia 16 4 2 3" xfId="3673" xr:uid="{00000000-0005-0000-0000-0000E1040000}"/>
    <cellStyle name="Migliaia 16 4 3" xfId="2265"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6" xr:uid="{00000000-0005-0000-0000-0000E6040000}"/>
    <cellStyle name="Migliaia 17 2 2 2" xfId="3674" xr:uid="{00000000-0005-0000-0000-0000E7040000}"/>
    <cellStyle name="Migliaia 17 3" xfId="493" xr:uid="{00000000-0005-0000-0000-0000E8040000}"/>
    <cellStyle name="Migliaia 17 3 2" xfId="494" xr:uid="{00000000-0005-0000-0000-0000E9040000}"/>
    <cellStyle name="Migliaia 17 3 2 2" xfId="3675" xr:uid="{00000000-0005-0000-0000-0000EA040000}"/>
    <cellStyle name="Migliaia 17 3 2 3" xfId="3676" xr:uid="{00000000-0005-0000-0000-0000EB040000}"/>
    <cellStyle name="Migliaia 17 3 3" xfId="495" xr:uid="{00000000-0005-0000-0000-0000EC040000}"/>
    <cellStyle name="Migliaia 17 3 3 2" xfId="2267" xr:uid="{00000000-0005-0000-0000-0000ED040000}"/>
    <cellStyle name="Migliaia 17 3 4" xfId="2268" xr:uid="{00000000-0005-0000-0000-0000EE040000}"/>
    <cellStyle name="Migliaia 17 4" xfId="496" xr:uid="{00000000-0005-0000-0000-0000EF040000}"/>
    <cellStyle name="Migliaia 17 4 2" xfId="2269" xr:uid="{00000000-0005-0000-0000-0000F0040000}"/>
    <cellStyle name="Migliaia 17 4 2 2" xfId="2270" xr:uid="{00000000-0005-0000-0000-0000F1040000}"/>
    <cellStyle name="Migliaia 17 4 2 3" xfId="3677" xr:uid="{00000000-0005-0000-0000-0000F2040000}"/>
    <cellStyle name="Migliaia 17 4 3" xfId="2271"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2" xr:uid="{00000000-0005-0000-0000-0000F7040000}"/>
    <cellStyle name="Migliaia 18 2 2 2" xfId="3678" xr:uid="{00000000-0005-0000-0000-0000F8040000}"/>
    <cellStyle name="Migliaia 18 3" xfId="500" xr:uid="{00000000-0005-0000-0000-0000F9040000}"/>
    <cellStyle name="Migliaia 18 3 2" xfId="501" xr:uid="{00000000-0005-0000-0000-0000FA040000}"/>
    <cellStyle name="Migliaia 18 3 2 2" xfId="3679" xr:uid="{00000000-0005-0000-0000-0000FB040000}"/>
    <cellStyle name="Migliaia 18 3 2 3" xfId="3680" xr:uid="{00000000-0005-0000-0000-0000FC040000}"/>
    <cellStyle name="Migliaia 18 3 3" xfId="502" xr:uid="{00000000-0005-0000-0000-0000FD040000}"/>
    <cellStyle name="Migliaia 18 3 3 2" xfId="2273" xr:uid="{00000000-0005-0000-0000-0000FE040000}"/>
    <cellStyle name="Migliaia 18 3 4" xfId="2274" xr:uid="{00000000-0005-0000-0000-0000FF040000}"/>
    <cellStyle name="Migliaia 18 4" xfId="503" xr:uid="{00000000-0005-0000-0000-000000050000}"/>
    <cellStyle name="Migliaia 18 4 2" xfId="2275" xr:uid="{00000000-0005-0000-0000-000001050000}"/>
    <cellStyle name="Migliaia 18 4 2 2" xfId="2276" xr:uid="{00000000-0005-0000-0000-000002050000}"/>
    <cellStyle name="Migliaia 18 4 2 3" xfId="3681" xr:uid="{00000000-0005-0000-0000-000003050000}"/>
    <cellStyle name="Migliaia 18 4 3" xfId="2277"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8" xr:uid="{00000000-0005-0000-0000-000008050000}"/>
    <cellStyle name="Migliaia 19 2 2 2" xfId="3682" xr:uid="{00000000-0005-0000-0000-000009050000}"/>
    <cellStyle name="Migliaia 19 3" xfId="507" xr:uid="{00000000-0005-0000-0000-00000A050000}"/>
    <cellStyle name="Migliaia 19 3 2" xfId="508" xr:uid="{00000000-0005-0000-0000-00000B050000}"/>
    <cellStyle name="Migliaia 19 3 2 2" xfId="3683" xr:uid="{00000000-0005-0000-0000-00000C050000}"/>
    <cellStyle name="Migliaia 19 3 2 3" xfId="3684" xr:uid="{00000000-0005-0000-0000-00000D050000}"/>
    <cellStyle name="Migliaia 19 3 3" xfId="509" xr:uid="{00000000-0005-0000-0000-00000E050000}"/>
    <cellStyle name="Migliaia 19 3 3 2" xfId="2279" xr:uid="{00000000-0005-0000-0000-00000F050000}"/>
    <cellStyle name="Migliaia 19 3 4" xfId="2280" xr:uid="{00000000-0005-0000-0000-000010050000}"/>
    <cellStyle name="Migliaia 19 4" xfId="510" xr:uid="{00000000-0005-0000-0000-000011050000}"/>
    <cellStyle name="Migliaia 19 4 2" xfId="2281" xr:uid="{00000000-0005-0000-0000-000012050000}"/>
    <cellStyle name="Migliaia 19 4 2 2" xfId="2282" xr:uid="{00000000-0005-0000-0000-000013050000}"/>
    <cellStyle name="Migliaia 19 4 2 3" xfId="3685" xr:uid="{00000000-0005-0000-0000-000014050000}"/>
    <cellStyle name="Migliaia 19 4 3" xfId="2283"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4" xr:uid="{00000000-0005-0000-0000-000019050000}"/>
    <cellStyle name="Migliaia 2 2 2 2" xfId="3686" xr:uid="{00000000-0005-0000-0000-00001A050000}"/>
    <cellStyle name="Migliaia 2 2 3" xfId="3687" xr:uid="{00000000-0005-0000-0000-00001B050000}"/>
    <cellStyle name="Migliaia 2 3" xfId="514" xr:uid="{00000000-0005-0000-0000-00001C050000}"/>
    <cellStyle name="Migliaia 2 3 2" xfId="2285" xr:uid="{00000000-0005-0000-0000-00001D050000}"/>
    <cellStyle name="Migliaia 2 3 2 2" xfId="3688" xr:uid="{00000000-0005-0000-0000-00001E050000}"/>
    <cellStyle name="Migliaia 2 3 3" xfId="3689" xr:uid="{00000000-0005-0000-0000-00001F050000}"/>
    <cellStyle name="Migliaia 2 4" xfId="515" xr:uid="{00000000-0005-0000-0000-000020050000}"/>
    <cellStyle name="Migliaia 2 4 2" xfId="516" xr:uid="{00000000-0005-0000-0000-000021050000}"/>
    <cellStyle name="Migliaia 2 4 2 2" xfId="3690" xr:uid="{00000000-0005-0000-0000-000022050000}"/>
    <cellStyle name="Migliaia 2 4 2 3" xfId="3691" xr:uid="{00000000-0005-0000-0000-000023050000}"/>
    <cellStyle name="Migliaia 2 4 3" xfId="517" xr:uid="{00000000-0005-0000-0000-000024050000}"/>
    <cellStyle name="Migliaia 2 4 3 2" xfId="2286" xr:uid="{00000000-0005-0000-0000-000025050000}"/>
    <cellStyle name="Migliaia 2 4 4" xfId="2287" xr:uid="{00000000-0005-0000-0000-000026050000}"/>
    <cellStyle name="Migliaia 2 5" xfId="518" xr:uid="{00000000-0005-0000-0000-000027050000}"/>
    <cellStyle name="Migliaia 2 5 2" xfId="2288" xr:uid="{00000000-0005-0000-0000-000028050000}"/>
    <cellStyle name="Migliaia 2 5 2 2" xfId="2289" xr:uid="{00000000-0005-0000-0000-000029050000}"/>
    <cellStyle name="Migliaia 2 5 2 3" xfId="3692" xr:uid="{00000000-0005-0000-0000-00002A050000}"/>
    <cellStyle name="Migliaia 2 5 3" xfId="2290"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1" xr:uid="{00000000-0005-0000-0000-000030050000}"/>
    <cellStyle name="Migliaia 20 2 2 2" xfId="3693" xr:uid="{00000000-0005-0000-0000-000031050000}"/>
    <cellStyle name="Migliaia 20 3" xfId="523" xr:uid="{00000000-0005-0000-0000-000032050000}"/>
    <cellStyle name="Migliaia 20 3 2" xfId="524" xr:uid="{00000000-0005-0000-0000-000033050000}"/>
    <cellStyle name="Migliaia 20 3 2 2" xfId="3694" xr:uid="{00000000-0005-0000-0000-000034050000}"/>
    <cellStyle name="Migliaia 20 3 2 3" xfId="3695" xr:uid="{00000000-0005-0000-0000-000035050000}"/>
    <cellStyle name="Migliaia 20 3 3" xfId="525" xr:uid="{00000000-0005-0000-0000-000036050000}"/>
    <cellStyle name="Migliaia 20 3 3 2" xfId="2292" xr:uid="{00000000-0005-0000-0000-000037050000}"/>
    <cellStyle name="Migliaia 20 3 4" xfId="2293" xr:uid="{00000000-0005-0000-0000-000038050000}"/>
    <cellStyle name="Migliaia 20 4" xfId="526" xr:uid="{00000000-0005-0000-0000-000039050000}"/>
    <cellStyle name="Migliaia 20 4 2" xfId="2294" xr:uid="{00000000-0005-0000-0000-00003A050000}"/>
    <cellStyle name="Migliaia 20 4 2 2" xfId="2295" xr:uid="{00000000-0005-0000-0000-00003B050000}"/>
    <cellStyle name="Migliaia 20 4 2 3" xfId="3696" xr:uid="{00000000-0005-0000-0000-00003C050000}"/>
    <cellStyle name="Migliaia 20 4 3" xfId="2296"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7" xr:uid="{00000000-0005-0000-0000-000041050000}"/>
    <cellStyle name="Migliaia 21 2 2 2" xfId="3697" xr:uid="{00000000-0005-0000-0000-000042050000}"/>
    <cellStyle name="Migliaia 21 3" xfId="530" xr:uid="{00000000-0005-0000-0000-000043050000}"/>
    <cellStyle name="Migliaia 21 3 2" xfId="531" xr:uid="{00000000-0005-0000-0000-000044050000}"/>
    <cellStyle name="Migliaia 21 3 2 2" xfId="3698" xr:uid="{00000000-0005-0000-0000-000045050000}"/>
    <cellStyle name="Migliaia 21 3 2 3" xfId="3699" xr:uid="{00000000-0005-0000-0000-000046050000}"/>
    <cellStyle name="Migliaia 21 3 3" xfId="532" xr:uid="{00000000-0005-0000-0000-000047050000}"/>
    <cellStyle name="Migliaia 21 3 3 2" xfId="2298" xr:uid="{00000000-0005-0000-0000-000048050000}"/>
    <cellStyle name="Migliaia 21 3 4" xfId="2299" xr:uid="{00000000-0005-0000-0000-000049050000}"/>
    <cellStyle name="Migliaia 21 4" xfId="533" xr:uid="{00000000-0005-0000-0000-00004A050000}"/>
    <cellStyle name="Migliaia 21 4 2" xfId="2300" xr:uid="{00000000-0005-0000-0000-00004B050000}"/>
    <cellStyle name="Migliaia 21 4 2 2" xfId="2301" xr:uid="{00000000-0005-0000-0000-00004C050000}"/>
    <cellStyle name="Migliaia 21 4 2 3" xfId="3700" xr:uid="{00000000-0005-0000-0000-00004D050000}"/>
    <cellStyle name="Migliaia 21 4 3" xfId="2302"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3" xr:uid="{00000000-0005-0000-0000-000052050000}"/>
    <cellStyle name="Migliaia 22 2 2 2" xfId="3701" xr:uid="{00000000-0005-0000-0000-000053050000}"/>
    <cellStyle name="Migliaia 22 3" xfId="537" xr:uid="{00000000-0005-0000-0000-000054050000}"/>
    <cellStyle name="Migliaia 22 3 2" xfId="538" xr:uid="{00000000-0005-0000-0000-000055050000}"/>
    <cellStyle name="Migliaia 22 3 2 2" xfId="3702" xr:uid="{00000000-0005-0000-0000-000056050000}"/>
    <cellStyle name="Migliaia 22 3 2 3" xfId="3703" xr:uid="{00000000-0005-0000-0000-000057050000}"/>
    <cellStyle name="Migliaia 22 3 3" xfId="539" xr:uid="{00000000-0005-0000-0000-000058050000}"/>
    <cellStyle name="Migliaia 22 3 3 2" xfId="2304" xr:uid="{00000000-0005-0000-0000-000059050000}"/>
    <cellStyle name="Migliaia 22 3 4" xfId="2305" xr:uid="{00000000-0005-0000-0000-00005A050000}"/>
    <cellStyle name="Migliaia 22 4" xfId="540" xr:uid="{00000000-0005-0000-0000-00005B050000}"/>
    <cellStyle name="Migliaia 22 4 2" xfId="2306" xr:uid="{00000000-0005-0000-0000-00005C050000}"/>
    <cellStyle name="Migliaia 22 4 2 2" xfId="2307" xr:uid="{00000000-0005-0000-0000-00005D050000}"/>
    <cellStyle name="Migliaia 22 4 2 3" xfId="3704" xr:uid="{00000000-0005-0000-0000-00005E050000}"/>
    <cellStyle name="Migliaia 22 4 3" xfId="2308"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9" xr:uid="{00000000-0005-0000-0000-000063050000}"/>
    <cellStyle name="Migliaia 23 2 2 2" xfId="3705" xr:uid="{00000000-0005-0000-0000-000064050000}"/>
    <cellStyle name="Migliaia 23 3" xfId="544" xr:uid="{00000000-0005-0000-0000-000065050000}"/>
    <cellStyle name="Migliaia 23 3 2" xfId="545" xr:uid="{00000000-0005-0000-0000-000066050000}"/>
    <cellStyle name="Migliaia 23 3 2 2" xfId="3706" xr:uid="{00000000-0005-0000-0000-000067050000}"/>
    <cellStyle name="Migliaia 23 3 2 3" xfId="3707" xr:uid="{00000000-0005-0000-0000-000068050000}"/>
    <cellStyle name="Migliaia 23 3 3" xfId="546" xr:uid="{00000000-0005-0000-0000-000069050000}"/>
    <cellStyle name="Migliaia 23 3 3 2" xfId="2310" xr:uid="{00000000-0005-0000-0000-00006A050000}"/>
    <cellStyle name="Migliaia 23 3 4" xfId="2311" xr:uid="{00000000-0005-0000-0000-00006B050000}"/>
    <cellStyle name="Migliaia 23 4" xfId="547" xr:uid="{00000000-0005-0000-0000-00006C050000}"/>
    <cellStyle name="Migliaia 23 4 2" xfId="2312" xr:uid="{00000000-0005-0000-0000-00006D050000}"/>
    <cellStyle name="Migliaia 23 4 2 2" xfId="2313" xr:uid="{00000000-0005-0000-0000-00006E050000}"/>
    <cellStyle name="Migliaia 23 4 2 3" xfId="3708" xr:uid="{00000000-0005-0000-0000-00006F050000}"/>
    <cellStyle name="Migliaia 23 4 3" xfId="2314"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5" xr:uid="{00000000-0005-0000-0000-000074050000}"/>
    <cellStyle name="Migliaia 24 2 2 2" xfId="3709" xr:uid="{00000000-0005-0000-0000-000075050000}"/>
    <cellStyle name="Migliaia 24 3" xfId="551" xr:uid="{00000000-0005-0000-0000-000076050000}"/>
    <cellStyle name="Migliaia 24 3 2" xfId="552" xr:uid="{00000000-0005-0000-0000-000077050000}"/>
    <cellStyle name="Migliaia 24 3 2 2" xfId="3710" xr:uid="{00000000-0005-0000-0000-000078050000}"/>
    <cellStyle name="Migliaia 24 3 2 3" xfId="3711" xr:uid="{00000000-0005-0000-0000-000079050000}"/>
    <cellStyle name="Migliaia 24 3 3" xfId="553" xr:uid="{00000000-0005-0000-0000-00007A050000}"/>
    <cellStyle name="Migliaia 24 3 3 2" xfId="2316" xr:uid="{00000000-0005-0000-0000-00007B050000}"/>
    <cellStyle name="Migliaia 24 3 4" xfId="2317" xr:uid="{00000000-0005-0000-0000-00007C050000}"/>
    <cellStyle name="Migliaia 24 4" xfId="554" xr:uid="{00000000-0005-0000-0000-00007D050000}"/>
    <cellStyle name="Migliaia 24 4 2" xfId="2318" xr:uid="{00000000-0005-0000-0000-00007E050000}"/>
    <cellStyle name="Migliaia 24 4 2 2" xfId="2319" xr:uid="{00000000-0005-0000-0000-00007F050000}"/>
    <cellStyle name="Migliaia 24 4 2 3" xfId="3712" xr:uid="{00000000-0005-0000-0000-000080050000}"/>
    <cellStyle name="Migliaia 24 4 3" xfId="2320"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1" xr:uid="{00000000-0005-0000-0000-000085050000}"/>
    <cellStyle name="Migliaia 25 2 2 2" xfId="3713" xr:uid="{00000000-0005-0000-0000-000086050000}"/>
    <cellStyle name="Migliaia 25 3" xfId="558" xr:uid="{00000000-0005-0000-0000-000087050000}"/>
    <cellStyle name="Migliaia 25 3 2" xfId="559" xr:uid="{00000000-0005-0000-0000-000088050000}"/>
    <cellStyle name="Migliaia 25 3 2 2" xfId="3714" xr:uid="{00000000-0005-0000-0000-000089050000}"/>
    <cellStyle name="Migliaia 25 3 2 3" xfId="3715" xr:uid="{00000000-0005-0000-0000-00008A050000}"/>
    <cellStyle name="Migliaia 25 3 3" xfId="560" xr:uid="{00000000-0005-0000-0000-00008B050000}"/>
    <cellStyle name="Migliaia 25 3 3 2" xfId="2322" xr:uid="{00000000-0005-0000-0000-00008C050000}"/>
    <cellStyle name="Migliaia 25 3 4" xfId="2323" xr:uid="{00000000-0005-0000-0000-00008D050000}"/>
    <cellStyle name="Migliaia 25 4" xfId="561" xr:uid="{00000000-0005-0000-0000-00008E050000}"/>
    <cellStyle name="Migliaia 25 4 2" xfId="2324" xr:uid="{00000000-0005-0000-0000-00008F050000}"/>
    <cellStyle name="Migliaia 25 4 2 2" xfId="2325" xr:uid="{00000000-0005-0000-0000-000090050000}"/>
    <cellStyle name="Migliaia 25 4 2 3" xfId="3716" xr:uid="{00000000-0005-0000-0000-000091050000}"/>
    <cellStyle name="Migliaia 25 4 3" xfId="2326"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7" xr:uid="{00000000-0005-0000-0000-000096050000}"/>
    <cellStyle name="Migliaia 26 2 2 2" xfId="3717" xr:uid="{00000000-0005-0000-0000-000097050000}"/>
    <cellStyle name="Migliaia 26 3" xfId="565" xr:uid="{00000000-0005-0000-0000-000098050000}"/>
    <cellStyle name="Migliaia 26 3 2" xfId="566" xr:uid="{00000000-0005-0000-0000-000099050000}"/>
    <cellStyle name="Migliaia 26 3 2 2" xfId="3718" xr:uid="{00000000-0005-0000-0000-00009A050000}"/>
    <cellStyle name="Migliaia 26 3 2 3" xfId="3719" xr:uid="{00000000-0005-0000-0000-00009B050000}"/>
    <cellStyle name="Migliaia 26 3 3" xfId="567" xr:uid="{00000000-0005-0000-0000-00009C050000}"/>
    <cellStyle name="Migliaia 26 3 3 2" xfId="2328" xr:uid="{00000000-0005-0000-0000-00009D050000}"/>
    <cellStyle name="Migliaia 26 3 4" xfId="2329" xr:uid="{00000000-0005-0000-0000-00009E050000}"/>
    <cellStyle name="Migliaia 26 4" xfId="568" xr:uid="{00000000-0005-0000-0000-00009F050000}"/>
    <cellStyle name="Migliaia 26 4 2" xfId="2330" xr:uid="{00000000-0005-0000-0000-0000A0050000}"/>
    <cellStyle name="Migliaia 26 4 2 2" xfId="2331" xr:uid="{00000000-0005-0000-0000-0000A1050000}"/>
    <cellStyle name="Migliaia 26 4 2 3" xfId="3720" xr:uid="{00000000-0005-0000-0000-0000A2050000}"/>
    <cellStyle name="Migliaia 26 4 3" xfId="2332"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3" xr:uid="{00000000-0005-0000-0000-0000A7050000}"/>
    <cellStyle name="Migliaia 27 2 2 2" xfId="3721" xr:uid="{00000000-0005-0000-0000-0000A8050000}"/>
    <cellStyle name="Migliaia 27 3" xfId="572" xr:uid="{00000000-0005-0000-0000-0000A9050000}"/>
    <cellStyle name="Migliaia 27 3 2" xfId="573" xr:uid="{00000000-0005-0000-0000-0000AA050000}"/>
    <cellStyle name="Migliaia 27 3 2 2" xfId="3722" xr:uid="{00000000-0005-0000-0000-0000AB050000}"/>
    <cellStyle name="Migliaia 27 3 2 3" xfId="3723" xr:uid="{00000000-0005-0000-0000-0000AC050000}"/>
    <cellStyle name="Migliaia 27 3 3" xfId="574" xr:uid="{00000000-0005-0000-0000-0000AD050000}"/>
    <cellStyle name="Migliaia 27 3 3 2" xfId="2334" xr:uid="{00000000-0005-0000-0000-0000AE050000}"/>
    <cellStyle name="Migliaia 27 3 4" xfId="2335" xr:uid="{00000000-0005-0000-0000-0000AF050000}"/>
    <cellStyle name="Migliaia 27 4" xfId="575" xr:uid="{00000000-0005-0000-0000-0000B0050000}"/>
    <cellStyle name="Migliaia 27 4 2" xfId="2336" xr:uid="{00000000-0005-0000-0000-0000B1050000}"/>
    <cellStyle name="Migliaia 27 4 2 2" xfId="2337" xr:uid="{00000000-0005-0000-0000-0000B2050000}"/>
    <cellStyle name="Migliaia 27 4 2 3" xfId="3724" xr:uid="{00000000-0005-0000-0000-0000B3050000}"/>
    <cellStyle name="Migliaia 27 4 3" xfId="2338"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9" xr:uid="{00000000-0005-0000-0000-0000B8050000}"/>
    <cellStyle name="Migliaia 28 2 2 2" xfId="3725" xr:uid="{00000000-0005-0000-0000-0000B9050000}"/>
    <cellStyle name="Migliaia 28 3" xfId="579" xr:uid="{00000000-0005-0000-0000-0000BA050000}"/>
    <cellStyle name="Migliaia 28 3 2" xfId="580" xr:uid="{00000000-0005-0000-0000-0000BB050000}"/>
    <cellStyle name="Migliaia 28 3 2 2" xfId="3726" xr:uid="{00000000-0005-0000-0000-0000BC050000}"/>
    <cellStyle name="Migliaia 28 3 2 3" xfId="3727" xr:uid="{00000000-0005-0000-0000-0000BD050000}"/>
    <cellStyle name="Migliaia 28 3 3" xfId="581" xr:uid="{00000000-0005-0000-0000-0000BE050000}"/>
    <cellStyle name="Migliaia 28 3 3 2" xfId="2340" xr:uid="{00000000-0005-0000-0000-0000BF050000}"/>
    <cellStyle name="Migliaia 28 3 4" xfId="2341" xr:uid="{00000000-0005-0000-0000-0000C0050000}"/>
    <cellStyle name="Migliaia 28 4" xfId="582" xr:uid="{00000000-0005-0000-0000-0000C1050000}"/>
    <cellStyle name="Migliaia 28 4 2" xfId="2342" xr:uid="{00000000-0005-0000-0000-0000C2050000}"/>
    <cellStyle name="Migliaia 28 4 2 2" xfId="2343" xr:uid="{00000000-0005-0000-0000-0000C3050000}"/>
    <cellStyle name="Migliaia 28 4 2 3" xfId="3728" xr:uid="{00000000-0005-0000-0000-0000C4050000}"/>
    <cellStyle name="Migliaia 28 4 3" xfId="2344"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5" xr:uid="{00000000-0005-0000-0000-0000C9050000}"/>
    <cellStyle name="Migliaia 29 2 2 2" xfId="3729" xr:uid="{00000000-0005-0000-0000-0000CA050000}"/>
    <cellStyle name="Migliaia 29 3" xfId="586" xr:uid="{00000000-0005-0000-0000-0000CB050000}"/>
    <cellStyle name="Migliaia 29 3 2" xfId="587" xr:uid="{00000000-0005-0000-0000-0000CC050000}"/>
    <cellStyle name="Migliaia 29 3 2 2" xfId="3730" xr:uid="{00000000-0005-0000-0000-0000CD050000}"/>
    <cellStyle name="Migliaia 29 3 2 3" xfId="3731" xr:uid="{00000000-0005-0000-0000-0000CE050000}"/>
    <cellStyle name="Migliaia 29 3 3" xfId="588" xr:uid="{00000000-0005-0000-0000-0000CF050000}"/>
    <cellStyle name="Migliaia 29 3 3 2" xfId="2346" xr:uid="{00000000-0005-0000-0000-0000D0050000}"/>
    <cellStyle name="Migliaia 29 3 4" xfId="2347" xr:uid="{00000000-0005-0000-0000-0000D1050000}"/>
    <cellStyle name="Migliaia 29 4" xfId="589" xr:uid="{00000000-0005-0000-0000-0000D2050000}"/>
    <cellStyle name="Migliaia 29 4 2" xfId="2348" xr:uid="{00000000-0005-0000-0000-0000D3050000}"/>
    <cellStyle name="Migliaia 29 4 2 2" xfId="2349" xr:uid="{00000000-0005-0000-0000-0000D4050000}"/>
    <cellStyle name="Migliaia 29 4 2 3" xfId="3732" xr:uid="{00000000-0005-0000-0000-0000D5050000}"/>
    <cellStyle name="Migliaia 29 4 3" xfId="2350"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1" xr:uid="{00000000-0005-0000-0000-0000DA050000}"/>
    <cellStyle name="Migliaia 3 2 2 2" xfId="3733" xr:uid="{00000000-0005-0000-0000-0000DB050000}"/>
    <cellStyle name="Migliaia 3 3" xfId="593" xr:uid="{00000000-0005-0000-0000-0000DC050000}"/>
    <cellStyle name="Migliaia 3 3 2" xfId="594" xr:uid="{00000000-0005-0000-0000-0000DD050000}"/>
    <cellStyle name="Migliaia 3 3 2 2" xfId="3734" xr:uid="{00000000-0005-0000-0000-0000DE050000}"/>
    <cellStyle name="Migliaia 3 3 2 3" xfId="3735" xr:uid="{00000000-0005-0000-0000-0000DF050000}"/>
    <cellStyle name="Migliaia 3 3 3" xfId="595" xr:uid="{00000000-0005-0000-0000-0000E0050000}"/>
    <cellStyle name="Migliaia 3 3 3 2" xfId="2352" xr:uid="{00000000-0005-0000-0000-0000E1050000}"/>
    <cellStyle name="Migliaia 3 3 4" xfId="2353" xr:uid="{00000000-0005-0000-0000-0000E2050000}"/>
    <cellStyle name="Migliaia 3 4" xfId="596" xr:uid="{00000000-0005-0000-0000-0000E3050000}"/>
    <cellStyle name="Migliaia 3 4 2" xfId="2354" xr:uid="{00000000-0005-0000-0000-0000E4050000}"/>
    <cellStyle name="Migliaia 3 4 2 2" xfId="2355" xr:uid="{00000000-0005-0000-0000-0000E5050000}"/>
    <cellStyle name="Migliaia 3 4 2 3" xfId="3736" xr:uid="{00000000-0005-0000-0000-0000E6050000}"/>
    <cellStyle name="Migliaia 3 4 3" xfId="2356"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7" xr:uid="{00000000-0005-0000-0000-0000EB050000}"/>
    <cellStyle name="Migliaia 30 2 2 2" xfId="3737" xr:uid="{00000000-0005-0000-0000-0000EC050000}"/>
    <cellStyle name="Migliaia 30 3" xfId="600" xr:uid="{00000000-0005-0000-0000-0000ED050000}"/>
    <cellStyle name="Migliaia 30 3 2" xfId="601" xr:uid="{00000000-0005-0000-0000-0000EE050000}"/>
    <cellStyle name="Migliaia 30 3 2 2" xfId="3738" xr:uid="{00000000-0005-0000-0000-0000EF050000}"/>
    <cellStyle name="Migliaia 30 3 2 3" xfId="3739" xr:uid="{00000000-0005-0000-0000-0000F0050000}"/>
    <cellStyle name="Migliaia 30 3 3" xfId="602" xr:uid="{00000000-0005-0000-0000-0000F1050000}"/>
    <cellStyle name="Migliaia 30 3 3 2" xfId="2358" xr:uid="{00000000-0005-0000-0000-0000F2050000}"/>
    <cellStyle name="Migliaia 30 3 4" xfId="2359" xr:uid="{00000000-0005-0000-0000-0000F3050000}"/>
    <cellStyle name="Migliaia 30 4" xfId="603" xr:uid="{00000000-0005-0000-0000-0000F4050000}"/>
    <cellStyle name="Migliaia 30 4 2" xfId="2360" xr:uid="{00000000-0005-0000-0000-0000F5050000}"/>
    <cellStyle name="Migliaia 30 4 2 2" xfId="2361" xr:uid="{00000000-0005-0000-0000-0000F6050000}"/>
    <cellStyle name="Migliaia 30 4 2 3" xfId="3740" xr:uid="{00000000-0005-0000-0000-0000F7050000}"/>
    <cellStyle name="Migliaia 30 4 3" xfId="2362"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3" xr:uid="{00000000-0005-0000-0000-0000FC050000}"/>
    <cellStyle name="Migliaia 31 2 2 2" xfId="3741" xr:uid="{00000000-0005-0000-0000-0000FD050000}"/>
    <cellStyle name="Migliaia 31 3" xfId="607" xr:uid="{00000000-0005-0000-0000-0000FE050000}"/>
    <cellStyle name="Migliaia 31 3 2" xfId="608" xr:uid="{00000000-0005-0000-0000-0000FF050000}"/>
    <cellStyle name="Migliaia 31 3 2 2" xfId="3742" xr:uid="{00000000-0005-0000-0000-000000060000}"/>
    <cellStyle name="Migliaia 31 3 2 3" xfId="3743" xr:uid="{00000000-0005-0000-0000-000001060000}"/>
    <cellStyle name="Migliaia 31 3 3" xfId="609" xr:uid="{00000000-0005-0000-0000-000002060000}"/>
    <cellStyle name="Migliaia 31 3 3 2" xfId="2364" xr:uid="{00000000-0005-0000-0000-000003060000}"/>
    <cellStyle name="Migliaia 31 3 4" xfId="2365" xr:uid="{00000000-0005-0000-0000-000004060000}"/>
    <cellStyle name="Migliaia 31 4" xfId="610" xr:uid="{00000000-0005-0000-0000-000005060000}"/>
    <cellStyle name="Migliaia 31 4 2" xfId="2366" xr:uid="{00000000-0005-0000-0000-000006060000}"/>
    <cellStyle name="Migliaia 31 4 2 2" xfId="2367" xr:uid="{00000000-0005-0000-0000-000007060000}"/>
    <cellStyle name="Migliaia 31 4 2 3" xfId="3744" xr:uid="{00000000-0005-0000-0000-000008060000}"/>
    <cellStyle name="Migliaia 31 4 3" xfId="2368"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9" xr:uid="{00000000-0005-0000-0000-00000D060000}"/>
    <cellStyle name="Migliaia 32 2 2 2" xfId="3745" xr:uid="{00000000-0005-0000-0000-00000E060000}"/>
    <cellStyle name="Migliaia 32 3" xfId="614" xr:uid="{00000000-0005-0000-0000-00000F060000}"/>
    <cellStyle name="Migliaia 32 3 2" xfId="615" xr:uid="{00000000-0005-0000-0000-000010060000}"/>
    <cellStyle name="Migliaia 32 3 2 2" xfId="3746" xr:uid="{00000000-0005-0000-0000-000011060000}"/>
    <cellStyle name="Migliaia 32 3 2 3" xfId="3747" xr:uid="{00000000-0005-0000-0000-000012060000}"/>
    <cellStyle name="Migliaia 32 3 3" xfId="616" xr:uid="{00000000-0005-0000-0000-000013060000}"/>
    <cellStyle name="Migliaia 32 3 3 2" xfId="2370" xr:uid="{00000000-0005-0000-0000-000014060000}"/>
    <cellStyle name="Migliaia 32 3 4" xfId="2371" xr:uid="{00000000-0005-0000-0000-000015060000}"/>
    <cellStyle name="Migliaia 32 4" xfId="617" xr:uid="{00000000-0005-0000-0000-000016060000}"/>
    <cellStyle name="Migliaia 32 4 2" xfId="2372" xr:uid="{00000000-0005-0000-0000-000017060000}"/>
    <cellStyle name="Migliaia 32 4 2 2" xfId="2373" xr:uid="{00000000-0005-0000-0000-000018060000}"/>
    <cellStyle name="Migliaia 32 4 2 3" xfId="3748" xr:uid="{00000000-0005-0000-0000-000019060000}"/>
    <cellStyle name="Migliaia 32 4 3" xfId="2374"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5" xr:uid="{00000000-0005-0000-0000-00001E060000}"/>
    <cellStyle name="Migliaia 33 2 2 2" xfId="3749" xr:uid="{00000000-0005-0000-0000-00001F060000}"/>
    <cellStyle name="Migliaia 33 3" xfId="621" xr:uid="{00000000-0005-0000-0000-000020060000}"/>
    <cellStyle name="Migliaia 33 3 2" xfId="622" xr:uid="{00000000-0005-0000-0000-000021060000}"/>
    <cellStyle name="Migliaia 33 3 2 2" xfId="3750" xr:uid="{00000000-0005-0000-0000-000022060000}"/>
    <cellStyle name="Migliaia 33 3 2 3" xfId="3751" xr:uid="{00000000-0005-0000-0000-000023060000}"/>
    <cellStyle name="Migliaia 33 3 3" xfId="623" xr:uid="{00000000-0005-0000-0000-000024060000}"/>
    <cellStyle name="Migliaia 33 3 3 2" xfId="2376" xr:uid="{00000000-0005-0000-0000-000025060000}"/>
    <cellStyle name="Migliaia 33 3 4" xfId="2377" xr:uid="{00000000-0005-0000-0000-000026060000}"/>
    <cellStyle name="Migliaia 33 4" xfId="624" xr:uid="{00000000-0005-0000-0000-000027060000}"/>
    <cellStyle name="Migliaia 33 4 2" xfId="2378" xr:uid="{00000000-0005-0000-0000-000028060000}"/>
    <cellStyle name="Migliaia 33 4 2 2" xfId="2379" xr:uid="{00000000-0005-0000-0000-000029060000}"/>
    <cellStyle name="Migliaia 33 4 2 3" xfId="3752" xr:uid="{00000000-0005-0000-0000-00002A060000}"/>
    <cellStyle name="Migliaia 33 4 3" xfId="2380"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1" xr:uid="{00000000-0005-0000-0000-00002F060000}"/>
    <cellStyle name="Migliaia 34 2 2 2" xfId="3753" xr:uid="{00000000-0005-0000-0000-000030060000}"/>
    <cellStyle name="Migliaia 34 3" xfId="628" xr:uid="{00000000-0005-0000-0000-000031060000}"/>
    <cellStyle name="Migliaia 34 3 2" xfId="629" xr:uid="{00000000-0005-0000-0000-000032060000}"/>
    <cellStyle name="Migliaia 34 3 2 2" xfId="3754" xr:uid="{00000000-0005-0000-0000-000033060000}"/>
    <cellStyle name="Migliaia 34 3 2 3" xfId="3755" xr:uid="{00000000-0005-0000-0000-000034060000}"/>
    <cellStyle name="Migliaia 34 3 3" xfId="630" xr:uid="{00000000-0005-0000-0000-000035060000}"/>
    <cellStyle name="Migliaia 34 3 3 2" xfId="2382" xr:uid="{00000000-0005-0000-0000-000036060000}"/>
    <cellStyle name="Migliaia 34 3 4" xfId="2383" xr:uid="{00000000-0005-0000-0000-000037060000}"/>
    <cellStyle name="Migliaia 34 4" xfId="631" xr:uid="{00000000-0005-0000-0000-000038060000}"/>
    <cellStyle name="Migliaia 34 4 2" xfId="2384" xr:uid="{00000000-0005-0000-0000-000039060000}"/>
    <cellStyle name="Migliaia 34 4 2 2" xfId="2385" xr:uid="{00000000-0005-0000-0000-00003A060000}"/>
    <cellStyle name="Migliaia 34 4 2 3" xfId="3756" xr:uid="{00000000-0005-0000-0000-00003B060000}"/>
    <cellStyle name="Migliaia 34 4 3" xfId="2386"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7" xr:uid="{00000000-0005-0000-0000-000040060000}"/>
    <cellStyle name="Migliaia 35 2 2 2" xfId="3757" xr:uid="{00000000-0005-0000-0000-000041060000}"/>
    <cellStyle name="Migliaia 35 3" xfId="635" xr:uid="{00000000-0005-0000-0000-000042060000}"/>
    <cellStyle name="Migliaia 35 3 2" xfId="636" xr:uid="{00000000-0005-0000-0000-000043060000}"/>
    <cellStyle name="Migliaia 35 3 2 2" xfId="3758" xr:uid="{00000000-0005-0000-0000-000044060000}"/>
    <cellStyle name="Migliaia 35 3 2 3" xfId="3759" xr:uid="{00000000-0005-0000-0000-000045060000}"/>
    <cellStyle name="Migliaia 35 3 3" xfId="637" xr:uid="{00000000-0005-0000-0000-000046060000}"/>
    <cellStyle name="Migliaia 35 3 3 2" xfId="2388" xr:uid="{00000000-0005-0000-0000-000047060000}"/>
    <cellStyle name="Migliaia 35 3 4" xfId="2389" xr:uid="{00000000-0005-0000-0000-000048060000}"/>
    <cellStyle name="Migliaia 35 4" xfId="638" xr:uid="{00000000-0005-0000-0000-000049060000}"/>
    <cellStyle name="Migliaia 35 4 2" xfId="2390" xr:uid="{00000000-0005-0000-0000-00004A060000}"/>
    <cellStyle name="Migliaia 35 4 2 2" xfId="2391" xr:uid="{00000000-0005-0000-0000-00004B060000}"/>
    <cellStyle name="Migliaia 35 4 2 3" xfId="3760" xr:uid="{00000000-0005-0000-0000-00004C060000}"/>
    <cellStyle name="Migliaia 35 4 3" xfId="2392"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3" xr:uid="{00000000-0005-0000-0000-000051060000}"/>
    <cellStyle name="Migliaia 36 2 2 2" xfId="3761" xr:uid="{00000000-0005-0000-0000-000052060000}"/>
    <cellStyle name="Migliaia 36 3" xfId="642" xr:uid="{00000000-0005-0000-0000-000053060000}"/>
    <cellStyle name="Migliaia 36 3 2" xfId="643" xr:uid="{00000000-0005-0000-0000-000054060000}"/>
    <cellStyle name="Migliaia 36 3 2 2" xfId="3762" xr:uid="{00000000-0005-0000-0000-000055060000}"/>
    <cellStyle name="Migliaia 36 3 2 3" xfId="3763" xr:uid="{00000000-0005-0000-0000-000056060000}"/>
    <cellStyle name="Migliaia 36 3 3" xfId="644" xr:uid="{00000000-0005-0000-0000-000057060000}"/>
    <cellStyle name="Migliaia 36 3 3 2" xfId="2394" xr:uid="{00000000-0005-0000-0000-000058060000}"/>
    <cellStyle name="Migliaia 36 3 4" xfId="2395" xr:uid="{00000000-0005-0000-0000-000059060000}"/>
    <cellStyle name="Migliaia 36 4" xfId="645" xr:uid="{00000000-0005-0000-0000-00005A060000}"/>
    <cellStyle name="Migliaia 36 4 2" xfId="2396" xr:uid="{00000000-0005-0000-0000-00005B060000}"/>
    <cellStyle name="Migliaia 36 4 2 2" xfId="2397" xr:uid="{00000000-0005-0000-0000-00005C060000}"/>
    <cellStyle name="Migliaia 36 4 2 3" xfId="3764" xr:uid="{00000000-0005-0000-0000-00005D060000}"/>
    <cellStyle name="Migliaia 36 4 3" xfId="2398"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9" xr:uid="{00000000-0005-0000-0000-000062060000}"/>
    <cellStyle name="Migliaia 37 2 2 2" xfId="3765" xr:uid="{00000000-0005-0000-0000-000063060000}"/>
    <cellStyle name="Migliaia 37 3" xfId="649" xr:uid="{00000000-0005-0000-0000-000064060000}"/>
    <cellStyle name="Migliaia 37 3 2" xfId="650" xr:uid="{00000000-0005-0000-0000-000065060000}"/>
    <cellStyle name="Migliaia 37 3 2 2" xfId="3766" xr:uid="{00000000-0005-0000-0000-000066060000}"/>
    <cellStyle name="Migliaia 37 3 2 3" xfId="3767" xr:uid="{00000000-0005-0000-0000-000067060000}"/>
    <cellStyle name="Migliaia 37 3 3" xfId="651" xr:uid="{00000000-0005-0000-0000-000068060000}"/>
    <cellStyle name="Migliaia 37 3 3 2" xfId="2400" xr:uid="{00000000-0005-0000-0000-000069060000}"/>
    <cellStyle name="Migliaia 37 3 4" xfId="2401" xr:uid="{00000000-0005-0000-0000-00006A060000}"/>
    <cellStyle name="Migliaia 37 4" xfId="652" xr:uid="{00000000-0005-0000-0000-00006B060000}"/>
    <cellStyle name="Migliaia 37 4 2" xfId="2402" xr:uid="{00000000-0005-0000-0000-00006C060000}"/>
    <cellStyle name="Migliaia 37 4 2 2" xfId="2403" xr:uid="{00000000-0005-0000-0000-00006D060000}"/>
    <cellStyle name="Migliaia 37 4 2 3" xfId="3768" xr:uid="{00000000-0005-0000-0000-00006E060000}"/>
    <cellStyle name="Migliaia 37 4 3" xfId="2404"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5" xr:uid="{00000000-0005-0000-0000-000073060000}"/>
    <cellStyle name="Migliaia 38 2 2 2" xfId="3769" xr:uid="{00000000-0005-0000-0000-000074060000}"/>
    <cellStyle name="Migliaia 38 3" xfId="656" xr:uid="{00000000-0005-0000-0000-000075060000}"/>
    <cellStyle name="Migliaia 38 3 2" xfId="657" xr:uid="{00000000-0005-0000-0000-000076060000}"/>
    <cellStyle name="Migliaia 38 3 2 2" xfId="3770" xr:uid="{00000000-0005-0000-0000-000077060000}"/>
    <cellStyle name="Migliaia 38 3 2 3" xfId="3771" xr:uid="{00000000-0005-0000-0000-000078060000}"/>
    <cellStyle name="Migliaia 38 3 3" xfId="658" xr:uid="{00000000-0005-0000-0000-000079060000}"/>
    <cellStyle name="Migliaia 38 3 3 2" xfId="2406" xr:uid="{00000000-0005-0000-0000-00007A060000}"/>
    <cellStyle name="Migliaia 38 3 4" xfId="2407" xr:uid="{00000000-0005-0000-0000-00007B060000}"/>
    <cellStyle name="Migliaia 38 4" xfId="659" xr:uid="{00000000-0005-0000-0000-00007C060000}"/>
    <cellStyle name="Migliaia 38 4 2" xfId="2408" xr:uid="{00000000-0005-0000-0000-00007D060000}"/>
    <cellStyle name="Migliaia 38 4 2 2" xfId="2409" xr:uid="{00000000-0005-0000-0000-00007E060000}"/>
    <cellStyle name="Migliaia 38 4 2 3" xfId="3772" xr:uid="{00000000-0005-0000-0000-00007F060000}"/>
    <cellStyle name="Migliaia 38 4 3" xfId="2410"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1" xr:uid="{00000000-0005-0000-0000-000084060000}"/>
    <cellStyle name="Migliaia 39 2 2 2" xfId="3773" xr:uid="{00000000-0005-0000-0000-000085060000}"/>
    <cellStyle name="Migliaia 39 3" xfId="663" xr:uid="{00000000-0005-0000-0000-000086060000}"/>
    <cellStyle name="Migliaia 39 3 2" xfId="664" xr:uid="{00000000-0005-0000-0000-000087060000}"/>
    <cellStyle name="Migliaia 39 3 2 2" xfId="3774" xr:uid="{00000000-0005-0000-0000-000088060000}"/>
    <cellStyle name="Migliaia 39 3 2 3" xfId="3775" xr:uid="{00000000-0005-0000-0000-000089060000}"/>
    <cellStyle name="Migliaia 39 3 3" xfId="665" xr:uid="{00000000-0005-0000-0000-00008A060000}"/>
    <cellStyle name="Migliaia 39 3 3 2" xfId="2412" xr:uid="{00000000-0005-0000-0000-00008B060000}"/>
    <cellStyle name="Migliaia 39 3 4" xfId="2413" xr:uid="{00000000-0005-0000-0000-00008C060000}"/>
    <cellStyle name="Migliaia 39 4" xfId="666" xr:uid="{00000000-0005-0000-0000-00008D060000}"/>
    <cellStyle name="Migliaia 39 4 2" xfId="2414" xr:uid="{00000000-0005-0000-0000-00008E060000}"/>
    <cellStyle name="Migliaia 39 4 2 2" xfId="2415" xr:uid="{00000000-0005-0000-0000-00008F060000}"/>
    <cellStyle name="Migliaia 39 4 2 3" xfId="3776" xr:uid="{00000000-0005-0000-0000-000090060000}"/>
    <cellStyle name="Migliaia 39 4 3" xfId="2416"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7" xr:uid="{00000000-0005-0000-0000-000095060000}"/>
    <cellStyle name="Migliaia 4 2 2 2" xfId="3777" xr:uid="{00000000-0005-0000-0000-000096060000}"/>
    <cellStyle name="Migliaia 4 3" xfId="670" xr:uid="{00000000-0005-0000-0000-000097060000}"/>
    <cellStyle name="Migliaia 4 3 2" xfId="671" xr:uid="{00000000-0005-0000-0000-000098060000}"/>
    <cellStyle name="Migliaia 4 3 2 2" xfId="3778" xr:uid="{00000000-0005-0000-0000-000099060000}"/>
    <cellStyle name="Migliaia 4 3 2 3" xfId="3779" xr:uid="{00000000-0005-0000-0000-00009A060000}"/>
    <cellStyle name="Migliaia 4 3 3" xfId="672" xr:uid="{00000000-0005-0000-0000-00009B060000}"/>
    <cellStyle name="Migliaia 4 3 3 2" xfId="2418" xr:uid="{00000000-0005-0000-0000-00009C060000}"/>
    <cellStyle name="Migliaia 4 3 4" xfId="2419" xr:uid="{00000000-0005-0000-0000-00009D060000}"/>
    <cellStyle name="Migliaia 4 4" xfId="673" xr:uid="{00000000-0005-0000-0000-00009E060000}"/>
    <cellStyle name="Migliaia 4 4 2" xfId="2420" xr:uid="{00000000-0005-0000-0000-00009F060000}"/>
    <cellStyle name="Migliaia 4 4 2 2" xfId="2421" xr:uid="{00000000-0005-0000-0000-0000A0060000}"/>
    <cellStyle name="Migliaia 4 4 2 3" xfId="3780" xr:uid="{00000000-0005-0000-0000-0000A1060000}"/>
    <cellStyle name="Migliaia 4 4 3" xfId="2422"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3" xr:uid="{00000000-0005-0000-0000-0000A6060000}"/>
    <cellStyle name="Migliaia 40 2 2 2" xfId="3781" xr:uid="{00000000-0005-0000-0000-0000A7060000}"/>
    <cellStyle name="Migliaia 40 3" xfId="677" xr:uid="{00000000-0005-0000-0000-0000A8060000}"/>
    <cellStyle name="Migliaia 40 3 2" xfId="678" xr:uid="{00000000-0005-0000-0000-0000A9060000}"/>
    <cellStyle name="Migliaia 40 3 2 2" xfId="3782" xr:uid="{00000000-0005-0000-0000-0000AA060000}"/>
    <cellStyle name="Migliaia 40 3 2 3" xfId="3783" xr:uid="{00000000-0005-0000-0000-0000AB060000}"/>
    <cellStyle name="Migliaia 40 3 3" xfId="679" xr:uid="{00000000-0005-0000-0000-0000AC060000}"/>
    <cellStyle name="Migliaia 40 3 3 2" xfId="2424" xr:uid="{00000000-0005-0000-0000-0000AD060000}"/>
    <cellStyle name="Migliaia 40 3 4" xfId="2425" xr:uid="{00000000-0005-0000-0000-0000AE060000}"/>
    <cellStyle name="Migliaia 40 4" xfId="680" xr:uid="{00000000-0005-0000-0000-0000AF060000}"/>
    <cellStyle name="Migliaia 40 4 2" xfId="2426" xr:uid="{00000000-0005-0000-0000-0000B0060000}"/>
    <cellStyle name="Migliaia 40 4 2 2" xfId="2427" xr:uid="{00000000-0005-0000-0000-0000B1060000}"/>
    <cellStyle name="Migliaia 40 4 2 3" xfId="3784" xr:uid="{00000000-0005-0000-0000-0000B2060000}"/>
    <cellStyle name="Migliaia 40 4 3" xfId="2428"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9" xr:uid="{00000000-0005-0000-0000-0000B7060000}"/>
    <cellStyle name="Migliaia 41 2 2 2" xfId="3785" xr:uid="{00000000-0005-0000-0000-0000B8060000}"/>
    <cellStyle name="Migliaia 41 3" xfId="684" xr:uid="{00000000-0005-0000-0000-0000B9060000}"/>
    <cellStyle name="Migliaia 41 3 2" xfId="685" xr:uid="{00000000-0005-0000-0000-0000BA060000}"/>
    <cellStyle name="Migliaia 41 3 2 2" xfId="3786" xr:uid="{00000000-0005-0000-0000-0000BB060000}"/>
    <cellStyle name="Migliaia 41 3 2 3" xfId="3787" xr:uid="{00000000-0005-0000-0000-0000BC060000}"/>
    <cellStyle name="Migliaia 41 3 3" xfId="686" xr:uid="{00000000-0005-0000-0000-0000BD060000}"/>
    <cellStyle name="Migliaia 41 3 3 2" xfId="2430" xr:uid="{00000000-0005-0000-0000-0000BE060000}"/>
    <cellStyle name="Migliaia 41 3 4" xfId="2431" xr:uid="{00000000-0005-0000-0000-0000BF060000}"/>
    <cellStyle name="Migliaia 41 4" xfId="687" xr:uid="{00000000-0005-0000-0000-0000C0060000}"/>
    <cellStyle name="Migliaia 41 4 2" xfId="2432" xr:uid="{00000000-0005-0000-0000-0000C1060000}"/>
    <cellStyle name="Migliaia 41 4 2 2" xfId="2433" xr:uid="{00000000-0005-0000-0000-0000C2060000}"/>
    <cellStyle name="Migliaia 41 4 2 3" xfId="3788" xr:uid="{00000000-0005-0000-0000-0000C3060000}"/>
    <cellStyle name="Migliaia 41 4 3" xfId="2434"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5" xr:uid="{00000000-0005-0000-0000-0000C8060000}"/>
    <cellStyle name="Migliaia 42 2 2 2" xfId="3789" xr:uid="{00000000-0005-0000-0000-0000C9060000}"/>
    <cellStyle name="Migliaia 42 3" xfId="691" xr:uid="{00000000-0005-0000-0000-0000CA060000}"/>
    <cellStyle name="Migliaia 42 3 2" xfId="692" xr:uid="{00000000-0005-0000-0000-0000CB060000}"/>
    <cellStyle name="Migliaia 42 3 2 2" xfId="3790" xr:uid="{00000000-0005-0000-0000-0000CC060000}"/>
    <cellStyle name="Migliaia 42 3 2 3" xfId="3791" xr:uid="{00000000-0005-0000-0000-0000CD060000}"/>
    <cellStyle name="Migliaia 42 3 3" xfId="693" xr:uid="{00000000-0005-0000-0000-0000CE060000}"/>
    <cellStyle name="Migliaia 42 3 3 2" xfId="2436" xr:uid="{00000000-0005-0000-0000-0000CF060000}"/>
    <cellStyle name="Migliaia 42 3 4" xfId="2437" xr:uid="{00000000-0005-0000-0000-0000D0060000}"/>
    <cellStyle name="Migliaia 42 4" xfId="694" xr:uid="{00000000-0005-0000-0000-0000D1060000}"/>
    <cellStyle name="Migliaia 42 4 2" xfId="2438" xr:uid="{00000000-0005-0000-0000-0000D2060000}"/>
    <cellStyle name="Migliaia 42 4 2 2" xfId="2439" xr:uid="{00000000-0005-0000-0000-0000D3060000}"/>
    <cellStyle name="Migliaia 42 4 2 3" xfId="3792" xr:uid="{00000000-0005-0000-0000-0000D4060000}"/>
    <cellStyle name="Migliaia 42 4 3" xfId="2440"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1" xr:uid="{00000000-0005-0000-0000-0000D9060000}"/>
    <cellStyle name="Migliaia 43 2 2 2" xfId="3793" xr:uid="{00000000-0005-0000-0000-0000DA060000}"/>
    <cellStyle name="Migliaia 43 3" xfId="698" xr:uid="{00000000-0005-0000-0000-0000DB060000}"/>
    <cellStyle name="Migliaia 43 3 2" xfId="699" xr:uid="{00000000-0005-0000-0000-0000DC060000}"/>
    <cellStyle name="Migliaia 43 3 2 2" xfId="3794" xr:uid="{00000000-0005-0000-0000-0000DD060000}"/>
    <cellStyle name="Migliaia 43 3 2 3" xfId="3795" xr:uid="{00000000-0005-0000-0000-0000DE060000}"/>
    <cellStyle name="Migliaia 43 3 3" xfId="700" xr:uid="{00000000-0005-0000-0000-0000DF060000}"/>
    <cellStyle name="Migliaia 43 3 3 2" xfId="2442" xr:uid="{00000000-0005-0000-0000-0000E0060000}"/>
    <cellStyle name="Migliaia 43 3 4" xfId="2443" xr:uid="{00000000-0005-0000-0000-0000E1060000}"/>
    <cellStyle name="Migliaia 43 4" xfId="701" xr:uid="{00000000-0005-0000-0000-0000E2060000}"/>
    <cellStyle name="Migliaia 43 4 2" xfId="2444" xr:uid="{00000000-0005-0000-0000-0000E3060000}"/>
    <cellStyle name="Migliaia 43 4 2 2" xfId="2445" xr:uid="{00000000-0005-0000-0000-0000E4060000}"/>
    <cellStyle name="Migliaia 43 4 2 3" xfId="3796" xr:uid="{00000000-0005-0000-0000-0000E5060000}"/>
    <cellStyle name="Migliaia 43 4 3" xfId="2446"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7" xr:uid="{00000000-0005-0000-0000-0000EA060000}"/>
    <cellStyle name="Migliaia 44 2 2 2" xfId="3797" xr:uid="{00000000-0005-0000-0000-0000EB060000}"/>
    <cellStyle name="Migliaia 44 3" xfId="705" xr:uid="{00000000-0005-0000-0000-0000EC060000}"/>
    <cellStyle name="Migliaia 44 3 2" xfId="706" xr:uid="{00000000-0005-0000-0000-0000ED060000}"/>
    <cellStyle name="Migliaia 44 3 2 2" xfId="3798" xr:uid="{00000000-0005-0000-0000-0000EE060000}"/>
    <cellStyle name="Migliaia 44 3 2 3" xfId="3799" xr:uid="{00000000-0005-0000-0000-0000EF060000}"/>
    <cellStyle name="Migliaia 44 3 3" xfId="707" xr:uid="{00000000-0005-0000-0000-0000F0060000}"/>
    <cellStyle name="Migliaia 44 3 3 2" xfId="2448" xr:uid="{00000000-0005-0000-0000-0000F1060000}"/>
    <cellStyle name="Migliaia 44 3 4" xfId="2449" xr:uid="{00000000-0005-0000-0000-0000F2060000}"/>
    <cellStyle name="Migliaia 44 4" xfId="708" xr:uid="{00000000-0005-0000-0000-0000F3060000}"/>
    <cellStyle name="Migliaia 44 4 2" xfId="2450" xr:uid="{00000000-0005-0000-0000-0000F4060000}"/>
    <cellStyle name="Migliaia 44 4 2 2" xfId="2451" xr:uid="{00000000-0005-0000-0000-0000F5060000}"/>
    <cellStyle name="Migliaia 44 4 2 3" xfId="3800" xr:uid="{00000000-0005-0000-0000-0000F6060000}"/>
    <cellStyle name="Migliaia 44 4 3" xfId="2452"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3" xr:uid="{00000000-0005-0000-0000-0000FB060000}"/>
    <cellStyle name="Migliaia 45 2 2 2" xfId="3801" xr:uid="{00000000-0005-0000-0000-0000FC060000}"/>
    <cellStyle name="Migliaia 45 3" xfId="712" xr:uid="{00000000-0005-0000-0000-0000FD060000}"/>
    <cellStyle name="Migliaia 45 3 2" xfId="713" xr:uid="{00000000-0005-0000-0000-0000FE060000}"/>
    <cellStyle name="Migliaia 45 3 2 2" xfId="3802" xr:uid="{00000000-0005-0000-0000-0000FF060000}"/>
    <cellStyle name="Migliaia 45 3 2 3" xfId="3803" xr:uid="{00000000-0005-0000-0000-000000070000}"/>
    <cellStyle name="Migliaia 45 3 3" xfId="714" xr:uid="{00000000-0005-0000-0000-000001070000}"/>
    <cellStyle name="Migliaia 45 3 3 2" xfId="2454" xr:uid="{00000000-0005-0000-0000-000002070000}"/>
    <cellStyle name="Migliaia 45 3 4" xfId="2455" xr:uid="{00000000-0005-0000-0000-000003070000}"/>
    <cellStyle name="Migliaia 45 4" xfId="715" xr:uid="{00000000-0005-0000-0000-000004070000}"/>
    <cellStyle name="Migliaia 45 4 2" xfId="2456" xr:uid="{00000000-0005-0000-0000-000005070000}"/>
    <cellStyle name="Migliaia 45 4 2 2" xfId="2457" xr:uid="{00000000-0005-0000-0000-000006070000}"/>
    <cellStyle name="Migliaia 45 4 2 3" xfId="3804" xr:uid="{00000000-0005-0000-0000-000007070000}"/>
    <cellStyle name="Migliaia 45 4 3" xfId="2458"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9" xr:uid="{00000000-0005-0000-0000-00000C070000}"/>
    <cellStyle name="Migliaia 46 2 2 2" xfId="3805" xr:uid="{00000000-0005-0000-0000-00000D070000}"/>
    <cellStyle name="Migliaia 46 3" xfId="719" xr:uid="{00000000-0005-0000-0000-00000E070000}"/>
    <cellStyle name="Migliaia 46 3 2" xfId="720" xr:uid="{00000000-0005-0000-0000-00000F070000}"/>
    <cellStyle name="Migliaia 46 3 2 2" xfId="3806" xr:uid="{00000000-0005-0000-0000-000010070000}"/>
    <cellStyle name="Migliaia 46 3 2 3" xfId="3807" xr:uid="{00000000-0005-0000-0000-000011070000}"/>
    <cellStyle name="Migliaia 46 3 3" xfId="721" xr:uid="{00000000-0005-0000-0000-000012070000}"/>
    <cellStyle name="Migliaia 46 3 3 2" xfId="2460" xr:uid="{00000000-0005-0000-0000-000013070000}"/>
    <cellStyle name="Migliaia 46 3 4" xfId="2461" xr:uid="{00000000-0005-0000-0000-000014070000}"/>
    <cellStyle name="Migliaia 46 4" xfId="722" xr:uid="{00000000-0005-0000-0000-000015070000}"/>
    <cellStyle name="Migliaia 46 4 2" xfId="2462" xr:uid="{00000000-0005-0000-0000-000016070000}"/>
    <cellStyle name="Migliaia 46 4 2 2" xfId="2463" xr:uid="{00000000-0005-0000-0000-000017070000}"/>
    <cellStyle name="Migliaia 46 4 2 3" xfId="3808" xr:uid="{00000000-0005-0000-0000-000018070000}"/>
    <cellStyle name="Migliaia 46 4 3" xfId="2464"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5" xr:uid="{00000000-0005-0000-0000-00001D070000}"/>
    <cellStyle name="Migliaia 47 2 2 2" xfId="3809" xr:uid="{00000000-0005-0000-0000-00001E070000}"/>
    <cellStyle name="Migliaia 47 3" xfId="726" xr:uid="{00000000-0005-0000-0000-00001F070000}"/>
    <cellStyle name="Migliaia 47 3 2" xfId="727" xr:uid="{00000000-0005-0000-0000-000020070000}"/>
    <cellStyle name="Migliaia 47 3 2 2" xfId="3810" xr:uid="{00000000-0005-0000-0000-000021070000}"/>
    <cellStyle name="Migliaia 47 3 2 3" xfId="3811" xr:uid="{00000000-0005-0000-0000-000022070000}"/>
    <cellStyle name="Migliaia 47 3 3" xfId="728" xr:uid="{00000000-0005-0000-0000-000023070000}"/>
    <cellStyle name="Migliaia 47 3 3 2" xfId="2466" xr:uid="{00000000-0005-0000-0000-000024070000}"/>
    <cellStyle name="Migliaia 47 3 4" xfId="2467" xr:uid="{00000000-0005-0000-0000-000025070000}"/>
    <cellStyle name="Migliaia 47 4" xfId="729" xr:uid="{00000000-0005-0000-0000-000026070000}"/>
    <cellStyle name="Migliaia 47 4 2" xfId="2468" xr:uid="{00000000-0005-0000-0000-000027070000}"/>
    <cellStyle name="Migliaia 47 4 2 2" xfId="2469" xr:uid="{00000000-0005-0000-0000-000028070000}"/>
    <cellStyle name="Migliaia 47 4 2 3" xfId="3812" xr:uid="{00000000-0005-0000-0000-000029070000}"/>
    <cellStyle name="Migliaia 47 4 3" xfId="2470"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1" xr:uid="{00000000-0005-0000-0000-00002E070000}"/>
    <cellStyle name="Migliaia 48 2 2 2" xfId="3813" xr:uid="{00000000-0005-0000-0000-00002F070000}"/>
    <cellStyle name="Migliaia 48 3" xfId="733" xr:uid="{00000000-0005-0000-0000-000030070000}"/>
    <cellStyle name="Migliaia 48 3 2" xfId="734" xr:uid="{00000000-0005-0000-0000-000031070000}"/>
    <cellStyle name="Migliaia 48 3 2 2" xfId="3814" xr:uid="{00000000-0005-0000-0000-000032070000}"/>
    <cellStyle name="Migliaia 48 3 2 3" xfId="3815" xr:uid="{00000000-0005-0000-0000-000033070000}"/>
    <cellStyle name="Migliaia 48 3 3" xfId="735" xr:uid="{00000000-0005-0000-0000-000034070000}"/>
    <cellStyle name="Migliaia 48 3 3 2" xfId="2472" xr:uid="{00000000-0005-0000-0000-000035070000}"/>
    <cellStyle name="Migliaia 48 3 4" xfId="2473" xr:uid="{00000000-0005-0000-0000-000036070000}"/>
    <cellStyle name="Migliaia 48 4" xfId="736" xr:uid="{00000000-0005-0000-0000-000037070000}"/>
    <cellStyle name="Migliaia 48 4 2" xfId="2474" xr:uid="{00000000-0005-0000-0000-000038070000}"/>
    <cellStyle name="Migliaia 48 4 2 2" xfId="2475" xr:uid="{00000000-0005-0000-0000-000039070000}"/>
    <cellStyle name="Migliaia 48 4 2 3" xfId="3816" xr:uid="{00000000-0005-0000-0000-00003A070000}"/>
    <cellStyle name="Migliaia 48 4 3" xfId="2476"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7" xr:uid="{00000000-0005-0000-0000-00003F070000}"/>
    <cellStyle name="Migliaia 49 2 2 2" xfId="3817" xr:uid="{00000000-0005-0000-0000-000040070000}"/>
    <cellStyle name="Migliaia 49 3" xfId="740" xr:uid="{00000000-0005-0000-0000-000041070000}"/>
    <cellStyle name="Migliaia 49 3 2" xfId="741" xr:uid="{00000000-0005-0000-0000-000042070000}"/>
    <cellStyle name="Migliaia 49 3 2 2" xfId="3818" xr:uid="{00000000-0005-0000-0000-000043070000}"/>
    <cellStyle name="Migliaia 49 3 2 3" xfId="3819" xr:uid="{00000000-0005-0000-0000-000044070000}"/>
    <cellStyle name="Migliaia 49 3 3" xfId="742" xr:uid="{00000000-0005-0000-0000-000045070000}"/>
    <cellStyle name="Migliaia 49 3 3 2" xfId="2478" xr:uid="{00000000-0005-0000-0000-000046070000}"/>
    <cellStyle name="Migliaia 49 3 4" xfId="2479" xr:uid="{00000000-0005-0000-0000-000047070000}"/>
    <cellStyle name="Migliaia 49 4" xfId="743" xr:uid="{00000000-0005-0000-0000-000048070000}"/>
    <cellStyle name="Migliaia 49 4 2" xfId="2480" xr:uid="{00000000-0005-0000-0000-000049070000}"/>
    <cellStyle name="Migliaia 49 4 2 2" xfId="2481" xr:uid="{00000000-0005-0000-0000-00004A070000}"/>
    <cellStyle name="Migliaia 49 4 2 3" xfId="3820" xr:uid="{00000000-0005-0000-0000-00004B070000}"/>
    <cellStyle name="Migliaia 49 4 3" xfId="2482"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3" xr:uid="{00000000-0005-0000-0000-000050070000}"/>
    <cellStyle name="Migliaia 5 2 2 2" xfId="3821" xr:uid="{00000000-0005-0000-0000-000051070000}"/>
    <cellStyle name="Migliaia 5 3" xfId="747" xr:uid="{00000000-0005-0000-0000-000052070000}"/>
    <cellStyle name="Migliaia 5 3 2" xfId="748" xr:uid="{00000000-0005-0000-0000-000053070000}"/>
    <cellStyle name="Migliaia 5 3 2 2" xfId="3822" xr:uid="{00000000-0005-0000-0000-000054070000}"/>
    <cellStyle name="Migliaia 5 3 2 3" xfId="3823" xr:uid="{00000000-0005-0000-0000-000055070000}"/>
    <cellStyle name="Migliaia 5 3 3" xfId="749" xr:uid="{00000000-0005-0000-0000-000056070000}"/>
    <cellStyle name="Migliaia 5 3 3 2" xfId="2484" xr:uid="{00000000-0005-0000-0000-000057070000}"/>
    <cellStyle name="Migliaia 5 3 4" xfId="2485" xr:uid="{00000000-0005-0000-0000-000058070000}"/>
    <cellStyle name="Migliaia 5 4" xfId="750" xr:uid="{00000000-0005-0000-0000-000059070000}"/>
    <cellStyle name="Migliaia 5 4 2" xfId="2486" xr:uid="{00000000-0005-0000-0000-00005A070000}"/>
    <cellStyle name="Migliaia 5 4 2 2" xfId="2487" xr:uid="{00000000-0005-0000-0000-00005B070000}"/>
    <cellStyle name="Migliaia 5 4 2 3" xfId="3824" xr:uid="{00000000-0005-0000-0000-00005C070000}"/>
    <cellStyle name="Migliaia 5 4 3" xfId="2488"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9" xr:uid="{00000000-0005-0000-0000-000061070000}"/>
    <cellStyle name="Migliaia 50 2 2 2" xfId="3825" xr:uid="{00000000-0005-0000-0000-000062070000}"/>
    <cellStyle name="Migliaia 50 3" xfId="754" xr:uid="{00000000-0005-0000-0000-000063070000}"/>
    <cellStyle name="Migliaia 50 3 2" xfId="755" xr:uid="{00000000-0005-0000-0000-000064070000}"/>
    <cellStyle name="Migliaia 50 3 2 2" xfId="3826" xr:uid="{00000000-0005-0000-0000-000065070000}"/>
    <cellStyle name="Migliaia 50 3 2 3" xfId="3827" xr:uid="{00000000-0005-0000-0000-000066070000}"/>
    <cellStyle name="Migliaia 50 3 3" xfId="756" xr:uid="{00000000-0005-0000-0000-000067070000}"/>
    <cellStyle name="Migliaia 50 3 3 2" xfId="2490" xr:uid="{00000000-0005-0000-0000-000068070000}"/>
    <cellStyle name="Migliaia 50 3 4" xfId="2491" xr:uid="{00000000-0005-0000-0000-000069070000}"/>
    <cellStyle name="Migliaia 50 4" xfId="757" xr:uid="{00000000-0005-0000-0000-00006A070000}"/>
    <cellStyle name="Migliaia 50 4 2" xfId="2492" xr:uid="{00000000-0005-0000-0000-00006B070000}"/>
    <cellStyle name="Migliaia 50 4 2 2" xfId="2493" xr:uid="{00000000-0005-0000-0000-00006C070000}"/>
    <cellStyle name="Migliaia 50 4 2 3" xfId="3828" xr:uid="{00000000-0005-0000-0000-00006D070000}"/>
    <cellStyle name="Migliaia 50 4 3" xfId="2494"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5" xr:uid="{00000000-0005-0000-0000-000072070000}"/>
    <cellStyle name="Migliaia 51 2 2 2" xfId="3829" xr:uid="{00000000-0005-0000-0000-000073070000}"/>
    <cellStyle name="Migliaia 51 3" xfId="761" xr:uid="{00000000-0005-0000-0000-000074070000}"/>
    <cellStyle name="Migliaia 51 3 2" xfId="762" xr:uid="{00000000-0005-0000-0000-000075070000}"/>
    <cellStyle name="Migliaia 51 3 2 2" xfId="3830" xr:uid="{00000000-0005-0000-0000-000076070000}"/>
    <cellStyle name="Migliaia 51 3 2 3" xfId="3831" xr:uid="{00000000-0005-0000-0000-000077070000}"/>
    <cellStyle name="Migliaia 51 3 3" xfId="763" xr:uid="{00000000-0005-0000-0000-000078070000}"/>
    <cellStyle name="Migliaia 51 3 3 2" xfId="2496" xr:uid="{00000000-0005-0000-0000-000079070000}"/>
    <cellStyle name="Migliaia 51 3 4" xfId="2497" xr:uid="{00000000-0005-0000-0000-00007A070000}"/>
    <cellStyle name="Migliaia 51 4" xfId="764" xr:uid="{00000000-0005-0000-0000-00007B070000}"/>
    <cellStyle name="Migliaia 51 4 2" xfId="2498" xr:uid="{00000000-0005-0000-0000-00007C070000}"/>
    <cellStyle name="Migliaia 51 4 2 2" xfId="2499" xr:uid="{00000000-0005-0000-0000-00007D070000}"/>
    <cellStyle name="Migliaia 51 4 2 3" xfId="3832" xr:uid="{00000000-0005-0000-0000-00007E070000}"/>
    <cellStyle name="Migliaia 51 4 3" xfId="2500"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1" xr:uid="{00000000-0005-0000-0000-000083070000}"/>
    <cellStyle name="Migliaia 52 2 2 2" xfId="3833" xr:uid="{00000000-0005-0000-0000-000084070000}"/>
    <cellStyle name="Migliaia 52 3" xfId="768" xr:uid="{00000000-0005-0000-0000-000085070000}"/>
    <cellStyle name="Migliaia 52 3 2" xfId="769" xr:uid="{00000000-0005-0000-0000-000086070000}"/>
    <cellStyle name="Migliaia 52 3 2 2" xfId="3834" xr:uid="{00000000-0005-0000-0000-000087070000}"/>
    <cellStyle name="Migliaia 52 3 2 3" xfId="3835" xr:uid="{00000000-0005-0000-0000-000088070000}"/>
    <cellStyle name="Migliaia 52 3 3" xfId="770" xr:uid="{00000000-0005-0000-0000-000089070000}"/>
    <cellStyle name="Migliaia 52 3 3 2" xfId="2502" xr:uid="{00000000-0005-0000-0000-00008A070000}"/>
    <cellStyle name="Migliaia 52 3 4" xfId="2503" xr:uid="{00000000-0005-0000-0000-00008B070000}"/>
    <cellStyle name="Migliaia 52 4" xfId="771" xr:uid="{00000000-0005-0000-0000-00008C070000}"/>
    <cellStyle name="Migliaia 52 4 2" xfId="2504" xr:uid="{00000000-0005-0000-0000-00008D070000}"/>
    <cellStyle name="Migliaia 52 4 2 2" xfId="2505" xr:uid="{00000000-0005-0000-0000-00008E070000}"/>
    <cellStyle name="Migliaia 52 4 2 3" xfId="3836" xr:uid="{00000000-0005-0000-0000-00008F070000}"/>
    <cellStyle name="Migliaia 52 4 3" xfId="2506"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7" xr:uid="{00000000-0005-0000-0000-000094070000}"/>
    <cellStyle name="Migliaia 53 2 2 2" xfId="3837" xr:uid="{00000000-0005-0000-0000-000095070000}"/>
    <cellStyle name="Migliaia 53 3" xfId="775" xr:uid="{00000000-0005-0000-0000-000096070000}"/>
    <cellStyle name="Migliaia 53 3 2" xfId="776" xr:uid="{00000000-0005-0000-0000-000097070000}"/>
    <cellStyle name="Migliaia 53 3 2 2" xfId="3838" xr:uid="{00000000-0005-0000-0000-000098070000}"/>
    <cellStyle name="Migliaia 53 3 2 3" xfId="3839" xr:uid="{00000000-0005-0000-0000-000099070000}"/>
    <cellStyle name="Migliaia 53 3 3" xfId="777" xr:uid="{00000000-0005-0000-0000-00009A070000}"/>
    <cellStyle name="Migliaia 53 3 3 2" xfId="2508" xr:uid="{00000000-0005-0000-0000-00009B070000}"/>
    <cellStyle name="Migliaia 53 3 4" xfId="2509" xr:uid="{00000000-0005-0000-0000-00009C070000}"/>
    <cellStyle name="Migliaia 53 4" xfId="778" xr:uid="{00000000-0005-0000-0000-00009D070000}"/>
    <cellStyle name="Migliaia 53 4 2" xfId="2510" xr:uid="{00000000-0005-0000-0000-00009E070000}"/>
    <cellStyle name="Migliaia 53 4 2 2" xfId="2511" xr:uid="{00000000-0005-0000-0000-00009F070000}"/>
    <cellStyle name="Migliaia 53 4 2 3" xfId="3840" xr:uid="{00000000-0005-0000-0000-0000A0070000}"/>
    <cellStyle name="Migliaia 53 4 3" xfId="2512"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3" xr:uid="{00000000-0005-0000-0000-0000A5070000}"/>
    <cellStyle name="Migliaia 54 2 2 2" xfId="3841" xr:uid="{00000000-0005-0000-0000-0000A6070000}"/>
    <cellStyle name="Migliaia 54 3" xfId="782" xr:uid="{00000000-0005-0000-0000-0000A7070000}"/>
    <cellStyle name="Migliaia 54 3 2" xfId="783" xr:uid="{00000000-0005-0000-0000-0000A8070000}"/>
    <cellStyle name="Migliaia 54 3 2 2" xfId="3842" xr:uid="{00000000-0005-0000-0000-0000A9070000}"/>
    <cellStyle name="Migliaia 54 3 2 3" xfId="3843" xr:uid="{00000000-0005-0000-0000-0000AA070000}"/>
    <cellStyle name="Migliaia 54 3 3" xfId="784" xr:uid="{00000000-0005-0000-0000-0000AB070000}"/>
    <cellStyle name="Migliaia 54 3 3 2" xfId="2514" xr:uid="{00000000-0005-0000-0000-0000AC070000}"/>
    <cellStyle name="Migliaia 54 3 4" xfId="2515" xr:uid="{00000000-0005-0000-0000-0000AD070000}"/>
    <cellStyle name="Migliaia 54 4" xfId="785" xr:uid="{00000000-0005-0000-0000-0000AE070000}"/>
    <cellStyle name="Migliaia 54 4 2" xfId="2516" xr:uid="{00000000-0005-0000-0000-0000AF070000}"/>
    <cellStyle name="Migliaia 54 4 2 2" xfId="2517" xr:uid="{00000000-0005-0000-0000-0000B0070000}"/>
    <cellStyle name="Migliaia 54 4 2 3" xfId="3844" xr:uid="{00000000-0005-0000-0000-0000B1070000}"/>
    <cellStyle name="Migliaia 54 4 3" xfId="2518"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9" xr:uid="{00000000-0005-0000-0000-0000B6070000}"/>
    <cellStyle name="Migliaia 55 2 2 2" xfId="3845" xr:uid="{00000000-0005-0000-0000-0000B7070000}"/>
    <cellStyle name="Migliaia 55 3" xfId="789" xr:uid="{00000000-0005-0000-0000-0000B8070000}"/>
    <cellStyle name="Migliaia 55 3 2" xfId="790" xr:uid="{00000000-0005-0000-0000-0000B9070000}"/>
    <cellStyle name="Migliaia 55 3 2 2" xfId="3846" xr:uid="{00000000-0005-0000-0000-0000BA070000}"/>
    <cellStyle name="Migliaia 55 3 2 3" xfId="3847" xr:uid="{00000000-0005-0000-0000-0000BB070000}"/>
    <cellStyle name="Migliaia 55 3 3" xfId="791" xr:uid="{00000000-0005-0000-0000-0000BC070000}"/>
    <cellStyle name="Migliaia 55 3 3 2" xfId="2520" xr:uid="{00000000-0005-0000-0000-0000BD070000}"/>
    <cellStyle name="Migliaia 55 3 4" xfId="2521" xr:uid="{00000000-0005-0000-0000-0000BE070000}"/>
    <cellStyle name="Migliaia 55 4" xfId="792" xr:uid="{00000000-0005-0000-0000-0000BF070000}"/>
    <cellStyle name="Migliaia 55 4 2" xfId="2522" xr:uid="{00000000-0005-0000-0000-0000C0070000}"/>
    <cellStyle name="Migliaia 55 4 2 2" xfId="2523" xr:uid="{00000000-0005-0000-0000-0000C1070000}"/>
    <cellStyle name="Migliaia 55 4 2 3" xfId="3848" xr:uid="{00000000-0005-0000-0000-0000C2070000}"/>
    <cellStyle name="Migliaia 55 4 3" xfId="2524"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5" xr:uid="{00000000-0005-0000-0000-0000C7070000}"/>
    <cellStyle name="Migliaia 56 2 2 2" xfId="3849" xr:uid="{00000000-0005-0000-0000-0000C8070000}"/>
    <cellStyle name="Migliaia 56 3" xfId="796" xr:uid="{00000000-0005-0000-0000-0000C9070000}"/>
    <cellStyle name="Migliaia 56 3 2" xfId="797" xr:uid="{00000000-0005-0000-0000-0000CA070000}"/>
    <cellStyle name="Migliaia 56 3 2 2" xfId="3850" xr:uid="{00000000-0005-0000-0000-0000CB070000}"/>
    <cellStyle name="Migliaia 56 3 2 3" xfId="3851" xr:uid="{00000000-0005-0000-0000-0000CC070000}"/>
    <cellStyle name="Migliaia 56 3 3" xfId="798" xr:uid="{00000000-0005-0000-0000-0000CD070000}"/>
    <cellStyle name="Migliaia 56 3 3 2" xfId="2526" xr:uid="{00000000-0005-0000-0000-0000CE070000}"/>
    <cellStyle name="Migliaia 56 3 4" xfId="2527" xr:uid="{00000000-0005-0000-0000-0000CF070000}"/>
    <cellStyle name="Migliaia 56 4" xfId="799" xr:uid="{00000000-0005-0000-0000-0000D0070000}"/>
    <cellStyle name="Migliaia 56 4 2" xfId="2528" xr:uid="{00000000-0005-0000-0000-0000D1070000}"/>
    <cellStyle name="Migliaia 56 4 2 2" xfId="2529" xr:uid="{00000000-0005-0000-0000-0000D2070000}"/>
    <cellStyle name="Migliaia 56 4 2 3" xfId="3852" xr:uid="{00000000-0005-0000-0000-0000D3070000}"/>
    <cellStyle name="Migliaia 56 4 3" xfId="2530"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1" xr:uid="{00000000-0005-0000-0000-0000D8070000}"/>
    <cellStyle name="Migliaia 57 2 2 2" xfId="3853" xr:uid="{00000000-0005-0000-0000-0000D9070000}"/>
    <cellStyle name="Migliaia 57 3" xfId="803" xr:uid="{00000000-0005-0000-0000-0000DA070000}"/>
    <cellStyle name="Migliaia 57 3 2" xfId="804" xr:uid="{00000000-0005-0000-0000-0000DB070000}"/>
    <cellStyle name="Migliaia 57 3 2 2" xfId="3854" xr:uid="{00000000-0005-0000-0000-0000DC070000}"/>
    <cellStyle name="Migliaia 57 3 2 3" xfId="3855" xr:uid="{00000000-0005-0000-0000-0000DD070000}"/>
    <cellStyle name="Migliaia 57 3 3" xfId="805" xr:uid="{00000000-0005-0000-0000-0000DE070000}"/>
    <cellStyle name="Migliaia 57 3 3 2" xfId="2532" xr:uid="{00000000-0005-0000-0000-0000DF070000}"/>
    <cellStyle name="Migliaia 57 3 4" xfId="2533" xr:uid="{00000000-0005-0000-0000-0000E0070000}"/>
    <cellStyle name="Migliaia 57 4" xfId="806" xr:uid="{00000000-0005-0000-0000-0000E1070000}"/>
    <cellStyle name="Migliaia 57 4 2" xfId="2534" xr:uid="{00000000-0005-0000-0000-0000E2070000}"/>
    <cellStyle name="Migliaia 57 4 2 2" xfId="2535" xr:uid="{00000000-0005-0000-0000-0000E3070000}"/>
    <cellStyle name="Migliaia 57 4 2 3" xfId="3856" xr:uid="{00000000-0005-0000-0000-0000E4070000}"/>
    <cellStyle name="Migliaia 57 4 3" xfId="2536"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7" xr:uid="{00000000-0005-0000-0000-0000E9070000}"/>
    <cellStyle name="Migliaia 58 2 2 2" xfId="3857" xr:uid="{00000000-0005-0000-0000-0000EA070000}"/>
    <cellStyle name="Migliaia 58 3" xfId="810" xr:uid="{00000000-0005-0000-0000-0000EB070000}"/>
    <cellStyle name="Migliaia 58 3 2" xfId="811" xr:uid="{00000000-0005-0000-0000-0000EC070000}"/>
    <cellStyle name="Migliaia 58 3 2 2" xfId="3858" xr:uid="{00000000-0005-0000-0000-0000ED070000}"/>
    <cellStyle name="Migliaia 58 3 2 3" xfId="3859" xr:uid="{00000000-0005-0000-0000-0000EE070000}"/>
    <cellStyle name="Migliaia 58 3 3" xfId="812" xr:uid="{00000000-0005-0000-0000-0000EF070000}"/>
    <cellStyle name="Migliaia 58 3 3 2" xfId="2538" xr:uid="{00000000-0005-0000-0000-0000F0070000}"/>
    <cellStyle name="Migliaia 58 3 4" xfId="2539" xr:uid="{00000000-0005-0000-0000-0000F1070000}"/>
    <cellStyle name="Migliaia 58 4" xfId="813" xr:uid="{00000000-0005-0000-0000-0000F2070000}"/>
    <cellStyle name="Migliaia 58 4 2" xfId="2540" xr:uid="{00000000-0005-0000-0000-0000F3070000}"/>
    <cellStyle name="Migliaia 58 4 2 2" xfId="2541" xr:uid="{00000000-0005-0000-0000-0000F4070000}"/>
    <cellStyle name="Migliaia 58 4 2 3" xfId="3860" xr:uid="{00000000-0005-0000-0000-0000F5070000}"/>
    <cellStyle name="Migliaia 58 4 3" xfId="2542"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3" xr:uid="{00000000-0005-0000-0000-0000FA070000}"/>
    <cellStyle name="Migliaia 59 2 2 2" xfId="3861" xr:uid="{00000000-0005-0000-0000-0000FB070000}"/>
    <cellStyle name="Migliaia 59 3" xfId="817" xr:uid="{00000000-0005-0000-0000-0000FC070000}"/>
    <cellStyle name="Migliaia 59 3 2" xfId="818" xr:uid="{00000000-0005-0000-0000-0000FD070000}"/>
    <cellStyle name="Migliaia 59 3 2 2" xfId="3862" xr:uid="{00000000-0005-0000-0000-0000FE070000}"/>
    <cellStyle name="Migliaia 59 3 2 3" xfId="3863" xr:uid="{00000000-0005-0000-0000-0000FF070000}"/>
    <cellStyle name="Migliaia 59 3 3" xfId="819" xr:uid="{00000000-0005-0000-0000-000000080000}"/>
    <cellStyle name="Migliaia 59 3 3 2" xfId="2544" xr:uid="{00000000-0005-0000-0000-000001080000}"/>
    <cellStyle name="Migliaia 59 3 4" xfId="2545" xr:uid="{00000000-0005-0000-0000-000002080000}"/>
    <cellStyle name="Migliaia 59 4" xfId="820" xr:uid="{00000000-0005-0000-0000-000003080000}"/>
    <cellStyle name="Migliaia 59 4 2" xfId="2546" xr:uid="{00000000-0005-0000-0000-000004080000}"/>
    <cellStyle name="Migliaia 59 4 2 2" xfId="2547" xr:uid="{00000000-0005-0000-0000-000005080000}"/>
    <cellStyle name="Migliaia 59 4 2 3" xfId="3864" xr:uid="{00000000-0005-0000-0000-000006080000}"/>
    <cellStyle name="Migliaia 59 4 3" xfId="2548"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9" xr:uid="{00000000-0005-0000-0000-00000B080000}"/>
    <cellStyle name="Migliaia 6 2 2 2" xfId="3865" xr:uid="{00000000-0005-0000-0000-00000C080000}"/>
    <cellStyle name="Migliaia 6 3" xfId="824" xr:uid="{00000000-0005-0000-0000-00000D080000}"/>
    <cellStyle name="Migliaia 6 3 2" xfId="825" xr:uid="{00000000-0005-0000-0000-00000E080000}"/>
    <cellStyle name="Migliaia 6 3 2 2" xfId="3866" xr:uid="{00000000-0005-0000-0000-00000F080000}"/>
    <cellStyle name="Migliaia 6 3 2 3" xfId="3867" xr:uid="{00000000-0005-0000-0000-000010080000}"/>
    <cellStyle name="Migliaia 6 3 3" xfId="826" xr:uid="{00000000-0005-0000-0000-000011080000}"/>
    <cellStyle name="Migliaia 6 3 3 2" xfId="2550" xr:uid="{00000000-0005-0000-0000-000012080000}"/>
    <cellStyle name="Migliaia 6 3 4" xfId="2551" xr:uid="{00000000-0005-0000-0000-000013080000}"/>
    <cellStyle name="Migliaia 6 4" xfId="827" xr:uid="{00000000-0005-0000-0000-000014080000}"/>
    <cellStyle name="Migliaia 6 4 2" xfId="2552" xr:uid="{00000000-0005-0000-0000-000015080000}"/>
    <cellStyle name="Migliaia 6 4 2 2" xfId="2553" xr:uid="{00000000-0005-0000-0000-000016080000}"/>
    <cellStyle name="Migliaia 6 4 2 3" xfId="3868" xr:uid="{00000000-0005-0000-0000-000017080000}"/>
    <cellStyle name="Migliaia 6 4 3" xfId="2554"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5" xr:uid="{00000000-0005-0000-0000-00001C080000}"/>
    <cellStyle name="Migliaia 60 2 2 2" xfId="3869" xr:uid="{00000000-0005-0000-0000-00001D080000}"/>
    <cellStyle name="Migliaia 60 3" xfId="831" xr:uid="{00000000-0005-0000-0000-00001E080000}"/>
    <cellStyle name="Migliaia 60 3 2" xfId="832" xr:uid="{00000000-0005-0000-0000-00001F080000}"/>
    <cellStyle name="Migliaia 60 3 2 2" xfId="3870" xr:uid="{00000000-0005-0000-0000-000020080000}"/>
    <cellStyle name="Migliaia 60 3 2 3" xfId="3871" xr:uid="{00000000-0005-0000-0000-000021080000}"/>
    <cellStyle name="Migliaia 60 3 3" xfId="833" xr:uid="{00000000-0005-0000-0000-000022080000}"/>
    <cellStyle name="Migliaia 60 3 3 2" xfId="2556" xr:uid="{00000000-0005-0000-0000-000023080000}"/>
    <cellStyle name="Migliaia 60 3 4" xfId="2557" xr:uid="{00000000-0005-0000-0000-000024080000}"/>
    <cellStyle name="Migliaia 60 4" xfId="834" xr:uid="{00000000-0005-0000-0000-000025080000}"/>
    <cellStyle name="Migliaia 60 4 2" xfId="2558" xr:uid="{00000000-0005-0000-0000-000026080000}"/>
    <cellStyle name="Migliaia 60 4 2 2" xfId="2559" xr:uid="{00000000-0005-0000-0000-000027080000}"/>
    <cellStyle name="Migliaia 60 4 2 3" xfId="3872" xr:uid="{00000000-0005-0000-0000-000028080000}"/>
    <cellStyle name="Migliaia 60 4 3" xfId="2560"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1" xr:uid="{00000000-0005-0000-0000-00002D080000}"/>
    <cellStyle name="Migliaia 61 2 2 2" xfId="3873" xr:uid="{00000000-0005-0000-0000-00002E080000}"/>
    <cellStyle name="Migliaia 61 3" xfId="838" xr:uid="{00000000-0005-0000-0000-00002F080000}"/>
    <cellStyle name="Migliaia 61 3 2" xfId="839" xr:uid="{00000000-0005-0000-0000-000030080000}"/>
    <cellStyle name="Migliaia 61 3 2 2" xfId="3874" xr:uid="{00000000-0005-0000-0000-000031080000}"/>
    <cellStyle name="Migliaia 61 3 2 3" xfId="3875" xr:uid="{00000000-0005-0000-0000-000032080000}"/>
    <cellStyle name="Migliaia 61 3 3" xfId="840" xr:uid="{00000000-0005-0000-0000-000033080000}"/>
    <cellStyle name="Migliaia 61 3 3 2" xfId="2562" xr:uid="{00000000-0005-0000-0000-000034080000}"/>
    <cellStyle name="Migliaia 61 3 4" xfId="2563" xr:uid="{00000000-0005-0000-0000-000035080000}"/>
    <cellStyle name="Migliaia 61 4" xfId="841" xr:uid="{00000000-0005-0000-0000-000036080000}"/>
    <cellStyle name="Migliaia 61 4 2" xfId="2564" xr:uid="{00000000-0005-0000-0000-000037080000}"/>
    <cellStyle name="Migliaia 61 4 2 2" xfId="2565" xr:uid="{00000000-0005-0000-0000-000038080000}"/>
    <cellStyle name="Migliaia 61 4 2 3" xfId="3876" xr:uid="{00000000-0005-0000-0000-000039080000}"/>
    <cellStyle name="Migliaia 61 4 3" xfId="2566"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7" xr:uid="{00000000-0005-0000-0000-00003E080000}"/>
    <cellStyle name="Migliaia 7 2 2 2" xfId="3877" xr:uid="{00000000-0005-0000-0000-00003F080000}"/>
    <cellStyle name="Migliaia 7 3" xfId="845" xr:uid="{00000000-0005-0000-0000-000040080000}"/>
    <cellStyle name="Migliaia 7 3 2" xfId="846" xr:uid="{00000000-0005-0000-0000-000041080000}"/>
    <cellStyle name="Migliaia 7 3 2 2" xfId="3878" xr:uid="{00000000-0005-0000-0000-000042080000}"/>
    <cellStyle name="Migliaia 7 3 2 3" xfId="3879" xr:uid="{00000000-0005-0000-0000-000043080000}"/>
    <cellStyle name="Migliaia 7 3 3" xfId="847" xr:uid="{00000000-0005-0000-0000-000044080000}"/>
    <cellStyle name="Migliaia 7 3 3 2" xfId="2568" xr:uid="{00000000-0005-0000-0000-000045080000}"/>
    <cellStyle name="Migliaia 7 3 4" xfId="2569" xr:uid="{00000000-0005-0000-0000-000046080000}"/>
    <cellStyle name="Migliaia 7 4" xfId="848" xr:uid="{00000000-0005-0000-0000-000047080000}"/>
    <cellStyle name="Migliaia 7 4 2" xfId="2570" xr:uid="{00000000-0005-0000-0000-000048080000}"/>
    <cellStyle name="Migliaia 7 4 2 2" xfId="2571" xr:uid="{00000000-0005-0000-0000-000049080000}"/>
    <cellStyle name="Migliaia 7 4 2 3" xfId="3880" xr:uid="{00000000-0005-0000-0000-00004A080000}"/>
    <cellStyle name="Migliaia 7 4 3" xfId="2572"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3" xr:uid="{00000000-0005-0000-0000-00004F080000}"/>
    <cellStyle name="Migliaia 8 2 2 2" xfId="3881" xr:uid="{00000000-0005-0000-0000-000050080000}"/>
    <cellStyle name="Migliaia 8 3" xfId="852" xr:uid="{00000000-0005-0000-0000-000051080000}"/>
    <cellStyle name="Migliaia 8 3 2" xfId="853" xr:uid="{00000000-0005-0000-0000-000052080000}"/>
    <cellStyle name="Migliaia 8 3 2 2" xfId="3882" xr:uid="{00000000-0005-0000-0000-000053080000}"/>
    <cellStyle name="Migliaia 8 3 2 3" xfId="3883" xr:uid="{00000000-0005-0000-0000-000054080000}"/>
    <cellStyle name="Migliaia 8 3 3" xfId="854" xr:uid="{00000000-0005-0000-0000-000055080000}"/>
    <cellStyle name="Migliaia 8 3 3 2" xfId="2574" xr:uid="{00000000-0005-0000-0000-000056080000}"/>
    <cellStyle name="Migliaia 8 3 4" xfId="2575" xr:uid="{00000000-0005-0000-0000-000057080000}"/>
    <cellStyle name="Migliaia 8 4" xfId="855" xr:uid="{00000000-0005-0000-0000-000058080000}"/>
    <cellStyle name="Migliaia 8 4 2" xfId="2576" xr:uid="{00000000-0005-0000-0000-000059080000}"/>
    <cellStyle name="Migliaia 8 4 2 2" xfId="2577" xr:uid="{00000000-0005-0000-0000-00005A080000}"/>
    <cellStyle name="Migliaia 8 4 2 3" xfId="3884" xr:uid="{00000000-0005-0000-0000-00005B080000}"/>
    <cellStyle name="Migliaia 8 4 3" xfId="2578"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9" xr:uid="{00000000-0005-0000-0000-000060080000}"/>
    <cellStyle name="Migliaia 9 2 2 2" xfId="3885" xr:uid="{00000000-0005-0000-0000-000061080000}"/>
    <cellStyle name="Migliaia 9 3" xfId="859" xr:uid="{00000000-0005-0000-0000-000062080000}"/>
    <cellStyle name="Migliaia 9 3 2" xfId="860" xr:uid="{00000000-0005-0000-0000-000063080000}"/>
    <cellStyle name="Migliaia 9 3 2 2" xfId="3886" xr:uid="{00000000-0005-0000-0000-000064080000}"/>
    <cellStyle name="Migliaia 9 3 2 3" xfId="3887" xr:uid="{00000000-0005-0000-0000-000065080000}"/>
    <cellStyle name="Migliaia 9 3 3" xfId="861" xr:uid="{00000000-0005-0000-0000-000066080000}"/>
    <cellStyle name="Migliaia 9 3 3 2" xfId="2580" xr:uid="{00000000-0005-0000-0000-000067080000}"/>
    <cellStyle name="Migliaia 9 3 4" xfId="2581" xr:uid="{00000000-0005-0000-0000-000068080000}"/>
    <cellStyle name="Migliaia 9 4" xfId="862" xr:uid="{00000000-0005-0000-0000-000069080000}"/>
    <cellStyle name="Migliaia 9 4 2" xfId="2582" xr:uid="{00000000-0005-0000-0000-00006A080000}"/>
    <cellStyle name="Migliaia 9 4 2 2" xfId="2583" xr:uid="{00000000-0005-0000-0000-00006B080000}"/>
    <cellStyle name="Migliaia 9 4 2 3" xfId="3888" xr:uid="{00000000-0005-0000-0000-00006C080000}"/>
    <cellStyle name="Migliaia 9 4 3" xfId="2584" xr:uid="{00000000-0005-0000-0000-00006D080000}"/>
    <cellStyle name="Migliaia 9 5" xfId="863" xr:uid="{00000000-0005-0000-0000-00006E080000}"/>
    <cellStyle name="Neutral 2" xfId="3889" xr:uid="{00000000-0005-0000-0000-00006F080000}"/>
    <cellStyle name="Neutrale" xfId="864" xr:uid="{00000000-0005-0000-0000-000070080000}"/>
    <cellStyle name="Normal" xfId="0" builtinId="0"/>
    <cellStyle name="Normal 10" xfId="865" xr:uid="{00000000-0005-0000-0000-000072080000}"/>
    <cellStyle name="Normal 10 2" xfId="2585" xr:uid="{00000000-0005-0000-0000-000073080000}"/>
    <cellStyle name="Normal 11" xfId="1816" xr:uid="{00000000-0005-0000-0000-000074080000}"/>
    <cellStyle name="Normal 11 2" xfId="2586" xr:uid="{00000000-0005-0000-0000-000075080000}"/>
    <cellStyle name="Normal 11 3" xfId="3890" xr:uid="{00000000-0005-0000-0000-000076080000}"/>
    <cellStyle name="Normal 12" xfId="2587" xr:uid="{00000000-0005-0000-0000-000077080000}"/>
    <cellStyle name="Normal 12 2" xfId="3891" xr:uid="{00000000-0005-0000-0000-000078080000}"/>
    <cellStyle name="Normal 13" xfId="2588" xr:uid="{00000000-0005-0000-0000-000079080000}"/>
    <cellStyle name="Normal 14" xfId="3363" xr:uid="{00000000-0005-0000-0000-00007A080000}"/>
    <cellStyle name="Normal 14 2" xfId="3892" xr:uid="{00000000-0005-0000-0000-00007B080000}"/>
    <cellStyle name="Normal 15" xfId="3893" xr:uid="{00000000-0005-0000-0000-00007C080000}"/>
    <cellStyle name="Normal 16" xfId="3894" xr:uid="{00000000-0005-0000-0000-00007D080000}"/>
    <cellStyle name="Normal 16 2" xfId="3895" xr:uid="{00000000-0005-0000-0000-00007E080000}"/>
    <cellStyle name="Normal 16 3" xfId="3896" xr:uid="{00000000-0005-0000-0000-00007F080000}"/>
    <cellStyle name="Normal 17" xfId="3897" xr:uid="{00000000-0005-0000-0000-000080080000}"/>
    <cellStyle name="Normal 17 2" xfId="3898" xr:uid="{00000000-0005-0000-0000-000081080000}"/>
    <cellStyle name="Normal 18" xfId="3899" xr:uid="{00000000-0005-0000-0000-000082080000}"/>
    <cellStyle name="Normal 18 2" xfId="3900" xr:uid="{00000000-0005-0000-0000-000083080000}"/>
    <cellStyle name="Normal 19" xfId="3901" xr:uid="{00000000-0005-0000-0000-000084080000}"/>
    <cellStyle name="Normal 19 2" xfId="3902" xr:uid="{00000000-0005-0000-0000-000085080000}"/>
    <cellStyle name="Normal 19 3" xfId="3903" xr:uid="{00000000-0005-0000-0000-000086080000}"/>
    <cellStyle name="Normal 2" xfId="866" xr:uid="{00000000-0005-0000-0000-000087080000}"/>
    <cellStyle name="Normal 2 2" xfId="867" xr:uid="{00000000-0005-0000-0000-000088080000}"/>
    <cellStyle name="Normal 2 2 2" xfId="2589" xr:uid="{00000000-0005-0000-0000-000089080000}"/>
    <cellStyle name="Normal 2 2 2 2" xfId="2590" xr:uid="{00000000-0005-0000-0000-00008A080000}"/>
    <cellStyle name="Normal 2 2 2 2 2" xfId="3904" xr:uid="{00000000-0005-0000-0000-00008B080000}"/>
    <cellStyle name="Normal 2 2 2 2 2 2" xfId="3905" xr:uid="{00000000-0005-0000-0000-00008C080000}"/>
    <cellStyle name="Normal 2 2 2 2 3" xfId="3906" xr:uid="{00000000-0005-0000-0000-00008D080000}"/>
    <cellStyle name="Normal 2 2 2 2 4" xfId="3907" xr:uid="{00000000-0005-0000-0000-00008E080000}"/>
    <cellStyle name="Normal 2 2 2 3" xfId="2591" xr:uid="{00000000-0005-0000-0000-00008F080000}"/>
    <cellStyle name="Normal 2 2 3" xfId="3908" xr:uid="{00000000-0005-0000-0000-000090080000}"/>
    <cellStyle name="Normal 2 2 3 2" xfId="3909" xr:uid="{00000000-0005-0000-0000-000091080000}"/>
    <cellStyle name="Normal 2 2 3 2 2" xfId="3910" xr:uid="{00000000-0005-0000-0000-000092080000}"/>
    <cellStyle name="Normal 2 2 3 3" xfId="3911" xr:uid="{00000000-0005-0000-0000-000093080000}"/>
    <cellStyle name="Normal 2 2 4" xfId="3912" xr:uid="{00000000-0005-0000-0000-000094080000}"/>
    <cellStyle name="Normal 2 2 4 2" xfId="3913" xr:uid="{00000000-0005-0000-0000-000095080000}"/>
    <cellStyle name="Normal 2 2 5" xfId="3914" xr:uid="{00000000-0005-0000-0000-000096080000}"/>
    <cellStyle name="Normal 2 3" xfId="868" xr:uid="{00000000-0005-0000-0000-000097080000}"/>
    <cellStyle name="Normal 2 3 2" xfId="3365" xr:uid="{00000000-0005-0000-0000-000098080000}"/>
    <cellStyle name="Normal 2 4" xfId="869" xr:uid="{00000000-0005-0000-0000-000099080000}"/>
    <cellStyle name="Normal 2 4 2" xfId="2592" xr:uid="{00000000-0005-0000-0000-00009A080000}"/>
    <cellStyle name="Normal 2 4 2 2" xfId="3915" xr:uid="{00000000-0005-0000-0000-00009B080000}"/>
    <cellStyle name="Normal 2 4 2 3" xfId="3916" xr:uid="{00000000-0005-0000-0000-00009C080000}"/>
    <cellStyle name="Normal 2 4 3" xfId="3917" xr:uid="{00000000-0005-0000-0000-00009D080000}"/>
    <cellStyle name="Normal 2 5" xfId="2593" xr:uid="{00000000-0005-0000-0000-00009E080000}"/>
    <cellStyle name="Normal 2 6" xfId="4344" xr:uid="{00000000-0005-0000-0000-00009F080000}"/>
    <cellStyle name="Normal 2_Plants" xfId="3918" xr:uid="{00000000-0005-0000-0000-0000A0080000}"/>
    <cellStyle name="Normal 20" xfId="3919" xr:uid="{00000000-0005-0000-0000-0000A1080000}"/>
    <cellStyle name="Normal 21" xfId="3920" xr:uid="{00000000-0005-0000-0000-0000A2080000}"/>
    <cellStyle name="Normal 22" xfId="3921" xr:uid="{00000000-0005-0000-0000-0000A3080000}"/>
    <cellStyle name="Normal 23" xfId="3922" xr:uid="{00000000-0005-0000-0000-0000A4080000}"/>
    <cellStyle name="Normal 24" xfId="3923" xr:uid="{00000000-0005-0000-0000-0000A5080000}"/>
    <cellStyle name="Normal 25" xfId="3924" xr:uid="{00000000-0005-0000-0000-0000A6080000}"/>
    <cellStyle name="Normal 26" xfId="3925" xr:uid="{00000000-0005-0000-0000-0000A7080000}"/>
    <cellStyle name="Normal 27" xfId="3926" xr:uid="{00000000-0005-0000-0000-0000A8080000}"/>
    <cellStyle name="Normal 28" xfId="3927" xr:uid="{00000000-0005-0000-0000-0000A9080000}"/>
    <cellStyle name="Normal 29" xfId="3928" xr:uid="{00000000-0005-0000-0000-0000AA080000}"/>
    <cellStyle name="Normal 29 2" xfId="3929" xr:uid="{00000000-0005-0000-0000-0000AB080000}"/>
    <cellStyle name="Normal 3" xfId="870" xr:uid="{00000000-0005-0000-0000-0000AC080000}"/>
    <cellStyle name="Normal 3 10" xfId="3930" xr:uid="{00000000-0005-0000-0000-0000AD080000}"/>
    <cellStyle name="Normal 3 11" xfId="3931" xr:uid="{00000000-0005-0000-0000-0000AE080000}"/>
    <cellStyle name="Normal 3 12" xfId="3932" xr:uid="{00000000-0005-0000-0000-0000AF080000}"/>
    <cellStyle name="Normal 3 13" xfId="3933" xr:uid="{00000000-0005-0000-0000-0000B0080000}"/>
    <cellStyle name="Normal 3 14" xfId="3934" xr:uid="{00000000-0005-0000-0000-0000B1080000}"/>
    <cellStyle name="Normal 3 15" xfId="3935" xr:uid="{00000000-0005-0000-0000-0000B2080000}"/>
    <cellStyle name="Normal 3 16" xfId="3936" xr:uid="{00000000-0005-0000-0000-0000B3080000}"/>
    <cellStyle name="Normal 3 17" xfId="3937" xr:uid="{00000000-0005-0000-0000-0000B4080000}"/>
    <cellStyle name="Normal 3 2" xfId="871" xr:uid="{00000000-0005-0000-0000-0000B5080000}"/>
    <cellStyle name="Normal 3 2 2" xfId="2594" xr:uid="{00000000-0005-0000-0000-0000B6080000}"/>
    <cellStyle name="Normal 3 2 2 2" xfId="2595" xr:uid="{00000000-0005-0000-0000-0000B7080000}"/>
    <cellStyle name="Normal 3 2 2 3" xfId="3938" xr:uid="{00000000-0005-0000-0000-0000B8080000}"/>
    <cellStyle name="Normal 3 2 2 3 2" xfId="3939" xr:uid="{00000000-0005-0000-0000-0000B9080000}"/>
    <cellStyle name="Normal 3 2 2 4" xfId="3940" xr:uid="{00000000-0005-0000-0000-0000BA080000}"/>
    <cellStyle name="Normal 3 2 3" xfId="2596" xr:uid="{00000000-0005-0000-0000-0000BB080000}"/>
    <cellStyle name="Normal 3 2 3 2" xfId="3941" xr:uid="{00000000-0005-0000-0000-0000BC080000}"/>
    <cellStyle name="Normal 3 2 3 2 2" xfId="3942" xr:uid="{00000000-0005-0000-0000-0000BD080000}"/>
    <cellStyle name="Normal 3 2 3 3" xfId="3943" xr:uid="{00000000-0005-0000-0000-0000BE080000}"/>
    <cellStyle name="Normal 3 2 3 4" xfId="3944" xr:uid="{00000000-0005-0000-0000-0000BF080000}"/>
    <cellStyle name="Normal 3 2 4" xfId="3945" xr:uid="{00000000-0005-0000-0000-0000C0080000}"/>
    <cellStyle name="Normal 3 2 4 2" xfId="3946" xr:uid="{00000000-0005-0000-0000-0000C1080000}"/>
    <cellStyle name="Normal 3 2 5" xfId="3947" xr:uid="{00000000-0005-0000-0000-0000C2080000}"/>
    <cellStyle name="Normal 3 2 6" xfId="3948" xr:uid="{00000000-0005-0000-0000-0000C3080000}"/>
    <cellStyle name="Normal 3 3" xfId="872" xr:uid="{00000000-0005-0000-0000-0000C4080000}"/>
    <cellStyle name="Normal 3 3 2" xfId="2597" xr:uid="{00000000-0005-0000-0000-0000C5080000}"/>
    <cellStyle name="Normal 3 3 2 2" xfId="3949" xr:uid="{00000000-0005-0000-0000-0000C6080000}"/>
    <cellStyle name="Normal 3 3 2 2 2" xfId="3950" xr:uid="{00000000-0005-0000-0000-0000C7080000}"/>
    <cellStyle name="Normal 3 3 2 3" xfId="3951" xr:uid="{00000000-0005-0000-0000-0000C8080000}"/>
    <cellStyle name="Normal 3 3 2 4" xfId="3952" xr:uid="{00000000-0005-0000-0000-0000C9080000}"/>
    <cellStyle name="Normal 3 3 3" xfId="3953" xr:uid="{00000000-0005-0000-0000-0000CA080000}"/>
    <cellStyle name="Normal 3 3 3 2" xfId="3954" xr:uid="{00000000-0005-0000-0000-0000CB080000}"/>
    <cellStyle name="Normal 3 3 4" xfId="3955" xr:uid="{00000000-0005-0000-0000-0000CC080000}"/>
    <cellStyle name="Normal 3 3 5" xfId="3956" xr:uid="{00000000-0005-0000-0000-0000CD080000}"/>
    <cellStyle name="Normal 3 4" xfId="3957" xr:uid="{00000000-0005-0000-0000-0000CE080000}"/>
    <cellStyle name="Normal 3 4 2" xfId="3958" xr:uid="{00000000-0005-0000-0000-0000CF080000}"/>
    <cellStyle name="Normal 3 5" xfId="3959" xr:uid="{00000000-0005-0000-0000-0000D0080000}"/>
    <cellStyle name="Normal 3 6" xfId="3960" xr:uid="{00000000-0005-0000-0000-0000D1080000}"/>
    <cellStyle name="Normal 3 6 2" xfId="3961" xr:uid="{00000000-0005-0000-0000-0000D2080000}"/>
    <cellStyle name="Normal 3 7" xfId="3962" xr:uid="{00000000-0005-0000-0000-0000D3080000}"/>
    <cellStyle name="Normal 3 8" xfId="3963" xr:uid="{00000000-0005-0000-0000-0000D4080000}"/>
    <cellStyle name="Normal 3 9" xfId="3964" xr:uid="{00000000-0005-0000-0000-0000D5080000}"/>
    <cellStyle name="Normal 30" xfId="3965" xr:uid="{00000000-0005-0000-0000-0000D6080000}"/>
    <cellStyle name="Normal 31" xfId="3966" xr:uid="{00000000-0005-0000-0000-0000D7080000}"/>
    <cellStyle name="Normal 32" xfId="3967" xr:uid="{00000000-0005-0000-0000-0000D8080000}"/>
    <cellStyle name="Normal 33" xfId="3968" xr:uid="{00000000-0005-0000-0000-0000D9080000}"/>
    <cellStyle name="Normal 34" xfId="3969" xr:uid="{00000000-0005-0000-0000-0000DA080000}"/>
    <cellStyle name="Normal 35" xfId="4336" xr:uid="{00000000-0005-0000-0000-0000DB080000}"/>
    <cellStyle name="Normal 36" xfId="4337" xr:uid="{00000000-0005-0000-0000-0000DC080000}"/>
    <cellStyle name="Normal 37" xfId="4338" xr:uid="{00000000-0005-0000-0000-0000DD080000}"/>
    <cellStyle name="Normal 38" xfId="4339" xr:uid="{00000000-0005-0000-0000-0000DE080000}"/>
    <cellStyle name="Normal 39" xfId="4340" xr:uid="{00000000-0005-0000-0000-0000DF080000}"/>
    <cellStyle name="Normal 4" xfId="873" xr:uid="{00000000-0005-0000-0000-0000E0080000}"/>
    <cellStyle name="Normal 4 10" xfId="3970" xr:uid="{00000000-0005-0000-0000-0000E1080000}"/>
    <cellStyle name="Normal 4 11" xfId="3971" xr:uid="{00000000-0005-0000-0000-0000E2080000}"/>
    <cellStyle name="Normal 4 12" xfId="3972" xr:uid="{00000000-0005-0000-0000-0000E3080000}"/>
    <cellStyle name="Normal 4 13" xfId="3973" xr:uid="{00000000-0005-0000-0000-0000E4080000}"/>
    <cellStyle name="Normal 4 14" xfId="3974" xr:uid="{00000000-0005-0000-0000-0000E5080000}"/>
    <cellStyle name="Normal 4 15" xfId="3975" xr:uid="{00000000-0005-0000-0000-0000E6080000}"/>
    <cellStyle name="Normal 4 2" xfId="2598" xr:uid="{00000000-0005-0000-0000-0000E7080000}"/>
    <cellStyle name="Normal 4 2 2" xfId="2599" xr:uid="{00000000-0005-0000-0000-0000E8080000}"/>
    <cellStyle name="Normal 4 3" xfId="3976" xr:uid="{00000000-0005-0000-0000-0000E9080000}"/>
    <cellStyle name="Normal 4 4" xfId="3977" xr:uid="{00000000-0005-0000-0000-0000EA080000}"/>
    <cellStyle name="Normal 4 5" xfId="3978" xr:uid="{00000000-0005-0000-0000-0000EB080000}"/>
    <cellStyle name="Normal 4 6" xfId="3979" xr:uid="{00000000-0005-0000-0000-0000EC080000}"/>
    <cellStyle name="Normal 4 7" xfId="3980" xr:uid="{00000000-0005-0000-0000-0000ED080000}"/>
    <cellStyle name="Normal 4 8" xfId="3981" xr:uid="{00000000-0005-0000-0000-0000EE080000}"/>
    <cellStyle name="Normal 4 9" xfId="3982" xr:uid="{00000000-0005-0000-0000-0000EF080000}"/>
    <cellStyle name="Normal 40" xfId="4341" xr:uid="{00000000-0005-0000-0000-0000F0080000}"/>
    <cellStyle name="Normal 41" xfId="4343" xr:uid="{00000000-0005-0000-0000-0000F1080000}"/>
    <cellStyle name="Normal 5" xfId="874" xr:uid="{00000000-0005-0000-0000-0000F2080000}"/>
    <cellStyle name="Normal 5 2" xfId="2600" xr:uid="{00000000-0005-0000-0000-0000F3080000}"/>
    <cellStyle name="Normal 5 2 2" xfId="2601" xr:uid="{00000000-0005-0000-0000-0000F4080000}"/>
    <cellStyle name="Normal 5 2 2 2" xfId="2602" xr:uid="{00000000-0005-0000-0000-0000F5080000}"/>
    <cellStyle name="Normal 5 2 2 3" xfId="3983" xr:uid="{00000000-0005-0000-0000-0000F6080000}"/>
    <cellStyle name="Normal 5 2 3" xfId="3984" xr:uid="{00000000-0005-0000-0000-0000F7080000}"/>
    <cellStyle name="Normal 5 2 3 2" xfId="3985" xr:uid="{00000000-0005-0000-0000-0000F8080000}"/>
    <cellStyle name="Normal 5 3" xfId="3986" xr:uid="{00000000-0005-0000-0000-0000F9080000}"/>
    <cellStyle name="Normal 6" xfId="875" xr:uid="{00000000-0005-0000-0000-0000FA080000}"/>
    <cellStyle name="Normal 6 2" xfId="2603" xr:uid="{00000000-0005-0000-0000-0000FB080000}"/>
    <cellStyle name="Normal 6 2 2" xfId="2604" xr:uid="{00000000-0005-0000-0000-0000FC080000}"/>
    <cellStyle name="Normal 6 2 3" xfId="3987" xr:uid="{00000000-0005-0000-0000-0000FD080000}"/>
    <cellStyle name="Normal 6 2 3 2" xfId="3988" xr:uid="{00000000-0005-0000-0000-0000FE080000}"/>
    <cellStyle name="Normal 6 2 4" xfId="3989" xr:uid="{00000000-0005-0000-0000-0000FF080000}"/>
    <cellStyle name="Normal 6 3" xfId="2605" xr:uid="{00000000-0005-0000-0000-000000090000}"/>
    <cellStyle name="Normal 6 3 2" xfId="3990" xr:uid="{00000000-0005-0000-0000-000001090000}"/>
    <cellStyle name="Normal 6 3 2 2" xfId="3991" xr:uid="{00000000-0005-0000-0000-000002090000}"/>
    <cellStyle name="Normal 6 3 2 2 2" xfId="3992" xr:uid="{00000000-0005-0000-0000-000003090000}"/>
    <cellStyle name="Normal 6 3 2 3" xfId="3993" xr:uid="{00000000-0005-0000-0000-000004090000}"/>
    <cellStyle name="Normal 6 3 3" xfId="3994" xr:uid="{00000000-0005-0000-0000-000005090000}"/>
    <cellStyle name="Normal 6 4" xfId="3995" xr:uid="{00000000-0005-0000-0000-000006090000}"/>
    <cellStyle name="Normal 6 4 2" xfId="3996" xr:uid="{00000000-0005-0000-0000-000007090000}"/>
    <cellStyle name="Normal 6 5" xfId="3997" xr:uid="{00000000-0005-0000-0000-000008090000}"/>
    <cellStyle name="Normal 6 6" xfId="3998" xr:uid="{00000000-0005-0000-0000-000009090000}"/>
    <cellStyle name="Normal 7" xfId="876" xr:uid="{00000000-0005-0000-0000-00000A090000}"/>
    <cellStyle name="Normal 7 2" xfId="2606" xr:uid="{00000000-0005-0000-0000-00000B090000}"/>
    <cellStyle name="Normal 7 3" xfId="3999" xr:uid="{00000000-0005-0000-0000-00000C090000}"/>
    <cellStyle name="Normal 7 3 2" xfId="4000" xr:uid="{00000000-0005-0000-0000-00000D090000}"/>
    <cellStyle name="Normal 7 3 2 2" xfId="4001" xr:uid="{00000000-0005-0000-0000-00000E090000}"/>
    <cellStyle name="Normal 7 3 3" xfId="4002" xr:uid="{00000000-0005-0000-0000-00000F090000}"/>
    <cellStyle name="Normal 8" xfId="877" xr:uid="{00000000-0005-0000-0000-000010090000}"/>
    <cellStyle name="Normal 8 2" xfId="2607" xr:uid="{00000000-0005-0000-0000-000011090000}"/>
    <cellStyle name="Normal 8 2 2" xfId="2608" xr:uid="{00000000-0005-0000-0000-000012090000}"/>
    <cellStyle name="Normal 8 2 2 2" xfId="4003" xr:uid="{00000000-0005-0000-0000-000013090000}"/>
    <cellStyle name="Normal 8 2 2 2 2" xfId="4004" xr:uid="{00000000-0005-0000-0000-000014090000}"/>
    <cellStyle name="Normal 8 2 2 3" xfId="4005" xr:uid="{00000000-0005-0000-0000-000015090000}"/>
    <cellStyle name="Normal 8 2 2 4" xfId="4006" xr:uid="{00000000-0005-0000-0000-000016090000}"/>
    <cellStyle name="Normal 8 2 3" xfId="4007" xr:uid="{00000000-0005-0000-0000-000017090000}"/>
    <cellStyle name="Normal 8 3" xfId="4008" xr:uid="{00000000-0005-0000-0000-000018090000}"/>
    <cellStyle name="Normal 8 4" xfId="4009" xr:uid="{00000000-0005-0000-0000-000019090000}"/>
    <cellStyle name="Normal 8 5" xfId="4010" xr:uid="{00000000-0005-0000-0000-00001A090000}"/>
    <cellStyle name="Normal 9" xfId="878" xr:uid="{00000000-0005-0000-0000-00001B090000}"/>
    <cellStyle name="Normal 9 2" xfId="4011" xr:uid="{00000000-0005-0000-0000-00001C090000}"/>
    <cellStyle name="Normal 9 2 2" xfId="4012" xr:uid="{00000000-0005-0000-0000-00001D090000}"/>
    <cellStyle name="Normal 9 3" xfId="4013" xr:uid="{00000000-0005-0000-0000-00001E090000}"/>
    <cellStyle name="Normal GHG Numbers (0.00)" xfId="879" xr:uid="{00000000-0005-0000-0000-00001F090000}"/>
    <cellStyle name="Normal GHG Numbers (0.00) 2" xfId="880" xr:uid="{00000000-0005-0000-0000-000020090000}"/>
    <cellStyle name="Normal GHG Numbers (0.00) 2 2" xfId="4014" xr:uid="{00000000-0005-0000-0000-000021090000}"/>
    <cellStyle name="Normal GHG Numbers (0.00) 3" xfId="4015" xr:uid="{00000000-0005-0000-0000-000022090000}"/>
    <cellStyle name="Normal GHG Numbers (0.00) 4" xfId="4016" xr:uid="{00000000-0005-0000-0000-000023090000}"/>
    <cellStyle name="Normal GHG Textfiels Bold" xfId="881" xr:uid="{00000000-0005-0000-0000-000024090000}"/>
    <cellStyle name="Normal GHG-Shade" xfId="882" xr:uid="{00000000-0005-0000-0000-000025090000}"/>
    <cellStyle name="Normal GHG-Shade 2" xfId="2609" xr:uid="{00000000-0005-0000-0000-000026090000}"/>
    <cellStyle name="Normale 10" xfId="883" xr:uid="{00000000-0005-0000-0000-000027090000}"/>
    <cellStyle name="Normale 10 2" xfId="884" xr:uid="{00000000-0005-0000-0000-000028090000}"/>
    <cellStyle name="Normale 10 2 2" xfId="2610" xr:uid="{00000000-0005-0000-0000-000029090000}"/>
    <cellStyle name="Normale 10 3" xfId="885" xr:uid="{00000000-0005-0000-0000-00002A090000}"/>
    <cellStyle name="Normale 10 3 2" xfId="2611" xr:uid="{00000000-0005-0000-0000-00002B090000}"/>
    <cellStyle name="Normale 10 4" xfId="2612"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3" xr:uid="{00000000-0005-0000-0000-000030090000}"/>
    <cellStyle name="Normale 11 3" xfId="889" xr:uid="{00000000-0005-0000-0000-000031090000}"/>
    <cellStyle name="Normale 11 3 2" xfId="2614" xr:uid="{00000000-0005-0000-0000-000032090000}"/>
    <cellStyle name="Normale 11 4" xfId="2615"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6" xr:uid="{00000000-0005-0000-0000-000037090000}"/>
    <cellStyle name="Normale 12 3" xfId="893" xr:uid="{00000000-0005-0000-0000-000038090000}"/>
    <cellStyle name="Normale 12 3 2" xfId="2617" xr:uid="{00000000-0005-0000-0000-000039090000}"/>
    <cellStyle name="Normale 12 4" xfId="2618"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9" xr:uid="{00000000-0005-0000-0000-00003E090000}"/>
    <cellStyle name="Normale 13 3" xfId="897" xr:uid="{00000000-0005-0000-0000-00003F090000}"/>
    <cellStyle name="Normale 13 3 2" xfId="2620" xr:uid="{00000000-0005-0000-0000-000040090000}"/>
    <cellStyle name="Normale 13 4" xfId="2621"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2" xr:uid="{00000000-0005-0000-0000-000045090000}"/>
    <cellStyle name="Normale 14 3" xfId="901" xr:uid="{00000000-0005-0000-0000-000046090000}"/>
    <cellStyle name="Normale 14 3 2" xfId="2623" xr:uid="{00000000-0005-0000-0000-000047090000}"/>
    <cellStyle name="Normale 14 4" xfId="2624"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5" xr:uid="{00000000-0005-0000-0000-00004C090000}"/>
    <cellStyle name="Normale 15 3" xfId="905" xr:uid="{00000000-0005-0000-0000-00004D090000}"/>
    <cellStyle name="Normale 15 3 2" xfId="2626" xr:uid="{00000000-0005-0000-0000-00004E090000}"/>
    <cellStyle name="Normale 15 4" xfId="2627" xr:uid="{00000000-0005-0000-0000-00004F090000}"/>
    <cellStyle name="Normale 15_EDEN industria 2008 rev" xfId="906" xr:uid="{00000000-0005-0000-0000-000050090000}"/>
    <cellStyle name="Normale 16" xfId="907" xr:uid="{00000000-0005-0000-0000-000051090000}"/>
    <cellStyle name="Normale 16 2" xfId="2628" xr:uid="{00000000-0005-0000-0000-000052090000}"/>
    <cellStyle name="Normale 17" xfId="908" xr:uid="{00000000-0005-0000-0000-000053090000}"/>
    <cellStyle name="Normale 17 2" xfId="2629" xr:uid="{00000000-0005-0000-0000-000054090000}"/>
    <cellStyle name="Normale 18" xfId="909" xr:uid="{00000000-0005-0000-0000-000055090000}"/>
    <cellStyle name="Normale 18 2" xfId="4017" xr:uid="{00000000-0005-0000-0000-000056090000}"/>
    <cellStyle name="Normale 19" xfId="910" xr:uid="{00000000-0005-0000-0000-000057090000}"/>
    <cellStyle name="Normale 19 2" xfId="4018" xr:uid="{00000000-0005-0000-0000-000058090000}"/>
    <cellStyle name="Normale 2" xfId="911" xr:uid="{00000000-0005-0000-0000-000059090000}"/>
    <cellStyle name="Normale 2 2" xfId="912" xr:uid="{00000000-0005-0000-0000-00005A090000}"/>
    <cellStyle name="Normale 2 2 2" xfId="2630" xr:uid="{00000000-0005-0000-0000-00005B090000}"/>
    <cellStyle name="Normale 2 3" xfId="2631" xr:uid="{00000000-0005-0000-0000-00005C090000}"/>
    <cellStyle name="Normale 2_EDEN industria 2008 rev" xfId="913" xr:uid="{00000000-0005-0000-0000-00005D090000}"/>
    <cellStyle name="Normale 20" xfId="914" xr:uid="{00000000-0005-0000-0000-00005E090000}"/>
    <cellStyle name="Normale 20 2" xfId="2632" xr:uid="{00000000-0005-0000-0000-00005F090000}"/>
    <cellStyle name="Normale 21" xfId="915" xr:uid="{00000000-0005-0000-0000-000060090000}"/>
    <cellStyle name="Normale 21 2" xfId="2633" xr:uid="{00000000-0005-0000-0000-000061090000}"/>
    <cellStyle name="Normale 22" xfId="916" xr:uid="{00000000-0005-0000-0000-000062090000}"/>
    <cellStyle name="Normale 22 2" xfId="2634" xr:uid="{00000000-0005-0000-0000-000063090000}"/>
    <cellStyle name="Normale 23" xfId="917" xr:uid="{00000000-0005-0000-0000-000064090000}"/>
    <cellStyle name="Normale 23 2" xfId="2635" xr:uid="{00000000-0005-0000-0000-000065090000}"/>
    <cellStyle name="Normale 24" xfId="918" xr:uid="{00000000-0005-0000-0000-000066090000}"/>
    <cellStyle name="Normale 24 2" xfId="2636" xr:uid="{00000000-0005-0000-0000-000067090000}"/>
    <cellStyle name="Normale 25" xfId="919" xr:uid="{00000000-0005-0000-0000-000068090000}"/>
    <cellStyle name="Normale 25 2" xfId="2637" xr:uid="{00000000-0005-0000-0000-000069090000}"/>
    <cellStyle name="Normale 26" xfId="920" xr:uid="{00000000-0005-0000-0000-00006A090000}"/>
    <cellStyle name="Normale 26 2" xfId="2638" xr:uid="{00000000-0005-0000-0000-00006B090000}"/>
    <cellStyle name="Normale 27" xfId="921" xr:uid="{00000000-0005-0000-0000-00006C090000}"/>
    <cellStyle name="Normale 27 2" xfId="2639" xr:uid="{00000000-0005-0000-0000-00006D090000}"/>
    <cellStyle name="Normale 28" xfId="922" xr:uid="{00000000-0005-0000-0000-00006E090000}"/>
    <cellStyle name="Normale 28 2" xfId="2640" xr:uid="{00000000-0005-0000-0000-00006F090000}"/>
    <cellStyle name="Normale 29" xfId="923" xr:uid="{00000000-0005-0000-0000-000070090000}"/>
    <cellStyle name="Normale 29 2" xfId="2641" xr:uid="{00000000-0005-0000-0000-000071090000}"/>
    <cellStyle name="Normale 3" xfId="924" xr:uid="{00000000-0005-0000-0000-000072090000}"/>
    <cellStyle name="Normale 3 2" xfId="925" xr:uid="{00000000-0005-0000-0000-000073090000}"/>
    <cellStyle name="Normale 3 2 2" xfId="2642" xr:uid="{00000000-0005-0000-0000-000074090000}"/>
    <cellStyle name="Normale 3 3" xfId="926" xr:uid="{00000000-0005-0000-0000-000075090000}"/>
    <cellStyle name="Normale 3 3 2" xfId="2643" xr:uid="{00000000-0005-0000-0000-000076090000}"/>
    <cellStyle name="Normale 3 4" xfId="2644" xr:uid="{00000000-0005-0000-0000-000077090000}"/>
    <cellStyle name="Normale 3_EDEN industria 2008 rev" xfId="927" xr:uid="{00000000-0005-0000-0000-000078090000}"/>
    <cellStyle name="Normale 30" xfId="928" xr:uid="{00000000-0005-0000-0000-000079090000}"/>
    <cellStyle name="Normale 30 2" xfId="2645" xr:uid="{00000000-0005-0000-0000-00007A090000}"/>
    <cellStyle name="Normale 31" xfId="929" xr:uid="{00000000-0005-0000-0000-00007B090000}"/>
    <cellStyle name="Normale 31 2" xfId="2646" xr:uid="{00000000-0005-0000-0000-00007C090000}"/>
    <cellStyle name="Normale 32" xfId="930" xr:uid="{00000000-0005-0000-0000-00007D090000}"/>
    <cellStyle name="Normale 32 2" xfId="2647" xr:uid="{00000000-0005-0000-0000-00007E090000}"/>
    <cellStyle name="Normale 33" xfId="931" xr:uid="{00000000-0005-0000-0000-00007F090000}"/>
    <cellStyle name="Normale 33 2" xfId="2648" xr:uid="{00000000-0005-0000-0000-000080090000}"/>
    <cellStyle name="Normale 34" xfId="932" xr:uid="{00000000-0005-0000-0000-000081090000}"/>
    <cellStyle name="Normale 34 2" xfId="2649" xr:uid="{00000000-0005-0000-0000-000082090000}"/>
    <cellStyle name="Normale 35" xfId="933" xr:uid="{00000000-0005-0000-0000-000083090000}"/>
    <cellStyle name="Normale 35 2" xfId="2650" xr:uid="{00000000-0005-0000-0000-000084090000}"/>
    <cellStyle name="Normale 36" xfId="934" xr:uid="{00000000-0005-0000-0000-000085090000}"/>
    <cellStyle name="Normale 36 2" xfId="2651" xr:uid="{00000000-0005-0000-0000-000086090000}"/>
    <cellStyle name="Normale 37" xfId="935" xr:uid="{00000000-0005-0000-0000-000087090000}"/>
    <cellStyle name="Normale 37 2" xfId="2652" xr:uid="{00000000-0005-0000-0000-000088090000}"/>
    <cellStyle name="Normale 38" xfId="936" xr:uid="{00000000-0005-0000-0000-000089090000}"/>
    <cellStyle name="Normale 38 2" xfId="2653" xr:uid="{00000000-0005-0000-0000-00008A090000}"/>
    <cellStyle name="Normale 39" xfId="937" xr:uid="{00000000-0005-0000-0000-00008B090000}"/>
    <cellStyle name="Normale 39 2" xfId="2654" xr:uid="{00000000-0005-0000-0000-00008C090000}"/>
    <cellStyle name="Normale 4" xfId="938" xr:uid="{00000000-0005-0000-0000-00008D090000}"/>
    <cellStyle name="Normale 4 2" xfId="939" xr:uid="{00000000-0005-0000-0000-00008E090000}"/>
    <cellStyle name="Normale 4 2 2" xfId="2655" xr:uid="{00000000-0005-0000-0000-00008F090000}"/>
    <cellStyle name="Normale 4 3" xfId="940" xr:uid="{00000000-0005-0000-0000-000090090000}"/>
    <cellStyle name="Normale 4 3 2" xfId="2656" xr:uid="{00000000-0005-0000-0000-000091090000}"/>
    <cellStyle name="Normale 4 4" xfId="2657" xr:uid="{00000000-0005-0000-0000-000092090000}"/>
    <cellStyle name="Normale 4_EDEN industria 2008 rev" xfId="941" xr:uid="{00000000-0005-0000-0000-000093090000}"/>
    <cellStyle name="Normale 40" xfId="942" xr:uid="{00000000-0005-0000-0000-000094090000}"/>
    <cellStyle name="Normale 40 2" xfId="2658" xr:uid="{00000000-0005-0000-0000-000095090000}"/>
    <cellStyle name="Normale 41" xfId="943" xr:uid="{00000000-0005-0000-0000-000096090000}"/>
    <cellStyle name="Normale 41 2" xfId="2659" xr:uid="{00000000-0005-0000-0000-000097090000}"/>
    <cellStyle name="Normale 42" xfId="944" xr:uid="{00000000-0005-0000-0000-000098090000}"/>
    <cellStyle name="Normale 42 2" xfId="2660" xr:uid="{00000000-0005-0000-0000-000099090000}"/>
    <cellStyle name="Normale 43" xfId="945" xr:uid="{00000000-0005-0000-0000-00009A090000}"/>
    <cellStyle name="Normale 43 2" xfId="2661" xr:uid="{00000000-0005-0000-0000-00009B090000}"/>
    <cellStyle name="Normale 44" xfId="946" xr:uid="{00000000-0005-0000-0000-00009C090000}"/>
    <cellStyle name="Normale 44 2" xfId="2662" xr:uid="{00000000-0005-0000-0000-00009D090000}"/>
    <cellStyle name="Normale 45" xfId="947" xr:uid="{00000000-0005-0000-0000-00009E090000}"/>
    <cellStyle name="Normale 45 2" xfId="2663" xr:uid="{00000000-0005-0000-0000-00009F090000}"/>
    <cellStyle name="Normale 46" xfId="948" xr:uid="{00000000-0005-0000-0000-0000A0090000}"/>
    <cellStyle name="Normale 46 2" xfId="2664" xr:uid="{00000000-0005-0000-0000-0000A1090000}"/>
    <cellStyle name="Normale 47" xfId="949" xr:uid="{00000000-0005-0000-0000-0000A2090000}"/>
    <cellStyle name="Normale 47 2" xfId="2665" xr:uid="{00000000-0005-0000-0000-0000A3090000}"/>
    <cellStyle name="Normale 48" xfId="950" xr:uid="{00000000-0005-0000-0000-0000A4090000}"/>
    <cellStyle name="Normale 48 2" xfId="2666" xr:uid="{00000000-0005-0000-0000-0000A5090000}"/>
    <cellStyle name="Normale 49" xfId="951" xr:uid="{00000000-0005-0000-0000-0000A6090000}"/>
    <cellStyle name="Normale 49 2" xfId="2667" xr:uid="{00000000-0005-0000-0000-0000A7090000}"/>
    <cellStyle name="Normale 5" xfId="952" xr:uid="{00000000-0005-0000-0000-0000A8090000}"/>
    <cellStyle name="Normale 5 2" xfId="953" xr:uid="{00000000-0005-0000-0000-0000A9090000}"/>
    <cellStyle name="Normale 5 2 2" xfId="2668" xr:uid="{00000000-0005-0000-0000-0000AA090000}"/>
    <cellStyle name="Normale 5 3" xfId="954" xr:uid="{00000000-0005-0000-0000-0000AB090000}"/>
    <cellStyle name="Normale 5 3 2" xfId="2669" xr:uid="{00000000-0005-0000-0000-0000AC090000}"/>
    <cellStyle name="Normale 5 4" xfId="2670" xr:uid="{00000000-0005-0000-0000-0000AD090000}"/>
    <cellStyle name="Normale 5_EDEN industria 2008 rev" xfId="955" xr:uid="{00000000-0005-0000-0000-0000AE090000}"/>
    <cellStyle name="Normale 50" xfId="956" xr:uid="{00000000-0005-0000-0000-0000AF090000}"/>
    <cellStyle name="Normale 50 2" xfId="2671" xr:uid="{00000000-0005-0000-0000-0000B0090000}"/>
    <cellStyle name="Normale 51" xfId="957" xr:uid="{00000000-0005-0000-0000-0000B1090000}"/>
    <cellStyle name="Normale 51 2" xfId="2672" xr:uid="{00000000-0005-0000-0000-0000B2090000}"/>
    <cellStyle name="Normale 52" xfId="958" xr:uid="{00000000-0005-0000-0000-0000B3090000}"/>
    <cellStyle name="Normale 52 2" xfId="2673" xr:uid="{00000000-0005-0000-0000-0000B4090000}"/>
    <cellStyle name="Normale 53" xfId="959" xr:uid="{00000000-0005-0000-0000-0000B5090000}"/>
    <cellStyle name="Normale 53 2" xfId="2674" xr:uid="{00000000-0005-0000-0000-0000B6090000}"/>
    <cellStyle name="Normale 54" xfId="960" xr:uid="{00000000-0005-0000-0000-0000B7090000}"/>
    <cellStyle name="Normale 54 2" xfId="2675" xr:uid="{00000000-0005-0000-0000-0000B8090000}"/>
    <cellStyle name="Normale 55" xfId="961" xr:uid="{00000000-0005-0000-0000-0000B9090000}"/>
    <cellStyle name="Normale 55 2" xfId="2676" xr:uid="{00000000-0005-0000-0000-0000BA090000}"/>
    <cellStyle name="Normale 56" xfId="962" xr:uid="{00000000-0005-0000-0000-0000BB090000}"/>
    <cellStyle name="Normale 56 2" xfId="2677" xr:uid="{00000000-0005-0000-0000-0000BC090000}"/>
    <cellStyle name="Normale 57" xfId="963" xr:uid="{00000000-0005-0000-0000-0000BD090000}"/>
    <cellStyle name="Normale 57 2" xfId="2678" xr:uid="{00000000-0005-0000-0000-0000BE090000}"/>
    <cellStyle name="Normale 58" xfId="964" xr:uid="{00000000-0005-0000-0000-0000BF090000}"/>
    <cellStyle name="Normale 58 2" xfId="2679" xr:uid="{00000000-0005-0000-0000-0000C0090000}"/>
    <cellStyle name="Normale 59" xfId="965" xr:uid="{00000000-0005-0000-0000-0000C1090000}"/>
    <cellStyle name="Normale 59 2" xfId="2680" xr:uid="{00000000-0005-0000-0000-0000C2090000}"/>
    <cellStyle name="Normale 6" xfId="966" xr:uid="{00000000-0005-0000-0000-0000C3090000}"/>
    <cellStyle name="Normale 6 2" xfId="967" xr:uid="{00000000-0005-0000-0000-0000C4090000}"/>
    <cellStyle name="Normale 6 2 2" xfId="2681" xr:uid="{00000000-0005-0000-0000-0000C5090000}"/>
    <cellStyle name="Normale 6 3" xfId="968" xr:uid="{00000000-0005-0000-0000-0000C6090000}"/>
    <cellStyle name="Normale 6 3 2" xfId="2682" xr:uid="{00000000-0005-0000-0000-0000C7090000}"/>
    <cellStyle name="Normale 6 4" xfId="2683" xr:uid="{00000000-0005-0000-0000-0000C8090000}"/>
    <cellStyle name="Normale 6_EDEN industria 2008 rev" xfId="969" xr:uid="{00000000-0005-0000-0000-0000C9090000}"/>
    <cellStyle name="Normale 60" xfId="970" xr:uid="{00000000-0005-0000-0000-0000CA090000}"/>
    <cellStyle name="Normale 60 2" xfId="2684" xr:uid="{00000000-0005-0000-0000-0000CB090000}"/>
    <cellStyle name="Normale 61" xfId="971" xr:uid="{00000000-0005-0000-0000-0000CC090000}"/>
    <cellStyle name="Normale 61 2" xfId="2685" xr:uid="{00000000-0005-0000-0000-0000CD090000}"/>
    <cellStyle name="Normale 62" xfId="972" xr:uid="{00000000-0005-0000-0000-0000CE090000}"/>
    <cellStyle name="Normale 62 2" xfId="2686" xr:uid="{00000000-0005-0000-0000-0000CF090000}"/>
    <cellStyle name="Normale 63" xfId="973" xr:uid="{00000000-0005-0000-0000-0000D0090000}"/>
    <cellStyle name="Normale 63 2" xfId="2687" xr:uid="{00000000-0005-0000-0000-0000D1090000}"/>
    <cellStyle name="Normale 64" xfId="974" xr:uid="{00000000-0005-0000-0000-0000D2090000}"/>
    <cellStyle name="Normale 64 2" xfId="2688" xr:uid="{00000000-0005-0000-0000-0000D3090000}"/>
    <cellStyle name="Normale 65" xfId="975" xr:uid="{00000000-0005-0000-0000-0000D4090000}"/>
    <cellStyle name="Normale 65 2" xfId="2689" xr:uid="{00000000-0005-0000-0000-0000D5090000}"/>
    <cellStyle name="Normale 7" xfId="976" xr:uid="{00000000-0005-0000-0000-0000D6090000}"/>
    <cellStyle name="Normale 7 2" xfId="977" xr:uid="{00000000-0005-0000-0000-0000D7090000}"/>
    <cellStyle name="Normale 7 2 2" xfId="2690" xr:uid="{00000000-0005-0000-0000-0000D8090000}"/>
    <cellStyle name="Normale 7 3" xfId="978" xr:uid="{00000000-0005-0000-0000-0000D9090000}"/>
    <cellStyle name="Normale 7 3 2" xfId="2691" xr:uid="{00000000-0005-0000-0000-0000DA090000}"/>
    <cellStyle name="Normale 7 4" xfId="2692"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3" xr:uid="{00000000-0005-0000-0000-0000DF090000}"/>
    <cellStyle name="Normale 8 3" xfId="982" xr:uid="{00000000-0005-0000-0000-0000E0090000}"/>
    <cellStyle name="Normale 8 3 2" xfId="2694" xr:uid="{00000000-0005-0000-0000-0000E1090000}"/>
    <cellStyle name="Normale 8 4" xfId="2695"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6" xr:uid="{00000000-0005-0000-0000-0000E6090000}"/>
    <cellStyle name="Normale 9 3" xfId="986" xr:uid="{00000000-0005-0000-0000-0000E7090000}"/>
    <cellStyle name="Normale 9 3 2" xfId="2697" xr:uid="{00000000-0005-0000-0000-0000E8090000}"/>
    <cellStyle name="Normale 9 4" xfId="2698"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9" xr:uid="{00000000-0005-0000-0000-0000EE090000}"/>
    <cellStyle name="Nota 2" xfId="991" xr:uid="{00000000-0005-0000-0000-0000EF090000}"/>
    <cellStyle name="Nota 2 2" xfId="992" xr:uid="{00000000-0005-0000-0000-0000F0090000}"/>
    <cellStyle name="Nota 2 2 2" xfId="4020"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1"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2" xr:uid="{00000000-0005-0000-0000-0000FA090000}"/>
    <cellStyle name="Nota 3 2 2 3" xfId="4023" xr:uid="{00000000-0005-0000-0000-0000FB090000}"/>
    <cellStyle name="Nota 3 2 3" xfId="1000" xr:uid="{00000000-0005-0000-0000-0000FC090000}"/>
    <cellStyle name="Nota 3 2 3 2" xfId="4024"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5" xr:uid="{00000000-0005-0000-0000-0000010A0000}"/>
    <cellStyle name="Nota 3 3" xfId="1004" xr:uid="{00000000-0005-0000-0000-0000020A0000}"/>
    <cellStyle name="Nota 3 3 2" xfId="2699" xr:uid="{00000000-0005-0000-0000-0000030A0000}"/>
    <cellStyle name="Nota 3 3 3" xfId="4026"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7" xr:uid="{00000000-0005-0000-0000-0000090A0000}"/>
    <cellStyle name="Nota 4" xfId="1009" xr:uid="{00000000-0005-0000-0000-00000A0A0000}"/>
    <cellStyle name="Nota 4 2" xfId="1010" xr:uid="{00000000-0005-0000-0000-00000B0A0000}"/>
    <cellStyle name="Nota 4 2 2" xfId="2700" xr:uid="{00000000-0005-0000-0000-00000C0A0000}"/>
    <cellStyle name="Nota 4 2 2 2" xfId="4028" xr:uid="{00000000-0005-0000-0000-00000D0A0000}"/>
    <cellStyle name="Nota 4 2 3" xfId="4029" xr:uid="{00000000-0005-0000-0000-00000E0A0000}"/>
    <cellStyle name="Nota 4 3" xfId="1011" xr:uid="{00000000-0005-0000-0000-00000F0A0000}"/>
    <cellStyle name="Nota 4 3 2" xfId="4030" xr:uid="{00000000-0005-0000-0000-0000100A0000}"/>
    <cellStyle name="Nota 4 4" xfId="1012" xr:uid="{00000000-0005-0000-0000-0000110A0000}"/>
    <cellStyle name="Nota 4 5" xfId="1013" xr:uid="{00000000-0005-0000-0000-0000120A0000}"/>
    <cellStyle name="Nota 4 6" xfId="1014" xr:uid="{00000000-0005-0000-0000-0000130A0000}"/>
    <cellStyle name="Nota 4 7" xfId="4031" xr:uid="{00000000-0005-0000-0000-0000140A0000}"/>
    <cellStyle name="Nota 5" xfId="1015" xr:uid="{00000000-0005-0000-0000-0000150A0000}"/>
    <cellStyle name="Nota 5 2" xfId="1016" xr:uid="{00000000-0005-0000-0000-0000160A0000}"/>
    <cellStyle name="Nota 5 2 2" xfId="4032"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3" xr:uid="{00000000-0005-0000-0000-00001C0A0000}"/>
    <cellStyle name="Nota 6" xfId="1021" xr:uid="{00000000-0005-0000-0000-00001D0A0000}"/>
    <cellStyle name="Nota 6 2" xfId="4034" xr:uid="{00000000-0005-0000-0000-00001E0A0000}"/>
    <cellStyle name="Nota 7" xfId="1022" xr:uid="{00000000-0005-0000-0000-00001F0A0000}"/>
    <cellStyle name="Nota 8" xfId="1023" xr:uid="{00000000-0005-0000-0000-0000200A0000}"/>
    <cellStyle name="Nota 9" xfId="1024" xr:uid="{00000000-0005-0000-0000-0000210A0000}"/>
    <cellStyle name="Note 2" xfId="4035" xr:uid="{00000000-0005-0000-0000-0000220A0000}"/>
    <cellStyle name="Note 2 2" xfId="4036" xr:uid="{00000000-0005-0000-0000-0000230A0000}"/>
    <cellStyle name="Note 2 2 2" xfId="4037" xr:uid="{00000000-0005-0000-0000-0000240A0000}"/>
    <cellStyle name="Note 2 3" xfId="4038"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1" xr:uid="{00000000-0005-0000-0000-0000290A0000}"/>
    <cellStyle name="Nuovo 10 3" xfId="1028" xr:uid="{00000000-0005-0000-0000-00002A0A0000}"/>
    <cellStyle name="Nuovo 10 3 2" xfId="1029" xr:uid="{00000000-0005-0000-0000-00002B0A0000}"/>
    <cellStyle name="Nuovo 10 3 2 2" xfId="4039" xr:uid="{00000000-0005-0000-0000-00002C0A0000}"/>
    <cellStyle name="Nuovo 10 3 2 3" xfId="4040" xr:uid="{00000000-0005-0000-0000-00002D0A0000}"/>
    <cellStyle name="Nuovo 10 3 3" xfId="1030" xr:uid="{00000000-0005-0000-0000-00002E0A0000}"/>
    <cellStyle name="Nuovo 10 3 3 2" xfId="2702" xr:uid="{00000000-0005-0000-0000-00002F0A0000}"/>
    <cellStyle name="Nuovo 10 3 4" xfId="2703" xr:uid="{00000000-0005-0000-0000-0000300A0000}"/>
    <cellStyle name="Nuovo 10 4" xfId="1031" xr:uid="{00000000-0005-0000-0000-0000310A0000}"/>
    <cellStyle name="Nuovo 10 4 2" xfId="2704" xr:uid="{00000000-0005-0000-0000-0000320A0000}"/>
    <cellStyle name="Nuovo 10 4 2 2" xfId="2705" xr:uid="{00000000-0005-0000-0000-0000330A0000}"/>
    <cellStyle name="Nuovo 10 4 3" xfId="2706"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7" xr:uid="{00000000-0005-0000-0000-0000380A0000}"/>
    <cellStyle name="Nuovo 11 3" xfId="1035" xr:uid="{00000000-0005-0000-0000-0000390A0000}"/>
    <cellStyle name="Nuovo 11 3 2" xfId="1036" xr:uid="{00000000-0005-0000-0000-00003A0A0000}"/>
    <cellStyle name="Nuovo 11 3 2 2" xfId="4041" xr:uid="{00000000-0005-0000-0000-00003B0A0000}"/>
    <cellStyle name="Nuovo 11 3 2 3" xfId="4042" xr:uid="{00000000-0005-0000-0000-00003C0A0000}"/>
    <cellStyle name="Nuovo 11 3 3" xfId="1037" xr:uid="{00000000-0005-0000-0000-00003D0A0000}"/>
    <cellStyle name="Nuovo 11 3 3 2" xfId="2708" xr:uid="{00000000-0005-0000-0000-00003E0A0000}"/>
    <cellStyle name="Nuovo 11 3 4" xfId="2709" xr:uid="{00000000-0005-0000-0000-00003F0A0000}"/>
    <cellStyle name="Nuovo 11 4" xfId="1038" xr:uid="{00000000-0005-0000-0000-0000400A0000}"/>
    <cellStyle name="Nuovo 11 4 2" xfId="2710" xr:uid="{00000000-0005-0000-0000-0000410A0000}"/>
    <cellStyle name="Nuovo 11 4 2 2" xfId="2711" xr:uid="{00000000-0005-0000-0000-0000420A0000}"/>
    <cellStyle name="Nuovo 11 4 3" xfId="2712"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3" xr:uid="{00000000-0005-0000-0000-0000470A0000}"/>
    <cellStyle name="Nuovo 12 3" xfId="1042" xr:uid="{00000000-0005-0000-0000-0000480A0000}"/>
    <cellStyle name="Nuovo 12 3 2" xfId="1043" xr:uid="{00000000-0005-0000-0000-0000490A0000}"/>
    <cellStyle name="Nuovo 12 3 2 2" xfId="4043" xr:uid="{00000000-0005-0000-0000-00004A0A0000}"/>
    <cellStyle name="Nuovo 12 3 2 3" xfId="4044" xr:uid="{00000000-0005-0000-0000-00004B0A0000}"/>
    <cellStyle name="Nuovo 12 3 3" xfId="1044" xr:uid="{00000000-0005-0000-0000-00004C0A0000}"/>
    <cellStyle name="Nuovo 12 3 3 2" xfId="2714" xr:uid="{00000000-0005-0000-0000-00004D0A0000}"/>
    <cellStyle name="Nuovo 12 3 4" xfId="2715" xr:uid="{00000000-0005-0000-0000-00004E0A0000}"/>
    <cellStyle name="Nuovo 12 4" xfId="1045" xr:uid="{00000000-0005-0000-0000-00004F0A0000}"/>
    <cellStyle name="Nuovo 12 4 2" xfId="2716" xr:uid="{00000000-0005-0000-0000-0000500A0000}"/>
    <cellStyle name="Nuovo 12 4 2 2" xfId="2717" xr:uid="{00000000-0005-0000-0000-0000510A0000}"/>
    <cellStyle name="Nuovo 12 4 3" xfId="2718"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9" xr:uid="{00000000-0005-0000-0000-0000560A0000}"/>
    <cellStyle name="Nuovo 13 3" xfId="1049" xr:uid="{00000000-0005-0000-0000-0000570A0000}"/>
    <cellStyle name="Nuovo 13 3 2" xfId="1050" xr:uid="{00000000-0005-0000-0000-0000580A0000}"/>
    <cellStyle name="Nuovo 13 3 2 2" xfId="4045" xr:uid="{00000000-0005-0000-0000-0000590A0000}"/>
    <cellStyle name="Nuovo 13 3 2 3" xfId="4046" xr:uid="{00000000-0005-0000-0000-00005A0A0000}"/>
    <cellStyle name="Nuovo 13 3 3" xfId="1051" xr:uid="{00000000-0005-0000-0000-00005B0A0000}"/>
    <cellStyle name="Nuovo 13 3 3 2" xfId="2720" xr:uid="{00000000-0005-0000-0000-00005C0A0000}"/>
    <cellStyle name="Nuovo 13 3 4" xfId="2721" xr:uid="{00000000-0005-0000-0000-00005D0A0000}"/>
    <cellStyle name="Nuovo 13 4" xfId="1052" xr:uid="{00000000-0005-0000-0000-00005E0A0000}"/>
    <cellStyle name="Nuovo 13 4 2" xfId="2722" xr:uid="{00000000-0005-0000-0000-00005F0A0000}"/>
    <cellStyle name="Nuovo 13 4 2 2" xfId="2723" xr:uid="{00000000-0005-0000-0000-0000600A0000}"/>
    <cellStyle name="Nuovo 13 4 3" xfId="2724"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5" xr:uid="{00000000-0005-0000-0000-0000650A0000}"/>
    <cellStyle name="Nuovo 14 3" xfId="1056" xr:uid="{00000000-0005-0000-0000-0000660A0000}"/>
    <cellStyle name="Nuovo 14 3 2" xfId="1057" xr:uid="{00000000-0005-0000-0000-0000670A0000}"/>
    <cellStyle name="Nuovo 14 3 2 2" xfId="4047" xr:uid="{00000000-0005-0000-0000-0000680A0000}"/>
    <cellStyle name="Nuovo 14 3 2 3" xfId="4048" xr:uid="{00000000-0005-0000-0000-0000690A0000}"/>
    <cellStyle name="Nuovo 14 3 3" xfId="1058" xr:uid="{00000000-0005-0000-0000-00006A0A0000}"/>
    <cellStyle name="Nuovo 14 3 3 2" xfId="2726" xr:uid="{00000000-0005-0000-0000-00006B0A0000}"/>
    <cellStyle name="Nuovo 14 3 4" xfId="2727" xr:uid="{00000000-0005-0000-0000-00006C0A0000}"/>
    <cellStyle name="Nuovo 14 4" xfId="1059" xr:uid="{00000000-0005-0000-0000-00006D0A0000}"/>
    <cellStyle name="Nuovo 14 4 2" xfId="2728" xr:uid="{00000000-0005-0000-0000-00006E0A0000}"/>
    <cellStyle name="Nuovo 14 4 2 2" xfId="2729" xr:uid="{00000000-0005-0000-0000-00006F0A0000}"/>
    <cellStyle name="Nuovo 14 4 3" xfId="2730"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1" xr:uid="{00000000-0005-0000-0000-0000740A0000}"/>
    <cellStyle name="Nuovo 15 3" xfId="1063" xr:uid="{00000000-0005-0000-0000-0000750A0000}"/>
    <cellStyle name="Nuovo 15 3 2" xfId="1064" xr:uid="{00000000-0005-0000-0000-0000760A0000}"/>
    <cellStyle name="Nuovo 15 3 2 2" xfId="4049" xr:uid="{00000000-0005-0000-0000-0000770A0000}"/>
    <cellStyle name="Nuovo 15 3 2 3" xfId="4050" xr:uid="{00000000-0005-0000-0000-0000780A0000}"/>
    <cellStyle name="Nuovo 15 3 3" xfId="1065" xr:uid="{00000000-0005-0000-0000-0000790A0000}"/>
    <cellStyle name="Nuovo 15 3 3 2" xfId="2732" xr:uid="{00000000-0005-0000-0000-00007A0A0000}"/>
    <cellStyle name="Nuovo 15 3 4" xfId="2733" xr:uid="{00000000-0005-0000-0000-00007B0A0000}"/>
    <cellStyle name="Nuovo 15 4" xfId="1066" xr:uid="{00000000-0005-0000-0000-00007C0A0000}"/>
    <cellStyle name="Nuovo 15 4 2" xfId="2734" xr:uid="{00000000-0005-0000-0000-00007D0A0000}"/>
    <cellStyle name="Nuovo 15 4 2 2" xfId="2735" xr:uid="{00000000-0005-0000-0000-00007E0A0000}"/>
    <cellStyle name="Nuovo 15 4 3" xfId="2736"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7" xr:uid="{00000000-0005-0000-0000-0000830A0000}"/>
    <cellStyle name="Nuovo 16 3" xfId="1070" xr:uid="{00000000-0005-0000-0000-0000840A0000}"/>
    <cellStyle name="Nuovo 16 3 2" xfId="1071" xr:uid="{00000000-0005-0000-0000-0000850A0000}"/>
    <cellStyle name="Nuovo 16 3 2 2" xfId="4051" xr:uid="{00000000-0005-0000-0000-0000860A0000}"/>
    <cellStyle name="Nuovo 16 3 2 3" xfId="4052" xr:uid="{00000000-0005-0000-0000-0000870A0000}"/>
    <cellStyle name="Nuovo 16 3 3" xfId="1072" xr:uid="{00000000-0005-0000-0000-0000880A0000}"/>
    <cellStyle name="Nuovo 16 3 3 2" xfId="2738" xr:uid="{00000000-0005-0000-0000-0000890A0000}"/>
    <cellStyle name="Nuovo 16 3 4" xfId="2739" xr:uid="{00000000-0005-0000-0000-00008A0A0000}"/>
    <cellStyle name="Nuovo 16 4" xfId="1073" xr:uid="{00000000-0005-0000-0000-00008B0A0000}"/>
    <cellStyle name="Nuovo 16 4 2" xfId="2740" xr:uid="{00000000-0005-0000-0000-00008C0A0000}"/>
    <cellStyle name="Nuovo 16 4 2 2" xfId="2741" xr:uid="{00000000-0005-0000-0000-00008D0A0000}"/>
    <cellStyle name="Nuovo 16 4 3" xfId="2742"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3" xr:uid="{00000000-0005-0000-0000-0000920A0000}"/>
    <cellStyle name="Nuovo 17 3" xfId="1077" xr:uid="{00000000-0005-0000-0000-0000930A0000}"/>
    <cellStyle name="Nuovo 17 3 2" xfId="1078" xr:uid="{00000000-0005-0000-0000-0000940A0000}"/>
    <cellStyle name="Nuovo 17 3 2 2" xfId="4053" xr:uid="{00000000-0005-0000-0000-0000950A0000}"/>
    <cellStyle name="Nuovo 17 3 2 3" xfId="4054" xr:uid="{00000000-0005-0000-0000-0000960A0000}"/>
    <cellStyle name="Nuovo 17 3 3" xfId="1079" xr:uid="{00000000-0005-0000-0000-0000970A0000}"/>
    <cellStyle name="Nuovo 17 3 3 2" xfId="2744" xr:uid="{00000000-0005-0000-0000-0000980A0000}"/>
    <cellStyle name="Nuovo 17 3 4" xfId="2745" xr:uid="{00000000-0005-0000-0000-0000990A0000}"/>
    <cellStyle name="Nuovo 17 4" xfId="1080" xr:uid="{00000000-0005-0000-0000-00009A0A0000}"/>
    <cellStyle name="Nuovo 17 4 2" xfId="2746" xr:uid="{00000000-0005-0000-0000-00009B0A0000}"/>
    <cellStyle name="Nuovo 17 4 2 2" xfId="2747" xr:uid="{00000000-0005-0000-0000-00009C0A0000}"/>
    <cellStyle name="Nuovo 17 4 3" xfId="2748"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9" xr:uid="{00000000-0005-0000-0000-0000A10A0000}"/>
    <cellStyle name="Nuovo 18 3" xfId="1084" xr:uid="{00000000-0005-0000-0000-0000A20A0000}"/>
    <cellStyle name="Nuovo 18 3 2" xfId="1085" xr:uid="{00000000-0005-0000-0000-0000A30A0000}"/>
    <cellStyle name="Nuovo 18 3 2 2" xfId="4055" xr:uid="{00000000-0005-0000-0000-0000A40A0000}"/>
    <cellStyle name="Nuovo 18 3 2 3" xfId="4056" xr:uid="{00000000-0005-0000-0000-0000A50A0000}"/>
    <cellStyle name="Nuovo 18 3 3" xfId="1086" xr:uid="{00000000-0005-0000-0000-0000A60A0000}"/>
    <cellStyle name="Nuovo 18 3 3 2" xfId="2750" xr:uid="{00000000-0005-0000-0000-0000A70A0000}"/>
    <cellStyle name="Nuovo 18 3 4" xfId="2751" xr:uid="{00000000-0005-0000-0000-0000A80A0000}"/>
    <cellStyle name="Nuovo 18 4" xfId="1087" xr:uid="{00000000-0005-0000-0000-0000A90A0000}"/>
    <cellStyle name="Nuovo 18 4 2" xfId="2752" xr:uid="{00000000-0005-0000-0000-0000AA0A0000}"/>
    <cellStyle name="Nuovo 18 4 2 2" xfId="2753" xr:uid="{00000000-0005-0000-0000-0000AB0A0000}"/>
    <cellStyle name="Nuovo 18 4 3" xfId="2754"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5" xr:uid="{00000000-0005-0000-0000-0000B00A0000}"/>
    <cellStyle name="Nuovo 19 3" xfId="1091" xr:uid="{00000000-0005-0000-0000-0000B10A0000}"/>
    <cellStyle name="Nuovo 19 3 2" xfId="1092" xr:uid="{00000000-0005-0000-0000-0000B20A0000}"/>
    <cellStyle name="Nuovo 19 3 2 2" xfId="4057" xr:uid="{00000000-0005-0000-0000-0000B30A0000}"/>
    <cellStyle name="Nuovo 19 3 2 3" xfId="4058" xr:uid="{00000000-0005-0000-0000-0000B40A0000}"/>
    <cellStyle name="Nuovo 19 3 3" xfId="1093" xr:uid="{00000000-0005-0000-0000-0000B50A0000}"/>
    <cellStyle name="Nuovo 19 3 3 2" xfId="2756" xr:uid="{00000000-0005-0000-0000-0000B60A0000}"/>
    <cellStyle name="Nuovo 19 3 4" xfId="2757" xr:uid="{00000000-0005-0000-0000-0000B70A0000}"/>
    <cellStyle name="Nuovo 19 4" xfId="1094" xr:uid="{00000000-0005-0000-0000-0000B80A0000}"/>
    <cellStyle name="Nuovo 19 4 2" xfId="2758" xr:uid="{00000000-0005-0000-0000-0000B90A0000}"/>
    <cellStyle name="Nuovo 19 4 2 2" xfId="2759" xr:uid="{00000000-0005-0000-0000-0000BA0A0000}"/>
    <cellStyle name="Nuovo 19 4 3" xfId="2760"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1" xr:uid="{00000000-0005-0000-0000-0000BF0A0000}"/>
    <cellStyle name="Nuovo 2 3" xfId="1098" xr:uid="{00000000-0005-0000-0000-0000C00A0000}"/>
    <cellStyle name="Nuovo 2 3 2" xfId="1099" xr:uid="{00000000-0005-0000-0000-0000C10A0000}"/>
    <cellStyle name="Nuovo 2 3 2 2" xfId="4059" xr:uid="{00000000-0005-0000-0000-0000C20A0000}"/>
    <cellStyle name="Nuovo 2 3 2 3" xfId="4060" xr:uid="{00000000-0005-0000-0000-0000C30A0000}"/>
    <cellStyle name="Nuovo 2 3 3" xfId="1100" xr:uid="{00000000-0005-0000-0000-0000C40A0000}"/>
    <cellStyle name="Nuovo 2 3 3 2" xfId="2762" xr:uid="{00000000-0005-0000-0000-0000C50A0000}"/>
    <cellStyle name="Nuovo 2 3 4" xfId="2763" xr:uid="{00000000-0005-0000-0000-0000C60A0000}"/>
    <cellStyle name="Nuovo 2 4" xfId="1101" xr:uid="{00000000-0005-0000-0000-0000C70A0000}"/>
    <cellStyle name="Nuovo 2 4 2" xfId="2764" xr:uid="{00000000-0005-0000-0000-0000C80A0000}"/>
    <cellStyle name="Nuovo 2 4 2 2" xfId="2765" xr:uid="{00000000-0005-0000-0000-0000C90A0000}"/>
    <cellStyle name="Nuovo 2 4 3" xfId="2766"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7" xr:uid="{00000000-0005-0000-0000-0000CE0A0000}"/>
    <cellStyle name="Nuovo 20 3" xfId="1105" xr:uid="{00000000-0005-0000-0000-0000CF0A0000}"/>
    <cellStyle name="Nuovo 20 3 2" xfId="1106" xr:uid="{00000000-0005-0000-0000-0000D00A0000}"/>
    <cellStyle name="Nuovo 20 3 2 2" xfId="4061" xr:uid="{00000000-0005-0000-0000-0000D10A0000}"/>
    <cellStyle name="Nuovo 20 3 2 3" xfId="4062" xr:uid="{00000000-0005-0000-0000-0000D20A0000}"/>
    <cellStyle name="Nuovo 20 3 3" xfId="1107" xr:uid="{00000000-0005-0000-0000-0000D30A0000}"/>
    <cellStyle name="Nuovo 20 3 3 2" xfId="2768" xr:uid="{00000000-0005-0000-0000-0000D40A0000}"/>
    <cellStyle name="Nuovo 20 3 4" xfId="2769" xr:uid="{00000000-0005-0000-0000-0000D50A0000}"/>
    <cellStyle name="Nuovo 20 4" xfId="1108" xr:uid="{00000000-0005-0000-0000-0000D60A0000}"/>
    <cellStyle name="Nuovo 20 4 2" xfId="2770" xr:uid="{00000000-0005-0000-0000-0000D70A0000}"/>
    <cellStyle name="Nuovo 20 4 2 2" xfId="2771" xr:uid="{00000000-0005-0000-0000-0000D80A0000}"/>
    <cellStyle name="Nuovo 20 4 3" xfId="2772"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3" xr:uid="{00000000-0005-0000-0000-0000DD0A0000}"/>
    <cellStyle name="Nuovo 21 3" xfId="1112" xr:uid="{00000000-0005-0000-0000-0000DE0A0000}"/>
    <cellStyle name="Nuovo 21 3 2" xfId="1113" xr:uid="{00000000-0005-0000-0000-0000DF0A0000}"/>
    <cellStyle name="Nuovo 21 3 2 2" xfId="4063" xr:uid="{00000000-0005-0000-0000-0000E00A0000}"/>
    <cellStyle name="Nuovo 21 3 2 3" xfId="4064" xr:uid="{00000000-0005-0000-0000-0000E10A0000}"/>
    <cellStyle name="Nuovo 21 3 3" xfId="1114" xr:uid="{00000000-0005-0000-0000-0000E20A0000}"/>
    <cellStyle name="Nuovo 21 3 3 2" xfId="2774" xr:uid="{00000000-0005-0000-0000-0000E30A0000}"/>
    <cellStyle name="Nuovo 21 3 4" xfId="2775" xr:uid="{00000000-0005-0000-0000-0000E40A0000}"/>
    <cellStyle name="Nuovo 21 4" xfId="1115" xr:uid="{00000000-0005-0000-0000-0000E50A0000}"/>
    <cellStyle name="Nuovo 21 4 2" xfId="2776" xr:uid="{00000000-0005-0000-0000-0000E60A0000}"/>
    <cellStyle name="Nuovo 21 4 2 2" xfId="2777" xr:uid="{00000000-0005-0000-0000-0000E70A0000}"/>
    <cellStyle name="Nuovo 21 4 3" xfId="2778"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9" xr:uid="{00000000-0005-0000-0000-0000EC0A0000}"/>
    <cellStyle name="Nuovo 22 3" xfId="1119" xr:uid="{00000000-0005-0000-0000-0000ED0A0000}"/>
    <cellStyle name="Nuovo 22 3 2" xfId="1120" xr:uid="{00000000-0005-0000-0000-0000EE0A0000}"/>
    <cellStyle name="Nuovo 22 3 2 2" xfId="4065" xr:uid="{00000000-0005-0000-0000-0000EF0A0000}"/>
    <cellStyle name="Nuovo 22 3 2 3" xfId="4066" xr:uid="{00000000-0005-0000-0000-0000F00A0000}"/>
    <cellStyle name="Nuovo 22 3 3" xfId="1121" xr:uid="{00000000-0005-0000-0000-0000F10A0000}"/>
    <cellStyle name="Nuovo 22 3 3 2" xfId="2780" xr:uid="{00000000-0005-0000-0000-0000F20A0000}"/>
    <cellStyle name="Nuovo 22 3 4" xfId="2781" xr:uid="{00000000-0005-0000-0000-0000F30A0000}"/>
    <cellStyle name="Nuovo 22 4" xfId="1122" xr:uid="{00000000-0005-0000-0000-0000F40A0000}"/>
    <cellStyle name="Nuovo 22 4 2" xfId="2782" xr:uid="{00000000-0005-0000-0000-0000F50A0000}"/>
    <cellStyle name="Nuovo 22 4 2 2" xfId="2783" xr:uid="{00000000-0005-0000-0000-0000F60A0000}"/>
    <cellStyle name="Nuovo 22 4 3" xfId="2784"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5" xr:uid="{00000000-0005-0000-0000-0000FB0A0000}"/>
    <cellStyle name="Nuovo 23 3" xfId="1126" xr:uid="{00000000-0005-0000-0000-0000FC0A0000}"/>
    <cellStyle name="Nuovo 23 3 2" xfId="1127" xr:uid="{00000000-0005-0000-0000-0000FD0A0000}"/>
    <cellStyle name="Nuovo 23 3 2 2" xfId="4067" xr:uid="{00000000-0005-0000-0000-0000FE0A0000}"/>
    <cellStyle name="Nuovo 23 3 2 3" xfId="4068" xr:uid="{00000000-0005-0000-0000-0000FF0A0000}"/>
    <cellStyle name="Nuovo 23 3 3" xfId="1128" xr:uid="{00000000-0005-0000-0000-0000000B0000}"/>
    <cellStyle name="Nuovo 23 3 3 2" xfId="2786" xr:uid="{00000000-0005-0000-0000-0000010B0000}"/>
    <cellStyle name="Nuovo 23 3 4" xfId="2787" xr:uid="{00000000-0005-0000-0000-0000020B0000}"/>
    <cellStyle name="Nuovo 23 4" xfId="1129" xr:uid="{00000000-0005-0000-0000-0000030B0000}"/>
    <cellStyle name="Nuovo 23 4 2" xfId="2788" xr:uid="{00000000-0005-0000-0000-0000040B0000}"/>
    <cellStyle name="Nuovo 23 4 2 2" xfId="2789" xr:uid="{00000000-0005-0000-0000-0000050B0000}"/>
    <cellStyle name="Nuovo 23 4 3" xfId="2790"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1" xr:uid="{00000000-0005-0000-0000-00000A0B0000}"/>
    <cellStyle name="Nuovo 24 3" xfId="1133" xr:uid="{00000000-0005-0000-0000-00000B0B0000}"/>
    <cellStyle name="Nuovo 24 3 2" xfId="1134" xr:uid="{00000000-0005-0000-0000-00000C0B0000}"/>
    <cellStyle name="Nuovo 24 3 2 2" xfId="4069" xr:uid="{00000000-0005-0000-0000-00000D0B0000}"/>
    <cellStyle name="Nuovo 24 3 2 3" xfId="4070" xr:uid="{00000000-0005-0000-0000-00000E0B0000}"/>
    <cellStyle name="Nuovo 24 3 3" xfId="1135" xr:uid="{00000000-0005-0000-0000-00000F0B0000}"/>
    <cellStyle name="Nuovo 24 3 3 2" xfId="2792" xr:uid="{00000000-0005-0000-0000-0000100B0000}"/>
    <cellStyle name="Nuovo 24 3 4" xfId="2793" xr:uid="{00000000-0005-0000-0000-0000110B0000}"/>
    <cellStyle name="Nuovo 24 4" xfId="1136" xr:uid="{00000000-0005-0000-0000-0000120B0000}"/>
    <cellStyle name="Nuovo 24 4 2" xfId="2794" xr:uid="{00000000-0005-0000-0000-0000130B0000}"/>
    <cellStyle name="Nuovo 24 4 2 2" xfId="2795" xr:uid="{00000000-0005-0000-0000-0000140B0000}"/>
    <cellStyle name="Nuovo 24 4 3" xfId="2796"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7" xr:uid="{00000000-0005-0000-0000-0000190B0000}"/>
    <cellStyle name="Nuovo 25 3" xfId="1140" xr:uid="{00000000-0005-0000-0000-00001A0B0000}"/>
    <cellStyle name="Nuovo 25 3 2" xfId="1141" xr:uid="{00000000-0005-0000-0000-00001B0B0000}"/>
    <cellStyle name="Nuovo 25 3 2 2" xfId="4071" xr:uid="{00000000-0005-0000-0000-00001C0B0000}"/>
    <cellStyle name="Nuovo 25 3 2 3" xfId="4072" xr:uid="{00000000-0005-0000-0000-00001D0B0000}"/>
    <cellStyle name="Nuovo 25 3 3" xfId="1142" xr:uid="{00000000-0005-0000-0000-00001E0B0000}"/>
    <cellStyle name="Nuovo 25 3 3 2" xfId="2798" xr:uid="{00000000-0005-0000-0000-00001F0B0000}"/>
    <cellStyle name="Nuovo 25 3 4" xfId="2799" xr:uid="{00000000-0005-0000-0000-0000200B0000}"/>
    <cellStyle name="Nuovo 25 4" xfId="1143" xr:uid="{00000000-0005-0000-0000-0000210B0000}"/>
    <cellStyle name="Nuovo 25 4 2" xfId="2800" xr:uid="{00000000-0005-0000-0000-0000220B0000}"/>
    <cellStyle name="Nuovo 25 4 2 2" xfId="2801" xr:uid="{00000000-0005-0000-0000-0000230B0000}"/>
    <cellStyle name="Nuovo 25 4 3" xfId="2802"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3" xr:uid="{00000000-0005-0000-0000-0000280B0000}"/>
    <cellStyle name="Nuovo 26 3" xfId="1147" xr:uid="{00000000-0005-0000-0000-0000290B0000}"/>
    <cellStyle name="Nuovo 26 3 2" xfId="1148" xr:uid="{00000000-0005-0000-0000-00002A0B0000}"/>
    <cellStyle name="Nuovo 26 3 2 2" xfId="4073" xr:uid="{00000000-0005-0000-0000-00002B0B0000}"/>
    <cellStyle name="Nuovo 26 3 2 3" xfId="4074" xr:uid="{00000000-0005-0000-0000-00002C0B0000}"/>
    <cellStyle name="Nuovo 26 3 3" xfId="1149" xr:uid="{00000000-0005-0000-0000-00002D0B0000}"/>
    <cellStyle name="Nuovo 26 3 3 2" xfId="2804" xr:uid="{00000000-0005-0000-0000-00002E0B0000}"/>
    <cellStyle name="Nuovo 26 3 4" xfId="2805" xr:uid="{00000000-0005-0000-0000-00002F0B0000}"/>
    <cellStyle name="Nuovo 26 4" xfId="1150" xr:uid="{00000000-0005-0000-0000-0000300B0000}"/>
    <cellStyle name="Nuovo 26 4 2" xfId="2806" xr:uid="{00000000-0005-0000-0000-0000310B0000}"/>
    <cellStyle name="Nuovo 26 4 2 2" xfId="2807" xr:uid="{00000000-0005-0000-0000-0000320B0000}"/>
    <cellStyle name="Nuovo 26 4 3" xfId="2808"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9" xr:uid="{00000000-0005-0000-0000-0000370B0000}"/>
    <cellStyle name="Nuovo 27 3" xfId="1154" xr:uid="{00000000-0005-0000-0000-0000380B0000}"/>
    <cellStyle name="Nuovo 27 3 2" xfId="1155" xr:uid="{00000000-0005-0000-0000-0000390B0000}"/>
    <cellStyle name="Nuovo 27 3 2 2" xfId="4075" xr:uid="{00000000-0005-0000-0000-00003A0B0000}"/>
    <cellStyle name="Nuovo 27 3 2 3" xfId="4076" xr:uid="{00000000-0005-0000-0000-00003B0B0000}"/>
    <cellStyle name="Nuovo 27 3 3" xfId="1156" xr:uid="{00000000-0005-0000-0000-00003C0B0000}"/>
    <cellStyle name="Nuovo 27 3 3 2" xfId="2810" xr:uid="{00000000-0005-0000-0000-00003D0B0000}"/>
    <cellStyle name="Nuovo 27 3 4" xfId="2811" xr:uid="{00000000-0005-0000-0000-00003E0B0000}"/>
    <cellStyle name="Nuovo 27 4" xfId="1157" xr:uid="{00000000-0005-0000-0000-00003F0B0000}"/>
    <cellStyle name="Nuovo 27 4 2" xfId="2812" xr:uid="{00000000-0005-0000-0000-0000400B0000}"/>
    <cellStyle name="Nuovo 27 4 2 2" xfId="2813" xr:uid="{00000000-0005-0000-0000-0000410B0000}"/>
    <cellStyle name="Nuovo 27 4 3" xfId="2814"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5" xr:uid="{00000000-0005-0000-0000-0000460B0000}"/>
    <cellStyle name="Nuovo 28 3" xfId="1161" xr:uid="{00000000-0005-0000-0000-0000470B0000}"/>
    <cellStyle name="Nuovo 28 3 2" xfId="1162" xr:uid="{00000000-0005-0000-0000-0000480B0000}"/>
    <cellStyle name="Nuovo 28 3 2 2" xfId="4077" xr:uid="{00000000-0005-0000-0000-0000490B0000}"/>
    <cellStyle name="Nuovo 28 3 2 3" xfId="4078" xr:uid="{00000000-0005-0000-0000-00004A0B0000}"/>
    <cellStyle name="Nuovo 28 3 3" xfId="1163" xr:uid="{00000000-0005-0000-0000-00004B0B0000}"/>
    <cellStyle name="Nuovo 28 3 3 2" xfId="2816" xr:uid="{00000000-0005-0000-0000-00004C0B0000}"/>
    <cellStyle name="Nuovo 28 3 4" xfId="2817" xr:uid="{00000000-0005-0000-0000-00004D0B0000}"/>
    <cellStyle name="Nuovo 28 4" xfId="1164" xr:uid="{00000000-0005-0000-0000-00004E0B0000}"/>
    <cellStyle name="Nuovo 28 4 2" xfId="2818" xr:uid="{00000000-0005-0000-0000-00004F0B0000}"/>
    <cellStyle name="Nuovo 28 4 2 2" xfId="2819" xr:uid="{00000000-0005-0000-0000-0000500B0000}"/>
    <cellStyle name="Nuovo 28 4 3" xfId="2820"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1" xr:uid="{00000000-0005-0000-0000-0000550B0000}"/>
    <cellStyle name="Nuovo 29 3" xfId="1168" xr:uid="{00000000-0005-0000-0000-0000560B0000}"/>
    <cellStyle name="Nuovo 29 3 2" xfId="1169" xr:uid="{00000000-0005-0000-0000-0000570B0000}"/>
    <cellStyle name="Nuovo 29 3 2 2" xfId="4079" xr:uid="{00000000-0005-0000-0000-0000580B0000}"/>
    <cellStyle name="Nuovo 29 3 2 3" xfId="4080" xr:uid="{00000000-0005-0000-0000-0000590B0000}"/>
    <cellStyle name="Nuovo 29 3 3" xfId="1170" xr:uid="{00000000-0005-0000-0000-00005A0B0000}"/>
    <cellStyle name="Nuovo 29 3 3 2" xfId="2822" xr:uid="{00000000-0005-0000-0000-00005B0B0000}"/>
    <cellStyle name="Nuovo 29 3 4" xfId="2823" xr:uid="{00000000-0005-0000-0000-00005C0B0000}"/>
    <cellStyle name="Nuovo 29 4" xfId="1171" xr:uid="{00000000-0005-0000-0000-00005D0B0000}"/>
    <cellStyle name="Nuovo 29 4 2" xfId="2824" xr:uid="{00000000-0005-0000-0000-00005E0B0000}"/>
    <cellStyle name="Nuovo 29 4 2 2" xfId="2825" xr:uid="{00000000-0005-0000-0000-00005F0B0000}"/>
    <cellStyle name="Nuovo 29 4 3" xfId="2826"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7" xr:uid="{00000000-0005-0000-0000-0000640B0000}"/>
    <cellStyle name="Nuovo 3 3" xfId="1175" xr:uid="{00000000-0005-0000-0000-0000650B0000}"/>
    <cellStyle name="Nuovo 3 3 2" xfId="1176" xr:uid="{00000000-0005-0000-0000-0000660B0000}"/>
    <cellStyle name="Nuovo 3 3 2 2" xfId="4081" xr:uid="{00000000-0005-0000-0000-0000670B0000}"/>
    <cellStyle name="Nuovo 3 3 2 3" xfId="4082" xr:uid="{00000000-0005-0000-0000-0000680B0000}"/>
    <cellStyle name="Nuovo 3 3 3" xfId="1177" xr:uid="{00000000-0005-0000-0000-0000690B0000}"/>
    <cellStyle name="Nuovo 3 3 3 2" xfId="2828" xr:uid="{00000000-0005-0000-0000-00006A0B0000}"/>
    <cellStyle name="Nuovo 3 3 4" xfId="2829" xr:uid="{00000000-0005-0000-0000-00006B0B0000}"/>
    <cellStyle name="Nuovo 3 4" xfId="1178" xr:uid="{00000000-0005-0000-0000-00006C0B0000}"/>
    <cellStyle name="Nuovo 3 4 2" xfId="2830" xr:uid="{00000000-0005-0000-0000-00006D0B0000}"/>
    <cellStyle name="Nuovo 3 4 2 2" xfId="2831" xr:uid="{00000000-0005-0000-0000-00006E0B0000}"/>
    <cellStyle name="Nuovo 3 4 3" xfId="2832"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3" xr:uid="{00000000-0005-0000-0000-0000730B0000}"/>
    <cellStyle name="Nuovo 30 3" xfId="1182" xr:uid="{00000000-0005-0000-0000-0000740B0000}"/>
    <cellStyle name="Nuovo 30 3 2" xfId="1183" xr:uid="{00000000-0005-0000-0000-0000750B0000}"/>
    <cellStyle name="Nuovo 30 3 2 2" xfId="4083" xr:uid="{00000000-0005-0000-0000-0000760B0000}"/>
    <cellStyle name="Nuovo 30 3 2 3" xfId="4084" xr:uid="{00000000-0005-0000-0000-0000770B0000}"/>
    <cellStyle name="Nuovo 30 3 3" xfId="1184" xr:uid="{00000000-0005-0000-0000-0000780B0000}"/>
    <cellStyle name="Nuovo 30 3 3 2" xfId="2834" xr:uid="{00000000-0005-0000-0000-0000790B0000}"/>
    <cellStyle name="Nuovo 30 3 4" xfId="2835" xr:uid="{00000000-0005-0000-0000-00007A0B0000}"/>
    <cellStyle name="Nuovo 30 4" xfId="1185" xr:uid="{00000000-0005-0000-0000-00007B0B0000}"/>
    <cellStyle name="Nuovo 30 4 2" xfId="2836" xr:uid="{00000000-0005-0000-0000-00007C0B0000}"/>
    <cellStyle name="Nuovo 30 4 2 2" xfId="2837" xr:uid="{00000000-0005-0000-0000-00007D0B0000}"/>
    <cellStyle name="Nuovo 30 4 3" xfId="2838"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9" xr:uid="{00000000-0005-0000-0000-0000820B0000}"/>
    <cellStyle name="Nuovo 31 3" xfId="1189" xr:uid="{00000000-0005-0000-0000-0000830B0000}"/>
    <cellStyle name="Nuovo 31 3 2" xfId="1190" xr:uid="{00000000-0005-0000-0000-0000840B0000}"/>
    <cellStyle name="Nuovo 31 3 2 2" xfId="4085" xr:uid="{00000000-0005-0000-0000-0000850B0000}"/>
    <cellStyle name="Nuovo 31 3 2 3" xfId="4086" xr:uid="{00000000-0005-0000-0000-0000860B0000}"/>
    <cellStyle name="Nuovo 31 3 3" xfId="1191" xr:uid="{00000000-0005-0000-0000-0000870B0000}"/>
    <cellStyle name="Nuovo 31 3 3 2" xfId="2840" xr:uid="{00000000-0005-0000-0000-0000880B0000}"/>
    <cellStyle name="Nuovo 31 3 4" xfId="2841" xr:uid="{00000000-0005-0000-0000-0000890B0000}"/>
    <cellStyle name="Nuovo 31 4" xfId="1192" xr:uid="{00000000-0005-0000-0000-00008A0B0000}"/>
    <cellStyle name="Nuovo 31 4 2" xfId="2842" xr:uid="{00000000-0005-0000-0000-00008B0B0000}"/>
    <cellStyle name="Nuovo 31 4 2 2" xfId="2843" xr:uid="{00000000-0005-0000-0000-00008C0B0000}"/>
    <cellStyle name="Nuovo 31 4 3" xfId="2844"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5" xr:uid="{00000000-0005-0000-0000-0000910B0000}"/>
    <cellStyle name="Nuovo 32 3" xfId="1196" xr:uid="{00000000-0005-0000-0000-0000920B0000}"/>
    <cellStyle name="Nuovo 32 3 2" xfId="1197" xr:uid="{00000000-0005-0000-0000-0000930B0000}"/>
    <cellStyle name="Nuovo 32 3 2 2" xfId="4087" xr:uid="{00000000-0005-0000-0000-0000940B0000}"/>
    <cellStyle name="Nuovo 32 3 2 3" xfId="4088" xr:uid="{00000000-0005-0000-0000-0000950B0000}"/>
    <cellStyle name="Nuovo 32 3 3" xfId="1198" xr:uid="{00000000-0005-0000-0000-0000960B0000}"/>
    <cellStyle name="Nuovo 32 3 3 2" xfId="2846" xr:uid="{00000000-0005-0000-0000-0000970B0000}"/>
    <cellStyle name="Nuovo 32 3 4" xfId="2847" xr:uid="{00000000-0005-0000-0000-0000980B0000}"/>
    <cellStyle name="Nuovo 32 4" xfId="1199" xr:uid="{00000000-0005-0000-0000-0000990B0000}"/>
    <cellStyle name="Nuovo 32 4 2" xfId="2848" xr:uid="{00000000-0005-0000-0000-00009A0B0000}"/>
    <cellStyle name="Nuovo 32 4 2 2" xfId="2849" xr:uid="{00000000-0005-0000-0000-00009B0B0000}"/>
    <cellStyle name="Nuovo 32 4 3" xfId="2850"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1" xr:uid="{00000000-0005-0000-0000-0000A00B0000}"/>
    <cellStyle name="Nuovo 33 3" xfId="1203" xr:uid="{00000000-0005-0000-0000-0000A10B0000}"/>
    <cellStyle name="Nuovo 33 3 2" xfId="1204" xr:uid="{00000000-0005-0000-0000-0000A20B0000}"/>
    <cellStyle name="Nuovo 33 3 2 2" xfId="4089" xr:uid="{00000000-0005-0000-0000-0000A30B0000}"/>
    <cellStyle name="Nuovo 33 3 2 3" xfId="4090" xr:uid="{00000000-0005-0000-0000-0000A40B0000}"/>
    <cellStyle name="Nuovo 33 3 3" xfId="1205" xr:uid="{00000000-0005-0000-0000-0000A50B0000}"/>
    <cellStyle name="Nuovo 33 3 3 2" xfId="2852" xr:uid="{00000000-0005-0000-0000-0000A60B0000}"/>
    <cellStyle name="Nuovo 33 3 4" xfId="2853" xr:uid="{00000000-0005-0000-0000-0000A70B0000}"/>
    <cellStyle name="Nuovo 33 4" xfId="1206" xr:uid="{00000000-0005-0000-0000-0000A80B0000}"/>
    <cellStyle name="Nuovo 33 4 2" xfId="2854" xr:uid="{00000000-0005-0000-0000-0000A90B0000}"/>
    <cellStyle name="Nuovo 33 4 2 2" xfId="2855" xr:uid="{00000000-0005-0000-0000-0000AA0B0000}"/>
    <cellStyle name="Nuovo 33 4 3" xfId="2856"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7" xr:uid="{00000000-0005-0000-0000-0000AF0B0000}"/>
    <cellStyle name="Nuovo 34 3" xfId="1210" xr:uid="{00000000-0005-0000-0000-0000B00B0000}"/>
    <cellStyle name="Nuovo 34 3 2" xfId="1211" xr:uid="{00000000-0005-0000-0000-0000B10B0000}"/>
    <cellStyle name="Nuovo 34 3 2 2" xfId="4091" xr:uid="{00000000-0005-0000-0000-0000B20B0000}"/>
    <cellStyle name="Nuovo 34 3 2 3" xfId="4092" xr:uid="{00000000-0005-0000-0000-0000B30B0000}"/>
    <cellStyle name="Nuovo 34 3 3" xfId="1212" xr:uid="{00000000-0005-0000-0000-0000B40B0000}"/>
    <cellStyle name="Nuovo 34 3 3 2" xfId="2858" xr:uid="{00000000-0005-0000-0000-0000B50B0000}"/>
    <cellStyle name="Nuovo 34 3 4" xfId="2859" xr:uid="{00000000-0005-0000-0000-0000B60B0000}"/>
    <cellStyle name="Nuovo 34 4" xfId="1213" xr:uid="{00000000-0005-0000-0000-0000B70B0000}"/>
    <cellStyle name="Nuovo 34 4 2" xfId="2860" xr:uid="{00000000-0005-0000-0000-0000B80B0000}"/>
    <cellStyle name="Nuovo 34 4 2 2" xfId="2861" xr:uid="{00000000-0005-0000-0000-0000B90B0000}"/>
    <cellStyle name="Nuovo 34 4 3" xfId="2862"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3" xr:uid="{00000000-0005-0000-0000-0000BE0B0000}"/>
    <cellStyle name="Nuovo 35 3" xfId="1217" xr:uid="{00000000-0005-0000-0000-0000BF0B0000}"/>
    <cellStyle name="Nuovo 35 3 2" xfId="1218" xr:uid="{00000000-0005-0000-0000-0000C00B0000}"/>
    <cellStyle name="Nuovo 35 3 2 2" xfId="4093" xr:uid="{00000000-0005-0000-0000-0000C10B0000}"/>
    <cellStyle name="Nuovo 35 3 2 3" xfId="4094" xr:uid="{00000000-0005-0000-0000-0000C20B0000}"/>
    <cellStyle name="Nuovo 35 3 3" xfId="1219" xr:uid="{00000000-0005-0000-0000-0000C30B0000}"/>
    <cellStyle name="Nuovo 35 3 3 2" xfId="2864" xr:uid="{00000000-0005-0000-0000-0000C40B0000}"/>
    <cellStyle name="Nuovo 35 3 4" xfId="2865" xr:uid="{00000000-0005-0000-0000-0000C50B0000}"/>
    <cellStyle name="Nuovo 35 4" xfId="1220" xr:uid="{00000000-0005-0000-0000-0000C60B0000}"/>
    <cellStyle name="Nuovo 35 4 2" xfId="2866" xr:uid="{00000000-0005-0000-0000-0000C70B0000}"/>
    <cellStyle name="Nuovo 35 4 2 2" xfId="2867" xr:uid="{00000000-0005-0000-0000-0000C80B0000}"/>
    <cellStyle name="Nuovo 35 4 3" xfId="2868"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9" xr:uid="{00000000-0005-0000-0000-0000CD0B0000}"/>
    <cellStyle name="Nuovo 36 3" xfId="1224" xr:uid="{00000000-0005-0000-0000-0000CE0B0000}"/>
    <cellStyle name="Nuovo 36 3 2" xfId="1225" xr:uid="{00000000-0005-0000-0000-0000CF0B0000}"/>
    <cellStyle name="Nuovo 36 3 2 2" xfId="4095" xr:uid="{00000000-0005-0000-0000-0000D00B0000}"/>
    <cellStyle name="Nuovo 36 3 2 3" xfId="4096" xr:uid="{00000000-0005-0000-0000-0000D10B0000}"/>
    <cellStyle name="Nuovo 36 3 3" xfId="1226" xr:uid="{00000000-0005-0000-0000-0000D20B0000}"/>
    <cellStyle name="Nuovo 36 3 3 2" xfId="2870" xr:uid="{00000000-0005-0000-0000-0000D30B0000}"/>
    <cellStyle name="Nuovo 36 3 4" xfId="2871" xr:uid="{00000000-0005-0000-0000-0000D40B0000}"/>
    <cellStyle name="Nuovo 36 4" xfId="1227" xr:uid="{00000000-0005-0000-0000-0000D50B0000}"/>
    <cellStyle name="Nuovo 36 4 2" xfId="2872" xr:uid="{00000000-0005-0000-0000-0000D60B0000}"/>
    <cellStyle name="Nuovo 36 4 2 2" xfId="2873" xr:uid="{00000000-0005-0000-0000-0000D70B0000}"/>
    <cellStyle name="Nuovo 36 4 3" xfId="2874"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5" xr:uid="{00000000-0005-0000-0000-0000DC0B0000}"/>
    <cellStyle name="Nuovo 37 3" xfId="1231" xr:uid="{00000000-0005-0000-0000-0000DD0B0000}"/>
    <cellStyle name="Nuovo 37 3 2" xfId="1232" xr:uid="{00000000-0005-0000-0000-0000DE0B0000}"/>
    <cellStyle name="Nuovo 37 3 2 2" xfId="4097" xr:uid="{00000000-0005-0000-0000-0000DF0B0000}"/>
    <cellStyle name="Nuovo 37 3 2 3" xfId="4098" xr:uid="{00000000-0005-0000-0000-0000E00B0000}"/>
    <cellStyle name="Nuovo 37 3 3" xfId="1233" xr:uid="{00000000-0005-0000-0000-0000E10B0000}"/>
    <cellStyle name="Nuovo 37 3 3 2" xfId="2876" xr:uid="{00000000-0005-0000-0000-0000E20B0000}"/>
    <cellStyle name="Nuovo 37 3 4" xfId="2877" xr:uid="{00000000-0005-0000-0000-0000E30B0000}"/>
    <cellStyle name="Nuovo 37 4" xfId="1234" xr:uid="{00000000-0005-0000-0000-0000E40B0000}"/>
    <cellStyle name="Nuovo 37 4 2" xfId="2878" xr:uid="{00000000-0005-0000-0000-0000E50B0000}"/>
    <cellStyle name="Nuovo 37 4 2 2" xfId="2879" xr:uid="{00000000-0005-0000-0000-0000E60B0000}"/>
    <cellStyle name="Nuovo 37 4 3" xfId="2880"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1" xr:uid="{00000000-0005-0000-0000-0000EB0B0000}"/>
    <cellStyle name="Nuovo 38 3" xfId="1238" xr:uid="{00000000-0005-0000-0000-0000EC0B0000}"/>
    <cellStyle name="Nuovo 38 3 2" xfId="1239" xr:uid="{00000000-0005-0000-0000-0000ED0B0000}"/>
    <cellStyle name="Nuovo 38 3 2 2" xfId="4099" xr:uid="{00000000-0005-0000-0000-0000EE0B0000}"/>
    <cellStyle name="Nuovo 38 3 2 3" xfId="4100" xr:uid="{00000000-0005-0000-0000-0000EF0B0000}"/>
    <cellStyle name="Nuovo 38 3 3" xfId="1240" xr:uid="{00000000-0005-0000-0000-0000F00B0000}"/>
    <cellStyle name="Nuovo 38 3 3 2" xfId="2882" xr:uid="{00000000-0005-0000-0000-0000F10B0000}"/>
    <cellStyle name="Nuovo 38 3 4" xfId="2883" xr:uid="{00000000-0005-0000-0000-0000F20B0000}"/>
    <cellStyle name="Nuovo 38 4" xfId="1241" xr:uid="{00000000-0005-0000-0000-0000F30B0000}"/>
    <cellStyle name="Nuovo 38 4 2" xfId="2884" xr:uid="{00000000-0005-0000-0000-0000F40B0000}"/>
    <cellStyle name="Nuovo 38 4 2 2" xfId="2885" xr:uid="{00000000-0005-0000-0000-0000F50B0000}"/>
    <cellStyle name="Nuovo 38 4 3" xfId="2886"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7" xr:uid="{00000000-0005-0000-0000-0000FA0B0000}"/>
    <cellStyle name="Nuovo 39 3" xfId="1245" xr:uid="{00000000-0005-0000-0000-0000FB0B0000}"/>
    <cellStyle name="Nuovo 39 3 2" xfId="1246" xr:uid="{00000000-0005-0000-0000-0000FC0B0000}"/>
    <cellStyle name="Nuovo 39 3 2 2" xfId="4101" xr:uid="{00000000-0005-0000-0000-0000FD0B0000}"/>
    <cellStyle name="Nuovo 39 3 2 3" xfId="4102" xr:uid="{00000000-0005-0000-0000-0000FE0B0000}"/>
    <cellStyle name="Nuovo 39 3 3" xfId="1247" xr:uid="{00000000-0005-0000-0000-0000FF0B0000}"/>
    <cellStyle name="Nuovo 39 3 3 2" xfId="2888" xr:uid="{00000000-0005-0000-0000-0000000C0000}"/>
    <cellStyle name="Nuovo 39 3 4" xfId="2889" xr:uid="{00000000-0005-0000-0000-0000010C0000}"/>
    <cellStyle name="Nuovo 39 4" xfId="1248" xr:uid="{00000000-0005-0000-0000-0000020C0000}"/>
    <cellStyle name="Nuovo 39 4 2" xfId="2890" xr:uid="{00000000-0005-0000-0000-0000030C0000}"/>
    <cellStyle name="Nuovo 39 4 2 2" xfId="2891" xr:uid="{00000000-0005-0000-0000-0000040C0000}"/>
    <cellStyle name="Nuovo 39 4 3" xfId="2892"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3" xr:uid="{00000000-0005-0000-0000-0000090C0000}"/>
    <cellStyle name="Nuovo 4 3" xfId="1252" xr:uid="{00000000-0005-0000-0000-00000A0C0000}"/>
    <cellStyle name="Nuovo 4 3 2" xfId="1253" xr:uid="{00000000-0005-0000-0000-00000B0C0000}"/>
    <cellStyle name="Nuovo 4 3 2 2" xfId="4103" xr:uid="{00000000-0005-0000-0000-00000C0C0000}"/>
    <cellStyle name="Nuovo 4 3 2 3" xfId="4104" xr:uid="{00000000-0005-0000-0000-00000D0C0000}"/>
    <cellStyle name="Nuovo 4 3 3" xfId="1254" xr:uid="{00000000-0005-0000-0000-00000E0C0000}"/>
    <cellStyle name="Nuovo 4 3 3 2" xfId="2894" xr:uid="{00000000-0005-0000-0000-00000F0C0000}"/>
    <cellStyle name="Nuovo 4 3 4" xfId="2895" xr:uid="{00000000-0005-0000-0000-0000100C0000}"/>
    <cellStyle name="Nuovo 4 4" xfId="1255" xr:uid="{00000000-0005-0000-0000-0000110C0000}"/>
    <cellStyle name="Nuovo 4 4 2" xfId="2896" xr:uid="{00000000-0005-0000-0000-0000120C0000}"/>
    <cellStyle name="Nuovo 4 4 2 2" xfId="2897" xr:uid="{00000000-0005-0000-0000-0000130C0000}"/>
    <cellStyle name="Nuovo 4 4 3" xfId="2898"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9" xr:uid="{00000000-0005-0000-0000-0000180C0000}"/>
    <cellStyle name="Nuovo 40 3" xfId="1259" xr:uid="{00000000-0005-0000-0000-0000190C0000}"/>
    <cellStyle name="Nuovo 40 3 2" xfId="1260" xr:uid="{00000000-0005-0000-0000-00001A0C0000}"/>
    <cellStyle name="Nuovo 40 3 2 2" xfId="4105" xr:uid="{00000000-0005-0000-0000-00001B0C0000}"/>
    <cellStyle name="Nuovo 40 3 2 3" xfId="4106" xr:uid="{00000000-0005-0000-0000-00001C0C0000}"/>
    <cellStyle name="Nuovo 40 3 3" xfId="1261" xr:uid="{00000000-0005-0000-0000-00001D0C0000}"/>
    <cellStyle name="Nuovo 40 3 3 2" xfId="2900" xr:uid="{00000000-0005-0000-0000-00001E0C0000}"/>
    <cellStyle name="Nuovo 40 3 4" xfId="2901" xr:uid="{00000000-0005-0000-0000-00001F0C0000}"/>
    <cellStyle name="Nuovo 40 4" xfId="1262" xr:uid="{00000000-0005-0000-0000-0000200C0000}"/>
    <cellStyle name="Nuovo 40 4 2" xfId="2902" xr:uid="{00000000-0005-0000-0000-0000210C0000}"/>
    <cellStyle name="Nuovo 40 4 2 2" xfId="2903" xr:uid="{00000000-0005-0000-0000-0000220C0000}"/>
    <cellStyle name="Nuovo 40 4 3" xfId="2904"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5" xr:uid="{00000000-0005-0000-0000-0000270C0000}"/>
    <cellStyle name="Nuovo 41 3" xfId="1266" xr:uid="{00000000-0005-0000-0000-0000280C0000}"/>
    <cellStyle name="Nuovo 41 3 2" xfId="1267" xr:uid="{00000000-0005-0000-0000-0000290C0000}"/>
    <cellStyle name="Nuovo 41 3 2 2" xfId="4107" xr:uid="{00000000-0005-0000-0000-00002A0C0000}"/>
    <cellStyle name="Nuovo 41 3 2 3" xfId="4108" xr:uid="{00000000-0005-0000-0000-00002B0C0000}"/>
    <cellStyle name="Nuovo 41 3 3" xfId="1268" xr:uid="{00000000-0005-0000-0000-00002C0C0000}"/>
    <cellStyle name="Nuovo 41 3 3 2" xfId="2906" xr:uid="{00000000-0005-0000-0000-00002D0C0000}"/>
    <cellStyle name="Nuovo 41 3 4" xfId="2907" xr:uid="{00000000-0005-0000-0000-00002E0C0000}"/>
    <cellStyle name="Nuovo 41 4" xfId="1269" xr:uid="{00000000-0005-0000-0000-00002F0C0000}"/>
    <cellStyle name="Nuovo 41 4 2" xfId="2908" xr:uid="{00000000-0005-0000-0000-0000300C0000}"/>
    <cellStyle name="Nuovo 41 4 2 2" xfId="2909" xr:uid="{00000000-0005-0000-0000-0000310C0000}"/>
    <cellStyle name="Nuovo 41 4 3" xfId="2910"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1" xr:uid="{00000000-0005-0000-0000-0000360C0000}"/>
    <cellStyle name="Nuovo 42 3" xfId="1273" xr:uid="{00000000-0005-0000-0000-0000370C0000}"/>
    <cellStyle name="Nuovo 42 3 2" xfId="1274" xr:uid="{00000000-0005-0000-0000-0000380C0000}"/>
    <cellStyle name="Nuovo 42 3 2 2" xfId="4109" xr:uid="{00000000-0005-0000-0000-0000390C0000}"/>
    <cellStyle name="Nuovo 42 3 2 3" xfId="4110" xr:uid="{00000000-0005-0000-0000-00003A0C0000}"/>
    <cellStyle name="Nuovo 42 3 3" xfId="1275" xr:uid="{00000000-0005-0000-0000-00003B0C0000}"/>
    <cellStyle name="Nuovo 42 3 3 2" xfId="2912" xr:uid="{00000000-0005-0000-0000-00003C0C0000}"/>
    <cellStyle name="Nuovo 42 3 4" xfId="2913" xr:uid="{00000000-0005-0000-0000-00003D0C0000}"/>
    <cellStyle name="Nuovo 42 4" xfId="1276" xr:uid="{00000000-0005-0000-0000-00003E0C0000}"/>
    <cellStyle name="Nuovo 42 4 2" xfId="2914" xr:uid="{00000000-0005-0000-0000-00003F0C0000}"/>
    <cellStyle name="Nuovo 42 4 2 2" xfId="2915" xr:uid="{00000000-0005-0000-0000-0000400C0000}"/>
    <cellStyle name="Nuovo 42 4 3" xfId="2916"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7" xr:uid="{00000000-0005-0000-0000-0000450C0000}"/>
    <cellStyle name="Nuovo 43 3" xfId="1280" xr:uid="{00000000-0005-0000-0000-0000460C0000}"/>
    <cellStyle name="Nuovo 43 3 2" xfId="1281" xr:uid="{00000000-0005-0000-0000-0000470C0000}"/>
    <cellStyle name="Nuovo 43 3 2 2" xfId="4111" xr:uid="{00000000-0005-0000-0000-0000480C0000}"/>
    <cellStyle name="Nuovo 43 3 2 3" xfId="4112" xr:uid="{00000000-0005-0000-0000-0000490C0000}"/>
    <cellStyle name="Nuovo 43 3 3" xfId="1282" xr:uid="{00000000-0005-0000-0000-00004A0C0000}"/>
    <cellStyle name="Nuovo 43 3 3 2" xfId="2918" xr:uid="{00000000-0005-0000-0000-00004B0C0000}"/>
    <cellStyle name="Nuovo 43 3 4" xfId="2919" xr:uid="{00000000-0005-0000-0000-00004C0C0000}"/>
    <cellStyle name="Nuovo 43 4" xfId="1283" xr:uid="{00000000-0005-0000-0000-00004D0C0000}"/>
    <cellStyle name="Nuovo 43 4 2" xfId="2920" xr:uid="{00000000-0005-0000-0000-00004E0C0000}"/>
    <cellStyle name="Nuovo 43 4 2 2" xfId="2921" xr:uid="{00000000-0005-0000-0000-00004F0C0000}"/>
    <cellStyle name="Nuovo 43 4 3" xfId="2922"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3" xr:uid="{00000000-0005-0000-0000-0000540C0000}"/>
    <cellStyle name="Nuovo 44 3" xfId="1287" xr:uid="{00000000-0005-0000-0000-0000550C0000}"/>
    <cellStyle name="Nuovo 44 3 2" xfId="1288" xr:uid="{00000000-0005-0000-0000-0000560C0000}"/>
    <cellStyle name="Nuovo 44 3 2 2" xfId="4113" xr:uid="{00000000-0005-0000-0000-0000570C0000}"/>
    <cellStyle name="Nuovo 44 3 2 3" xfId="4114" xr:uid="{00000000-0005-0000-0000-0000580C0000}"/>
    <cellStyle name="Nuovo 44 3 3" xfId="1289" xr:uid="{00000000-0005-0000-0000-0000590C0000}"/>
    <cellStyle name="Nuovo 44 3 3 2" xfId="2924" xr:uid="{00000000-0005-0000-0000-00005A0C0000}"/>
    <cellStyle name="Nuovo 44 3 4" xfId="2925" xr:uid="{00000000-0005-0000-0000-00005B0C0000}"/>
    <cellStyle name="Nuovo 44 4" xfId="1290" xr:uid="{00000000-0005-0000-0000-00005C0C0000}"/>
    <cellStyle name="Nuovo 44 4 2" xfId="2926" xr:uid="{00000000-0005-0000-0000-00005D0C0000}"/>
    <cellStyle name="Nuovo 44 4 2 2" xfId="2927" xr:uid="{00000000-0005-0000-0000-00005E0C0000}"/>
    <cellStyle name="Nuovo 44 4 3" xfId="2928" xr:uid="{00000000-0005-0000-0000-00005F0C0000}"/>
    <cellStyle name="Nuovo 44 5" xfId="1291" xr:uid="{00000000-0005-0000-0000-0000600C0000}"/>
    <cellStyle name="Nuovo 45" xfId="1292" xr:uid="{00000000-0005-0000-0000-0000610C0000}"/>
    <cellStyle name="Nuovo 45 2" xfId="2929" xr:uid="{00000000-0005-0000-0000-0000620C0000}"/>
    <cellStyle name="Nuovo 46" xfId="1293" xr:uid="{00000000-0005-0000-0000-0000630C0000}"/>
    <cellStyle name="Nuovo 46 2" xfId="1294" xr:uid="{00000000-0005-0000-0000-0000640C0000}"/>
    <cellStyle name="Nuovo 46 2 2" xfId="4115" xr:uid="{00000000-0005-0000-0000-0000650C0000}"/>
    <cellStyle name="Nuovo 46 2 3" xfId="4116" xr:uid="{00000000-0005-0000-0000-0000660C0000}"/>
    <cellStyle name="Nuovo 46 3" xfId="1295" xr:uid="{00000000-0005-0000-0000-0000670C0000}"/>
    <cellStyle name="Nuovo 46 3 2" xfId="2930" xr:uid="{00000000-0005-0000-0000-0000680C0000}"/>
    <cellStyle name="Nuovo 46 4" xfId="2931" xr:uid="{00000000-0005-0000-0000-0000690C0000}"/>
    <cellStyle name="Nuovo 47" xfId="1296" xr:uid="{00000000-0005-0000-0000-00006A0C0000}"/>
    <cellStyle name="Nuovo 47 2" xfId="2932" xr:uid="{00000000-0005-0000-0000-00006B0C0000}"/>
    <cellStyle name="Nuovo 47 2 2" xfId="2933" xr:uid="{00000000-0005-0000-0000-00006C0C0000}"/>
    <cellStyle name="Nuovo 47 3" xfId="2934"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5" xr:uid="{00000000-0005-0000-0000-0000710C0000}"/>
    <cellStyle name="Nuovo 5 3" xfId="1300" xr:uid="{00000000-0005-0000-0000-0000720C0000}"/>
    <cellStyle name="Nuovo 5 3 2" xfId="1301" xr:uid="{00000000-0005-0000-0000-0000730C0000}"/>
    <cellStyle name="Nuovo 5 3 2 2" xfId="4117" xr:uid="{00000000-0005-0000-0000-0000740C0000}"/>
    <cellStyle name="Nuovo 5 3 2 3" xfId="4118" xr:uid="{00000000-0005-0000-0000-0000750C0000}"/>
    <cellStyle name="Nuovo 5 3 3" xfId="1302" xr:uid="{00000000-0005-0000-0000-0000760C0000}"/>
    <cellStyle name="Nuovo 5 3 3 2" xfId="2936" xr:uid="{00000000-0005-0000-0000-0000770C0000}"/>
    <cellStyle name="Nuovo 5 3 4" xfId="2937" xr:uid="{00000000-0005-0000-0000-0000780C0000}"/>
    <cellStyle name="Nuovo 5 4" xfId="1303" xr:uid="{00000000-0005-0000-0000-0000790C0000}"/>
    <cellStyle name="Nuovo 5 4 2" xfId="2938" xr:uid="{00000000-0005-0000-0000-00007A0C0000}"/>
    <cellStyle name="Nuovo 5 4 2 2" xfId="2939" xr:uid="{00000000-0005-0000-0000-00007B0C0000}"/>
    <cellStyle name="Nuovo 5 4 3" xfId="2940"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1" xr:uid="{00000000-0005-0000-0000-0000800C0000}"/>
    <cellStyle name="Nuovo 6 3" xfId="1307" xr:uid="{00000000-0005-0000-0000-0000810C0000}"/>
    <cellStyle name="Nuovo 6 3 2" xfId="1308" xr:uid="{00000000-0005-0000-0000-0000820C0000}"/>
    <cellStyle name="Nuovo 6 3 2 2" xfId="4119" xr:uid="{00000000-0005-0000-0000-0000830C0000}"/>
    <cellStyle name="Nuovo 6 3 2 3" xfId="4120" xr:uid="{00000000-0005-0000-0000-0000840C0000}"/>
    <cellStyle name="Nuovo 6 3 3" xfId="1309" xr:uid="{00000000-0005-0000-0000-0000850C0000}"/>
    <cellStyle name="Nuovo 6 3 3 2" xfId="2942" xr:uid="{00000000-0005-0000-0000-0000860C0000}"/>
    <cellStyle name="Nuovo 6 3 4" xfId="2943" xr:uid="{00000000-0005-0000-0000-0000870C0000}"/>
    <cellStyle name="Nuovo 6 4" xfId="1310" xr:uid="{00000000-0005-0000-0000-0000880C0000}"/>
    <cellStyle name="Nuovo 6 4 2" xfId="2944" xr:uid="{00000000-0005-0000-0000-0000890C0000}"/>
    <cellStyle name="Nuovo 6 4 2 2" xfId="2945" xr:uid="{00000000-0005-0000-0000-00008A0C0000}"/>
    <cellStyle name="Nuovo 6 4 3" xfId="2946"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7" xr:uid="{00000000-0005-0000-0000-00008F0C0000}"/>
    <cellStyle name="Nuovo 7 3" xfId="1314" xr:uid="{00000000-0005-0000-0000-0000900C0000}"/>
    <cellStyle name="Nuovo 7 3 2" xfId="1315" xr:uid="{00000000-0005-0000-0000-0000910C0000}"/>
    <cellStyle name="Nuovo 7 3 2 2" xfId="4121" xr:uid="{00000000-0005-0000-0000-0000920C0000}"/>
    <cellStyle name="Nuovo 7 3 2 3" xfId="4122" xr:uid="{00000000-0005-0000-0000-0000930C0000}"/>
    <cellStyle name="Nuovo 7 3 3" xfId="1316" xr:uid="{00000000-0005-0000-0000-0000940C0000}"/>
    <cellStyle name="Nuovo 7 3 3 2" xfId="2948" xr:uid="{00000000-0005-0000-0000-0000950C0000}"/>
    <cellStyle name="Nuovo 7 3 4" xfId="2949" xr:uid="{00000000-0005-0000-0000-0000960C0000}"/>
    <cellStyle name="Nuovo 7 4" xfId="1317" xr:uid="{00000000-0005-0000-0000-0000970C0000}"/>
    <cellStyle name="Nuovo 7 4 2" xfId="2950" xr:uid="{00000000-0005-0000-0000-0000980C0000}"/>
    <cellStyle name="Nuovo 7 4 2 2" xfId="2951" xr:uid="{00000000-0005-0000-0000-0000990C0000}"/>
    <cellStyle name="Nuovo 7 4 3" xfId="2952"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3" xr:uid="{00000000-0005-0000-0000-00009E0C0000}"/>
    <cellStyle name="Nuovo 8 3" xfId="1321" xr:uid="{00000000-0005-0000-0000-00009F0C0000}"/>
    <cellStyle name="Nuovo 8 3 2" xfId="1322" xr:uid="{00000000-0005-0000-0000-0000A00C0000}"/>
    <cellStyle name="Nuovo 8 3 2 2" xfId="4123" xr:uid="{00000000-0005-0000-0000-0000A10C0000}"/>
    <cellStyle name="Nuovo 8 3 2 3" xfId="4124" xr:uid="{00000000-0005-0000-0000-0000A20C0000}"/>
    <cellStyle name="Nuovo 8 3 3" xfId="1323" xr:uid="{00000000-0005-0000-0000-0000A30C0000}"/>
    <cellStyle name="Nuovo 8 3 3 2" xfId="2954" xr:uid="{00000000-0005-0000-0000-0000A40C0000}"/>
    <cellStyle name="Nuovo 8 3 4" xfId="2955" xr:uid="{00000000-0005-0000-0000-0000A50C0000}"/>
    <cellStyle name="Nuovo 8 4" xfId="1324" xr:uid="{00000000-0005-0000-0000-0000A60C0000}"/>
    <cellStyle name="Nuovo 8 4 2" xfId="2956" xr:uid="{00000000-0005-0000-0000-0000A70C0000}"/>
    <cellStyle name="Nuovo 8 4 2 2" xfId="2957" xr:uid="{00000000-0005-0000-0000-0000A80C0000}"/>
    <cellStyle name="Nuovo 8 4 3" xfId="2958"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9" xr:uid="{00000000-0005-0000-0000-0000AD0C0000}"/>
    <cellStyle name="Nuovo 9 3" xfId="1328" xr:uid="{00000000-0005-0000-0000-0000AE0C0000}"/>
    <cellStyle name="Nuovo 9 3 2" xfId="1329" xr:uid="{00000000-0005-0000-0000-0000AF0C0000}"/>
    <cellStyle name="Nuovo 9 3 2 2" xfId="4125" xr:uid="{00000000-0005-0000-0000-0000B00C0000}"/>
    <cellStyle name="Nuovo 9 3 2 3" xfId="4126" xr:uid="{00000000-0005-0000-0000-0000B10C0000}"/>
    <cellStyle name="Nuovo 9 3 3" xfId="1330" xr:uid="{00000000-0005-0000-0000-0000B20C0000}"/>
    <cellStyle name="Nuovo 9 3 3 2" xfId="2960" xr:uid="{00000000-0005-0000-0000-0000B30C0000}"/>
    <cellStyle name="Nuovo 9 3 4" xfId="2961" xr:uid="{00000000-0005-0000-0000-0000B40C0000}"/>
    <cellStyle name="Nuovo 9 4" xfId="1331" xr:uid="{00000000-0005-0000-0000-0000B50C0000}"/>
    <cellStyle name="Nuovo 9 4 2" xfId="2962" xr:uid="{00000000-0005-0000-0000-0000B60C0000}"/>
    <cellStyle name="Nuovo 9 4 2 2" xfId="2963" xr:uid="{00000000-0005-0000-0000-0000B70C0000}"/>
    <cellStyle name="Nuovo 9 4 3" xfId="2964"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7" xr:uid="{00000000-0005-0000-0000-0000BD0C0000}"/>
    <cellStyle name="Output 2 2 3" xfId="4128" xr:uid="{00000000-0005-0000-0000-0000BE0C0000}"/>
    <cellStyle name="Output 2 3" xfId="1336" xr:uid="{00000000-0005-0000-0000-0000BF0C0000}"/>
    <cellStyle name="Output 2 3 2" xfId="4129"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30" xr:uid="{00000000-0005-0000-0000-0000C40C0000}"/>
    <cellStyle name="Output 3" xfId="1340" xr:uid="{00000000-0005-0000-0000-0000C50C0000}"/>
    <cellStyle name="Output 3 2" xfId="1341" xr:uid="{00000000-0005-0000-0000-0000C60C0000}"/>
    <cellStyle name="Output 3 2 2" xfId="4131"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2" xr:uid="{00000000-0005-0000-0000-0000CB0C0000}"/>
    <cellStyle name="Output 4" xfId="2965" xr:uid="{00000000-0005-0000-0000-0000CC0C0000}"/>
    <cellStyle name="Overskrift 1 2" xfId="2966" xr:uid="{00000000-0005-0000-0000-0000CD0C0000}"/>
    <cellStyle name="Overskrift 2 2" xfId="2967" xr:uid="{00000000-0005-0000-0000-0000CE0C0000}"/>
    <cellStyle name="Overskrift 3 2" xfId="2968" xr:uid="{00000000-0005-0000-0000-0000CF0C0000}"/>
    <cellStyle name="Overskrift 4 2" xfId="2969" xr:uid="{00000000-0005-0000-0000-0000D00C0000}"/>
    <cellStyle name="Percen - Type1" xfId="1345" xr:uid="{00000000-0005-0000-0000-0000D10C0000}"/>
    <cellStyle name="Percent" xfId="1346" builtinId="5"/>
    <cellStyle name="Percent 2" xfId="1347" xr:uid="{00000000-0005-0000-0000-0000D30C0000}"/>
    <cellStyle name="Percent 2 2" xfId="2970" xr:uid="{00000000-0005-0000-0000-0000D40C0000}"/>
    <cellStyle name="Percent 2 2 2" xfId="4133" xr:uid="{00000000-0005-0000-0000-0000D50C0000}"/>
    <cellStyle name="Percent 2 2 3" xfId="4134" xr:uid="{00000000-0005-0000-0000-0000D60C0000}"/>
    <cellStyle name="Percent 2 2 3 2" xfId="4135" xr:uid="{00000000-0005-0000-0000-0000D70C0000}"/>
    <cellStyle name="Percent 2 2 4" xfId="4136" xr:uid="{00000000-0005-0000-0000-0000D80C0000}"/>
    <cellStyle name="Percent 2 3" xfId="4137" xr:uid="{00000000-0005-0000-0000-0000D90C0000}"/>
    <cellStyle name="Percent 2 3 2" xfId="4138" xr:uid="{00000000-0005-0000-0000-0000DA0C0000}"/>
    <cellStyle name="Percent 3" xfId="1348" xr:uid="{00000000-0005-0000-0000-0000DB0C0000}"/>
    <cellStyle name="Percent 3 2" xfId="1349" xr:uid="{00000000-0005-0000-0000-0000DC0C0000}"/>
    <cellStyle name="Percent 3 3" xfId="1350" xr:uid="{00000000-0005-0000-0000-0000DD0C0000}"/>
    <cellStyle name="Percent 3 3 2" xfId="1351" xr:uid="{00000000-0005-0000-0000-0000DE0C0000}"/>
    <cellStyle name="Percent 3 3 2 2" xfId="4139" xr:uid="{00000000-0005-0000-0000-0000DF0C0000}"/>
    <cellStyle name="Percent 3 3 3" xfId="1352" xr:uid="{00000000-0005-0000-0000-0000E00C0000}"/>
    <cellStyle name="Percent 3 3 3 2" xfId="2971" xr:uid="{00000000-0005-0000-0000-0000E10C0000}"/>
    <cellStyle name="Percent 3 3 4" xfId="2972" xr:uid="{00000000-0005-0000-0000-0000E20C0000}"/>
    <cellStyle name="Percent 3 4" xfId="1353" xr:uid="{00000000-0005-0000-0000-0000E30C0000}"/>
    <cellStyle name="Percent 3 4 2" xfId="4140" xr:uid="{00000000-0005-0000-0000-0000E40C0000}"/>
    <cellStyle name="Percent 3 5" xfId="2973" xr:uid="{00000000-0005-0000-0000-0000E50C0000}"/>
    <cellStyle name="Percent 3 5 2" xfId="2974" xr:uid="{00000000-0005-0000-0000-0000E60C0000}"/>
    <cellStyle name="Percent 4" xfId="1354" xr:uid="{00000000-0005-0000-0000-0000E70C0000}"/>
    <cellStyle name="Percent 4 2" xfId="2975" xr:uid="{00000000-0005-0000-0000-0000E80C0000}"/>
    <cellStyle name="Percent 4 2 2" xfId="2976" xr:uid="{00000000-0005-0000-0000-0000E90C0000}"/>
    <cellStyle name="Percent 4 3" xfId="2977" xr:uid="{00000000-0005-0000-0000-0000EA0C0000}"/>
    <cellStyle name="Percent 5" xfId="1355" xr:uid="{00000000-0005-0000-0000-0000EB0C0000}"/>
    <cellStyle name="Percent 6" xfId="1356" xr:uid="{00000000-0005-0000-0000-0000EC0C0000}"/>
    <cellStyle name="Percent 7" xfId="4141" xr:uid="{00000000-0005-0000-0000-0000ED0C0000}"/>
    <cellStyle name="Percent 8" xfId="4346" xr:uid="{00000000-0005-0000-0000-0000EE0C0000}"/>
    <cellStyle name="Percentuale 10" xfId="1357" xr:uid="{00000000-0005-0000-0000-0000EF0C0000}"/>
    <cellStyle name="Percentuale 10 2" xfId="1358" xr:uid="{00000000-0005-0000-0000-0000F00C0000}"/>
    <cellStyle name="Percentuale 10 2 2" xfId="2978" xr:uid="{00000000-0005-0000-0000-0000F10C0000}"/>
    <cellStyle name="Percentuale 10 3" xfId="1359" xr:uid="{00000000-0005-0000-0000-0000F20C0000}"/>
    <cellStyle name="Percentuale 10 3 2" xfId="1360" xr:uid="{00000000-0005-0000-0000-0000F30C0000}"/>
    <cellStyle name="Percentuale 10 3 2 2" xfId="4142" xr:uid="{00000000-0005-0000-0000-0000F40C0000}"/>
    <cellStyle name="Percentuale 10 3 2 3" xfId="4143" xr:uid="{00000000-0005-0000-0000-0000F50C0000}"/>
    <cellStyle name="Percentuale 10 3 3" xfId="1361" xr:uid="{00000000-0005-0000-0000-0000F60C0000}"/>
    <cellStyle name="Percentuale 10 3 3 2" xfId="2979" xr:uid="{00000000-0005-0000-0000-0000F70C0000}"/>
    <cellStyle name="Percentuale 10 3 4" xfId="2980" xr:uid="{00000000-0005-0000-0000-0000F80C0000}"/>
    <cellStyle name="Percentuale 10 4" xfId="1362" xr:uid="{00000000-0005-0000-0000-0000F90C0000}"/>
    <cellStyle name="Percentuale 10 4 2" xfId="2981" xr:uid="{00000000-0005-0000-0000-0000FA0C0000}"/>
    <cellStyle name="Percentuale 10 4 2 2" xfId="2982" xr:uid="{00000000-0005-0000-0000-0000FB0C0000}"/>
    <cellStyle name="Percentuale 10 4 3" xfId="2983" xr:uid="{00000000-0005-0000-0000-0000FC0C0000}"/>
    <cellStyle name="Percentuale 10 5" xfId="1363" xr:uid="{00000000-0005-0000-0000-0000FD0C0000}"/>
    <cellStyle name="Percentuale 11" xfId="1364" xr:uid="{00000000-0005-0000-0000-0000FE0C0000}"/>
    <cellStyle name="Percentuale 11 2" xfId="1365" xr:uid="{00000000-0005-0000-0000-0000FF0C0000}"/>
    <cellStyle name="Percentuale 11 2 2" xfId="2984" xr:uid="{00000000-0005-0000-0000-0000000D0000}"/>
    <cellStyle name="Percentuale 11 3" xfId="1366" xr:uid="{00000000-0005-0000-0000-0000010D0000}"/>
    <cellStyle name="Percentuale 11 3 2" xfId="1367" xr:uid="{00000000-0005-0000-0000-0000020D0000}"/>
    <cellStyle name="Percentuale 11 3 2 2" xfId="4144" xr:uid="{00000000-0005-0000-0000-0000030D0000}"/>
    <cellStyle name="Percentuale 11 3 2 3" xfId="4145" xr:uid="{00000000-0005-0000-0000-0000040D0000}"/>
    <cellStyle name="Percentuale 11 3 3" xfId="1368" xr:uid="{00000000-0005-0000-0000-0000050D0000}"/>
    <cellStyle name="Percentuale 11 3 3 2" xfId="2985" xr:uid="{00000000-0005-0000-0000-0000060D0000}"/>
    <cellStyle name="Percentuale 11 3 4" xfId="2986" xr:uid="{00000000-0005-0000-0000-0000070D0000}"/>
    <cellStyle name="Percentuale 11 4" xfId="1369" xr:uid="{00000000-0005-0000-0000-0000080D0000}"/>
    <cellStyle name="Percentuale 11 4 2" xfId="2987" xr:uid="{00000000-0005-0000-0000-0000090D0000}"/>
    <cellStyle name="Percentuale 11 4 2 2" xfId="2988" xr:uid="{00000000-0005-0000-0000-00000A0D0000}"/>
    <cellStyle name="Percentuale 11 4 3" xfId="2989" xr:uid="{00000000-0005-0000-0000-00000B0D0000}"/>
    <cellStyle name="Percentuale 11 5" xfId="1370" xr:uid="{00000000-0005-0000-0000-00000C0D0000}"/>
    <cellStyle name="Percentuale 12" xfId="1371" xr:uid="{00000000-0005-0000-0000-00000D0D0000}"/>
    <cellStyle name="Percentuale 12 2" xfId="1372" xr:uid="{00000000-0005-0000-0000-00000E0D0000}"/>
    <cellStyle name="Percentuale 12 2 2" xfId="2990" xr:uid="{00000000-0005-0000-0000-00000F0D0000}"/>
    <cellStyle name="Percentuale 12 3" xfId="1373" xr:uid="{00000000-0005-0000-0000-0000100D0000}"/>
    <cellStyle name="Percentuale 12 3 2" xfId="1374" xr:uid="{00000000-0005-0000-0000-0000110D0000}"/>
    <cellStyle name="Percentuale 12 3 2 2" xfId="4146" xr:uid="{00000000-0005-0000-0000-0000120D0000}"/>
    <cellStyle name="Percentuale 12 3 2 3" xfId="4147" xr:uid="{00000000-0005-0000-0000-0000130D0000}"/>
    <cellStyle name="Percentuale 12 3 3" xfId="1375" xr:uid="{00000000-0005-0000-0000-0000140D0000}"/>
    <cellStyle name="Percentuale 12 3 3 2" xfId="2991" xr:uid="{00000000-0005-0000-0000-0000150D0000}"/>
    <cellStyle name="Percentuale 12 3 4" xfId="2992" xr:uid="{00000000-0005-0000-0000-0000160D0000}"/>
    <cellStyle name="Percentuale 12 4" xfId="1376" xr:uid="{00000000-0005-0000-0000-0000170D0000}"/>
    <cellStyle name="Percentuale 12 4 2" xfId="2993" xr:uid="{00000000-0005-0000-0000-0000180D0000}"/>
    <cellStyle name="Percentuale 12 4 2 2" xfId="2994" xr:uid="{00000000-0005-0000-0000-0000190D0000}"/>
    <cellStyle name="Percentuale 12 4 3" xfId="2995" xr:uid="{00000000-0005-0000-0000-00001A0D0000}"/>
    <cellStyle name="Percentuale 12 5" xfId="1377" xr:uid="{00000000-0005-0000-0000-00001B0D0000}"/>
    <cellStyle name="Percentuale 13" xfId="1378" xr:uid="{00000000-0005-0000-0000-00001C0D0000}"/>
    <cellStyle name="Percentuale 13 2" xfId="1379" xr:uid="{00000000-0005-0000-0000-00001D0D0000}"/>
    <cellStyle name="Percentuale 13 2 2" xfId="2996" xr:uid="{00000000-0005-0000-0000-00001E0D0000}"/>
    <cellStyle name="Percentuale 13 3" xfId="1380" xr:uid="{00000000-0005-0000-0000-00001F0D0000}"/>
    <cellStyle name="Percentuale 13 3 2" xfId="1381" xr:uid="{00000000-0005-0000-0000-0000200D0000}"/>
    <cellStyle name="Percentuale 13 3 2 2" xfId="4148" xr:uid="{00000000-0005-0000-0000-0000210D0000}"/>
    <cellStyle name="Percentuale 13 3 2 3" xfId="4149" xr:uid="{00000000-0005-0000-0000-0000220D0000}"/>
    <cellStyle name="Percentuale 13 3 3" xfId="1382" xr:uid="{00000000-0005-0000-0000-0000230D0000}"/>
    <cellStyle name="Percentuale 13 3 3 2" xfId="2997" xr:uid="{00000000-0005-0000-0000-0000240D0000}"/>
    <cellStyle name="Percentuale 13 3 4" xfId="2998" xr:uid="{00000000-0005-0000-0000-0000250D0000}"/>
    <cellStyle name="Percentuale 13 4" xfId="1383" xr:uid="{00000000-0005-0000-0000-0000260D0000}"/>
    <cellStyle name="Percentuale 13 4 2" xfId="2999" xr:uid="{00000000-0005-0000-0000-0000270D0000}"/>
    <cellStyle name="Percentuale 13 4 2 2" xfId="3000" xr:uid="{00000000-0005-0000-0000-0000280D0000}"/>
    <cellStyle name="Percentuale 13 4 3" xfId="3001" xr:uid="{00000000-0005-0000-0000-0000290D0000}"/>
    <cellStyle name="Percentuale 13 5" xfId="1384" xr:uid="{00000000-0005-0000-0000-00002A0D0000}"/>
    <cellStyle name="Percentuale 14" xfId="1385" xr:uid="{00000000-0005-0000-0000-00002B0D0000}"/>
    <cellStyle name="Percentuale 14 2" xfId="1386" xr:uid="{00000000-0005-0000-0000-00002C0D0000}"/>
    <cellStyle name="Percentuale 14 2 2" xfId="3002" xr:uid="{00000000-0005-0000-0000-00002D0D0000}"/>
    <cellStyle name="Percentuale 14 3" xfId="1387" xr:uid="{00000000-0005-0000-0000-00002E0D0000}"/>
    <cellStyle name="Percentuale 14 3 2" xfId="1388" xr:uid="{00000000-0005-0000-0000-00002F0D0000}"/>
    <cellStyle name="Percentuale 14 3 2 2" xfId="4150" xr:uid="{00000000-0005-0000-0000-0000300D0000}"/>
    <cellStyle name="Percentuale 14 3 2 3" xfId="4151" xr:uid="{00000000-0005-0000-0000-0000310D0000}"/>
    <cellStyle name="Percentuale 14 3 3" xfId="1389" xr:uid="{00000000-0005-0000-0000-0000320D0000}"/>
    <cellStyle name="Percentuale 14 3 3 2" xfId="3003" xr:uid="{00000000-0005-0000-0000-0000330D0000}"/>
    <cellStyle name="Percentuale 14 3 4" xfId="3004" xr:uid="{00000000-0005-0000-0000-0000340D0000}"/>
    <cellStyle name="Percentuale 14 4" xfId="1390" xr:uid="{00000000-0005-0000-0000-0000350D0000}"/>
    <cellStyle name="Percentuale 14 4 2" xfId="3005" xr:uid="{00000000-0005-0000-0000-0000360D0000}"/>
    <cellStyle name="Percentuale 14 4 2 2" xfId="3006" xr:uid="{00000000-0005-0000-0000-0000370D0000}"/>
    <cellStyle name="Percentuale 14 4 3" xfId="3007" xr:uid="{00000000-0005-0000-0000-0000380D0000}"/>
    <cellStyle name="Percentuale 14 5" xfId="1391" xr:uid="{00000000-0005-0000-0000-0000390D0000}"/>
    <cellStyle name="Percentuale 15" xfId="1392" xr:uid="{00000000-0005-0000-0000-00003A0D0000}"/>
    <cellStyle name="Percentuale 15 2" xfId="1393" xr:uid="{00000000-0005-0000-0000-00003B0D0000}"/>
    <cellStyle name="Percentuale 15 2 2" xfId="3008" xr:uid="{00000000-0005-0000-0000-00003C0D0000}"/>
    <cellStyle name="Percentuale 15 3" xfId="1394" xr:uid="{00000000-0005-0000-0000-00003D0D0000}"/>
    <cellStyle name="Percentuale 15 3 2" xfId="1395" xr:uid="{00000000-0005-0000-0000-00003E0D0000}"/>
    <cellStyle name="Percentuale 15 3 2 2" xfId="4152" xr:uid="{00000000-0005-0000-0000-00003F0D0000}"/>
    <cellStyle name="Percentuale 15 3 2 3" xfId="4153" xr:uid="{00000000-0005-0000-0000-0000400D0000}"/>
    <cellStyle name="Percentuale 15 3 3" xfId="1396" xr:uid="{00000000-0005-0000-0000-0000410D0000}"/>
    <cellStyle name="Percentuale 15 3 3 2" xfId="3009" xr:uid="{00000000-0005-0000-0000-0000420D0000}"/>
    <cellStyle name="Percentuale 15 3 4" xfId="3010" xr:uid="{00000000-0005-0000-0000-0000430D0000}"/>
    <cellStyle name="Percentuale 15 4" xfId="1397" xr:uid="{00000000-0005-0000-0000-0000440D0000}"/>
    <cellStyle name="Percentuale 15 4 2" xfId="3011" xr:uid="{00000000-0005-0000-0000-0000450D0000}"/>
    <cellStyle name="Percentuale 15 4 2 2" xfId="3012" xr:uid="{00000000-0005-0000-0000-0000460D0000}"/>
    <cellStyle name="Percentuale 15 4 3" xfId="3013" xr:uid="{00000000-0005-0000-0000-0000470D0000}"/>
    <cellStyle name="Percentuale 15 5" xfId="1398" xr:uid="{00000000-0005-0000-0000-0000480D0000}"/>
    <cellStyle name="Percentuale 16" xfId="1399" xr:uid="{00000000-0005-0000-0000-0000490D0000}"/>
    <cellStyle name="Percentuale 16 2" xfId="1400" xr:uid="{00000000-0005-0000-0000-00004A0D0000}"/>
    <cellStyle name="Percentuale 16 2 2" xfId="3014" xr:uid="{00000000-0005-0000-0000-00004B0D0000}"/>
    <cellStyle name="Percentuale 16 3" xfId="1401" xr:uid="{00000000-0005-0000-0000-00004C0D0000}"/>
    <cellStyle name="Percentuale 16 3 2" xfId="1402" xr:uid="{00000000-0005-0000-0000-00004D0D0000}"/>
    <cellStyle name="Percentuale 16 3 2 2" xfId="4154" xr:uid="{00000000-0005-0000-0000-00004E0D0000}"/>
    <cellStyle name="Percentuale 16 3 2 3" xfId="4155" xr:uid="{00000000-0005-0000-0000-00004F0D0000}"/>
    <cellStyle name="Percentuale 16 3 3" xfId="1403" xr:uid="{00000000-0005-0000-0000-0000500D0000}"/>
    <cellStyle name="Percentuale 16 3 3 2" xfId="3015" xr:uid="{00000000-0005-0000-0000-0000510D0000}"/>
    <cellStyle name="Percentuale 16 3 4" xfId="3016" xr:uid="{00000000-0005-0000-0000-0000520D0000}"/>
    <cellStyle name="Percentuale 16 4" xfId="1404" xr:uid="{00000000-0005-0000-0000-0000530D0000}"/>
    <cellStyle name="Percentuale 16 4 2" xfId="3017" xr:uid="{00000000-0005-0000-0000-0000540D0000}"/>
    <cellStyle name="Percentuale 16 4 2 2" xfId="3018" xr:uid="{00000000-0005-0000-0000-0000550D0000}"/>
    <cellStyle name="Percentuale 16 4 3" xfId="3019" xr:uid="{00000000-0005-0000-0000-0000560D0000}"/>
    <cellStyle name="Percentuale 16 5" xfId="1405" xr:uid="{00000000-0005-0000-0000-0000570D0000}"/>
    <cellStyle name="Percentuale 17" xfId="1406" xr:uid="{00000000-0005-0000-0000-0000580D0000}"/>
    <cellStyle name="Percentuale 17 2" xfId="1407" xr:uid="{00000000-0005-0000-0000-0000590D0000}"/>
    <cellStyle name="Percentuale 17 2 2" xfId="3020" xr:uid="{00000000-0005-0000-0000-00005A0D0000}"/>
    <cellStyle name="Percentuale 17 3" xfId="1408" xr:uid="{00000000-0005-0000-0000-00005B0D0000}"/>
    <cellStyle name="Percentuale 17 3 2" xfId="1409" xr:uid="{00000000-0005-0000-0000-00005C0D0000}"/>
    <cellStyle name="Percentuale 17 3 2 2" xfId="4156" xr:uid="{00000000-0005-0000-0000-00005D0D0000}"/>
    <cellStyle name="Percentuale 17 3 2 3" xfId="4157" xr:uid="{00000000-0005-0000-0000-00005E0D0000}"/>
    <cellStyle name="Percentuale 17 3 3" xfId="1410" xr:uid="{00000000-0005-0000-0000-00005F0D0000}"/>
    <cellStyle name="Percentuale 17 3 3 2" xfId="3021" xr:uid="{00000000-0005-0000-0000-0000600D0000}"/>
    <cellStyle name="Percentuale 17 3 4" xfId="3022" xr:uid="{00000000-0005-0000-0000-0000610D0000}"/>
    <cellStyle name="Percentuale 17 4" xfId="1411" xr:uid="{00000000-0005-0000-0000-0000620D0000}"/>
    <cellStyle name="Percentuale 17 4 2" xfId="3023" xr:uid="{00000000-0005-0000-0000-0000630D0000}"/>
    <cellStyle name="Percentuale 17 4 2 2" xfId="3024" xr:uid="{00000000-0005-0000-0000-0000640D0000}"/>
    <cellStyle name="Percentuale 17 4 3" xfId="3025" xr:uid="{00000000-0005-0000-0000-0000650D0000}"/>
    <cellStyle name="Percentuale 17 5" xfId="1412" xr:uid="{00000000-0005-0000-0000-0000660D0000}"/>
    <cellStyle name="Percentuale 18" xfId="1413" xr:uid="{00000000-0005-0000-0000-0000670D0000}"/>
    <cellStyle name="Percentuale 18 2" xfId="1414" xr:uid="{00000000-0005-0000-0000-0000680D0000}"/>
    <cellStyle name="Percentuale 18 2 2" xfId="3026" xr:uid="{00000000-0005-0000-0000-0000690D0000}"/>
    <cellStyle name="Percentuale 18 3" xfId="1415" xr:uid="{00000000-0005-0000-0000-00006A0D0000}"/>
    <cellStyle name="Percentuale 18 3 2" xfId="1416" xr:uid="{00000000-0005-0000-0000-00006B0D0000}"/>
    <cellStyle name="Percentuale 18 3 2 2" xfId="4158" xr:uid="{00000000-0005-0000-0000-00006C0D0000}"/>
    <cellStyle name="Percentuale 18 3 2 3" xfId="4159" xr:uid="{00000000-0005-0000-0000-00006D0D0000}"/>
    <cellStyle name="Percentuale 18 3 3" xfId="1417" xr:uid="{00000000-0005-0000-0000-00006E0D0000}"/>
    <cellStyle name="Percentuale 18 3 3 2" xfId="3027" xr:uid="{00000000-0005-0000-0000-00006F0D0000}"/>
    <cellStyle name="Percentuale 18 3 4" xfId="3028" xr:uid="{00000000-0005-0000-0000-0000700D0000}"/>
    <cellStyle name="Percentuale 18 4" xfId="1418" xr:uid="{00000000-0005-0000-0000-0000710D0000}"/>
    <cellStyle name="Percentuale 18 4 2" xfId="3029" xr:uid="{00000000-0005-0000-0000-0000720D0000}"/>
    <cellStyle name="Percentuale 18 4 2 2" xfId="3030" xr:uid="{00000000-0005-0000-0000-0000730D0000}"/>
    <cellStyle name="Percentuale 18 4 3" xfId="3031" xr:uid="{00000000-0005-0000-0000-0000740D0000}"/>
    <cellStyle name="Percentuale 18 5" xfId="1419" xr:uid="{00000000-0005-0000-0000-0000750D0000}"/>
    <cellStyle name="Percentuale 19" xfId="1420" xr:uid="{00000000-0005-0000-0000-0000760D0000}"/>
    <cellStyle name="Percentuale 19 2" xfId="1421" xr:uid="{00000000-0005-0000-0000-0000770D0000}"/>
    <cellStyle name="Percentuale 19 2 2" xfId="3032" xr:uid="{00000000-0005-0000-0000-0000780D0000}"/>
    <cellStyle name="Percentuale 19 3" xfId="1422" xr:uid="{00000000-0005-0000-0000-0000790D0000}"/>
    <cellStyle name="Percentuale 19 3 2" xfId="1423" xr:uid="{00000000-0005-0000-0000-00007A0D0000}"/>
    <cellStyle name="Percentuale 19 3 2 2" xfId="4160" xr:uid="{00000000-0005-0000-0000-00007B0D0000}"/>
    <cellStyle name="Percentuale 19 3 2 3" xfId="4161" xr:uid="{00000000-0005-0000-0000-00007C0D0000}"/>
    <cellStyle name="Percentuale 19 3 3" xfId="1424" xr:uid="{00000000-0005-0000-0000-00007D0D0000}"/>
    <cellStyle name="Percentuale 19 3 3 2" xfId="3033" xr:uid="{00000000-0005-0000-0000-00007E0D0000}"/>
    <cellStyle name="Percentuale 19 3 4" xfId="3034" xr:uid="{00000000-0005-0000-0000-00007F0D0000}"/>
    <cellStyle name="Percentuale 19 4" xfId="1425" xr:uid="{00000000-0005-0000-0000-0000800D0000}"/>
    <cellStyle name="Percentuale 19 4 2" xfId="3035" xr:uid="{00000000-0005-0000-0000-0000810D0000}"/>
    <cellStyle name="Percentuale 19 4 2 2" xfId="3036" xr:uid="{00000000-0005-0000-0000-0000820D0000}"/>
    <cellStyle name="Percentuale 19 4 3" xfId="3037" xr:uid="{00000000-0005-0000-0000-0000830D0000}"/>
    <cellStyle name="Percentuale 19 5" xfId="1426" xr:uid="{00000000-0005-0000-0000-0000840D0000}"/>
    <cellStyle name="Percentuale 2" xfId="1427" xr:uid="{00000000-0005-0000-0000-0000850D0000}"/>
    <cellStyle name="Percentuale 2 2" xfId="1428" xr:uid="{00000000-0005-0000-0000-0000860D0000}"/>
    <cellStyle name="Percentuale 2 2 2" xfId="3038" xr:uid="{00000000-0005-0000-0000-0000870D0000}"/>
    <cellStyle name="Percentuale 2 3" xfId="1429" xr:uid="{00000000-0005-0000-0000-0000880D0000}"/>
    <cellStyle name="Percentuale 2 3 2" xfId="1430" xr:uid="{00000000-0005-0000-0000-0000890D0000}"/>
    <cellStyle name="Percentuale 2 3 2 2" xfId="4162" xr:uid="{00000000-0005-0000-0000-00008A0D0000}"/>
    <cellStyle name="Percentuale 2 3 2 3" xfId="4163" xr:uid="{00000000-0005-0000-0000-00008B0D0000}"/>
    <cellStyle name="Percentuale 2 3 3" xfId="1431" xr:uid="{00000000-0005-0000-0000-00008C0D0000}"/>
    <cellStyle name="Percentuale 2 3 3 2" xfId="3039" xr:uid="{00000000-0005-0000-0000-00008D0D0000}"/>
    <cellStyle name="Percentuale 2 3 4" xfId="3040" xr:uid="{00000000-0005-0000-0000-00008E0D0000}"/>
    <cellStyle name="Percentuale 2 4" xfId="1432" xr:uid="{00000000-0005-0000-0000-00008F0D0000}"/>
    <cellStyle name="Percentuale 2 4 2" xfId="3041" xr:uid="{00000000-0005-0000-0000-0000900D0000}"/>
    <cellStyle name="Percentuale 2 4 2 2" xfId="3042" xr:uid="{00000000-0005-0000-0000-0000910D0000}"/>
    <cellStyle name="Percentuale 2 4 3" xfId="3043" xr:uid="{00000000-0005-0000-0000-0000920D0000}"/>
    <cellStyle name="Percentuale 2 5" xfId="1433" xr:uid="{00000000-0005-0000-0000-0000930D0000}"/>
    <cellStyle name="Percentuale 20" xfId="1434" xr:uid="{00000000-0005-0000-0000-0000940D0000}"/>
    <cellStyle name="Percentuale 20 2" xfId="1435" xr:uid="{00000000-0005-0000-0000-0000950D0000}"/>
    <cellStyle name="Percentuale 20 2 2" xfId="3044" xr:uid="{00000000-0005-0000-0000-0000960D0000}"/>
    <cellStyle name="Percentuale 20 3" xfId="1436" xr:uid="{00000000-0005-0000-0000-0000970D0000}"/>
    <cellStyle name="Percentuale 20 3 2" xfId="1437" xr:uid="{00000000-0005-0000-0000-0000980D0000}"/>
    <cellStyle name="Percentuale 20 3 2 2" xfId="4164" xr:uid="{00000000-0005-0000-0000-0000990D0000}"/>
    <cellStyle name="Percentuale 20 3 2 3" xfId="4165" xr:uid="{00000000-0005-0000-0000-00009A0D0000}"/>
    <cellStyle name="Percentuale 20 3 3" xfId="1438" xr:uid="{00000000-0005-0000-0000-00009B0D0000}"/>
    <cellStyle name="Percentuale 20 3 3 2" xfId="3045" xr:uid="{00000000-0005-0000-0000-00009C0D0000}"/>
    <cellStyle name="Percentuale 20 3 4" xfId="3046" xr:uid="{00000000-0005-0000-0000-00009D0D0000}"/>
    <cellStyle name="Percentuale 20 4" xfId="1439" xr:uid="{00000000-0005-0000-0000-00009E0D0000}"/>
    <cellStyle name="Percentuale 20 4 2" xfId="3047" xr:uid="{00000000-0005-0000-0000-00009F0D0000}"/>
    <cellStyle name="Percentuale 20 4 2 2" xfId="3048" xr:uid="{00000000-0005-0000-0000-0000A00D0000}"/>
    <cellStyle name="Percentuale 20 4 3" xfId="3049" xr:uid="{00000000-0005-0000-0000-0000A10D0000}"/>
    <cellStyle name="Percentuale 20 5" xfId="1440" xr:uid="{00000000-0005-0000-0000-0000A20D0000}"/>
    <cellStyle name="Percentuale 21" xfId="1441" xr:uid="{00000000-0005-0000-0000-0000A30D0000}"/>
    <cellStyle name="Percentuale 21 2" xfId="1442" xr:uid="{00000000-0005-0000-0000-0000A40D0000}"/>
    <cellStyle name="Percentuale 21 2 2" xfId="3050" xr:uid="{00000000-0005-0000-0000-0000A50D0000}"/>
    <cellStyle name="Percentuale 21 3" xfId="1443" xr:uid="{00000000-0005-0000-0000-0000A60D0000}"/>
    <cellStyle name="Percentuale 21 3 2" xfId="1444" xr:uid="{00000000-0005-0000-0000-0000A70D0000}"/>
    <cellStyle name="Percentuale 21 3 2 2" xfId="4166" xr:uid="{00000000-0005-0000-0000-0000A80D0000}"/>
    <cellStyle name="Percentuale 21 3 2 3" xfId="4167" xr:uid="{00000000-0005-0000-0000-0000A90D0000}"/>
    <cellStyle name="Percentuale 21 3 3" xfId="1445" xr:uid="{00000000-0005-0000-0000-0000AA0D0000}"/>
    <cellStyle name="Percentuale 21 3 3 2" xfId="3051" xr:uid="{00000000-0005-0000-0000-0000AB0D0000}"/>
    <cellStyle name="Percentuale 21 3 4" xfId="3052" xr:uid="{00000000-0005-0000-0000-0000AC0D0000}"/>
    <cellStyle name="Percentuale 21 4" xfId="1446" xr:uid="{00000000-0005-0000-0000-0000AD0D0000}"/>
    <cellStyle name="Percentuale 21 4 2" xfId="3053" xr:uid="{00000000-0005-0000-0000-0000AE0D0000}"/>
    <cellStyle name="Percentuale 21 4 2 2" xfId="3054" xr:uid="{00000000-0005-0000-0000-0000AF0D0000}"/>
    <cellStyle name="Percentuale 21 4 3" xfId="3055" xr:uid="{00000000-0005-0000-0000-0000B00D0000}"/>
    <cellStyle name="Percentuale 21 5" xfId="1447" xr:uid="{00000000-0005-0000-0000-0000B10D0000}"/>
    <cellStyle name="Percentuale 22" xfId="1448" xr:uid="{00000000-0005-0000-0000-0000B20D0000}"/>
    <cellStyle name="Percentuale 22 2" xfId="1449" xr:uid="{00000000-0005-0000-0000-0000B30D0000}"/>
    <cellStyle name="Percentuale 22 2 2" xfId="3056" xr:uid="{00000000-0005-0000-0000-0000B40D0000}"/>
    <cellStyle name="Percentuale 22 3" xfId="1450" xr:uid="{00000000-0005-0000-0000-0000B50D0000}"/>
    <cellStyle name="Percentuale 22 3 2" xfId="1451" xr:uid="{00000000-0005-0000-0000-0000B60D0000}"/>
    <cellStyle name="Percentuale 22 3 2 2" xfId="4168" xr:uid="{00000000-0005-0000-0000-0000B70D0000}"/>
    <cellStyle name="Percentuale 22 3 2 3" xfId="4169" xr:uid="{00000000-0005-0000-0000-0000B80D0000}"/>
    <cellStyle name="Percentuale 22 3 3" xfId="1452" xr:uid="{00000000-0005-0000-0000-0000B90D0000}"/>
    <cellStyle name="Percentuale 22 3 3 2" xfId="3057" xr:uid="{00000000-0005-0000-0000-0000BA0D0000}"/>
    <cellStyle name="Percentuale 22 3 4" xfId="3058" xr:uid="{00000000-0005-0000-0000-0000BB0D0000}"/>
    <cellStyle name="Percentuale 22 4" xfId="1453" xr:uid="{00000000-0005-0000-0000-0000BC0D0000}"/>
    <cellStyle name="Percentuale 22 4 2" xfId="3059" xr:uid="{00000000-0005-0000-0000-0000BD0D0000}"/>
    <cellStyle name="Percentuale 22 4 2 2" xfId="3060" xr:uid="{00000000-0005-0000-0000-0000BE0D0000}"/>
    <cellStyle name="Percentuale 22 4 3" xfId="3061" xr:uid="{00000000-0005-0000-0000-0000BF0D0000}"/>
    <cellStyle name="Percentuale 22 5" xfId="1454" xr:uid="{00000000-0005-0000-0000-0000C00D0000}"/>
    <cellStyle name="Percentuale 23" xfId="1455" xr:uid="{00000000-0005-0000-0000-0000C10D0000}"/>
    <cellStyle name="Percentuale 23 2" xfId="1456" xr:uid="{00000000-0005-0000-0000-0000C20D0000}"/>
    <cellStyle name="Percentuale 23 2 2" xfId="3062" xr:uid="{00000000-0005-0000-0000-0000C30D0000}"/>
    <cellStyle name="Percentuale 23 3" xfId="1457" xr:uid="{00000000-0005-0000-0000-0000C40D0000}"/>
    <cellStyle name="Percentuale 23 3 2" xfId="1458" xr:uid="{00000000-0005-0000-0000-0000C50D0000}"/>
    <cellStyle name="Percentuale 23 3 2 2" xfId="4170" xr:uid="{00000000-0005-0000-0000-0000C60D0000}"/>
    <cellStyle name="Percentuale 23 3 2 3" xfId="4171" xr:uid="{00000000-0005-0000-0000-0000C70D0000}"/>
    <cellStyle name="Percentuale 23 3 3" xfId="1459" xr:uid="{00000000-0005-0000-0000-0000C80D0000}"/>
    <cellStyle name="Percentuale 23 3 3 2" xfId="3063" xr:uid="{00000000-0005-0000-0000-0000C90D0000}"/>
    <cellStyle name="Percentuale 23 3 4" xfId="3064" xr:uid="{00000000-0005-0000-0000-0000CA0D0000}"/>
    <cellStyle name="Percentuale 23 4" xfId="1460" xr:uid="{00000000-0005-0000-0000-0000CB0D0000}"/>
    <cellStyle name="Percentuale 23 4 2" xfId="3065" xr:uid="{00000000-0005-0000-0000-0000CC0D0000}"/>
    <cellStyle name="Percentuale 23 4 2 2" xfId="3066" xr:uid="{00000000-0005-0000-0000-0000CD0D0000}"/>
    <cellStyle name="Percentuale 23 4 3" xfId="3067" xr:uid="{00000000-0005-0000-0000-0000CE0D0000}"/>
    <cellStyle name="Percentuale 23 5" xfId="1461" xr:uid="{00000000-0005-0000-0000-0000CF0D0000}"/>
    <cellStyle name="Percentuale 24" xfId="1462" xr:uid="{00000000-0005-0000-0000-0000D00D0000}"/>
    <cellStyle name="Percentuale 24 2" xfId="1463" xr:uid="{00000000-0005-0000-0000-0000D10D0000}"/>
    <cellStyle name="Percentuale 24 2 2" xfId="3068" xr:uid="{00000000-0005-0000-0000-0000D20D0000}"/>
    <cellStyle name="Percentuale 24 3" xfId="1464" xr:uid="{00000000-0005-0000-0000-0000D30D0000}"/>
    <cellStyle name="Percentuale 24 3 2" xfId="1465" xr:uid="{00000000-0005-0000-0000-0000D40D0000}"/>
    <cellStyle name="Percentuale 24 3 2 2" xfId="4172" xr:uid="{00000000-0005-0000-0000-0000D50D0000}"/>
    <cellStyle name="Percentuale 24 3 2 3" xfId="4173" xr:uid="{00000000-0005-0000-0000-0000D60D0000}"/>
    <cellStyle name="Percentuale 24 3 3" xfId="1466" xr:uid="{00000000-0005-0000-0000-0000D70D0000}"/>
    <cellStyle name="Percentuale 24 3 3 2" xfId="3069" xr:uid="{00000000-0005-0000-0000-0000D80D0000}"/>
    <cellStyle name="Percentuale 24 3 4" xfId="3070" xr:uid="{00000000-0005-0000-0000-0000D90D0000}"/>
    <cellStyle name="Percentuale 24 4" xfId="1467" xr:uid="{00000000-0005-0000-0000-0000DA0D0000}"/>
    <cellStyle name="Percentuale 24 4 2" xfId="3071" xr:uid="{00000000-0005-0000-0000-0000DB0D0000}"/>
    <cellStyle name="Percentuale 24 4 2 2" xfId="3072" xr:uid="{00000000-0005-0000-0000-0000DC0D0000}"/>
    <cellStyle name="Percentuale 24 4 3" xfId="3073" xr:uid="{00000000-0005-0000-0000-0000DD0D0000}"/>
    <cellStyle name="Percentuale 24 5" xfId="1468" xr:uid="{00000000-0005-0000-0000-0000DE0D0000}"/>
    <cellStyle name="Percentuale 25" xfId="1469" xr:uid="{00000000-0005-0000-0000-0000DF0D0000}"/>
    <cellStyle name="Percentuale 25 2" xfId="1470" xr:uid="{00000000-0005-0000-0000-0000E00D0000}"/>
    <cellStyle name="Percentuale 25 2 2" xfId="3074" xr:uid="{00000000-0005-0000-0000-0000E10D0000}"/>
    <cellStyle name="Percentuale 25 3" xfId="1471" xr:uid="{00000000-0005-0000-0000-0000E20D0000}"/>
    <cellStyle name="Percentuale 25 3 2" xfId="1472" xr:uid="{00000000-0005-0000-0000-0000E30D0000}"/>
    <cellStyle name="Percentuale 25 3 2 2" xfId="4174" xr:uid="{00000000-0005-0000-0000-0000E40D0000}"/>
    <cellStyle name="Percentuale 25 3 2 3" xfId="4175" xr:uid="{00000000-0005-0000-0000-0000E50D0000}"/>
    <cellStyle name="Percentuale 25 3 3" xfId="1473" xr:uid="{00000000-0005-0000-0000-0000E60D0000}"/>
    <cellStyle name="Percentuale 25 3 3 2" xfId="3075" xr:uid="{00000000-0005-0000-0000-0000E70D0000}"/>
    <cellStyle name="Percentuale 25 3 4" xfId="3076" xr:uid="{00000000-0005-0000-0000-0000E80D0000}"/>
    <cellStyle name="Percentuale 25 4" xfId="1474" xr:uid="{00000000-0005-0000-0000-0000E90D0000}"/>
    <cellStyle name="Percentuale 25 4 2" xfId="3077" xr:uid="{00000000-0005-0000-0000-0000EA0D0000}"/>
    <cellStyle name="Percentuale 25 4 2 2" xfId="3078" xr:uid="{00000000-0005-0000-0000-0000EB0D0000}"/>
    <cellStyle name="Percentuale 25 4 3" xfId="3079" xr:uid="{00000000-0005-0000-0000-0000EC0D0000}"/>
    <cellStyle name="Percentuale 25 5" xfId="1475" xr:uid="{00000000-0005-0000-0000-0000ED0D0000}"/>
    <cellStyle name="Percentuale 26" xfId="1476" xr:uid="{00000000-0005-0000-0000-0000EE0D0000}"/>
    <cellStyle name="Percentuale 26 2" xfId="1477" xr:uid="{00000000-0005-0000-0000-0000EF0D0000}"/>
    <cellStyle name="Percentuale 26 2 2" xfId="3080" xr:uid="{00000000-0005-0000-0000-0000F00D0000}"/>
    <cellStyle name="Percentuale 26 3" xfId="1478" xr:uid="{00000000-0005-0000-0000-0000F10D0000}"/>
    <cellStyle name="Percentuale 26 3 2" xfId="1479" xr:uid="{00000000-0005-0000-0000-0000F20D0000}"/>
    <cellStyle name="Percentuale 26 3 2 2" xfId="4176" xr:uid="{00000000-0005-0000-0000-0000F30D0000}"/>
    <cellStyle name="Percentuale 26 3 2 3" xfId="4177" xr:uid="{00000000-0005-0000-0000-0000F40D0000}"/>
    <cellStyle name="Percentuale 26 3 3" xfId="1480" xr:uid="{00000000-0005-0000-0000-0000F50D0000}"/>
    <cellStyle name="Percentuale 26 3 3 2" xfId="3081" xr:uid="{00000000-0005-0000-0000-0000F60D0000}"/>
    <cellStyle name="Percentuale 26 3 4" xfId="3082" xr:uid="{00000000-0005-0000-0000-0000F70D0000}"/>
    <cellStyle name="Percentuale 26 4" xfId="1481" xr:uid="{00000000-0005-0000-0000-0000F80D0000}"/>
    <cellStyle name="Percentuale 26 4 2" xfId="3083" xr:uid="{00000000-0005-0000-0000-0000F90D0000}"/>
    <cellStyle name="Percentuale 26 4 2 2" xfId="3084" xr:uid="{00000000-0005-0000-0000-0000FA0D0000}"/>
    <cellStyle name="Percentuale 26 4 3" xfId="3085" xr:uid="{00000000-0005-0000-0000-0000FB0D0000}"/>
    <cellStyle name="Percentuale 26 5" xfId="1482" xr:uid="{00000000-0005-0000-0000-0000FC0D0000}"/>
    <cellStyle name="Percentuale 27" xfId="1483" xr:uid="{00000000-0005-0000-0000-0000FD0D0000}"/>
    <cellStyle name="Percentuale 27 2" xfId="1484" xr:uid="{00000000-0005-0000-0000-0000FE0D0000}"/>
    <cellStyle name="Percentuale 27 2 2" xfId="3086" xr:uid="{00000000-0005-0000-0000-0000FF0D0000}"/>
    <cellStyle name="Percentuale 27 3" xfId="1485" xr:uid="{00000000-0005-0000-0000-0000000E0000}"/>
    <cellStyle name="Percentuale 27 3 2" xfId="1486" xr:uid="{00000000-0005-0000-0000-0000010E0000}"/>
    <cellStyle name="Percentuale 27 3 2 2" xfId="4178" xr:uid="{00000000-0005-0000-0000-0000020E0000}"/>
    <cellStyle name="Percentuale 27 3 2 3" xfId="4179" xr:uid="{00000000-0005-0000-0000-0000030E0000}"/>
    <cellStyle name="Percentuale 27 3 3" xfId="1487" xr:uid="{00000000-0005-0000-0000-0000040E0000}"/>
    <cellStyle name="Percentuale 27 3 3 2" xfId="3087" xr:uid="{00000000-0005-0000-0000-0000050E0000}"/>
    <cellStyle name="Percentuale 27 3 4" xfId="3088" xr:uid="{00000000-0005-0000-0000-0000060E0000}"/>
    <cellStyle name="Percentuale 27 4" xfId="1488" xr:uid="{00000000-0005-0000-0000-0000070E0000}"/>
    <cellStyle name="Percentuale 27 4 2" xfId="3089" xr:uid="{00000000-0005-0000-0000-0000080E0000}"/>
    <cellStyle name="Percentuale 27 4 2 2" xfId="3090" xr:uid="{00000000-0005-0000-0000-0000090E0000}"/>
    <cellStyle name="Percentuale 27 4 3" xfId="3091" xr:uid="{00000000-0005-0000-0000-00000A0E0000}"/>
    <cellStyle name="Percentuale 27 5" xfId="1489" xr:uid="{00000000-0005-0000-0000-00000B0E0000}"/>
    <cellStyle name="Percentuale 28" xfId="1490" xr:uid="{00000000-0005-0000-0000-00000C0E0000}"/>
    <cellStyle name="Percentuale 28 2" xfId="1491" xr:uid="{00000000-0005-0000-0000-00000D0E0000}"/>
    <cellStyle name="Percentuale 28 2 2" xfId="3092" xr:uid="{00000000-0005-0000-0000-00000E0E0000}"/>
    <cellStyle name="Percentuale 28 3" xfId="1492" xr:uid="{00000000-0005-0000-0000-00000F0E0000}"/>
    <cellStyle name="Percentuale 28 3 2" xfId="1493" xr:uid="{00000000-0005-0000-0000-0000100E0000}"/>
    <cellStyle name="Percentuale 28 3 2 2" xfId="4180" xr:uid="{00000000-0005-0000-0000-0000110E0000}"/>
    <cellStyle name="Percentuale 28 3 2 3" xfId="4181" xr:uid="{00000000-0005-0000-0000-0000120E0000}"/>
    <cellStyle name="Percentuale 28 3 3" xfId="1494" xr:uid="{00000000-0005-0000-0000-0000130E0000}"/>
    <cellStyle name="Percentuale 28 3 3 2" xfId="3093" xr:uid="{00000000-0005-0000-0000-0000140E0000}"/>
    <cellStyle name="Percentuale 28 3 4" xfId="3094" xr:uid="{00000000-0005-0000-0000-0000150E0000}"/>
    <cellStyle name="Percentuale 28 4" xfId="1495" xr:uid="{00000000-0005-0000-0000-0000160E0000}"/>
    <cellStyle name="Percentuale 28 4 2" xfId="3095" xr:uid="{00000000-0005-0000-0000-0000170E0000}"/>
    <cellStyle name="Percentuale 28 4 2 2" xfId="3096" xr:uid="{00000000-0005-0000-0000-0000180E0000}"/>
    <cellStyle name="Percentuale 28 4 3" xfId="3097" xr:uid="{00000000-0005-0000-0000-0000190E0000}"/>
    <cellStyle name="Percentuale 28 5" xfId="1496" xr:uid="{00000000-0005-0000-0000-00001A0E0000}"/>
    <cellStyle name="Percentuale 29" xfId="1497" xr:uid="{00000000-0005-0000-0000-00001B0E0000}"/>
    <cellStyle name="Percentuale 29 2" xfId="1498" xr:uid="{00000000-0005-0000-0000-00001C0E0000}"/>
    <cellStyle name="Percentuale 29 2 2" xfId="3098" xr:uid="{00000000-0005-0000-0000-00001D0E0000}"/>
    <cellStyle name="Percentuale 29 3" xfId="1499" xr:uid="{00000000-0005-0000-0000-00001E0E0000}"/>
    <cellStyle name="Percentuale 29 3 2" xfId="1500" xr:uid="{00000000-0005-0000-0000-00001F0E0000}"/>
    <cellStyle name="Percentuale 29 3 2 2" xfId="4182" xr:uid="{00000000-0005-0000-0000-0000200E0000}"/>
    <cellStyle name="Percentuale 29 3 2 3" xfId="4183" xr:uid="{00000000-0005-0000-0000-0000210E0000}"/>
    <cellStyle name="Percentuale 29 3 3" xfId="1501" xr:uid="{00000000-0005-0000-0000-0000220E0000}"/>
    <cellStyle name="Percentuale 29 3 3 2" xfId="3099" xr:uid="{00000000-0005-0000-0000-0000230E0000}"/>
    <cellStyle name="Percentuale 29 3 4" xfId="3100" xr:uid="{00000000-0005-0000-0000-0000240E0000}"/>
    <cellStyle name="Percentuale 29 4" xfId="1502" xr:uid="{00000000-0005-0000-0000-0000250E0000}"/>
    <cellStyle name="Percentuale 29 4 2" xfId="3101" xr:uid="{00000000-0005-0000-0000-0000260E0000}"/>
    <cellStyle name="Percentuale 29 4 2 2" xfId="3102" xr:uid="{00000000-0005-0000-0000-0000270E0000}"/>
    <cellStyle name="Percentuale 29 4 3" xfId="3103" xr:uid="{00000000-0005-0000-0000-0000280E0000}"/>
    <cellStyle name="Percentuale 29 5" xfId="1503" xr:uid="{00000000-0005-0000-0000-0000290E0000}"/>
    <cellStyle name="Percentuale 3" xfId="1504" xr:uid="{00000000-0005-0000-0000-00002A0E0000}"/>
    <cellStyle name="Percentuale 3 2" xfId="1505" xr:uid="{00000000-0005-0000-0000-00002B0E0000}"/>
    <cellStyle name="Percentuale 3 2 2" xfId="3104" xr:uid="{00000000-0005-0000-0000-00002C0E0000}"/>
    <cellStyle name="Percentuale 3 3" xfId="1506" xr:uid="{00000000-0005-0000-0000-00002D0E0000}"/>
    <cellStyle name="Percentuale 3 3 2" xfId="1507" xr:uid="{00000000-0005-0000-0000-00002E0E0000}"/>
    <cellStyle name="Percentuale 3 3 2 2" xfId="4184" xr:uid="{00000000-0005-0000-0000-00002F0E0000}"/>
    <cellStyle name="Percentuale 3 3 2 3" xfId="4185" xr:uid="{00000000-0005-0000-0000-0000300E0000}"/>
    <cellStyle name="Percentuale 3 3 3" xfId="1508" xr:uid="{00000000-0005-0000-0000-0000310E0000}"/>
    <cellStyle name="Percentuale 3 3 3 2" xfId="3105" xr:uid="{00000000-0005-0000-0000-0000320E0000}"/>
    <cellStyle name="Percentuale 3 3 4" xfId="3106" xr:uid="{00000000-0005-0000-0000-0000330E0000}"/>
    <cellStyle name="Percentuale 3 4" xfId="1509" xr:uid="{00000000-0005-0000-0000-0000340E0000}"/>
    <cellStyle name="Percentuale 3 4 2" xfId="3107" xr:uid="{00000000-0005-0000-0000-0000350E0000}"/>
    <cellStyle name="Percentuale 3 4 2 2" xfId="3108" xr:uid="{00000000-0005-0000-0000-0000360E0000}"/>
    <cellStyle name="Percentuale 3 4 3" xfId="3109" xr:uid="{00000000-0005-0000-0000-0000370E0000}"/>
    <cellStyle name="Percentuale 3 5" xfId="1510" xr:uid="{00000000-0005-0000-0000-0000380E0000}"/>
    <cellStyle name="Percentuale 30" xfId="1511" xr:uid="{00000000-0005-0000-0000-0000390E0000}"/>
    <cellStyle name="Percentuale 30 2" xfId="1512" xr:uid="{00000000-0005-0000-0000-00003A0E0000}"/>
    <cellStyle name="Percentuale 30 2 2" xfId="3110" xr:uid="{00000000-0005-0000-0000-00003B0E0000}"/>
    <cellStyle name="Percentuale 30 3" xfId="1513" xr:uid="{00000000-0005-0000-0000-00003C0E0000}"/>
    <cellStyle name="Percentuale 30 3 2" xfId="1514" xr:uid="{00000000-0005-0000-0000-00003D0E0000}"/>
    <cellStyle name="Percentuale 30 3 2 2" xfId="4186" xr:uid="{00000000-0005-0000-0000-00003E0E0000}"/>
    <cellStyle name="Percentuale 30 3 2 3" xfId="4187" xr:uid="{00000000-0005-0000-0000-00003F0E0000}"/>
    <cellStyle name="Percentuale 30 3 3" xfId="1515" xr:uid="{00000000-0005-0000-0000-0000400E0000}"/>
    <cellStyle name="Percentuale 30 3 3 2" xfId="3111" xr:uid="{00000000-0005-0000-0000-0000410E0000}"/>
    <cellStyle name="Percentuale 30 3 4" xfId="3112" xr:uid="{00000000-0005-0000-0000-0000420E0000}"/>
    <cellStyle name="Percentuale 30 4" xfId="1516" xr:uid="{00000000-0005-0000-0000-0000430E0000}"/>
    <cellStyle name="Percentuale 30 4 2" xfId="3113" xr:uid="{00000000-0005-0000-0000-0000440E0000}"/>
    <cellStyle name="Percentuale 30 4 2 2" xfId="3114" xr:uid="{00000000-0005-0000-0000-0000450E0000}"/>
    <cellStyle name="Percentuale 30 4 3" xfId="3115" xr:uid="{00000000-0005-0000-0000-0000460E0000}"/>
    <cellStyle name="Percentuale 30 5" xfId="1517" xr:uid="{00000000-0005-0000-0000-0000470E0000}"/>
    <cellStyle name="Percentuale 31" xfId="1518" xr:uid="{00000000-0005-0000-0000-0000480E0000}"/>
    <cellStyle name="Percentuale 31 2" xfId="1519" xr:uid="{00000000-0005-0000-0000-0000490E0000}"/>
    <cellStyle name="Percentuale 31 2 2" xfId="3116" xr:uid="{00000000-0005-0000-0000-00004A0E0000}"/>
    <cellStyle name="Percentuale 31 3" xfId="1520" xr:uid="{00000000-0005-0000-0000-00004B0E0000}"/>
    <cellStyle name="Percentuale 31 3 2" xfId="1521" xr:uid="{00000000-0005-0000-0000-00004C0E0000}"/>
    <cellStyle name="Percentuale 31 3 2 2" xfId="4188" xr:uid="{00000000-0005-0000-0000-00004D0E0000}"/>
    <cellStyle name="Percentuale 31 3 2 3" xfId="4189" xr:uid="{00000000-0005-0000-0000-00004E0E0000}"/>
    <cellStyle name="Percentuale 31 3 3" xfId="1522" xr:uid="{00000000-0005-0000-0000-00004F0E0000}"/>
    <cellStyle name="Percentuale 31 3 3 2" xfId="3117" xr:uid="{00000000-0005-0000-0000-0000500E0000}"/>
    <cellStyle name="Percentuale 31 3 4" xfId="3118" xr:uid="{00000000-0005-0000-0000-0000510E0000}"/>
    <cellStyle name="Percentuale 31 4" xfId="1523" xr:uid="{00000000-0005-0000-0000-0000520E0000}"/>
    <cellStyle name="Percentuale 31 4 2" xfId="3119" xr:uid="{00000000-0005-0000-0000-0000530E0000}"/>
    <cellStyle name="Percentuale 31 4 2 2" xfId="3120" xr:uid="{00000000-0005-0000-0000-0000540E0000}"/>
    <cellStyle name="Percentuale 31 4 3" xfId="3121" xr:uid="{00000000-0005-0000-0000-0000550E0000}"/>
    <cellStyle name="Percentuale 31 5" xfId="1524" xr:uid="{00000000-0005-0000-0000-0000560E0000}"/>
    <cellStyle name="Percentuale 32" xfId="1525" xr:uid="{00000000-0005-0000-0000-0000570E0000}"/>
    <cellStyle name="Percentuale 32 2" xfId="1526" xr:uid="{00000000-0005-0000-0000-0000580E0000}"/>
    <cellStyle name="Percentuale 32 2 2" xfId="3122" xr:uid="{00000000-0005-0000-0000-0000590E0000}"/>
    <cellStyle name="Percentuale 32 3" xfId="1527" xr:uid="{00000000-0005-0000-0000-00005A0E0000}"/>
    <cellStyle name="Percentuale 32 3 2" xfId="1528" xr:uid="{00000000-0005-0000-0000-00005B0E0000}"/>
    <cellStyle name="Percentuale 32 3 2 2" xfId="4190" xr:uid="{00000000-0005-0000-0000-00005C0E0000}"/>
    <cellStyle name="Percentuale 32 3 2 3" xfId="4191" xr:uid="{00000000-0005-0000-0000-00005D0E0000}"/>
    <cellStyle name="Percentuale 32 3 3" xfId="1529" xr:uid="{00000000-0005-0000-0000-00005E0E0000}"/>
    <cellStyle name="Percentuale 32 3 3 2" xfId="3123" xr:uid="{00000000-0005-0000-0000-00005F0E0000}"/>
    <cellStyle name="Percentuale 32 3 4" xfId="3124" xr:uid="{00000000-0005-0000-0000-0000600E0000}"/>
    <cellStyle name="Percentuale 32 4" xfId="1530" xr:uid="{00000000-0005-0000-0000-0000610E0000}"/>
    <cellStyle name="Percentuale 32 4 2" xfId="3125" xr:uid="{00000000-0005-0000-0000-0000620E0000}"/>
    <cellStyle name="Percentuale 32 4 2 2" xfId="3126" xr:uid="{00000000-0005-0000-0000-0000630E0000}"/>
    <cellStyle name="Percentuale 32 4 3" xfId="3127" xr:uid="{00000000-0005-0000-0000-0000640E0000}"/>
    <cellStyle name="Percentuale 32 5" xfId="1531" xr:uid="{00000000-0005-0000-0000-0000650E0000}"/>
    <cellStyle name="Percentuale 33" xfId="1532" xr:uid="{00000000-0005-0000-0000-0000660E0000}"/>
    <cellStyle name="Percentuale 33 2" xfId="1533" xr:uid="{00000000-0005-0000-0000-0000670E0000}"/>
    <cellStyle name="Percentuale 33 2 2" xfId="3128" xr:uid="{00000000-0005-0000-0000-0000680E0000}"/>
    <cellStyle name="Percentuale 33 3" xfId="1534" xr:uid="{00000000-0005-0000-0000-0000690E0000}"/>
    <cellStyle name="Percentuale 33 3 2" xfId="1535" xr:uid="{00000000-0005-0000-0000-00006A0E0000}"/>
    <cellStyle name="Percentuale 33 3 2 2" xfId="4192" xr:uid="{00000000-0005-0000-0000-00006B0E0000}"/>
    <cellStyle name="Percentuale 33 3 2 3" xfId="4193" xr:uid="{00000000-0005-0000-0000-00006C0E0000}"/>
    <cellStyle name="Percentuale 33 3 3" xfId="1536" xr:uid="{00000000-0005-0000-0000-00006D0E0000}"/>
    <cellStyle name="Percentuale 33 3 3 2" xfId="3129" xr:uid="{00000000-0005-0000-0000-00006E0E0000}"/>
    <cellStyle name="Percentuale 33 3 4" xfId="3130" xr:uid="{00000000-0005-0000-0000-00006F0E0000}"/>
    <cellStyle name="Percentuale 33 4" xfId="1537" xr:uid="{00000000-0005-0000-0000-0000700E0000}"/>
    <cellStyle name="Percentuale 33 4 2" xfId="3131" xr:uid="{00000000-0005-0000-0000-0000710E0000}"/>
    <cellStyle name="Percentuale 33 4 2 2" xfId="3132" xr:uid="{00000000-0005-0000-0000-0000720E0000}"/>
    <cellStyle name="Percentuale 33 4 3" xfId="3133" xr:uid="{00000000-0005-0000-0000-0000730E0000}"/>
    <cellStyle name="Percentuale 33 5" xfId="1538" xr:uid="{00000000-0005-0000-0000-0000740E0000}"/>
    <cellStyle name="Percentuale 34" xfId="1539" xr:uid="{00000000-0005-0000-0000-0000750E0000}"/>
    <cellStyle name="Percentuale 34 2" xfId="1540" xr:uid="{00000000-0005-0000-0000-0000760E0000}"/>
    <cellStyle name="Percentuale 34 2 2" xfId="3134" xr:uid="{00000000-0005-0000-0000-0000770E0000}"/>
    <cellStyle name="Percentuale 34 3" xfId="1541" xr:uid="{00000000-0005-0000-0000-0000780E0000}"/>
    <cellStyle name="Percentuale 34 3 2" xfId="1542" xr:uid="{00000000-0005-0000-0000-0000790E0000}"/>
    <cellStyle name="Percentuale 34 3 2 2" xfId="4194" xr:uid="{00000000-0005-0000-0000-00007A0E0000}"/>
    <cellStyle name="Percentuale 34 3 2 3" xfId="4195" xr:uid="{00000000-0005-0000-0000-00007B0E0000}"/>
    <cellStyle name="Percentuale 34 3 3" xfId="1543" xr:uid="{00000000-0005-0000-0000-00007C0E0000}"/>
    <cellStyle name="Percentuale 34 3 3 2" xfId="3135" xr:uid="{00000000-0005-0000-0000-00007D0E0000}"/>
    <cellStyle name="Percentuale 34 3 4" xfId="3136" xr:uid="{00000000-0005-0000-0000-00007E0E0000}"/>
    <cellStyle name="Percentuale 34 4" xfId="1544" xr:uid="{00000000-0005-0000-0000-00007F0E0000}"/>
    <cellStyle name="Percentuale 34 4 2" xfId="3137" xr:uid="{00000000-0005-0000-0000-0000800E0000}"/>
    <cellStyle name="Percentuale 34 4 2 2" xfId="3138" xr:uid="{00000000-0005-0000-0000-0000810E0000}"/>
    <cellStyle name="Percentuale 34 4 3" xfId="3139" xr:uid="{00000000-0005-0000-0000-0000820E0000}"/>
    <cellStyle name="Percentuale 34 5" xfId="1545" xr:uid="{00000000-0005-0000-0000-0000830E0000}"/>
    <cellStyle name="Percentuale 35" xfId="1546" xr:uid="{00000000-0005-0000-0000-0000840E0000}"/>
    <cellStyle name="Percentuale 35 2" xfId="1547" xr:uid="{00000000-0005-0000-0000-0000850E0000}"/>
    <cellStyle name="Percentuale 35 2 2" xfId="3140" xr:uid="{00000000-0005-0000-0000-0000860E0000}"/>
    <cellStyle name="Percentuale 35 3" xfId="1548" xr:uid="{00000000-0005-0000-0000-0000870E0000}"/>
    <cellStyle name="Percentuale 35 3 2" xfId="1549" xr:uid="{00000000-0005-0000-0000-0000880E0000}"/>
    <cellStyle name="Percentuale 35 3 2 2" xfId="4196" xr:uid="{00000000-0005-0000-0000-0000890E0000}"/>
    <cellStyle name="Percentuale 35 3 2 3" xfId="4197" xr:uid="{00000000-0005-0000-0000-00008A0E0000}"/>
    <cellStyle name="Percentuale 35 3 3" xfId="1550" xr:uid="{00000000-0005-0000-0000-00008B0E0000}"/>
    <cellStyle name="Percentuale 35 3 3 2" xfId="3141" xr:uid="{00000000-0005-0000-0000-00008C0E0000}"/>
    <cellStyle name="Percentuale 35 3 4" xfId="3142" xr:uid="{00000000-0005-0000-0000-00008D0E0000}"/>
    <cellStyle name="Percentuale 35 4" xfId="1551" xr:uid="{00000000-0005-0000-0000-00008E0E0000}"/>
    <cellStyle name="Percentuale 35 4 2" xfId="3143" xr:uid="{00000000-0005-0000-0000-00008F0E0000}"/>
    <cellStyle name="Percentuale 35 4 2 2" xfId="3144" xr:uid="{00000000-0005-0000-0000-0000900E0000}"/>
    <cellStyle name="Percentuale 35 4 3" xfId="3145" xr:uid="{00000000-0005-0000-0000-0000910E0000}"/>
    <cellStyle name="Percentuale 35 5" xfId="1552" xr:uid="{00000000-0005-0000-0000-0000920E0000}"/>
    <cellStyle name="Percentuale 36" xfId="1553" xr:uid="{00000000-0005-0000-0000-0000930E0000}"/>
    <cellStyle name="Percentuale 36 2" xfId="1554" xr:uid="{00000000-0005-0000-0000-0000940E0000}"/>
    <cellStyle name="Percentuale 36 2 2" xfId="3146" xr:uid="{00000000-0005-0000-0000-0000950E0000}"/>
    <cellStyle name="Percentuale 36 3" xfId="1555" xr:uid="{00000000-0005-0000-0000-0000960E0000}"/>
    <cellStyle name="Percentuale 36 3 2" xfId="1556" xr:uid="{00000000-0005-0000-0000-0000970E0000}"/>
    <cellStyle name="Percentuale 36 3 2 2" xfId="4198" xr:uid="{00000000-0005-0000-0000-0000980E0000}"/>
    <cellStyle name="Percentuale 36 3 2 3" xfId="4199" xr:uid="{00000000-0005-0000-0000-0000990E0000}"/>
    <cellStyle name="Percentuale 36 3 3" xfId="1557" xr:uid="{00000000-0005-0000-0000-00009A0E0000}"/>
    <cellStyle name="Percentuale 36 3 3 2" xfId="3147" xr:uid="{00000000-0005-0000-0000-00009B0E0000}"/>
    <cellStyle name="Percentuale 36 3 4" xfId="3148" xr:uid="{00000000-0005-0000-0000-00009C0E0000}"/>
    <cellStyle name="Percentuale 36 4" xfId="1558" xr:uid="{00000000-0005-0000-0000-00009D0E0000}"/>
    <cellStyle name="Percentuale 36 4 2" xfId="3149" xr:uid="{00000000-0005-0000-0000-00009E0E0000}"/>
    <cellStyle name="Percentuale 36 4 2 2" xfId="3150" xr:uid="{00000000-0005-0000-0000-00009F0E0000}"/>
    <cellStyle name="Percentuale 36 4 3" xfId="3151" xr:uid="{00000000-0005-0000-0000-0000A00E0000}"/>
    <cellStyle name="Percentuale 36 5" xfId="1559" xr:uid="{00000000-0005-0000-0000-0000A10E0000}"/>
    <cellStyle name="Percentuale 37" xfId="1560" xr:uid="{00000000-0005-0000-0000-0000A20E0000}"/>
    <cellStyle name="Percentuale 37 2" xfId="1561" xr:uid="{00000000-0005-0000-0000-0000A30E0000}"/>
    <cellStyle name="Percentuale 37 2 2" xfId="3152" xr:uid="{00000000-0005-0000-0000-0000A40E0000}"/>
    <cellStyle name="Percentuale 37 3" xfId="1562" xr:uid="{00000000-0005-0000-0000-0000A50E0000}"/>
    <cellStyle name="Percentuale 37 3 2" xfId="1563" xr:uid="{00000000-0005-0000-0000-0000A60E0000}"/>
    <cellStyle name="Percentuale 37 3 2 2" xfId="4200" xr:uid="{00000000-0005-0000-0000-0000A70E0000}"/>
    <cellStyle name="Percentuale 37 3 2 3" xfId="4201" xr:uid="{00000000-0005-0000-0000-0000A80E0000}"/>
    <cellStyle name="Percentuale 37 3 3" xfId="1564" xr:uid="{00000000-0005-0000-0000-0000A90E0000}"/>
    <cellStyle name="Percentuale 37 3 3 2" xfId="3153" xr:uid="{00000000-0005-0000-0000-0000AA0E0000}"/>
    <cellStyle name="Percentuale 37 3 4" xfId="3154" xr:uid="{00000000-0005-0000-0000-0000AB0E0000}"/>
    <cellStyle name="Percentuale 37 4" xfId="1565" xr:uid="{00000000-0005-0000-0000-0000AC0E0000}"/>
    <cellStyle name="Percentuale 37 4 2" xfId="3155" xr:uid="{00000000-0005-0000-0000-0000AD0E0000}"/>
    <cellStyle name="Percentuale 37 4 2 2" xfId="3156" xr:uid="{00000000-0005-0000-0000-0000AE0E0000}"/>
    <cellStyle name="Percentuale 37 4 3" xfId="3157" xr:uid="{00000000-0005-0000-0000-0000AF0E0000}"/>
    <cellStyle name="Percentuale 37 5" xfId="1566" xr:uid="{00000000-0005-0000-0000-0000B00E0000}"/>
    <cellStyle name="Percentuale 38" xfId="1567" xr:uid="{00000000-0005-0000-0000-0000B10E0000}"/>
    <cellStyle name="Percentuale 38 2" xfId="1568" xr:uid="{00000000-0005-0000-0000-0000B20E0000}"/>
    <cellStyle name="Percentuale 38 2 2" xfId="3158" xr:uid="{00000000-0005-0000-0000-0000B30E0000}"/>
    <cellStyle name="Percentuale 38 3" xfId="1569" xr:uid="{00000000-0005-0000-0000-0000B40E0000}"/>
    <cellStyle name="Percentuale 38 3 2" xfId="1570" xr:uid="{00000000-0005-0000-0000-0000B50E0000}"/>
    <cellStyle name="Percentuale 38 3 2 2" xfId="4202" xr:uid="{00000000-0005-0000-0000-0000B60E0000}"/>
    <cellStyle name="Percentuale 38 3 2 3" xfId="4203" xr:uid="{00000000-0005-0000-0000-0000B70E0000}"/>
    <cellStyle name="Percentuale 38 3 3" xfId="1571" xr:uid="{00000000-0005-0000-0000-0000B80E0000}"/>
    <cellStyle name="Percentuale 38 3 3 2" xfId="3159" xr:uid="{00000000-0005-0000-0000-0000B90E0000}"/>
    <cellStyle name="Percentuale 38 3 4" xfId="3160" xr:uid="{00000000-0005-0000-0000-0000BA0E0000}"/>
    <cellStyle name="Percentuale 38 4" xfId="1572" xr:uid="{00000000-0005-0000-0000-0000BB0E0000}"/>
    <cellStyle name="Percentuale 38 4 2" xfId="3161" xr:uid="{00000000-0005-0000-0000-0000BC0E0000}"/>
    <cellStyle name="Percentuale 38 4 2 2" xfId="3162" xr:uid="{00000000-0005-0000-0000-0000BD0E0000}"/>
    <cellStyle name="Percentuale 38 4 3" xfId="3163" xr:uid="{00000000-0005-0000-0000-0000BE0E0000}"/>
    <cellStyle name="Percentuale 38 5" xfId="1573" xr:uid="{00000000-0005-0000-0000-0000BF0E0000}"/>
    <cellStyle name="Percentuale 39" xfId="1574" xr:uid="{00000000-0005-0000-0000-0000C00E0000}"/>
    <cellStyle name="Percentuale 39 2" xfId="1575" xr:uid="{00000000-0005-0000-0000-0000C10E0000}"/>
    <cellStyle name="Percentuale 39 2 2" xfId="3164" xr:uid="{00000000-0005-0000-0000-0000C20E0000}"/>
    <cellStyle name="Percentuale 39 3" xfId="1576" xr:uid="{00000000-0005-0000-0000-0000C30E0000}"/>
    <cellStyle name="Percentuale 39 3 2" xfId="1577" xr:uid="{00000000-0005-0000-0000-0000C40E0000}"/>
    <cellStyle name="Percentuale 39 3 2 2" xfId="4204" xr:uid="{00000000-0005-0000-0000-0000C50E0000}"/>
    <cellStyle name="Percentuale 39 3 2 3" xfId="4205" xr:uid="{00000000-0005-0000-0000-0000C60E0000}"/>
    <cellStyle name="Percentuale 39 3 3" xfId="1578" xr:uid="{00000000-0005-0000-0000-0000C70E0000}"/>
    <cellStyle name="Percentuale 39 3 3 2" xfId="3165" xr:uid="{00000000-0005-0000-0000-0000C80E0000}"/>
    <cellStyle name="Percentuale 39 3 4" xfId="3166" xr:uid="{00000000-0005-0000-0000-0000C90E0000}"/>
    <cellStyle name="Percentuale 39 4" xfId="1579" xr:uid="{00000000-0005-0000-0000-0000CA0E0000}"/>
    <cellStyle name="Percentuale 39 4 2" xfId="3167" xr:uid="{00000000-0005-0000-0000-0000CB0E0000}"/>
    <cellStyle name="Percentuale 39 4 2 2" xfId="3168" xr:uid="{00000000-0005-0000-0000-0000CC0E0000}"/>
    <cellStyle name="Percentuale 39 4 3" xfId="3169" xr:uid="{00000000-0005-0000-0000-0000CD0E0000}"/>
    <cellStyle name="Percentuale 39 5" xfId="1580" xr:uid="{00000000-0005-0000-0000-0000CE0E0000}"/>
    <cellStyle name="Percentuale 4" xfId="1581" xr:uid="{00000000-0005-0000-0000-0000CF0E0000}"/>
    <cellStyle name="Percentuale 4 2" xfId="1582" xr:uid="{00000000-0005-0000-0000-0000D00E0000}"/>
    <cellStyle name="Percentuale 4 2 2" xfId="3170" xr:uid="{00000000-0005-0000-0000-0000D10E0000}"/>
    <cellStyle name="Percentuale 4 3" xfId="1583" xr:uid="{00000000-0005-0000-0000-0000D20E0000}"/>
    <cellStyle name="Percentuale 4 3 2" xfId="1584" xr:uid="{00000000-0005-0000-0000-0000D30E0000}"/>
    <cellStyle name="Percentuale 4 3 2 2" xfId="4206" xr:uid="{00000000-0005-0000-0000-0000D40E0000}"/>
    <cellStyle name="Percentuale 4 3 2 3" xfId="4207" xr:uid="{00000000-0005-0000-0000-0000D50E0000}"/>
    <cellStyle name="Percentuale 4 3 3" xfId="1585" xr:uid="{00000000-0005-0000-0000-0000D60E0000}"/>
    <cellStyle name="Percentuale 4 3 3 2" xfId="3171" xr:uid="{00000000-0005-0000-0000-0000D70E0000}"/>
    <cellStyle name="Percentuale 4 3 4" xfId="3172" xr:uid="{00000000-0005-0000-0000-0000D80E0000}"/>
    <cellStyle name="Percentuale 4 4" xfId="1586" xr:uid="{00000000-0005-0000-0000-0000D90E0000}"/>
    <cellStyle name="Percentuale 4 4 2" xfId="3173" xr:uid="{00000000-0005-0000-0000-0000DA0E0000}"/>
    <cellStyle name="Percentuale 4 4 2 2" xfId="3174" xr:uid="{00000000-0005-0000-0000-0000DB0E0000}"/>
    <cellStyle name="Percentuale 4 4 3" xfId="3175" xr:uid="{00000000-0005-0000-0000-0000DC0E0000}"/>
    <cellStyle name="Percentuale 4 5" xfId="1587" xr:uid="{00000000-0005-0000-0000-0000DD0E0000}"/>
    <cellStyle name="Percentuale 40" xfId="1588" xr:uid="{00000000-0005-0000-0000-0000DE0E0000}"/>
    <cellStyle name="Percentuale 40 2" xfId="1589" xr:uid="{00000000-0005-0000-0000-0000DF0E0000}"/>
    <cellStyle name="Percentuale 40 2 2" xfId="3176" xr:uid="{00000000-0005-0000-0000-0000E00E0000}"/>
    <cellStyle name="Percentuale 40 3" xfId="1590" xr:uid="{00000000-0005-0000-0000-0000E10E0000}"/>
    <cellStyle name="Percentuale 40 3 2" xfId="1591" xr:uid="{00000000-0005-0000-0000-0000E20E0000}"/>
    <cellStyle name="Percentuale 40 3 2 2" xfId="4208" xr:uid="{00000000-0005-0000-0000-0000E30E0000}"/>
    <cellStyle name="Percentuale 40 3 2 3" xfId="4209" xr:uid="{00000000-0005-0000-0000-0000E40E0000}"/>
    <cellStyle name="Percentuale 40 3 3" xfId="1592" xr:uid="{00000000-0005-0000-0000-0000E50E0000}"/>
    <cellStyle name="Percentuale 40 3 3 2" xfId="3177" xr:uid="{00000000-0005-0000-0000-0000E60E0000}"/>
    <cellStyle name="Percentuale 40 3 4" xfId="3178" xr:uid="{00000000-0005-0000-0000-0000E70E0000}"/>
    <cellStyle name="Percentuale 40 4" xfId="1593" xr:uid="{00000000-0005-0000-0000-0000E80E0000}"/>
    <cellStyle name="Percentuale 40 4 2" xfId="3179" xr:uid="{00000000-0005-0000-0000-0000E90E0000}"/>
    <cellStyle name="Percentuale 40 4 2 2" xfId="3180" xr:uid="{00000000-0005-0000-0000-0000EA0E0000}"/>
    <cellStyle name="Percentuale 40 4 3" xfId="3181" xr:uid="{00000000-0005-0000-0000-0000EB0E0000}"/>
    <cellStyle name="Percentuale 40 5" xfId="1594" xr:uid="{00000000-0005-0000-0000-0000EC0E0000}"/>
    <cellStyle name="Percentuale 41" xfId="1595" xr:uid="{00000000-0005-0000-0000-0000ED0E0000}"/>
    <cellStyle name="Percentuale 41 2" xfId="1596" xr:uid="{00000000-0005-0000-0000-0000EE0E0000}"/>
    <cellStyle name="Percentuale 41 2 2" xfId="3182" xr:uid="{00000000-0005-0000-0000-0000EF0E0000}"/>
    <cellStyle name="Percentuale 41 3" xfId="1597" xr:uid="{00000000-0005-0000-0000-0000F00E0000}"/>
    <cellStyle name="Percentuale 41 3 2" xfId="1598" xr:uid="{00000000-0005-0000-0000-0000F10E0000}"/>
    <cellStyle name="Percentuale 41 3 2 2" xfId="4210" xr:uid="{00000000-0005-0000-0000-0000F20E0000}"/>
    <cellStyle name="Percentuale 41 3 2 3" xfId="4211" xr:uid="{00000000-0005-0000-0000-0000F30E0000}"/>
    <cellStyle name="Percentuale 41 3 3" xfId="1599" xr:uid="{00000000-0005-0000-0000-0000F40E0000}"/>
    <cellStyle name="Percentuale 41 3 3 2" xfId="3183" xr:uid="{00000000-0005-0000-0000-0000F50E0000}"/>
    <cellStyle name="Percentuale 41 3 4" xfId="3184" xr:uid="{00000000-0005-0000-0000-0000F60E0000}"/>
    <cellStyle name="Percentuale 41 4" xfId="1600" xr:uid="{00000000-0005-0000-0000-0000F70E0000}"/>
    <cellStyle name="Percentuale 41 4 2" xfId="3185" xr:uid="{00000000-0005-0000-0000-0000F80E0000}"/>
    <cellStyle name="Percentuale 41 4 2 2" xfId="3186" xr:uid="{00000000-0005-0000-0000-0000F90E0000}"/>
    <cellStyle name="Percentuale 41 4 3" xfId="3187" xr:uid="{00000000-0005-0000-0000-0000FA0E0000}"/>
    <cellStyle name="Percentuale 41 5" xfId="1601" xr:uid="{00000000-0005-0000-0000-0000FB0E0000}"/>
    <cellStyle name="Percentuale 42" xfId="1602" xr:uid="{00000000-0005-0000-0000-0000FC0E0000}"/>
    <cellStyle name="Percentuale 42 2" xfId="1603" xr:uid="{00000000-0005-0000-0000-0000FD0E0000}"/>
    <cellStyle name="Percentuale 42 2 2" xfId="3188" xr:uid="{00000000-0005-0000-0000-0000FE0E0000}"/>
    <cellStyle name="Percentuale 42 3" xfId="1604" xr:uid="{00000000-0005-0000-0000-0000FF0E0000}"/>
    <cellStyle name="Percentuale 42 3 2" xfId="1605" xr:uid="{00000000-0005-0000-0000-0000000F0000}"/>
    <cellStyle name="Percentuale 42 3 2 2" xfId="4212" xr:uid="{00000000-0005-0000-0000-0000010F0000}"/>
    <cellStyle name="Percentuale 42 3 2 3" xfId="4213" xr:uid="{00000000-0005-0000-0000-0000020F0000}"/>
    <cellStyle name="Percentuale 42 3 3" xfId="1606" xr:uid="{00000000-0005-0000-0000-0000030F0000}"/>
    <cellStyle name="Percentuale 42 3 3 2" xfId="3189" xr:uid="{00000000-0005-0000-0000-0000040F0000}"/>
    <cellStyle name="Percentuale 42 3 4" xfId="3190" xr:uid="{00000000-0005-0000-0000-0000050F0000}"/>
    <cellStyle name="Percentuale 42 4" xfId="1607" xr:uid="{00000000-0005-0000-0000-0000060F0000}"/>
    <cellStyle name="Percentuale 42 4 2" xfId="3191" xr:uid="{00000000-0005-0000-0000-0000070F0000}"/>
    <cellStyle name="Percentuale 42 4 2 2" xfId="3192" xr:uid="{00000000-0005-0000-0000-0000080F0000}"/>
    <cellStyle name="Percentuale 42 4 3" xfId="3193" xr:uid="{00000000-0005-0000-0000-0000090F0000}"/>
    <cellStyle name="Percentuale 42 5" xfId="1608" xr:uid="{00000000-0005-0000-0000-00000A0F0000}"/>
    <cellStyle name="Percentuale 43" xfId="1609" xr:uid="{00000000-0005-0000-0000-00000B0F0000}"/>
    <cellStyle name="Percentuale 43 2" xfId="1610" xr:uid="{00000000-0005-0000-0000-00000C0F0000}"/>
    <cellStyle name="Percentuale 43 2 2" xfId="3194" xr:uid="{00000000-0005-0000-0000-00000D0F0000}"/>
    <cellStyle name="Percentuale 43 3" xfId="1611" xr:uid="{00000000-0005-0000-0000-00000E0F0000}"/>
    <cellStyle name="Percentuale 43 3 2" xfId="1612" xr:uid="{00000000-0005-0000-0000-00000F0F0000}"/>
    <cellStyle name="Percentuale 43 3 2 2" xfId="4214" xr:uid="{00000000-0005-0000-0000-0000100F0000}"/>
    <cellStyle name="Percentuale 43 3 2 3" xfId="4215" xr:uid="{00000000-0005-0000-0000-0000110F0000}"/>
    <cellStyle name="Percentuale 43 3 3" xfId="1613" xr:uid="{00000000-0005-0000-0000-0000120F0000}"/>
    <cellStyle name="Percentuale 43 3 3 2" xfId="3195" xr:uid="{00000000-0005-0000-0000-0000130F0000}"/>
    <cellStyle name="Percentuale 43 3 4" xfId="3196" xr:uid="{00000000-0005-0000-0000-0000140F0000}"/>
    <cellStyle name="Percentuale 43 4" xfId="1614" xr:uid="{00000000-0005-0000-0000-0000150F0000}"/>
    <cellStyle name="Percentuale 43 4 2" xfId="3197" xr:uid="{00000000-0005-0000-0000-0000160F0000}"/>
    <cellStyle name="Percentuale 43 4 2 2" xfId="3198" xr:uid="{00000000-0005-0000-0000-0000170F0000}"/>
    <cellStyle name="Percentuale 43 4 3" xfId="3199" xr:uid="{00000000-0005-0000-0000-0000180F0000}"/>
    <cellStyle name="Percentuale 43 5" xfId="1615" xr:uid="{00000000-0005-0000-0000-0000190F0000}"/>
    <cellStyle name="Percentuale 44" xfId="1616" xr:uid="{00000000-0005-0000-0000-00001A0F0000}"/>
    <cellStyle name="Percentuale 44 2" xfId="1617" xr:uid="{00000000-0005-0000-0000-00001B0F0000}"/>
    <cellStyle name="Percentuale 44 2 2" xfId="3200" xr:uid="{00000000-0005-0000-0000-00001C0F0000}"/>
    <cellStyle name="Percentuale 44 3" xfId="1618" xr:uid="{00000000-0005-0000-0000-00001D0F0000}"/>
    <cellStyle name="Percentuale 44 3 2" xfId="1619" xr:uid="{00000000-0005-0000-0000-00001E0F0000}"/>
    <cellStyle name="Percentuale 44 3 2 2" xfId="4216" xr:uid="{00000000-0005-0000-0000-00001F0F0000}"/>
    <cellStyle name="Percentuale 44 3 2 3" xfId="4217" xr:uid="{00000000-0005-0000-0000-0000200F0000}"/>
    <cellStyle name="Percentuale 44 3 3" xfId="1620" xr:uid="{00000000-0005-0000-0000-0000210F0000}"/>
    <cellStyle name="Percentuale 44 3 3 2" xfId="3201" xr:uid="{00000000-0005-0000-0000-0000220F0000}"/>
    <cellStyle name="Percentuale 44 3 4" xfId="3202" xr:uid="{00000000-0005-0000-0000-0000230F0000}"/>
    <cellStyle name="Percentuale 44 4" xfId="1621" xr:uid="{00000000-0005-0000-0000-0000240F0000}"/>
    <cellStyle name="Percentuale 44 4 2" xfId="3203" xr:uid="{00000000-0005-0000-0000-0000250F0000}"/>
    <cellStyle name="Percentuale 44 4 2 2" xfId="3204" xr:uid="{00000000-0005-0000-0000-0000260F0000}"/>
    <cellStyle name="Percentuale 44 4 3" xfId="3205" xr:uid="{00000000-0005-0000-0000-0000270F0000}"/>
    <cellStyle name="Percentuale 44 5" xfId="1622" xr:uid="{00000000-0005-0000-0000-0000280F0000}"/>
    <cellStyle name="Percentuale 45" xfId="1623" xr:uid="{00000000-0005-0000-0000-0000290F0000}"/>
    <cellStyle name="Percentuale 45 2" xfId="1624" xr:uid="{00000000-0005-0000-0000-00002A0F0000}"/>
    <cellStyle name="Percentuale 45 2 2" xfId="3206" xr:uid="{00000000-0005-0000-0000-00002B0F0000}"/>
    <cellStyle name="Percentuale 45 3" xfId="1625" xr:uid="{00000000-0005-0000-0000-00002C0F0000}"/>
    <cellStyle name="Percentuale 45 3 2" xfId="1626" xr:uid="{00000000-0005-0000-0000-00002D0F0000}"/>
    <cellStyle name="Percentuale 45 3 2 2" xfId="4218" xr:uid="{00000000-0005-0000-0000-00002E0F0000}"/>
    <cellStyle name="Percentuale 45 3 2 3" xfId="4219" xr:uid="{00000000-0005-0000-0000-00002F0F0000}"/>
    <cellStyle name="Percentuale 45 3 3" xfId="1627" xr:uid="{00000000-0005-0000-0000-0000300F0000}"/>
    <cellStyle name="Percentuale 45 3 3 2" xfId="3207" xr:uid="{00000000-0005-0000-0000-0000310F0000}"/>
    <cellStyle name="Percentuale 45 3 4" xfId="3208" xr:uid="{00000000-0005-0000-0000-0000320F0000}"/>
    <cellStyle name="Percentuale 45 4" xfId="1628" xr:uid="{00000000-0005-0000-0000-0000330F0000}"/>
    <cellStyle name="Percentuale 45 4 2" xfId="3209" xr:uid="{00000000-0005-0000-0000-0000340F0000}"/>
    <cellStyle name="Percentuale 45 4 2 2" xfId="3210" xr:uid="{00000000-0005-0000-0000-0000350F0000}"/>
    <cellStyle name="Percentuale 45 4 3" xfId="3211" xr:uid="{00000000-0005-0000-0000-0000360F0000}"/>
    <cellStyle name="Percentuale 45 5" xfId="1629" xr:uid="{00000000-0005-0000-0000-0000370F0000}"/>
    <cellStyle name="Percentuale 46" xfId="1630" xr:uid="{00000000-0005-0000-0000-0000380F0000}"/>
    <cellStyle name="Percentuale 46 2" xfId="1631" xr:uid="{00000000-0005-0000-0000-0000390F0000}"/>
    <cellStyle name="Percentuale 46 2 2" xfId="3212" xr:uid="{00000000-0005-0000-0000-00003A0F0000}"/>
    <cellStyle name="Percentuale 46 3" xfId="1632" xr:uid="{00000000-0005-0000-0000-00003B0F0000}"/>
    <cellStyle name="Percentuale 46 3 2" xfId="1633" xr:uid="{00000000-0005-0000-0000-00003C0F0000}"/>
    <cellStyle name="Percentuale 46 3 2 2" xfId="4220" xr:uid="{00000000-0005-0000-0000-00003D0F0000}"/>
    <cellStyle name="Percentuale 46 3 2 3" xfId="4221" xr:uid="{00000000-0005-0000-0000-00003E0F0000}"/>
    <cellStyle name="Percentuale 46 3 3" xfId="1634" xr:uid="{00000000-0005-0000-0000-00003F0F0000}"/>
    <cellStyle name="Percentuale 46 3 3 2" xfId="3213" xr:uid="{00000000-0005-0000-0000-0000400F0000}"/>
    <cellStyle name="Percentuale 46 3 4" xfId="3214" xr:uid="{00000000-0005-0000-0000-0000410F0000}"/>
    <cellStyle name="Percentuale 46 4" xfId="1635" xr:uid="{00000000-0005-0000-0000-0000420F0000}"/>
    <cellStyle name="Percentuale 46 4 2" xfId="3215" xr:uid="{00000000-0005-0000-0000-0000430F0000}"/>
    <cellStyle name="Percentuale 46 4 2 2" xfId="3216" xr:uid="{00000000-0005-0000-0000-0000440F0000}"/>
    <cellStyle name="Percentuale 46 4 3" xfId="3217" xr:uid="{00000000-0005-0000-0000-0000450F0000}"/>
    <cellStyle name="Percentuale 46 5" xfId="1636" xr:uid="{00000000-0005-0000-0000-0000460F0000}"/>
    <cellStyle name="Percentuale 47" xfId="1637" xr:uid="{00000000-0005-0000-0000-0000470F0000}"/>
    <cellStyle name="Percentuale 47 2" xfId="1638" xr:uid="{00000000-0005-0000-0000-0000480F0000}"/>
    <cellStyle name="Percentuale 47 2 2" xfId="3218" xr:uid="{00000000-0005-0000-0000-0000490F0000}"/>
    <cellStyle name="Percentuale 47 3" xfId="1639" xr:uid="{00000000-0005-0000-0000-00004A0F0000}"/>
    <cellStyle name="Percentuale 47 3 2" xfId="1640" xr:uid="{00000000-0005-0000-0000-00004B0F0000}"/>
    <cellStyle name="Percentuale 47 3 2 2" xfId="4222" xr:uid="{00000000-0005-0000-0000-00004C0F0000}"/>
    <cellStyle name="Percentuale 47 3 2 3" xfId="4223" xr:uid="{00000000-0005-0000-0000-00004D0F0000}"/>
    <cellStyle name="Percentuale 47 3 3" xfId="1641" xr:uid="{00000000-0005-0000-0000-00004E0F0000}"/>
    <cellStyle name="Percentuale 47 3 3 2" xfId="3219" xr:uid="{00000000-0005-0000-0000-00004F0F0000}"/>
    <cellStyle name="Percentuale 47 3 4" xfId="3220" xr:uid="{00000000-0005-0000-0000-0000500F0000}"/>
    <cellStyle name="Percentuale 47 4" xfId="1642" xr:uid="{00000000-0005-0000-0000-0000510F0000}"/>
    <cellStyle name="Percentuale 47 4 2" xfId="3221" xr:uid="{00000000-0005-0000-0000-0000520F0000}"/>
    <cellStyle name="Percentuale 47 4 2 2" xfId="3222" xr:uid="{00000000-0005-0000-0000-0000530F0000}"/>
    <cellStyle name="Percentuale 47 4 3" xfId="3223" xr:uid="{00000000-0005-0000-0000-0000540F0000}"/>
    <cellStyle name="Percentuale 47 5" xfId="1643" xr:uid="{00000000-0005-0000-0000-0000550F0000}"/>
    <cellStyle name="Percentuale 48" xfId="1644" xr:uid="{00000000-0005-0000-0000-0000560F0000}"/>
    <cellStyle name="Percentuale 48 2" xfId="1645" xr:uid="{00000000-0005-0000-0000-0000570F0000}"/>
    <cellStyle name="Percentuale 48 2 2" xfId="3224" xr:uid="{00000000-0005-0000-0000-0000580F0000}"/>
    <cellStyle name="Percentuale 48 3" xfId="1646" xr:uid="{00000000-0005-0000-0000-0000590F0000}"/>
    <cellStyle name="Percentuale 48 3 2" xfId="1647" xr:uid="{00000000-0005-0000-0000-00005A0F0000}"/>
    <cellStyle name="Percentuale 48 3 2 2" xfId="4224" xr:uid="{00000000-0005-0000-0000-00005B0F0000}"/>
    <cellStyle name="Percentuale 48 3 2 3" xfId="4225" xr:uid="{00000000-0005-0000-0000-00005C0F0000}"/>
    <cellStyle name="Percentuale 48 3 3" xfId="1648" xr:uid="{00000000-0005-0000-0000-00005D0F0000}"/>
    <cellStyle name="Percentuale 48 3 3 2" xfId="3225" xr:uid="{00000000-0005-0000-0000-00005E0F0000}"/>
    <cellStyle name="Percentuale 48 3 4" xfId="3226" xr:uid="{00000000-0005-0000-0000-00005F0F0000}"/>
    <cellStyle name="Percentuale 48 4" xfId="1649" xr:uid="{00000000-0005-0000-0000-0000600F0000}"/>
    <cellStyle name="Percentuale 48 4 2" xfId="3227" xr:uid="{00000000-0005-0000-0000-0000610F0000}"/>
    <cellStyle name="Percentuale 48 4 2 2" xfId="3228" xr:uid="{00000000-0005-0000-0000-0000620F0000}"/>
    <cellStyle name="Percentuale 48 4 3" xfId="3229" xr:uid="{00000000-0005-0000-0000-0000630F0000}"/>
    <cellStyle name="Percentuale 48 5" xfId="1650" xr:uid="{00000000-0005-0000-0000-0000640F0000}"/>
    <cellStyle name="Percentuale 49" xfId="1651" xr:uid="{00000000-0005-0000-0000-0000650F0000}"/>
    <cellStyle name="Percentuale 49 2" xfId="1652" xr:uid="{00000000-0005-0000-0000-0000660F0000}"/>
    <cellStyle name="Percentuale 49 2 2" xfId="3230" xr:uid="{00000000-0005-0000-0000-0000670F0000}"/>
    <cellStyle name="Percentuale 49 3" xfId="1653" xr:uid="{00000000-0005-0000-0000-0000680F0000}"/>
    <cellStyle name="Percentuale 49 3 2" xfId="1654" xr:uid="{00000000-0005-0000-0000-0000690F0000}"/>
    <cellStyle name="Percentuale 49 3 2 2" xfId="4226" xr:uid="{00000000-0005-0000-0000-00006A0F0000}"/>
    <cellStyle name="Percentuale 49 3 2 3" xfId="4227" xr:uid="{00000000-0005-0000-0000-00006B0F0000}"/>
    <cellStyle name="Percentuale 49 3 3" xfId="1655" xr:uid="{00000000-0005-0000-0000-00006C0F0000}"/>
    <cellStyle name="Percentuale 49 3 3 2" xfId="3231" xr:uid="{00000000-0005-0000-0000-00006D0F0000}"/>
    <cellStyle name="Percentuale 49 3 4" xfId="3232" xr:uid="{00000000-0005-0000-0000-00006E0F0000}"/>
    <cellStyle name="Percentuale 49 4" xfId="1656" xr:uid="{00000000-0005-0000-0000-00006F0F0000}"/>
    <cellStyle name="Percentuale 49 4 2" xfId="3233" xr:uid="{00000000-0005-0000-0000-0000700F0000}"/>
    <cellStyle name="Percentuale 49 4 2 2" xfId="3234" xr:uid="{00000000-0005-0000-0000-0000710F0000}"/>
    <cellStyle name="Percentuale 49 4 3" xfId="3235" xr:uid="{00000000-0005-0000-0000-0000720F0000}"/>
    <cellStyle name="Percentuale 49 5" xfId="1657" xr:uid="{00000000-0005-0000-0000-0000730F0000}"/>
    <cellStyle name="Percentuale 5" xfId="1658" xr:uid="{00000000-0005-0000-0000-0000740F0000}"/>
    <cellStyle name="Percentuale 5 2" xfId="1659" xr:uid="{00000000-0005-0000-0000-0000750F0000}"/>
    <cellStyle name="Percentuale 5 2 2" xfId="3236" xr:uid="{00000000-0005-0000-0000-0000760F0000}"/>
    <cellStyle name="Percentuale 5 3" xfId="1660" xr:uid="{00000000-0005-0000-0000-0000770F0000}"/>
    <cellStyle name="Percentuale 5 3 2" xfId="1661" xr:uid="{00000000-0005-0000-0000-0000780F0000}"/>
    <cellStyle name="Percentuale 5 3 2 2" xfId="4228" xr:uid="{00000000-0005-0000-0000-0000790F0000}"/>
    <cellStyle name="Percentuale 5 3 2 3" xfId="4229" xr:uid="{00000000-0005-0000-0000-00007A0F0000}"/>
    <cellStyle name="Percentuale 5 3 3" xfId="1662" xr:uid="{00000000-0005-0000-0000-00007B0F0000}"/>
    <cellStyle name="Percentuale 5 3 3 2" xfId="3237" xr:uid="{00000000-0005-0000-0000-00007C0F0000}"/>
    <cellStyle name="Percentuale 5 3 4" xfId="3238" xr:uid="{00000000-0005-0000-0000-00007D0F0000}"/>
    <cellStyle name="Percentuale 5 4" xfId="1663" xr:uid="{00000000-0005-0000-0000-00007E0F0000}"/>
    <cellStyle name="Percentuale 5 4 2" xfId="3239" xr:uid="{00000000-0005-0000-0000-00007F0F0000}"/>
    <cellStyle name="Percentuale 5 4 2 2" xfId="3240" xr:uid="{00000000-0005-0000-0000-0000800F0000}"/>
    <cellStyle name="Percentuale 5 4 3" xfId="3241" xr:uid="{00000000-0005-0000-0000-0000810F0000}"/>
    <cellStyle name="Percentuale 5 5" xfId="1664" xr:uid="{00000000-0005-0000-0000-0000820F0000}"/>
    <cellStyle name="Percentuale 50" xfId="1665" xr:uid="{00000000-0005-0000-0000-0000830F0000}"/>
    <cellStyle name="Percentuale 50 2" xfId="1666" xr:uid="{00000000-0005-0000-0000-0000840F0000}"/>
    <cellStyle name="Percentuale 50 2 2" xfId="3242" xr:uid="{00000000-0005-0000-0000-0000850F0000}"/>
    <cellStyle name="Percentuale 50 3" xfId="1667" xr:uid="{00000000-0005-0000-0000-0000860F0000}"/>
    <cellStyle name="Percentuale 50 3 2" xfId="1668" xr:uid="{00000000-0005-0000-0000-0000870F0000}"/>
    <cellStyle name="Percentuale 50 3 2 2" xfId="4230" xr:uid="{00000000-0005-0000-0000-0000880F0000}"/>
    <cellStyle name="Percentuale 50 3 2 3" xfId="4231" xr:uid="{00000000-0005-0000-0000-0000890F0000}"/>
    <cellStyle name="Percentuale 50 3 3" xfId="1669" xr:uid="{00000000-0005-0000-0000-00008A0F0000}"/>
    <cellStyle name="Percentuale 50 3 3 2" xfId="3243" xr:uid="{00000000-0005-0000-0000-00008B0F0000}"/>
    <cellStyle name="Percentuale 50 3 4" xfId="3244" xr:uid="{00000000-0005-0000-0000-00008C0F0000}"/>
    <cellStyle name="Percentuale 50 4" xfId="1670" xr:uid="{00000000-0005-0000-0000-00008D0F0000}"/>
    <cellStyle name="Percentuale 50 4 2" xfId="3245" xr:uid="{00000000-0005-0000-0000-00008E0F0000}"/>
    <cellStyle name="Percentuale 50 4 2 2" xfId="3246" xr:uid="{00000000-0005-0000-0000-00008F0F0000}"/>
    <cellStyle name="Percentuale 50 4 3" xfId="3247" xr:uid="{00000000-0005-0000-0000-0000900F0000}"/>
    <cellStyle name="Percentuale 50 5" xfId="1671" xr:uid="{00000000-0005-0000-0000-0000910F0000}"/>
    <cellStyle name="Percentuale 51" xfId="1672" xr:uid="{00000000-0005-0000-0000-0000920F0000}"/>
    <cellStyle name="Percentuale 51 2" xfId="1673" xr:uid="{00000000-0005-0000-0000-0000930F0000}"/>
    <cellStyle name="Percentuale 51 2 2" xfId="3248" xr:uid="{00000000-0005-0000-0000-0000940F0000}"/>
    <cellStyle name="Percentuale 51 3" xfId="1674" xr:uid="{00000000-0005-0000-0000-0000950F0000}"/>
    <cellStyle name="Percentuale 51 3 2" xfId="1675" xr:uid="{00000000-0005-0000-0000-0000960F0000}"/>
    <cellStyle name="Percentuale 51 3 2 2" xfId="4232" xr:uid="{00000000-0005-0000-0000-0000970F0000}"/>
    <cellStyle name="Percentuale 51 3 2 3" xfId="4233" xr:uid="{00000000-0005-0000-0000-0000980F0000}"/>
    <cellStyle name="Percentuale 51 3 3" xfId="1676" xr:uid="{00000000-0005-0000-0000-0000990F0000}"/>
    <cellStyle name="Percentuale 51 3 3 2" xfId="3249" xr:uid="{00000000-0005-0000-0000-00009A0F0000}"/>
    <cellStyle name="Percentuale 51 3 4" xfId="3250" xr:uid="{00000000-0005-0000-0000-00009B0F0000}"/>
    <cellStyle name="Percentuale 51 4" xfId="1677" xr:uid="{00000000-0005-0000-0000-00009C0F0000}"/>
    <cellStyle name="Percentuale 51 4 2" xfId="3251" xr:uid="{00000000-0005-0000-0000-00009D0F0000}"/>
    <cellStyle name="Percentuale 51 4 2 2" xfId="3252" xr:uid="{00000000-0005-0000-0000-00009E0F0000}"/>
    <cellStyle name="Percentuale 51 4 3" xfId="3253" xr:uid="{00000000-0005-0000-0000-00009F0F0000}"/>
    <cellStyle name="Percentuale 51 5" xfId="1678" xr:uid="{00000000-0005-0000-0000-0000A00F0000}"/>
    <cellStyle name="Percentuale 52" xfId="1679" xr:uid="{00000000-0005-0000-0000-0000A10F0000}"/>
    <cellStyle name="Percentuale 52 2" xfId="1680" xr:uid="{00000000-0005-0000-0000-0000A20F0000}"/>
    <cellStyle name="Percentuale 52 2 2" xfId="3254" xr:uid="{00000000-0005-0000-0000-0000A30F0000}"/>
    <cellStyle name="Percentuale 52 3" xfId="1681" xr:uid="{00000000-0005-0000-0000-0000A40F0000}"/>
    <cellStyle name="Percentuale 52 3 2" xfId="1682" xr:uid="{00000000-0005-0000-0000-0000A50F0000}"/>
    <cellStyle name="Percentuale 52 3 2 2" xfId="4234" xr:uid="{00000000-0005-0000-0000-0000A60F0000}"/>
    <cellStyle name="Percentuale 52 3 2 3" xfId="4235" xr:uid="{00000000-0005-0000-0000-0000A70F0000}"/>
    <cellStyle name="Percentuale 52 3 3" xfId="1683" xr:uid="{00000000-0005-0000-0000-0000A80F0000}"/>
    <cellStyle name="Percentuale 52 3 3 2" xfId="3255" xr:uid="{00000000-0005-0000-0000-0000A90F0000}"/>
    <cellStyle name="Percentuale 52 3 4" xfId="3256" xr:uid="{00000000-0005-0000-0000-0000AA0F0000}"/>
    <cellStyle name="Percentuale 52 4" xfId="1684" xr:uid="{00000000-0005-0000-0000-0000AB0F0000}"/>
    <cellStyle name="Percentuale 52 4 2" xfId="3257" xr:uid="{00000000-0005-0000-0000-0000AC0F0000}"/>
    <cellStyle name="Percentuale 52 4 2 2" xfId="3258" xr:uid="{00000000-0005-0000-0000-0000AD0F0000}"/>
    <cellStyle name="Percentuale 52 4 3" xfId="3259" xr:uid="{00000000-0005-0000-0000-0000AE0F0000}"/>
    <cellStyle name="Percentuale 52 5" xfId="1685" xr:uid="{00000000-0005-0000-0000-0000AF0F0000}"/>
    <cellStyle name="Percentuale 53" xfId="1686" xr:uid="{00000000-0005-0000-0000-0000B00F0000}"/>
    <cellStyle name="Percentuale 53 2" xfId="1687" xr:uid="{00000000-0005-0000-0000-0000B10F0000}"/>
    <cellStyle name="Percentuale 53 2 2" xfId="3260" xr:uid="{00000000-0005-0000-0000-0000B20F0000}"/>
    <cellStyle name="Percentuale 53 3" xfId="1688" xr:uid="{00000000-0005-0000-0000-0000B30F0000}"/>
    <cellStyle name="Percentuale 53 3 2" xfId="1689" xr:uid="{00000000-0005-0000-0000-0000B40F0000}"/>
    <cellStyle name="Percentuale 53 3 2 2" xfId="4236" xr:uid="{00000000-0005-0000-0000-0000B50F0000}"/>
    <cellStyle name="Percentuale 53 3 2 3" xfId="4237" xr:uid="{00000000-0005-0000-0000-0000B60F0000}"/>
    <cellStyle name="Percentuale 53 3 3" xfId="1690" xr:uid="{00000000-0005-0000-0000-0000B70F0000}"/>
    <cellStyle name="Percentuale 53 3 3 2" xfId="3261" xr:uid="{00000000-0005-0000-0000-0000B80F0000}"/>
    <cellStyle name="Percentuale 53 3 4" xfId="3262" xr:uid="{00000000-0005-0000-0000-0000B90F0000}"/>
    <cellStyle name="Percentuale 53 4" xfId="1691" xr:uid="{00000000-0005-0000-0000-0000BA0F0000}"/>
    <cellStyle name="Percentuale 53 4 2" xfId="3263" xr:uid="{00000000-0005-0000-0000-0000BB0F0000}"/>
    <cellStyle name="Percentuale 53 4 2 2" xfId="3264" xr:uid="{00000000-0005-0000-0000-0000BC0F0000}"/>
    <cellStyle name="Percentuale 53 4 3" xfId="3265" xr:uid="{00000000-0005-0000-0000-0000BD0F0000}"/>
    <cellStyle name="Percentuale 53 5" xfId="1692" xr:uid="{00000000-0005-0000-0000-0000BE0F0000}"/>
    <cellStyle name="Percentuale 54" xfId="1693" xr:uid="{00000000-0005-0000-0000-0000BF0F0000}"/>
    <cellStyle name="Percentuale 54 2" xfId="1694" xr:uid="{00000000-0005-0000-0000-0000C00F0000}"/>
    <cellStyle name="Percentuale 54 2 2" xfId="3266" xr:uid="{00000000-0005-0000-0000-0000C10F0000}"/>
    <cellStyle name="Percentuale 54 3" xfId="1695" xr:uid="{00000000-0005-0000-0000-0000C20F0000}"/>
    <cellStyle name="Percentuale 54 3 2" xfId="1696" xr:uid="{00000000-0005-0000-0000-0000C30F0000}"/>
    <cellStyle name="Percentuale 54 3 2 2" xfId="4238" xr:uid="{00000000-0005-0000-0000-0000C40F0000}"/>
    <cellStyle name="Percentuale 54 3 2 3" xfId="4239" xr:uid="{00000000-0005-0000-0000-0000C50F0000}"/>
    <cellStyle name="Percentuale 54 3 3" xfId="1697" xr:uid="{00000000-0005-0000-0000-0000C60F0000}"/>
    <cellStyle name="Percentuale 54 3 3 2" xfId="3267" xr:uid="{00000000-0005-0000-0000-0000C70F0000}"/>
    <cellStyle name="Percentuale 54 3 4" xfId="3268" xr:uid="{00000000-0005-0000-0000-0000C80F0000}"/>
    <cellStyle name="Percentuale 54 4" xfId="1698" xr:uid="{00000000-0005-0000-0000-0000C90F0000}"/>
    <cellStyle name="Percentuale 54 4 2" xfId="3269" xr:uid="{00000000-0005-0000-0000-0000CA0F0000}"/>
    <cellStyle name="Percentuale 54 4 2 2" xfId="3270" xr:uid="{00000000-0005-0000-0000-0000CB0F0000}"/>
    <cellStyle name="Percentuale 54 4 3" xfId="3271" xr:uid="{00000000-0005-0000-0000-0000CC0F0000}"/>
    <cellStyle name="Percentuale 54 5" xfId="1699" xr:uid="{00000000-0005-0000-0000-0000CD0F0000}"/>
    <cellStyle name="Percentuale 55" xfId="1700" xr:uid="{00000000-0005-0000-0000-0000CE0F0000}"/>
    <cellStyle name="Percentuale 55 2" xfId="1701" xr:uid="{00000000-0005-0000-0000-0000CF0F0000}"/>
    <cellStyle name="Percentuale 55 2 2" xfId="3272" xr:uid="{00000000-0005-0000-0000-0000D00F0000}"/>
    <cellStyle name="Percentuale 55 3" xfId="1702" xr:uid="{00000000-0005-0000-0000-0000D10F0000}"/>
    <cellStyle name="Percentuale 55 3 2" xfId="1703" xr:uid="{00000000-0005-0000-0000-0000D20F0000}"/>
    <cellStyle name="Percentuale 55 3 2 2" xfId="4240" xr:uid="{00000000-0005-0000-0000-0000D30F0000}"/>
    <cellStyle name="Percentuale 55 3 2 3" xfId="4241" xr:uid="{00000000-0005-0000-0000-0000D40F0000}"/>
    <cellStyle name="Percentuale 55 3 3" xfId="1704" xr:uid="{00000000-0005-0000-0000-0000D50F0000}"/>
    <cellStyle name="Percentuale 55 3 3 2" xfId="3273" xr:uid="{00000000-0005-0000-0000-0000D60F0000}"/>
    <cellStyle name="Percentuale 55 3 4" xfId="3274" xr:uid="{00000000-0005-0000-0000-0000D70F0000}"/>
    <cellStyle name="Percentuale 55 4" xfId="1705" xr:uid="{00000000-0005-0000-0000-0000D80F0000}"/>
    <cellStyle name="Percentuale 55 4 2" xfId="3275" xr:uid="{00000000-0005-0000-0000-0000D90F0000}"/>
    <cellStyle name="Percentuale 55 4 2 2" xfId="3276" xr:uid="{00000000-0005-0000-0000-0000DA0F0000}"/>
    <cellStyle name="Percentuale 55 4 3" xfId="3277" xr:uid="{00000000-0005-0000-0000-0000DB0F0000}"/>
    <cellStyle name="Percentuale 55 5" xfId="1706" xr:uid="{00000000-0005-0000-0000-0000DC0F0000}"/>
    <cellStyle name="Percentuale 56" xfId="1707" xr:uid="{00000000-0005-0000-0000-0000DD0F0000}"/>
    <cellStyle name="Percentuale 56 2" xfId="1708" xr:uid="{00000000-0005-0000-0000-0000DE0F0000}"/>
    <cellStyle name="Percentuale 56 2 2" xfId="3278" xr:uid="{00000000-0005-0000-0000-0000DF0F0000}"/>
    <cellStyle name="Percentuale 56 3" xfId="1709" xr:uid="{00000000-0005-0000-0000-0000E00F0000}"/>
    <cellStyle name="Percentuale 56 3 2" xfId="1710" xr:uid="{00000000-0005-0000-0000-0000E10F0000}"/>
    <cellStyle name="Percentuale 56 3 2 2" xfId="4242" xr:uid="{00000000-0005-0000-0000-0000E20F0000}"/>
    <cellStyle name="Percentuale 56 3 2 3" xfId="4243" xr:uid="{00000000-0005-0000-0000-0000E30F0000}"/>
    <cellStyle name="Percentuale 56 3 3" xfId="1711" xr:uid="{00000000-0005-0000-0000-0000E40F0000}"/>
    <cellStyle name="Percentuale 56 3 3 2" xfId="3279" xr:uid="{00000000-0005-0000-0000-0000E50F0000}"/>
    <cellStyle name="Percentuale 56 3 4" xfId="3280" xr:uid="{00000000-0005-0000-0000-0000E60F0000}"/>
    <cellStyle name="Percentuale 56 4" xfId="1712" xr:uid="{00000000-0005-0000-0000-0000E70F0000}"/>
    <cellStyle name="Percentuale 56 4 2" xfId="3281" xr:uid="{00000000-0005-0000-0000-0000E80F0000}"/>
    <cellStyle name="Percentuale 56 4 2 2" xfId="3282" xr:uid="{00000000-0005-0000-0000-0000E90F0000}"/>
    <cellStyle name="Percentuale 56 4 3" xfId="3283" xr:uid="{00000000-0005-0000-0000-0000EA0F0000}"/>
    <cellStyle name="Percentuale 56 5" xfId="1713" xr:uid="{00000000-0005-0000-0000-0000EB0F0000}"/>
    <cellStyle name="Percentuale 57" xfId="1714" xr:uid="{00000000-0005-0000-0000-0000EC0F0000}"/>
    <cellStyle name="Percentuale 57 2" xfId="1715" xr:uid="{00000000-0005-0000-0000-0000ED0F0000}"/>
    <cellStyle name="Percentuale 57 2 2" xfId="3284" xr:uid="{00000000-0005-0000-0000-0000EE0F0000}"/>
    <cellStyle name="Percentuale 57 3" xfId="1716" xr:uid="{00000000-0005-0000-0000-0000EF0F0000}"/>
    <cellStyle name="Percentuale 57 3 2" xfId="1717" xr:uid="{00000000-0005-0000-0000-0000F00F0000}"/>
    <cellStyle name="Percentuale 57 3 2 2" xfId="4244" xr:uid="{00000000-0005-0000-0000-0000F10F0000}"/>
    <cellStyle name="Percentuale 57 3 2 3" xfId="4245" xr:uid="{00000000-0005-0000-0000-0000F20F0000}"/>
    <cellStyle name="Percentuale 57 3 3" xfId="1718" xr:uid="{00000000-0005-0000-0000-0000F30F0000}"/>
    <cellStyle name="Percentuale 57 3 3 2" xfId="3285" xr:uid="{00000000-0005-0000-0000-0000F40F0000}"/>
    <cellStyle name="Percentuale 57 3 4" xfId="3286" xr:uid="{00000000-0005-0000-0000-0000F50F0000}"/>
    <cellStyle name="Percentuale 57 4" xfId="1719" xr:uid="{00000000-0005-0000-0000-0000F60F0000}"/>
    <cellStyle name="Percentuale 57 4 2" xfId="3287" xr:uid="{00000000-0005-0000-0000-0000F70F0000}"/>
    <cellStyle name="Percentuale 57 4 2 2" xfId="3288" xr:uid="{00000000-0005-0000-0000-0000F80F0000}"/>
    <cellStyle name="Percentuale 57 4 3" xfId="3289" xr:uid="{00000000-0005-0000-0000-0000F90F0000}"/>
    <cellStyle name="Percentuale 57 5" xfId="1720" xr:uid="{00000000-0005-0000-0000-0000FA0F0000}"/>
    <cellStyle name="Percentuale 58" xfId="1721" xr:uid="{00000000-0005-0000-0000-0000FB0F0000}"/>
    <cellStyle name="Percentuale 58 2" xfId="1722" xr:uid="{00000000-0005-0000-0000-0000FC0F0000}"/>
    <cellStyle name="Percentuale 58 2 2" xfId="3290" xr:uid="{00000000-0005-0000-0000-0000FD0F0000}"/>
    <cellStyle name="Percentuale 58 3" xfId="1723" xr:uid="{00000000-0005-0000-0000-0000FE0F0000}"/>
    <cellStyle name="Percentuale 58 3 2" xfId="1724" xr:uid="{00000000-0005-0000-0000-0000FF0F0000}"/>
    <cellStyle name="Percentuale 58 3 2 2" xfId="4246" xr:uid="{00000000-0005-0000-0000-000000100000}"/>
    <cellStyle name="Percentuale 58 3 2 3" xfId="4247" xr:uid="{00000000-0005-0000-0000-000001100000}"/>
    <cellStyle name="Percentuale 58 3 3" xfId="1725" xr:uid="{00000000-0005-0000-0000-000002100000}"/>
    <cellStyle name="Percentuale 58 3 3 2" xfId="3291" xr:uid="{00000000-0005-0000-0000-000003100000}"/>
    <cellStyle name="Percentuale 58 3 4" xfId="3292" xr:uid="{00000000-0005-0000-0000-000004100000}"/>
    <cellStyle name="Percentuale 58 4" xfId="1726" xr:uid="{00000000-0005-0000-0000-000005100000}"/>
    <cellStyle name="Percentuale 58 4 2" xfId="3293" xr:uid="{00000000-0005-0000-0000-000006100000}"/>
    <cellStyle name="Percentuale 58 4 2 2" xfId="3294" xr:uid="{00000000-0005-0000-0000-000007100000}"/>
    <cellStyle name="Percentuale 58 4 3" xfId="3295" xr:uid="{00000000-0005-0000-0000-000008100000}"/>
    <cellStyle name="Percentuale 58 5" xfId="1727" xr:uid="{00000000-0005-0000-0000-000009100000}"/>
    <cellStyle name="Percentuale 59" xfId="1728" xr:uid="{00000000-0005-0000-0000-00000A100000}"/>
    <cellStyle name="Percentuale 59 2" xfId="1729" xr:uid="{00000000-0005-0000-0000-00000B100000}"/>
    <cellStyle name="Percentuale 59 2 2" xfId="3296" xr:uid="{00000000-0005-0000-0000-00000C100000}"/>
    <cellStyle name="Percentuale 59 3" xfId="1730" xr:uid="{00000000-0005-0000-0000-00000D100000}"/>
    <cellStyle name="Percentuale 59 3 2" xfId="1731" xr:uid="{00000000-0005-0000-0000-00000E100000}"/>
    <cellStyle name="Percentuale 59 3 2 2" xfId="4248" xr:uid="{00000000-0005-0000-0000-00000F100000}"/>
    <cellStyle name="Percentuale 59 3 2 3" xfId="4249" xr:uid="{00000000-0005-0000-0000-000010100000}"/>
    <cellStyle name="Percentuale 59 3 3" xfId="1732" xr:uid="{00000000-0005-0000-0000-000011100000}"/>
    <cellStyle name="Percentuale 59 3 3 2" xfId="3297" xr:uid="{00000000-0005-0000-0000-000012100000}"/>
    <cellStyle name="Percentuale 59 3 4" xfId="3298" xr:uid="{00000000-0005-0000-0000-000013100000}"/>
    <cellStyle name="Percentuale 59 4" xfId="1733" xr:uid="{00000000-0005-0000-0000-000014100000}"/>
    <cellStyle name="Percentuale 59 4 2" xfId="3299" xr:uid="{00000000-0005-0000-0000-000015100000}"/>
    <cellStyle name="Percentuale 59 4 2 2" xfId="3300" xr:uid="{00000000-0005-0000-0000-000016100000}"/>
    <cellStyle name="Percentuale 59 4 3" xfId="3301" xr:uid="{00000000-0005-0000-0000-000017100000}"/>
    <cellStyle name="Percentuale 59 5" xfId="1734" xr:uid="{00000000-0005-0000-0000-000018100000}"/>
    <cellStyle name="Percentuale 6" xfId="1735" xr:uid="{00000000-0005-0000-0000-000019100000}"/>
    <cellStyle name="Percentuale 6 2" xfId="1736" xr:uid="{00000000-0005-0000-0000-00001A100000}"/>
    <cellStyle name="Percentuale 6 2 2" xfId="3302" xr:uid="{00000000-0005-0000-0000-00001B100000}"/>
    <cellStyle name="Percentuale 6 3" xfId="1737" xr:uid="{00000000-0005-0000-0000-00001C100000}"/>
    <cellStyle name="Percentuale 6 3 2" xfId="1738" xr:uid="{00000000-0005-0000-0000-00001D100000}"/>
    <cellStyle name="Percentuale 6 3 2 2" xfId="4250" xr:uid="{00000000-0005-0000-0000-00001E100000}"/>
    <cellStyle name="Percentuale 6 3 2 3" xfId="4251" xr:uid="{00000000-0005-0000-0000-00001F100000}"/>
    <cellStyle name="Percentuale 6 3 3" xfId="1739" xr:uid="{00000000-0005-0000-0000-000020100000}"/>
    <cellStyle name="Percentuale 6 3 3 2" xfId="3303" xr:uid="{00000000-0005-0000-0000-000021100000}"/>
    <cellStyle name="Percentuale 6 3 4" xfId="3304" xr:uid="{00000000-0005-0000-0000-000022100000}"/>
    <cellStyle name="Percentuale 6 4" xfId="1740" xr:uid="{00000000-0005-0000-0000-000023100000}"/>
    <cellStyle name="Percentuale 6 4 2" xfId="3305" xr:uid="{00000000-0005-0000-0000-000024100000}"/>
    <cellStyle name="Percentuale 6 4 2 2" xfId="3306" xr:uid="{00000000-0005-0000-0000-000025100000}"/>
    <cellStyle name="Percentuale 6 4 3" xfId="3307" xr:uid="{00000000-0005-0000-0000-000026100000}"/>
    <cellStyle name="Percentuale 6 5" xfId="1741" xr:uid="{00000000-0005-0000-0000-000027100000}"/>
    <cellStyle name="Percentuale 60" xfId="1742" xr:uid="{00000000-0005-0000-0000-000028100000}"/>
    <cellStyle name="Percentuale 60 2" xfId="1743" xr:uid="{00000000-0005-0000-0000-000029100000}"/>
    <cellStyle name="Percentuale 60 2 2" xfId="3308" xr:uid="{00000000-0005-0000-0000-00002A100000}"/>
    <cellStyle name="Percentuale 60 3" xfId="1744" xr:uid="{00000000-0005-0000-0000-00002B100000}"/>
    <cellStyle name="Percentuale 60 3 2" xfId="1745" xr:uid="{00000000-0005-0000-0000-00002C100000}"/>
    <cellStyle name="Percentuale 60 3 2 2" xfId="4252" xr:uid="{00000000-0005-0000-0000-00002D100000}"/>
    <cellStyle name="Percentuale 60 3 2 3" xfId="4253" xr:uid="{00000000-0005-0000-0000-00002E100000}"/>
    <cellStyle name="Percentuale 60 3 3" xfId="1746" xr:uid="{00000000-0005-0000-0000-00002F100000}"/>
    <cellStyle name="Percentuale 60 3 3 2" xfId="3309" xr:uid="{00000000-0005-0000-0000-000030100000}"/>
    <cellStyle name="Percentuale 60 3 4" xfId="3310" xr:uid="{00000000-0005-0000-0000-000031100000}"/>
    <cellStyle name="Percentuale 60 4" xfId="1747" xr:uid="{00000000-0005-0000-0000-000032100000}"/>
    <cellStyle name="Percentuale 60 4 2" xfId="3311" xr:uid="{00000000-0005-0000-0000-000033100000}"/>
    <cellStyle name="Percentuale 60 4 2 2" xfId="3312" xr:uid="{00000000-0005-0000-0000-000034100000}"/>
    <cellStyle name="Percentuale 60 4 3" xfId="3313" xr:uid="{00000000-0005-0000-0000-000035100000}"/>
    <cellStyle name="Percentuale 60 5" xfId="1748" xr:uid="{00000000-0005-0000-0000-000036100000}"/>
    <cellStyle name="Percentuale 61" xfId="1749" xr:uid="{00000000-0005-0000-0000-000037100000}"/>
    <cellStyle name="Percentuale 61 2" xfId="1750" xr:uid="{00000000-0005-0000-0000-000038100000}"/>
    <cellStyle name="Percentuale 61 2 2" xfId="3314" xr:uid="{00000000-0005-0000-0000-000039100000}"/>
    <cellStyle name="Percentuale 61 3" xfId="1751" xr:uid="{00000000-0005-0000-0000-00003A100000}"/>
    <cellStyle name="Percentuale 61 3 2" xfId="1752" xr:uid="{00000000-0005-0000-0000-00003B100000}"/>
    <cellStyle name="Percentuale 61 3 2 2" xfId="4254" xr:uid="{00000000-0005-0000-0000-00003C100000}"/>
    <cellStyle name="Percentuale 61 3 2 3" xfId="4255" xr:uid="{00000000-0005-0000-0000-00003D100000}"/>
    <cellStyle name="Percentuale 61 3 3" xfId="1753" xr:uid="{00000000-0005-0000-0000-00003E100000}"/>
    <cellStyle name="Percentuale 61 3 3 2" xfId="3315" xr:uid="{00000000-0005-0000-0000-00003F100000}"/>
    <cellStyle name="Percentuale 61 3 4" xfId="3316" xr:uid="{00000000-0005-0000-0000-000040100000}"/>
    <cellStyle name="Percentuale 61 4" xfId="1754" xr:uid="{00000000-0005-0000-0000-000041100000}"/>
    <cellStyle name="Percentuale 61 4 2" xfId="3317" xr:uid="{00000000-0005-0000-0000-000042100000}"/>
    <cellStyle name="Percentuale 61 4 2 2" xfId="3318" xr:uid="{00000000-0005-0000-0000-000043100000}"/>
    <cellStyle name="Percentuale 61 4 3" xfId="3319" xr:uid="{00000000-0005-0000-0000-000044100000}"/>
    <cellStyle name="Percentuale 61 5" xfId="1755" xr:uid="{00000000-0005-0000-0000-000045100000}"/>
    <cellStyle name="Percentuale 62" xfId="1756" xr:uid="{00000000-0005-0000-0000-000046100000}"/>
    <cellStyle name="Percentuale 62 2" xfId="3320" xr:uid="{00000000-0005-0000-0000-000047100000}"/>
    <cellStyle name="Percentuale 63" xfId="1757" xr:uid="{00000000-0005-0000-0000-000048100000}"/>
    <cellStyle name="Percentuale 63 2" xfId="3321" xr:uid="{00000000-0005-0000-0000-000049100000}"/>
    <cellStyle name="Percentuale 64" xfId="1758" xr:uid="{00000000-0005-0000-0000-00004A100000}"/>
    <cellStyle name="Percentuale 64 2" xfId="3322" xr:uid="{00000000-0005-0000-0000-00004B100000}"/>
    <cellStyle name="Percentuale 65" xfId="1759" xr:uid="{00000000-0005-0000-0000-00004C100000}"/>
    <cellStyle name="Percentuale 65 2" xfId="3323" xr:uid="{00000000-0005-0000-0000-00004D100000}"/>
    <cellStyle name="Percentuale 66" xfId="1760" xr:uid="{00000000-0005-0000-0000-00004E100000}"/>
    <cellStyle name="Percentuale 66 2" xfId="3324" xr:uid="{00000000-0005-0000-0000-00004F100000}"/>
    <cellStyle name="Percentuale 67" xfId="1761" xr:uid="{00000000-0005-0000-0000-000050100000}"/>
    <cellStyle name="Percentuale 67 2" xfId="3325" xr:uid="{00000000-0005-0000-0000-000051100000}"/>
    <cellStyle name="Percentuale 68" xfId="1762" xr:uid="{00000000-0005-0000-0000-000052100000}"/>
    <cellStyle name="Percentuale 68 2" xfId="1763" xr:uid="{00000000-0005-0000-0000-000053100000}"/>
    <cellStyle name="Percentuale 68 2 2" xfId="3326" xr:uid="{00000000-0005-0000-0000-000054100000}"/>
    <cellStyle name="Percentuale 68 3" xfId="1764" xr:uid="{00000000-0005-0000-0000-000055100000}"/>
    <cellStyle name="Percentuale 68 3 2" xfId="1765" xr:uid="{00000000-0005-0000-0000-000056100000}"/>
    <cellStyle name="Percentuale 68 3 2 2" xfId="4256" xr:uid="{00000000-0005-0000-0000-000057100000}"/>
    <cellStyle name="Percentuale 68 3 2 3" xfId="4257" xr:uid="{00000000-0005-0000-0000-000058100000}"/>
    <cellStyle name="Percentuale 68 3 3" xfId="1766" xr:uid="{00000000-0005-0000-0000-000059100000}"/>
    <cellStyle name="Percentuale 68 3 3 2" xfId="3327" xr:uid="{00000000-0005-0000-0000-00005A100000}"/>
    <cellStyle name="Percentuale 68 3 4" xfId="3328" xr:uid="{00000000-0005-0000-0000-00005B100000}"/>
    <cellStyle name="Percentuale 68 4" xfId="1767" xr:uid="{00000000-0005-0000-0000-00005C100000}"/>
    <cellStyle name="Percentuale 68 4 2" xfId="3329" xr:uid="{00000000-0005-0000-0000-00005D100000}"/>
    <cellStyle name="Percentuale 68 4 2 2" xfId="3330" xr:uid="{00000000-0005-0000-0000-00005E100000}"/>
    <cellStyle name="Percentuale 68 4 3" xfId="3331" xr:uid="{00000000-0005-0000-0000-00005F100000}"/>
    <cellStyle name="Percentuale 68 5" xfId="1768" xr:uid="{00000000-0005-0000-0000-000060100000}"/>
    <cellStyle name="Percentuale 69" xfId="1769" xr:uid="{00000000-0005-0000-0000-000061100000}"/>
    <cellStyle name="Percentuale 69 2" xfId="1770" xr:uid="{00000000-0005-0000-0000-000062100000}"/>
    <cellStyle name="Percentuale 69 2 2" xfId="3332" xr:uid="{00000000-0005-0000-0000-000063100000}"/>
    <cellStyle name="Percentuale 69 3" xfId="1771" xr:uid="{00000000-0005-0000-0000-000064100000}"/>
    <cellStyle name="Percentuale 69 3 2" xfId="1772" xr:uid="{00000000-0005-0000-0000-000065100000}"/>
    <cellStyle name="Percentuale 69 3 2 2" xfId="4258" xr:uid="{00000000-0005-0000-0000-000066100000}"/>
    <cellStyle name="Percentuale 69 3 2 3" xfId="4259" xr:uid="{00000000-0005-0000-0000-000067100000}"/>
    <cellStyle name="Percentuale 69 3 3" xfId="1773" xr:uid="{00000000-0005-0000-0000-000068100000}"/>
    <cellStyle name="Percentuale 69 3 3 2" xfId="3333" xr:uid="{00000000-0005-0000-0000-000069100000}"/>
    <cellStyle name="Percentuale 69 3 4" xfId="3334" xr:uid="{00000000-0005-0000-0000-00006A100000}"/>
    <cellStyle name="Percentuale 69 4" xfId="1774" xr:uid="{00000000-0005-0000-0000-00006B100000}"/>
    <cellStyle name="Percentuale 69 4 2" xfId="3335" xr:uid="{00000000-0005-0000-0000-00006C100000}"/>
    <cellStyle name="Percentuale 69 4 2 2" xfId="3336" xr:uid="{00000000-0005-0000-0000-00006D100000}"/>
    <cellStyle name="Percentuale 69 4 3" xfId="3337" xr:uid="{00000000-0005-0000-0000-00006E100000}"/>
    <cellStyle name="Percentuale 69 5" xfId="1775" xr:uid="{00000000-0005-0000-0000-00006F100000}"/>
    <cellStyle name="Percentuale 7" xfId="1776" xr:uid="{00000000-0005-0000-0000-000070100000}"/>
    <cellStyle name="Percentuale 7 2" xfId="1777" xr:uid="{00000000-0005-0000-0000-000071100000}"/>
    <cellStyle name="Percentuale 7 2 2" xfId="3338" xr:uid="{00000000-0005-0000-0000-000072100000}"/>
    <cellStyle name="Percentuale 7 3" xfId="1778" xr:uid="{00000000-0005-0000-0000-000073100000}"/>
    <cellStyle name="Percentuale 7 3 2" xfId="1779" xr:uid="{00000000-0005-0000-0000-000074100000}"/>
    <cellStyle name="Percentuale 7 3 2 2" xfId="4260" xr:uid="{00000000-0005-0000-0000-000075100000}"/>
    <cellStyle name="Percentuale 7 3 2 3" xfId="4261" xr:uid="{00000000-0005-0000-0000-000076100000}"/>
    <cellStyle name="Percentuale 7 3 3" xfId="1780" xr:uid="{00000000-0005-0000-0000-000077100000}"/>
    <cellStyle name="Percentuale 7 3 3 2" xfId="3339" xr:uid="{00000000-0005-0000-0000-000078100000}"/>
    <cellStyle name="Percentuale 7 3 4" xfId="3340" xr:uid="{00000000-0005-0000-0000-000079100000}"/>
    <cellStyle name="Percentuale 7 4" xfId="1781" xr:uid="{00000000-0005-0000-0000-00007A100000}"/>
    <cellStyle name="Percentuale 7 4 2" xfId="3341" xr:uid="{00000000-0005-0000-0000-00007B100000}"/>
    <cellStyle name="Percentuale 7 4 2 2" xfId="3342" xr:uid="{00000000-0005-0000-0000-00007C100000}"/>
    <cellStyle name="Percentuale 7 4 3" xfId="3343" xr:uid="{00000000-0005-0000-0000-00007D100000}"/>
    <cellStyle name="Percentuale 7 5" xfId="1782" xr:uid="{00000000-0005-0000-0000-00007E100000}"/>
    <cellStyle name="Percentuale 8" xfId="1783" xr:uid="{00000000-0005-0000-0000-00007F100000}"/>
    <cellStyle name="Percentuale 8 2" xfId="1784" xr:uid="{00000000-0005-0000-0000-000080100000}"/>
    <cellStyle name="Percentuale 8 2 2" xfId="3344" xr:uid="{00000000-0005-0000-0000-000081100000}"/>
    <cellStyle name="Percentuale 8 3" xfId="1785" xr:uid="{00000000-0005-0000-0000-000082100000}"/>
    <cellStyle name="Percentuale 8 3 2" xfId="1786" xr:uid="{00000000-0005-0000-0000-000083100000}"/>
    <cellStyle name="Percentuale 8 3 2 2" xfId="4262" xr:uid="{00000000-0005-0000-0000-000084100000}"/>
    <cellStyle name="Percentuale 8 3 2 3" xfId="4263" xr:uid="{00000000-0005-0000-0000-000085100000}"/>
    <cellStyle name="Percentuale 8 3 3" xfId="1787" xr:uid="{00000000-0005-0000-0000-000086100000}"/>
    <cellStyle name="Percentuale 8 3 3 2" xfId="3345" xr:uid="{00000000-0005-0000-0000-000087100000}"/>
    <cellStyle name="Percentuale 8 3 4" xfId="3346" xr:uid="{00000000-0005-0000-0000-000088100000}"/>
    <cellStyle name="Percentuale 8 4" xfId="1788" xr:uid="{00000000-0005-0000-0000-000089100000}"/>
    <cellStyle name="Percentuale 8 4 2" xfId="3347" xr:uid="{00000000-0005-0000-0000-00008A100000}"/>
    <cellStyle name="Percentuale 8 4 2 2" xfId="3348" xr:uid="{00000000-0005-0000-0000-00008B100000}"/>
    <cellStyle name="Percentuale 8 4 3" xfId="3349" xr:uid="{00000000-0005-0000-0000-00008C100000}"/>
    <cellStyle name="Percentuale 8 5" xfId="1789" xr:uid="{00000000-0005-0000-0000-00008D100000}"/>
    <cellStyle name="Percentuale 9" xfId="1790" xr:uid="{00000000-0005-0000-0000-00008E100000}"/>
    <cellStyle name="Percentuale 9 2" xfId="1791" xr:uid="{00000000-0005-0000-0000-00008F100000}"/>
    <cellStyle name="Percentuale 9 2 2" xfId="3350" xr:uid="{00000000-0005-0000-0000-000090100000}"/>
    <cellStyle name="Percentuale 9 3" xfId="1792" xr:uid="{00000000-0005-0000-0000-000091100000}"/>
    <cellStyle name="Percentuale 9 3 2" xfId="1793" xr:uid="{00000000-0005-0000-0000-000092100000}"/>
    <cellStyle name="Percentuale 9 3 2 2" xfId="4264" xr:uid="{00000000-0005-0000-0000-000093100000}"/>
    <cellStyle name="Percentuale 9 3 2 3" xfId="4265" xr:uid="{00000000-0005-0000-0000-000094100000}"/>
    <cellStyle name="Percentuale 9 3 3" xfId="1794" xr:uid="{00000000-0005-0000-0000-000095100000}"/>
    <cellStyle name="Percentuale 9 3 3 2" xfId="3351" xr:uid="{00000000-0005-0000-0000-000096100000}"/>
    <cellStyle name="Percentuale 9 3 4" xfId="3352" xr:uid="{00000000-0005-0000-0000-000097100000}"/>
    <cellStyle name="Percentuale 9 4" xfId="1795" xr:uid="{00000000-0005-0000-0000-000098100000}"/>
    <cellStyle name="Percentuale 9 4 2" xfId="3353" xr:uid="{00000000-0005-0000-0000-000099100000}"/>
    <cellStyle name="Percentuale 9 4 2 2" xfId="3354" xr:uid="{00000000-0005-0000-0000-00009A100000}"/>
    <cellStyle name="Percentuale 9 4 3" xfId="3355" xr:uid="{00000000-0005-0000-0000-00009B100000}"/>
    <cellStyle name="Percentuale 9 5" xfId="1796" xr:uid="{00000000-0005-0000-0000-00009C100000}"/>
    <cellStyle name="Procent 2" xfId="1797" xr:uid="{00000000-0005-0000-0000-00009D100000}"/>
    <cellStyle name="Procent 2 2" xfId="3356" xr:uid="{00000000-0005-0000-0000-00009E100000}"/>
    <cellStyle name="Procent 2 2 2" xfId="4266" xr:uid="{00000000-0005-0000-0000-00009F100000}"/>
    <cellStyle name="Procent 2 2 3" xfId="4267" xr:uid="{00000000-0005-0000-0000-0000A0100000}"/>
    <cellStyle name="Procent 3" xfId="3357" xr:uid="{00000000-0005-0000-0000-0000A1100000}"/>
    <cellStyle name="Procent 3 2" xfId="3358" xr:uid="{00000000-0005-0000-0000-0000A2100000}"/>
    <cellStyle name="Procent 3 2 2" xfId="4268" xr:uid="{00000000-0005-0000-0000-0000A3100000}"/>
    <cellStyle name="Procent 3 3" xfId="4269" xr:uid="{00000000-0005-0000-0000-0000A4100000}"/>
    <cellStyle name="Procent 4" xfId="3359" xr:uid="{00000000-0005-0000-0000-0000A5100000}"/>
    <cellStyle name="Procent 4 2" xfId="3360" xr:uid="{00000000-0005-0000-0000-0000A6100000}"/>
    <cellStyle name="Standard_Sce_D_Extraction" xfId="1798" xr:uid="{00000000-0005-0000-0000-0000A7100000}"/>
    <cellStyle name="Style 155" xfId="4270" xr:uid="{00000000-0005-0000-0000-0000A8100000}"/>
    <cellStyle name="Style 156" xfId="4271" xr:uid="{00000000-0005-0000-0000-0000A9100000}"/>
    <cellStyle name="Style 157" xfId="4272" xr:uid="{00000000-0005-0000-0000-0000AA100000}"/>
    <cellStyle name="Style 158" xfId="4273" xr:uid="{00000000-0005-0000-0000-0000AB100000}"/>
    <cellStyle name="Style 159" xfId="4274" xr:uid="{00000000-0005-0000-0000-0000AC100000}"/>
    <cellStyle name="Style 161" xfId="4275" xr:uid="{00000000-0005-0000-0000-0000AD100000}"/>
    <cellStyle name="Style 162" xfId="4276" xr:uid="{00000000-0005-0000-0000-0000AE100000}"/>
    <cellStyle name="Style 163" xfId="4277" xr:uid="{00000000-0005-0000-0000-0000AF100000}"/>
    <cellStyle name="Style 223" xfId="4278" xr:uid="{00000000-0005-0000-0000-0000B0100000}"/>
    <cellStyle name="Style 224" xfId="4279" xr:uid="{00000000-0005-0000-0000-0000B1100000}"/>
    <cellStyle name="Style 225" xfId="4280" xr:uid="{00000000-0005-0000-0000-0000B2100000}"/>
    <cellStyle name="Style 226" xfId="4281" xr:uid="{00000000-0005-0000-0000-0000B3100000}"/>
    <cellStyle name="Style 227" xfId="4282" xr:uid="{00000000-0005-0000-0000-0000B4100000}"/>
    <cellStyle name="Style 229" xfId="4283" xr:uid="{00000000-0005-0000-0000-0000B5100000}"/>
    <cellStyle name="Style 230" xfId="4284" xr:uid="{00000000-0005-0000-0000-0000B6100000}"/>
    <cellStyle name="Style 231" xfId="4285" xr:uid="{00000000-0005-0000-0000-0000B7100000}"/>
    <cellStyle name="Style 257" xfId="4286" xr:uid="{00000000-0005-0000-0000-0000B8100000}"/>
    <cellStyle name="Style 258" xfId="4287" xr:uid="{00000000-0005-0000-0000-0000B9100000}"/>
    <cellStyle name="Style 259" xfId="4288" xr:uid="{00000000-0005-0000-0000-0000BA100000}"/>
    <cellStyle name="Style 260" xfId="4289" xr:uid="{00000000-0005-0000-0000-0000BB100000}"/>
    <cellStyle name="Style 261" xfId="4290" xr:uid="{00000000-0005-0000-0000-0000BC100000}"/>
    <cellStyle name="Style 263" xfId="4291" xr:uid="{00000000-0005-0000-0000-0000BD100000}"/>
    <cellStyle name="Style 264" xfId="4292" xr:uid="{00000000-0005-0000-0000-0000BE100000}"/>
    <cellStyle name="Style 265" xfId="4293" xr:uid="{00000000-0005-0000-0000-0000BF100000}"/>
    <cellStyle name="Style 461" xfId="4294" xr:uid="{00000000-0005-0000-0000-0000C0100000}"/>
    <cellStyle name="Style 467" xfId="4295" xr:uid="{00000000-0005-0000-0000-0000C1100000}"/>
    <cellStyle name="Style 468" xfId="4296" xr:uid="{00000000-0005-0000-0000-0000C2100000}"/>
    <cellStyle name="Style 469" xfId="4297" xr:uid="{00000000-0005-0000-0000-0000C3100000}"/>
    <cellStyle name="Style 478" xfId="4298" xr:uid="{00000000-0005-0000-0000-0000C4100000}"/>
    <cellStyle name="Style 479" xfId="4299" xr:uid="{00000000-0005-0000-0000-0000C5100000}"/>
    <cellStyle name="Style 480" xfId="4300" xr:uid="{00000000-0005-0000-0000-0000C6100000}"/>
    <cellStyle name="Style 481" xfId="4301" xr:uid="{00000000-0005-0000-0000-0000C7100000}"/>
    <cellStyle name="Style 482" xfId="4302" xr:uid="{00000000-0005-0000-0000-0000C8100000}"/>
    <cellStyle name="Style 484" xfId="4303" xr:uid="{00000000-0005-0000-0000-0000C9100000}"/>
    <cellStyle name="Style 485" xfId="4304" xr:uid="{00000000-0005-0000-0000-0000CA100000}"/>
    <cellStyle name="Style 486" xfId="4305" xr:uid="{00000000-0005-0000-0000-0000CB100000}"/>
    <cellStyle name="Style 495" xfId="4306" xr:uid="{00000000-0005-0000-0000-0000CC100000}"/>
    <cellStyle name="Style 496" xfId="4307" xr:uid="{00000000-0005-0000-0000-0000CD100000}"/>
    <cellStyle name="Style 497" xfId="4308" xr:uid="{00000000-0005-0000-0000-0000CE100000}"/>
    <cellStyle name="Style 498" xfId="4309" xr:uid="{00000000-0005-0000-0000-0000CF100000}"/>
    <cellStyle name="Style 499" xfId="4310" xr:uid="{00000000-0005-0000-0000-0000D0100000}"/>
    <cellStyle name="Style 501" xfId="4311" xr:uid="{00000000-0005-0000-0000-0000D1100000}"/>
    <cellStyle name="Style 502" xfId="4312" xr:uid="{00000000-0005-0000-0000-0000D2100000}"/>
    <cellStyle name="Style 503" xfId="4313" xr:uid="{00000000-0005-0000-0000-0000D3100000}"/>
    <cellStyle name="Style 580" xfId="4314" xr:uid="{00000000-0005-0000-0000-0000D4100000}"/>
    <cellStyle name="Style 581" xfId="4315" xr:uid="{00000000-0005-0000-0000-0000D5100000}"/>
    <cellStyle name="Style 582" xfId="4316" xr:uid="{00000000-0005-0000-0000-0000D6100000}"/>
    <cellStyle name="Style 583" xfId="4317" xr:uid="{00000000-0005-0000-0000-0000D7100000}"/>
    <cellStyle name="Style 584" xfId="4318" xr:uid="{00000000-0005-0000-0000-0000D8100000}"/>
    <cellStyle name="Style 586" xfId="4319" xr:uid="{00000000-0005-0000-0000-0000D9100000}"/>
    <cellStyle name="Style 587" xfId="4320" xr:uid="{00000000-0005-0000-0000-0000DA100000}"/>
    <cellStyle name="Style 588" xfId="4321" xr:uid="{00000000-0005-0000-0000-0000DB100000}"/>
    <cellStyle name="Testo avviso" xfId="1799" xr:uid="{00000000-0005-0000-0000-0000DC100000}"/>
    <cellStyle name="Testo descrittivo" xfId="1800" xr:uid="{00000000-0005-0000-0000-0000DD100000}"/>
    <cellStyle name="Titolo" xfId="1801" xr:uid="{00000000-0005-0000-0000-0000DE100000}"/>
    <cellStyle name="Titolo 1" xfId="1802" xr:uid="{00000000-0005-0000-0000-0000DF100000}"/>
    <cellStyle name="Titolo 1 2" xfId="4322" xr:uid="{00000000-0005-0000-0000-0000E0100000}"/>
    <cellStyle name="Titolo 1 3" xfId="4323" xr:uid="{00000000-0005-0000-0000-0000E1100000}"/>
    <cellStyle name="Titolo 2" xfId="1803" xr:uid="{00000000-0005-0000-0000-0000E2100000}"/>
    <cellStyle name="Titolo 2 2" xfId="4324" xr:uid="{00000000-0005-0000-0000-0000E3100000}"/>
    <cellStyle name="Titolo 2 3" xfId="4325" xr:uid="{00000000-0005-0000-0000-0000E4100000}"/>
    <cellStyle name="Titolo 3" xfId="1804" xr:uid="{00000000-0005-0000-0000-0000E5100000}"/>
    <cellStyle name="Titolo 3 2" xfId="1805" xr:uid="{00000000-0005-0000-0000-0000E6100000}"/>
    <cellStyle name="Titolo 3 2 2" xfId="4326" xr:uid="{00000000-0005-0000-0000-0000E7100000}"/>
    <cellStyle name="Titolo 3 3" xfId="4327" xr:uid="{00000000-0005-0000-0000-0000E8100000}"/>
    <cellStyle name="Titolo 4" xfId="1806" xr:uid="{00000000-0005-0000-0000-0000E9100000}"/>
    <cellStyle name="Total 2" xfId="4328" xr:uid="{00000000-0005-0000-0000-0000EA100000}"/>
    <cellStyle name="Total 2 2" xfId="4329" xr:uid="{00000000-0005-0000-0000-0000EB100000}"/>
    <cellStyle name="Totale" xfId="1807" xr:uid="{00000000-0005-0000-0000-0000EC100000}"/>
    <cellStyle name="Totale 2" xfId="1808" xr:uid="{00000000-0005-0000-0000-0000ED100000}"/>
    <cellStyle name="Totale 2 2" xfId="4330" xr:uid="{00000000-0005-0000-0000-0000EE100000}"/>
    <cellStyle name="Totale 2 3" xfId="4331" xr:uid="{00000000-0005-0000-0000-0000EF100000}"/>
    <cellStyle name="Totale 3" xfId="1809" xr:uid="{00000000-0005-0000-0000-0000F0100000}"/>
    <cellStyle name="Totale 3 2" xfId="4332" xr:uid="{00000000-0005-0000-0000-0000F1100000}"/>
    <cellStyle name="Totale 3 3" xfId="4333" xr:uid="{00000000-0005-0000-0000-0000F2100000}"/>
    <cellStyle name="Totale 4" xfId="1810" xr:uid="{00000000-0005-0000-0000-0000F3100000}"/>
    <cellStyle name="Totale 4 2" xfId="4334" xr:uid="{00000000-0005-0000-0000-0000F4100000}"/>
    <cellStyle name="Totale 5" xfId="1811" xr:uid="{00000000-0005-0000-0000-0000F5100000}"/>
    <cellStyle name="Totale 6" xfId="1812" xr:uid="{00000000-0005-0000-0000-0000F6100000}"/>
    <cellStyle name="Totale 7" xfId="4335" xr:uid="{00000000-0005-0000-0000-0000F7100000}"/>
    <cellStyle name="Uncertain" xfId="3361" xr:uid="{00000000-0005-0000-0000-0000F8100000}"/>
    <cellStyle name="Valore non valido" xfId="1813" xr:uid="{00000000-0005-0000-0000-0000F9100000}"/>
    <cellStyle name="Valore valido" xfId="1814" xr:uid="{00000000-0005-0000-0000-0000FA100000}"/>
    <cellStyle name="Years" xfId="3362" xr:uid="{00000000-0005-0000-0000-0000FB100000}"/>
    <cellStyle name="Обычный_CRF2002 (1)" xfId="1815"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Calibration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Boilers_old!$Y$6</c:f>
              <c:strCache>
                <c:ptCount val="1"/>
                <c:pt idx="0">
                  <c:v>Manual TIMES-NO</c:v>
                </c:pt>
              </c:strCache>
            </c:strRef>
          </c:tx>
          <c:spPr>
            <a:solidFill>
              <a:schemeClr val="accent1"/>
            </a:solidFill>
            <a:ln>
              <a:noFill/>
            </a:ln>
            <a:effectLst/>
          </c:spPr>
          <c:invertIfNegative val="0"/>
          <c:cat>
            <c:strRef>
              <c:f>Boilers_old!$X$7:$X$11</c:f>
              <c:strCache>
                <c:ptCount val="5"/>
                <c:pt idx="0">
                  <c:v>Natural Gas</c:v>
                </c:pt>
                <c:pt idx="1">
                  <c:v>Oil</c:v>
                </c:pt>
                <c:pt idx="2">
                  <c:v>Wood</c:v>
                </c:pt>
                <c:pt idx="3">
                  <c:v>Electricity</c:v>
                </c:pt>
                <c:pt idx="4">
                  <c:v>district heating </c:v>
                </c:pt>
              </c:strCache>
            </c:strRef>
          </c:cat>
          <c:val>
            <c:numRef>
              <c:f>Boilers_old!$Y$7:$Y$11</c:f>
              <c:numCache>
                <c:formatCode>_(* #,##0.000_);_(* \(#,##0.000\);_(* "-"??_);_(@_)</c:formatCode>
                <c:ptCount val="5"/>
                <c:pt idx="0">
                  <c:v>0.17903244952153377</c:v>
                </c:pt>
                <c:pt idx="1">
                  <c:v>8.2339999999999982</c:v>
                </c:pt>
                <c:pt idx="2" formatCode="_(* #,##0.00_);_(* \(#,##0.00\);_(* &quot;-&quot;??_);_(@_)">
                  <c:v>29.797999999999998</c:v>
                </c:pt>
                <c:pt idx="3" formatCode="_(* #,##0.00_);_(* \(#,##0.00\);_(* &quot;-&quot;??_);_(@_)">
                  <c:v>100.14841368814859</c:v>
                </c:pt>
                <c:pt idx="4" formatCode="_(* #,##0.00_);_(* \(#,##0.00\);_(* &quot;-&quot;??_);_(@_)">
                  <c:v>3.9049244010680866</c:v>
                </c:pt>
              </c:numCache>
            </c:numRef>
          </c:val>
          <c:extLst>
            <c:ext xmlns:c16="http://schemas.microsoft.com/office/drawing/2014/chart" uri="{C3380CC4-5D6E-409C-BE32-E72D297353CC}">
              <c16:uniqueId val="{00000000-0398-4D38-9B5C-0D2E8AA78E09}"/>
            </c:ext>
          </c:extLst>
        </c:ser>
        <c:ser>
          <c:idx val="1"/>
          <c:order val="1"/>
          <c:tx>
            <c:strRef>
              <c:f>Boilers_old!$Z$6</c:f>
              <c:strCache>
                <c:ptCount val="1"/>
                <c:pt idx="0">
                  <c:v>TIMES-NO</c:v>
                </c:pt>
              </c:strCache>
            </c:strRef>
          </c:tx>
          <c:spPr>
            <a:solidFill>
              <a:schemeClr val="accent2"/>
            </a:solidFill>
            <a:ln>
              <a:noFill/>
            </a:ln>
            <a:effectLst/>
          </c:spPr>
          <c:invertIfNegative val="0"/>
          <c:cat>
            <c:strRef>
              <c:f>Boilers_old!$X$7:$X$11</c:f>
              <c:strCache>
                <c:ptCount val="5"/>
                <c:pt idx="0">
                  <c:v>Natural Gas</c:v>
                </c:pt>
                <c:pt idx="1">
                  <c:v>Oil</c:v>
                </c:pt>
                <c:pt idx="2">
                  <c:v>Wood</c:v>
                </c:pt>
                <c:pt idx="3">
                  <c:v>Electricity</c:v>
                </c:pt>
                <c:pt idx="4">
                  <c:v>district heating </c:v>
                </c:pt>
              </c:strCache>
            </c:strRef>
          </c:cat>
          <c:val>
            <c:numRef>
              <c:f>Boilers_old!$Z$7:$Z$11</c:f>
              <c:numCache>
                <c:formatCode>_(* #,##0.00_);_(* \(#,##0.00\);_(* "-"??_);_(@_)</c:formatCode>
                <c:ptCount val="5"/>
                <c:pt idx="0">
                  <c:v>0.18095522052854801</c:v>
                </c:pt>
                <c:pt idx="1">
                  <c:v>8.3224314352737103</c:v>
                </c:pt>
                <c:pt idx="2">
                  <c:v>29.493962361564201</c:v>
                </c:pt>
                <c:pt idx="3">
                  <c:v>101.223986673675</c:v>
                </c:pt>
                <c:pt idx="4">
                  <c:v>3.5534935194479322</c:v>
                </c:pt>
              </c:numCache>
            </c:numRef>
          </c:val>
          <c:extLst>
            <c:ext xmlns:c16="http://schemas.microsoft.com/office/drawing/2014/chart" uri="{C3380CC4-5D6E-409C-BE32-E72D297353CC}">
              <c16:uniqueId val="{00000001-0398-4D38-9B5C-0D2E8AA78E09}"/>
            </c:ext>
          </c:extLst>
        </c:ser>
        <c:ser>
          <c:idx val="2"/>
          <c:order val="2"/>
          <c:tx>
            <c:strRef>
              <c:f>Boilers_old!$AA$6</c:f>
              <c:strCache>
                <c:ptCount val="1"/>
                <c:pt idx="0">
                  <c:v>Eurostat</c:v>
                </c:pt>
              </c:strCache>
            </c:strRef>
          </c:tx>
          <c:spPr>
            <a:solidFill>
              <a:schemeClr val="accent3"/>
            </a:solidFill>
            <a:ln>
              <a:noFill/>
            </a:ln>
            <a:effectLst/>
          </c:spPr>
          <c:invertIfNegative val="0"/>
          <c:cat>
            <c:strRef>
              <c:f>Boilers_old!$X$7:$X$11</c:f>
              <c:strCache>
                <c:ptCount val="5"/>
                <c:pt idx="0">
                  <c:v>Natural Gas</c:v>
                </c:pt>
                <c:pt idx="1">
                  <c:v>Oil</c:v>
                </c:pt>
                <c:pt idx="2">
                  <c:v>Wood</c:v>
                </c:pt>
                <c:pt idx="3">
                  <c:v>Electricity</c:v>
                </c:pt>
                <c:pt idx="4">
                  <c:v>district heating </c:v>
                </c:pt>
              </c:strCache>
            </c:strRef>
          </c:cat>
          <c:val>
            <c:numRef>
              <c:f>Boilers_old!$AA$7:$AA$11</c:f>
              <c:numCache>
                <c:formatCode>_(* #,##0.00_);_(* \(#,##0.00\);_(* "-"??_);_(@_)</c:formatCode>
                <c:ptCount val="5"/>
                <c:pt idx="0">
                  <c:v>0.16600000000000001</c:v>
                </c:pt>
                <c:pt idx="1">
                  <c:v>8.234</c:v>
                </c:pt>
                <c:pt idx="2">
                  <c:v>29.797999999999998</c:v>
                </c:pt>
                <c:pt idx="3">
                  <c:v>100.1798</c:v>
                </c:pt>
                <c:pt idx="4">
                  <c:v>3.9019999999999997</c:v>
                </c:pt>
              </c:numCache>
            </c:numRef>
          </c:val>
          <c:extLst>
            <c:ext xmlns:c16="http://schemas.microsoft.com/office/drawing/2014/chart" uri="{C3380CC4-5D6E-409C-BE32-E72D297353CC}">
              <c16:uniqueId val="{00000000-26C6-4A6F-9721-404B11D5C9BC}"/>
            </c:ext>
          </c:extLst>
        </c:ser>
        <c:dLbls>
          <c:showLegendKey val="0"/>
          <c:showVal val="0"/>
          <c:showCatName val="0"/>
          <c:showSerName val="0"/>
          <c:showPercent val="0"/>
          <c:showBubbleSize val="0"/>
        </c:dLbls>
        <c:gapWidth val="219"/>
        <c:overlap val="-27"/>
        <c:axId val="275273152"/>
        <c:axId val="275273544"/>
      </c:barChart>
      <c:catAx>
        <c:axId val="27527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75273544"/>
        <c:crosses val="autoZero"/>
        <c:auto val="1"/>
        <c:lblAlgn val="ctr"/>
        <c:lblOffset val="100"/>
        <c:noMultiLvlLbl val="0"/>
      </c:catAx>
      <c:valAx>
        <c:axId val="275273544"/>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7527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'Building Stock &amp; Specific Heat '!$Z$80</c:f>
              <c:strCache>
                <c:ptCount val="1"/>
                <c:pt idx="0">
                  <c:v>Detached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'Building Stock &amp; Specific Heat '!$Y$81:$Y$87</c:f>
              <c:strCache>
                <c:ptCount val="7"/>
                <c:pt idx="0">
                  <c:v>…1955</c:v>
                </c:pt>
                <c:pt idx="1">
                  <c:v>56-70</c:v>
                </c:pt>
                <c:pt idx="2">
                  <c:v>71-80</c:v>
                </c:pt>
                <c:pt idx="3">
                  <c:v>81-90</c:v>
                </c:pt>
                <c:pt idx="4">
                  <c:v>91-00</c:v>
                </c:pt>
                <c:pt idx="5">
                  <c:v>2001-2010</c:v>
                </c:pt>
                <c:pt idx="6">
                  <c:v>2011 …</c:v>
                </c:pt>
              </c:strCache>
            </c:strRef>
          </c:cat>
          <c:val>
            <c:numRef>
              <c:f>'Building Stock &amp; Specific Heat '!$Z$81:$Z$87</c:f>
              <c:numCache>
                <c:formatCode>General</c:formatCode>
                <c:ptCount val="7"/>
                <c:pt idx="0">
                  <c:v>223.95</c:v>
                </c:pt>
                <c:pt idx="1">
                  <c:v>181.85000000000002</c:v>
                </c:pt>
                <c:pt idx="2">
                  <c:v>161.75</c:v>
                </c:pt>
                <c:pt idx="3">
                  <c:v>168.25</c:v>
                </c:pt>
                <c:pt idx="4">
                  <c:v>138.69999999999999</c:v>
                </c:pt>
                <c:pt idx="5">
                  <c:v>61.7</c:v>
                </c:pt>
                <c:pt idx="6">
                  <c:v>56.849999999999994</c:v>
                </c:pt>
              </c:numCache>
            </c:numRef>
          </c:val>
          <c:smooth val="0"/>
          <c:extLst>
            <c:ext xmlns:c16="http://schemas.microsoft.com/office/drawing/2014/chart" uri="{C3380CC4-5D6E-409C-BE32-E72D297353CC}">
              <c16:uniqueId val="{00000000-FC05-4911-AEBF-FB278FCD577C}"/>
            </c:ext>
          </c:extLst>
        </c:ser>
        <c:ser>
          <c:idx val="1"/>
          <c:order val="1"/>
          <c:tx>
            <c:strRef>
              <c:f>'Building Stock &amp; Specific Heat '!$AA$80</c:f>
              <c:strCache>
                <c:ptCount val="1"/>
                <c:pt idx="0">
                  <c:v>Multi 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'Building Stock &amp; Specific Heat '!$Y$81:$Y$87</c:f>
              <c:strCache>
                <c:ptCount val="7"/>
                <c:pt idx="0">
                  <c:v>…1955</c:v>
                </c:pt>
                <c:pt idx="1">
                  <c:v>56-70</c:v>
                </c:pt>
                <c:pt idx="2">
                  <c:v>71-80</c:v>
                </c:pt>
                <c:pt idx="3">
                  <c:v>81-90</c:v>
                </c:pt>
                <c:pt idx="4">
                  <c:v>91-00</c:v>
                </c:pt>
                <c:pt idx="5">
                  <c:v>2001-2010</c:v>
                </c:pt>
                <c:pt idx="6">
                  <c:v>2011 …</c:v>
                </c:pt>
              </c:strCache>
            </c:strRef>
          </c:cat>
          <c:val>
            <c:numRef>
              <c:f>'Building Stock &amp; Specific Heat '!$AA$81:$AA$87</c:f>
              <c:numCache>
                <c:formatCode>General</c:formatCode>
                <c:ptCount val="7"/>
                <c:pt idx="0">
                  <c:v>155.9</c:v>
                </c:pt>
                <c:pt idx="1">
                  <c:v>168.5</c:v>
                </c:pt>
                <c:pt idx="2">
                  <c:v>126.4</c:v>
                </c:pt>
                <c:pt idx="3">
                  <c:v>106.4</c:v>
                </c:pt>
                <c:pt idx="4">
                  <c:v>112.2</c:v>
                </c:pt>
                <c:pt idx="5">
                  <c:v>45.3</c:v>
                </c:pt>
                <c:pt idx="6">
                  <c:v>52.5</c:v>
                </c:pt>
              </c:numCache>
            </c:numRef>
          </c:val>
          <c:smooth val="0"/>
          <c:extLst>
            <c:ext xmlns:c16="http://schemas.microsoft.com/office/drawing/2014/chart" uri="{C3380CC4-5D6E-409C-BE32-E72D297353CC}">
              <c16:uniqueId val="{00000001-FC05-4911-AEBF-FB278FCD577C}"/>
            </c:ext>
          </c:extLst>
        </c:ser>
        <c:dLbls>
          <c:showLegendKey val="0"/>
          <c:showVal val="0"/>
          <c:showCatName val="0"/>
          <c:showSerName val="0"/>
          <c:showPercent val="0"/>
          <c:showBubbleSize val="0"/>
        </c:dLbls>
        <c:marker val="1"/>
        <c:smooth val="0"/>
        <c:axId val="375263352"/>
        <c:axId val="375263744"/>
      </c:lineChart>
      <c:catAx>
        <c:axId val="375263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375263744"/>
        <c:crosses val="autoZero"/>
        <c:auto val="1"/>
        <c:lblAlgn val="ctr"/>
        <c:lblOffset val="100"/>
        <c:noMultiLvlLbl val="0"/>
      </c:catAx>
      <c:valAx>
        <c:axId val="37526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375263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microsoft.com/office/2007/relationships/hdphoto" Target="../media/hdphoto2.wdp"/><Relationship Id="rId2" Type="http://schemas.openxmlformats.org/officeDocument/2006/relationships/image" Target="../media/image4.png"/><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gif"/></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0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0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0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0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0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1563</xdr:colOff>
      <xdr:row>6</xdr:row>
      <xdr:rowOff>26988</xdr:rowOff>
    </xdr:from>
    <xdr:to>
      <xdr:col>14</xdr:col>
      <xdr:colOff>1563</xdr:colOff>
      <xdr:row>7</xdr:row>
      <xdr:rowOff>133351</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13</xdr:col>
      <xdr:colOff>398439</xdr:colOff>
      <xdr:row>9</xdr:row>
      <xdr:rowOff>24813</xdr:rowOff>
    </xdr:from>
    <xdr:to>
      <xdr:col>15</xdr:col>
      <xdr:colOff>201589</xdr:colOff>
      <xdr:row>10</xdr:row>
      <xdr:rowOff>105363</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16</xdr:col>
      <xdr:colOff>309537</xdr:colOff>
      <xdr:row>9</xdr:row>
      <xdr:rowOff>24813</xdr:rowOff>
    </xdr:from>
    <xdr:to>
      <xdr:col>19</xdr:col>
      <xdr:colOff>233339</xdr:colOff>
      <xdr:row>10</xdr:row>
      <xdr:rowOff>105363</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24</xdr:col>
      <xdr:colOff>430188</xdr:colOff>
      <xdr:row>8</xdr:row>
      <xdr:rowOff>87312</xdr:rowOff>
    </xdr:from>
    <xdr:to>
      <xdr:col>27</xdr:col>
      <xdr:colOff>39664</xdr:colOff>
      <xdr:row>11</xdr:row>
      <xdr:rowOff>55563</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12</xdr:col>
      <xdr:colOff>603226</xdr:colOff>
      <xdr:row>8</xdr:row>
      <xdr:rowOff>52388</xdr:rowOff>
    </xdr:from>
    <xdr:to>
      <xdr:col>12</xdr:col>
      <xdr:colOff>603226</xdr:colOff>
      <xdr:row>12</xdr:row>
      <xdr:rowOff>58738</xdr:rowOff>
    </xdr:to>
    <xdr:cxnSp macro="">
      <xdr:nvCxnSpPr>
        <xdr:cNvPr id="10" name="Straight Connector 9">
          <a:extLst>
            <a:ext uri="{FF2B5EF4-FFF2-40B4-BE49-F238E27FC236}">
              <a16:creationId xmlns:a16="http://schemas.microsoft.com/office/drawing/2014/main" id="{00000000-0008-0000-04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14</xdr:col>
      <xdr:colOff>522263</xdr:colOff>
      <xdr:row>5</xdr:row>
      <xdr:rowOff>76199</xdr:rowOff>
    </xdr:from>
    <xdr:to>
      <xdr:col>17</xdr:col>
      <xdr:colOff>122214</xdr:colOff>
      <xdr:row>8</xdr:row>
      <xdr:rowOff>46037</xdr:rowOff>
    </xdr:to>
    <xdr:sp macro="" textlink="">
      <xdr:nvSpPr>
        <xdr:cNvPr id="11" name="TextBox 10">
          <a:extLst>
            <a:ext uri="{FF2B5EF4-FFF2-40B4-BE49-F238E27FC236}">
              <a16:creationId xmlns:a16="http://schemas.microsoft.com/office/drawing/2014/main" id="{00000000-0008-0000-04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16</xdr:col>
      <xdr:colOff>7913</xdr:colOff>
      <xdr:row>8</xdr:row>
      <xdr:rowOff>33338</xdr:rowOff>
    </xdr:from>
    <xdr:to>
      <xdr:col>16</xdr:col>
      <xdr:colOff>7913</xdr:colOff>
      <xdr:row>12</xdr:row>
      <xdr:rowOff>46038</xdr:rowOff>
    </xdr:to>
    <xdr:cxnSp macro="">
      <xdr:nvCxnSpPr>
        <xdr:cNvPr id="12" name="Straight Connector 11">
          <a:extLst>
            <a:ext uri="{FF2B5EF4-FFF2-40B4-BE49-F238E27FC236}">
              <a16:creationId xmlns:a16="http://schemas.microsoft.com/office/drawing/2014/main" id="{00000000-0008-0000-04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506388</xdr:colOff>
      <xdr:row>6</xdr:row>
      <xdr:rowOff>82554</xdr:rowOff>
    </xdr:from>
    <xdr:to>
      <xdr:col>21</xdr:col>
      <xdr:colOff>106339</xdr:colOff>
      <xdr:row>8</xdr:row>
      <xdr:rowOff>46042</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19</xdr:col>
      <xdr:colOff>603226</xdr:colOff>
      <xdr:row>8</xdr:row>
      <xdr:rowOff>52388</xdr:rowOff>
    </xdr:from>
    <xdr:to>
      <xdr:col>19</xdr:col>
      <xdr:colOff>603226</xdr:colOff>
      <xdr:row>12</xdr:row>
      <xdr:rowOff>58738</xdr:rowOff>
    </xdr:to>
    <xdr:cxnSp macro="">
      <xdr:nvCxnSpPr>
        <xdr:cNvPr id="14" name="Straight Connector 13">
          <a:extLst>
            <a:ext uri="{FF2B5EF4-FFF2-40B4-BE49-F238E27FC236}">
              <a16:creationId xmlns:a16="http://schemas.microsoft.com/office/drawing/2014/main" id="{00000000-0008-0000-04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20</xdr:col>
      <xdr:colOff>465113</xdr:colOff>
      <xdr:row>8</xdr:row>
      <xdr:rowOff>80963</xdr:rowOff>
    </xdr:from>
    <xdr:to>
      <xdr:col>23</xdr:col>
      <xdr:colOff>182539</xdr:colOff>
      <xdr:row>11</xdr:row>
      <xdr:rowOff>49213</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21</xdr:col>
      <xdr:colOff>195239</xdr:colOff>
      <xdr:row>5</xdr:row>
      <xdr:rowOff>14283</xdr:rowOff>
    </xdr:from>
    <xdr:to>
      <xdr:col>26</xdr:col>
      <xdr:colOff>398438</xdr:colOff>
      <xdr:row>7</xdr:row>
      <xdr:rowOff>155571</xdr:rowOff>
    </xdr:to>
    <xdr:sp macro="" textlink="">
      <xdr:nvSpPr>
        <xdr:cNvPr id="18" name="TextBox 17">
          <a:extLst>
            <a:ext uri="{FF2B5EF4-FFF2-40B4-BE49-F238E27FC236}">
              <a16:creationId xmlns:a16="http://schemas.microsoft.com/office/drawing/2014/main" id="{00000000-0008-0000-04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23</xdr:col>
      <xdr:colOff>600052</xdr:colOff>
      <xdr:row>8</xdr:row>
      <xdr:rowOff>26989</xdr:rowOff>
    </xdr:from>
    <xdr:to>
      <xdr:col>23</xdr:col>
      <xdr:colOff>600052</xdr:colOff>
      <xdr:row>12</xdr:row>
      <xdr:rowOff>39689</xdr:rowOff>
    </xdr:to>
    <xdr:cxnSp macro="">
      <xdr:nvCxnSpPr>
        <xdr:cNvPr id="19" name="Straight Connector 18">
          <a:extLst>
            <a:ext uri="{FF2B5EF4-FFF2-40B4-BE49-F238E27FC236}">
              <a16:creationId xmlns:a16="http://schemas.microsoft.com/office/drawing/2014/main" id="{00000000-0008-0000-04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12</xdr:col>
      <xdr:colOff>611163</xdr:colOff>
      <xdr:row>9</xdr:row>
      <xdr:rowOff>142875</xdr:rowOff>
    </xdr:from>
    <xdr:to>
      <xdr:col>13</xdr:col>
      <xdr:colOff>398439</xdr:colOff>
      <xdr:row>9</xdr:row>
      <xdr:rowOff>144463</xdr:rowOff>
    </xdr:to>
    <xdr:cxnSp macro="">
      <xdr:nvCxnSpPr>
        <xdr:cNvPr id="29" name="Straight Connector 28">
          <a:extLst>
            <a:ext uri="{FF2B5EF4-FFF2-40B4-BE49-F238E27FC236}">
              <a16:creationId xmlns:a16="http://schemas.microsoft.com/office/drawing/2014/main" id="{00000000-0008-0000-04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201589</xdr:colOff>
      <xdr:row>9</xdr:row>
      <xdr:rowOff>144463</xdr:rowOff>
    </xdr:from>
    <xdr:to>
      <xdr:col>16</xdr:col>
      <xdr:colOff>23788</xdr:colOff>
      <xdr:row>9</xdr:row>
      <xdr:rowOff>150813</xdr:rowOff>
    </xdr:to>
    <xdr:cxnSp macro="">
      <xdr:nvCxnSpPr>
        <xdr:cNvPr id="34" name="Straight Connector 33">
          <a:extLst>
            <a:ext uri="{FF2B5EF4-FFF2-40B4-BE49-F238E27FC236}">
              <a16:creationId xmlns:a16="http://schemas.microsoft.com/office/drawing/2014/main" id="{00000000-0008-0000-04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16</xdr:col>
      <xdr:colOff>15851</xdr:colOff>
      <xdr:row>9</xdr:row>
      <xdr:rowOff>142875</xdr:rowOff>
    </xdr:from>
    <xdr:to>
      <xdr:col>16</xdr:col>
      <xdr:colOff>309537</xdr:colOff>
      <xdr:row>9</xdr:row>
      <xdr:rowOff>144463</xdr:rowOff>
    </xdr:to>
    <xdr:cxnSp macro="">
      <xdr:nvCxnSpPr>
        <xdr:cNvPr id="35" name="Straight Connector 34">
          <a:extLst>
            <a:ext uri="{FF2B5EF4-FFF2-40B4-BE49-F238E27FC236}">
              <a16:creationId xmlns:a16="http://schemas.microsoft.com/office/drawing/2014/main" id="{00000000-0008-0000-04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19</xdr:col>
      <xdr:colOff>223836</xdr:colOff>
      <xdr:row>9</xdr:row>
      <xdr:rowOff>134938</xdr:rowOff>
    </xdr:from>
    <xdr:to>
      <xdr:col>20</xdr:col>
      <xdr:colOff>7913</xdr:colOff>
      <xdr:row>9</xdr:row>
      <xdr:rowOff>136525</xdr:rowOff>
    </xdr:to>
    <xdr:cxnSp macro="">
      <xdr:nvCxnSpPr>
        <xdr:cNvPr id="41" name="Straight Connector 40">
          <a:extLst>
            <a:ext uri="{FF2B5EF4-FFF2-40B4-BE49-F238E27FC236}">
              <a16:creationId xmlns:a16="http://schemas.microsoft.com/office/drawing/2014/main" id="{00000000-0008-0000-04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19</xdr:col>
      <xdr:colOff>598486</xdr:colOff>
      <xdr:row>9</xdr:row>
      <xdr:rowOff>138112</xdr:rowOff>
    </xdr:from>
    <xdr:to>
      <xdr:col>20</xdr:col>
      <xdr:colOff>465113</xdr:colOff>
      <xdr:row>9</xdr:row>
      <xdr:rowOff>144463</xdr:rowOff>
    </xdr:to>
    <xdr:cxnSp macro="">
      <xdr:nvCxnSpPr>
        <xdr:cNvPr id="43" name="Straight Connector 42">
          <a:extLst>
            <a:ext uri="{FF2B5EF4-FFF2-40B4-BE49-F238E27FC236}">
              <a16:creationId xmlns:a16="http://schemas.microsoft.com/office/drawing/2014/main" id="{00000000-0008-0000-04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23</xdr:col>
      <xdr:colOff>179386</xdr:colOff>
      <xdr:row>9</xdr:row>
      <xdr:rowOff>142876</xdr:rowOff>
    </xdr:from>
    <xdr:to>
      <xdr:col>23</xdr:col>
      <xdr:colOff>587351</xdr:colOff>
      <xdr:row>9</xdr:row>
      <xdr:rowOff>147637</xdr:rowOff>
    </xdr:to>
    <xdr:cxnSp macro="">
      <xdr:nvCxnSpPr>
        <xdr:cNvPr id="45" name="Straight Connector 44">
          <a:extLst>
            <a:ext uri="{FF2B5EF4-FFF2-40B4-BE49-F238E27FC236}">
              <a16:creationId xmlns:a16="http://schemas.microsoft.com/office/drawing/2014/main" id="{00000000-0008-0000-04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23</xdr:col>
      <xdr:colOff>593724</xdr:colOff>
      <xdr:row>9</xdr:row>
      <xdr:rowOff>141286</xdr:rowOff>
    </xdr:from>
    <xdr:to>
      <xdr:col>24</xdr:col>
      <xdr:colOff>430189</xdr:colOff>
      <xdr:row>9</xdr:row>
      <xdr:rowOff>144462</xdr:rowOff>
    </xdr:to>
    <xdr:cxnSp macro="">
      <xdr:nvCxnSpPr>
        <xdr:cNvPr id="47" name="Straight Connector 46">
          <a:extLst>
            <a:ext uri="{FF2B5EF4-FFF2-40B4-BE49-F238E27FC236}">
              <a16:creationId xmlns:a16="http://schemas.microsoft.com/office/drawing/2014/main" id="{00000000-0008-0000-04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447642</xdr:colOff>
      <xdr:row>12</xdr:row>
      <xdr:rowOff>128620</xdr:rowOff>
    </xdr:from>
    <xdr:to>
      <xdr:col>27</xdr:col>
      <xdr:colOff>57118</xdr:colOff>
      <xdr:row>17</xdr:row>
      <xdr:rowOff>96871</xdr:rowOff>
    </xdr:to>
    <xdr:sp macro="" textlink="">
      <xdr:nvSpPr>
        <xdr:cNvPr id="56" name="TextBox 55">
          <a:extLst>
            <a:ext uri="{FF2B5EF4-FFF2-40B4-BE49-F238E27FC236}">
              <a16:creationId xmlns:a16="http://schemas.microsoft.com/office/drawing/2014/main" id="{00000000-0008-0000-04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23</xdr:col>
      <xdr:colOff>611178</xdr:colOff>
      <xdr:row>15</xdr:row>
      <xdr:rowOff>23844</xdr:rowOff>
    </xdr:from>
    <xdr:to>
      <xdr:col>24</xdr:col>
      <xdr:colOff>447643</xdr:colOff>
      <xdr:row>15</xdr:row>
      <xdr:rowOff>27020</xdr:rowOff>
    </xdr:to>
    <xdr:cxnSp macro="">
      <xdr:nvCxnSpPr>
        <xdr:cNvPr id="57" name="Straight Connector 56">
          <a:extLst>
            <a:ext uri="{FF2B5EF4-FFF2-40B4-BE49-F238E27FC236}">
              <a16:creationId xmlns:a16="http://schemas.microsoft.com/office/drawing/2014/main" id="{00000000-0008-0000-04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24</xdr:col>
      <xdr:colOff>457158</xdr:colOff>
      <xdr:row>18</xdr:row>
      <xdr:rowOff>0</xdr:rowOff>
    </xdr:from>
    <xdr:to>
      <xdr:col>27</xdr:col>
      <xdr:colOff>66634</xdr:colOff>
      <xdr:row>21</xdr:row>
      <xdr:rowOff>50863</xdr:rowOff>
    </xdr:to>
    <xdr:sp macro="" textlink="">
      <xdr:nvSpPr>
        <xdr:cNvPr id="58" name="TextBox 57">
          <a:extLst>
            <a:ext uri="{FF2B5EF4-FFF2-40B4-BE49-F238E27FC236}">
              <a16:creationId xmlns:a16="http://schemas.microsoft.com/office/drawing/2014/main" id="{00000000-0008-0000-04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24</xdr:col>
      <xdr:colOff>9506</xdr:colOff>
      <xdr:row>19</xdr:row>
      <xdr:rowOff>152461</xdr:rowOff>
    </xdr:from>
    <xdr:to>
      <xdr:col>24</xdr:col>
      <xdr:colOff>457159</xdr:colOff>
      <xdr:row>19</xdr:row>
      <xdr:rowOff>155637</xdr:rowOff>
    </xdr:to>
    <xdr:cxnSp macro="">
      <xdr:nvCxnSpPr>
        <xdr:cNvPr id="59" name="Straight Connector 58">
          <a:extLst>
            <a:ext uri="{FF2B5EF4-FFF2-40B4-BE49-F238E27FC236}">
              <a16:creationId xmlns:a16="http://schemas.microsoft.com/office/drawing/2014/main" id="{00000000-0008-0000-04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609577</xdr:colOff>
      <xdr:row>9</xdr:row>
      <xdr:rowOff>4764</xdr:rowOff>
    </xdr:from>
    <xdr:to>
      <xdr:col>28</xdr:col>
      <xdr:colOff>0</xdr:colOff>
      <xdr:row>20</xdr:row>
      <xdr:rowOff>166687</xdr:rowOff>
    </xdr:to>
    <xdr:cxnSp macro="">
      <xdr:nvCxnSpPr>
        <xdr:cNvPr id="60" name="Straight Connector 59">
          <a:extLst>
            <a:ext uri="{FF2B5EF4-FFF2-40B4-BE49-F238E27FC236}">
              <a16:creationId xmlns:a16="http://schemas.microsoft.com/office/drawing/2014/main" id="{00000000-0008-0000-04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603249</xdr:colOff>
      <xdr:row>13</xdr:row>
      <xdr:rowOff>158749</xdr:rowOff>
    </xdr:from>
    <xdr:to>
      <xdr:col>28</xdr:col>
      <xdr:colOff>441436</xdr:colOff>
      <xdr:row>15</xdr:row>
      <xdr:rowOff>11135</xdr:rowOff>
    </xdr:to>
    <xdr:cxnSp macro="">
      <xdr:nvCxnSpPr>
        <xdr:cNvPr id="61" name="Straight Connector 60">
          <a:extLst>
            <a:ext uri="{FF2B5EF4-FFF2-40B4-BE49-F238E27FC236}">
              <a16:creationId xmlns:a16="http://schemas.microsoft.com/office/drawing/2014/main" id="{00000000-0008-0000-04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441436</xdr:colOff>
      <xdr:row>12</xdr:row>
      <xdr:rowOff>106384</xdr:rowOff>
    </xdr:from>
    <xdr:to>
      <xdr:col>31</xdr:col>
      <xdr:colOff>50912</xdr:colOff>
      <xdr:row>17</xdr:row>
      <xdr:rowOff>74635</xdr:rowOff>
    </xdr:to>
    <xdr:sp macro="" textlink="">
      <xdr:nvSpPr>
        <xdr:cNvPr id="67" name="TextBox 66">
          <a:extLst>
            <a:ext uri="{FF2B5EF4-FFF2-40B4-BE49-F238E27FC236}">
              <a16:creationId xmlns:a16="http://schemas.microsoft.com/office/drawing/2014/main" id="{00000000-0008-0000-04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26</xdr:col>
      <xdr:colOff>579428</xdr:colOff>
      <xdr:row>7</xdr:row>
      <xdr:rowOff>20642</xdr:rowOff>
    </xdr:from>
    <xdr:to>
      <xdr:col>29</xdr:col>
      <xdr:colOff>55554</xdr:colOff>
      <xdr:row>8</xdr:row>
      <xdr:rowOff>142880</xdr:rowOff>
    </xdr:to>
    <xdr:sp macro="" textlink="">
      <xdr:nvSpPr>
        <xdr:cNvPr id="70" name="TextBox 69">
          <a:extLst>
            <a:ext uri="{FF2B5EF4-FFF2-40B4-BE49-F238E27FC236}">
              <a16:creationId xmlns:a16="http://schemas.microsoft.com/office/drawing/2014/main" id="{00000000-0008-0000-04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27</xdr:col>
      <xdr:colOff>39664</xdr:colOff>
      <xdr:row>9</xdr:row>
      <xdr:rowOff>150812</xdr:rowOff>
    </xdr:from>
    <xdr:to>
      <xdr:col>28</xdr:col>
      <xdr:colOff>15875</xdr:colOff>
      <xdr:row>9</xdr:row>
      <xdr:rowOff>150813</xdr:rowOff>
    </xdr:to>
    <xdr:cxnSp macro="">
      <xdr:nvCxnSpPr>
        <xdr:cNvPr id="71" name="Straight Connector 70">
          <a:extLst>
            <a:ext uri="{FF2B5EF4-FFF2-40B4-BE49-F238E27FC236}">
              <a16:creationId xmlns:a16="http://schemas.microsoft.com/office/drawing/2014/main" id="{00000000-0008-0000-0400-000047000000}"/>
            </a:ext>
          </a:extLst>
        </xdr:cNvPr>
        <xdr:cNvCxnSpPr>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57118</xdr:colOff>
      <xdr:row>15</xdr:row>
      <xdr:rowOff>31751</xdr:rowOff>
    </xdr:from>
    <xdr:to>
      <xdr:col>27</xdr:col>
      <xdr:colOff>603250</xdr:colOff>
      <xdr:row>15</xdr:row>
      <xdr:rowOff>33371</xdr:rowOff>
    </xdr:to>
    <xdr:cxnSp macro="">
      <xdr:nvCxnSpPr>
        <xdr:cNvPr id="72" name="Straight Connector 71">
          <a:extLst>
            <a:ext uri="{FF2B5EF4-FFF2-40B4-BE49-F238E27FC236}">
              <a16:creationId xmlns:a16="http://schemas.microsoft.com/office/drawing/2014/main" id="{00000000-0008-0000-04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27</xdr:col>
      <xdr:colOff>66634</xdr:colOff>
      <xdr:row>19</xdr:row>
      <xdr:rowOff>150812</xdr:rowOff>
    </xdr:from>
    <xdr:to>
      <xdr:col>28</xdr:col>
      <xdr:colOff>31750</xdr:colOff>
      <xdr:row>20</xdr:row>
      <xdr:rowOff>3238</xdr:rowOff>
    </xdr:to>
    <xdr:cxnSp macro="">
      <xdr:nvCxnSpPr>
        <xdr:cNvPr id="73" name="Straight Connector 72">
          <a:extLst>
            <a:ext uri="{FF2B5EF4-FFF2-40B4-BE49-F238E27FC236}">
              <a16:creationId xmlns:a16="http://schemas.microsoft.com/office/drawing/2014/main" id="{00000000-0008-0000-04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539750</xdr:colOff>
      <xdr:row>4</xdr:row>
      <xdr:rowOff>269875</xdr:rowOff>
    </xdr:from>
    <xdr:to>
      <xdr:col>31</xdr:col>
      <xdr:colOff>134938</xdr:colOff>
      <xdr:row>25</xdr:row>
      <xdr:rowOff>7937</xdr:rowOff>
    </xdr:to>
    <xdr:sp macro="" textlink="">
      <xdr:nvSpPr>
        <xdr:cNvPr id="104" name="Rectangle 103">
          <a:extLst>
            <a:ext uri="{FF2B5EF4-FFF2-40B4-BE49-F238E27FC236}">
              <a16:creationId xmlns:a16="http://schemas.microsoft.com/office/drawing/2014/main" id="{00000000-0008-0000-0400-000068000000}"/>
            </a:ext>
          </a:extLst>
        </xdr:cNvPr>
        <xdr:cNvSpPr/>
      </xdr:nvSpPr>
      <xdr:spPr bwMode="auto">
        <a:xfrm>
          <a:off x="20272375" y="904875"/>
          <a:ext cx="11818938" cy="2936875"/>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12700</xdr:colOff>
      <xdr:row>34</xdr:row>
      <xdr:rowOff>104775</xdr:rowOff>
    </xdr:from>
    <xdr:to>
      <xdr:col>11</xdr:col>
      <xdr:colOff>4705350</xdr:colOff>
      <xdr:row>43</xdr:row>
      <xdr:rowOff>66675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1690350" y="6029325"/>
          <a:ext cx="4692650"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12700</xdr:colOff>
      <xdr:row>25</xdr:row>
      <xdr:rowOff>152400</xdr:rowOff>
    </xdr:from>
    <xdr:to>
      <xdr:col>11</xdr:col>
      <xdr:colOff>6553200</xdr:colOff>
      <xdr:row>34</xdr:row>
      <xdr:rowOff>12700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11442700" y="4406900"/>
          <a:ext cx="6540500" cy="11811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1199014</xdr:colOff>
      <xdr:row>106</xdr:row>
      <xdr:rowOff>17847</xdr:rowOff>
    </xdr:from>
    <xdr:to>
      <xdr:col>13</xdr:col>
      <xdr:colOff>65409</xdr:colOff>
      <xdr:row>113</xdr:row>
      <xdr:rowOff>29522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50835" y="19829847"/>
          <a:ext cx="6132610" cy="1345175"/>
        </a:xfrm>
        <a:prstGeom prst="rect">
          <a:avLst/>
        </a:prstGeom>
        <a:ln w="12700">
          <a:solidFill>
            <a:schemeClr val="tx1">
              <a:lumMod val="95000"/>
              <a:lumOff val="5000"/>
            </a:schemeClr>
          </a:solidFill>
        </a:ln>
      </xdr:spPr>
    </xdr:pic>
    <xdr:clientData/>
  </xdr:twoCellAnchor>
  <xdr:twoCellAnchor editAs="oneCell">
    <xdr:from>
      <xdr:col>7</xdr:col>
      <xdr:colOff>1195783</xdr:colOff>
      <xdr:row>113</xdr:row>
      <xdr:rowOff>164438</xdr:rowOff>
    </xdr:from>
    <xdr:to>
      <xdr:col>13</xdr:col>
      <xdr:colOff>356449</xdr:colOff>
      <xdr:row>116</xdr:row>
      <xdr:rowOff>136069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25000"/>
                  </a14:imgEffect>
                </a14:imgLayer>
              </a14:imgProps>
            </a:ext>
            <a:ext uri="{28A0092B-C50C-407E-A947-70E740481C1C}">
              <a14:useLocalDpi xmlns:a14="http://schemas.microsoft.com/office/drawing/2010/main" val="0"/>
            </a:ext>
          </a:extLst>
        </a:blip>
        <a:stretch>
          <a:fillRect/>
        </a:stretch>
      </xdr:blipFill>
      <xdr:spPr>
        <a:xfrm>
          <a:off x="13047604" y="21309938"/>
          <a:ext cx="6426881" cy="543131"/>
        </a:xfrm>
        <a:prstGeom prst="rect">
          <a:avLst/>
        </a:prstGeom>
        <a:ln w="12700">
          <a:solidFill>
            <a:schemeClr val="tx1">
              <a:lumMod val="95000"/>
              <a:lumOff val="5000"/>
            </a:schemeClr>
          </a:solidFill>
        </a:ln>
      </xdr:spPr>
    </xdr:pic>
    <xdr:clientData/>
  </xdr:twoCellAnchor>
  <xdr:twoCellAnchor>
    <xdr:from>
      <xdr:col>8</xdr:col>
      <xdr:colOff>13606</xdr:colOff>
      <xdr:row>26</xdr:row>
      <xdr:rowOff>27215</xdr:rowOff>
    </xdr:from>
    <xdr:to>
      <xdr:col>10</xdr:col>
      <xdr:colOff>0</xdr:colOff>
      <xdr:row>32</xdr:row>
      <xdr:rowOff>176893</xdr:rowOff>
    </xdr:to>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11742963" y="4531179"/>
          <a:ext cx="3102430" cy="1292678"/>
        </a:xfrm>
        <a:prstGeom prst="rect">
          <a:avLst/>
        </a:prstGeom>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Efficiencies of the heat generation technologies must be assumed/taken from somewhere!!!</a:t>
          </a:r>
        </a:p>
        <a:p>
          <a:endParaRPr lang="da-DK" sz="1200" b="1">
            <a:latin typeface="Times New Roman" panose="02020603050405020304" pitchFamily="18" charset="0"/>
            <a:cs typeface="Times New Roman" panose="02020603050405020304" pitchFamily="18" charset="0"/>
          </a:endParaRPr>
        </a:p>
        <a:p>
          <a:r>
            <a:rPr lang="da-DK" sz="1200" b="1">
              <a:latin typeface="Times New Roman" panose="02020603050405020304" pitchFamily="18" charset="0"/>
              <a:cs typeface="Times New Roman" panose="02020603050405020304" pitchFamily="18" charset="0"/>
            </a:rPr>
            <a:t>AS</a:t>
          </a:r>
          <a:r>
            <a:rPr lang="da-DK" sz="1200" b="1" baseline="0">
              <a:latin typeface="Times New Roman" panose="02020603050405020304" pitchFamily="18" charset="0"/>
              <a:cs typeface="Times New Roman" panose="02020603050405020304" pitchFamily="18" charset="0"/>
            </a:rPr>
            <a:t> OF </a:t>
          </a:r>
          <a:r>
            <a:rPr lang="da-DK" sz="1200" b="1">
              <a:latin typeface="Times New Roman" panose="02020603050405020304" pitchFamily="18" charset="0"/>
              <a:cs typeface="Times New Roman" panose="02020603050405020304" pitchFamily="18" charset="0"/>
            </a:rPr>
            <a:t>NOW, copied from the HOU_SE file!</a:t>
          </a:r>
        </a:p>
        <a:p>
          <a:endParaRPr lang="da-DK" sz="1100">
            <a:latin typeface="Times New Roman" panose="02020603050405020304" pitchFamily="18" charset="0"/>
            <a:cs typeface="Times New Roman" panose="02020603050405020304" pitchFamily="18" charset="0"/>
          </a:endParaRPr>
        </a:p>
        <a:p>
          <a:endParaRPr lang="da-DK" sz="1100">
            <a:latin typeface="Times New Roman" panose="02020603050405020304" pitchFamily="18" charset="0"/>
            <a:cs typeface="Times New Roman" panose="02020603050405020304" pitchFamily="18" charset="0"/>
          </a:endParaRPr>
        </a:p>
      </xdr:txBody>
    </xdr:sp>
    <xdr:clientData/>
  </xdr:twoCellAnchor>
  <xdr:twoCellAnchor>
    <xdr:from>
      <xdr:col>11</xdr:col>
      <xdr:colOff>27213</xdr:colOff>
      <xdr:row>26</xdr:row>
      <xdr:rowOff>13607</xdr:rowOff>
    </xdr:from>
    <xdr:to>
      <xdr:col>12</xdr:col>
      <xdr:colOff>1170213</xdr:colOff>
      <xdr:row>29</xdr:row>
      <xdr:rowOff>163285</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16110856" y="4517571"/>
          <a:ext cx="2081893" cy="721178"/>
        </a:xfrm>
        <a:prstGeom prst="rect">
          <a:avLst/>
        </a:prstGeom>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AFA values and lifetimes should also be checked.</a:t>
          </a:r>
        </a:p>
        <a:p>
          <a:endParaRPr lang="da-DK" sz="1100">
            <a:latin typeface="Times New Roman" panose="02020603050405020304" pitchFamily="18" charset="0"/>
            <a:cs typeface="Times New Roman" panose="02020603050405020304" pitchFamily="18" charset="0"/>
          </a:endParaRPr>
        </a:p>
      </xdr:txBody>
    </xdr:sp>
    <xdr:clientData/>
  </xdr:twoCellAnchor>
  <xdr:twoCellAnchor>
    <xdr:from>
      <xdr:col>4</xdr:col>
      <xdr:colOff>1102181</xdr:colOff>
      <xdr:row>41</xdr:row>
      <xdr:rowOff>13606</xdr:rowOff>
    </xdr:from>
    <xdr:to>
      <xdr:col>6</xdr:col>
      <xdr:colOff>449039</xdr:colOff>
      <xdr:row>60</xdr:row>
      <xdr:rowOff>122463</xdr:rowOff>
    </xdr:to>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8749395" y="7375070"/>
          <a:ext cx="2707823" cy="3728357"/>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TIMES-Norway Documentation, IFE: </a:t>
          </a:r>
        </a:p>
        <a:p>
          <a:pPr lvl="1"/>
          <a:r>
            <a:rPr lang="en-US" sz="1100" b="0" i="0" u="none" strike="noStrike" baseline="0">
              <a:solidFill>
                <a:schemeClr val="dk1"/>
              </a:solidFill>
              <a:latin typeface="+mn-lt"/>
              <a:ea typeface="+mn-ea"/>
              <a:cs typeface="+mn-cs"/>
            </a:rPr>
            <a:t>"NVE and IFE agreed on an energy end-use share of </a:t>
          </a:r>
          <a:r>
            <a:rPr lang="en-US" sz="1100" b="0" i="0" u="none" strike="noStrike" baseline="0">
              <a:solidFill>
                <a:srgbClr val="FF0000"/>
              </a:solidFill>
              <a:latin typeface="+mn-lt"/>
              <a:ea typeface="+mn-ea"/>
              <a:cs typeface="+mn-cs"/>
            </a:rPr>
            <a:t>70% of energy use for “heating” </a:t>
          </a:r>
          <a:r>
            <a:rPr lang="en-US" sz="1100" b="0" i="0" u="none" strike="noStrike" baseline="0">
              <a:solidFill>
                <a:schemeClr val="dk1"/>
              </a:solidFill>
              <a:latin typeface="+mn-lt"/>
              <a:ea typeface="+mn-ea"/>
              <a:cs typeface="+mn-cs"/>
            </a:rPr>
            <a:t>and </a:t>
          </a:r>
          <a:r>
            <a:rPr lang="en-US" sz="1100" b="0" i="0" u="none" strike="noStrike" baseline="0">
              <a:solidFill>
                <a:srgbClr val="FF0000"/>
              </a:solidFill>
              <a:latin typeface="+mn-lt"/>
              <a:ea typeface="+mn-ea"/>
              <a:cs typeface="+mn-cs"/>
            </a:rPr>
            <a:t>30% for “electricity.” </a:t>
          </a:r>
          <a:r>
            <a:rPr lang="en-US" sz="1100" b="0" i="0" u="none" strike="noStrike" baseline="0">
              <a:solidFill>
                <a:schemeClr val="dk1"/>
              </a:solidFill>
              <a:latin typeface="+mn-lt"/>
              <a:ea typeface="+mn-ea"/>
              <a:cs typeface="+mn-cs"/>
            </a:rPr>
            <a:t>The demand of cooling was considered to be too small and uncertain to be included. It was further agreed to separate </a:t>
          </a:r>
          <a:r>
            <a:rPr lang="en-US" sz="1100" b="0" i="0" u="none" strike="noStrike" baseline="0">
              <a:solidFill>
                <a:srgbClr val="FF0000"/>
              </a:solidFill>
              <a:latin typeface="+mn-lt"/>
              <a:ea typeface="+mn-ea"/>
              <a:cs typeface="+mn-cs"/>
            </a:rPr>
            <a:t>“heating” into 58 % for space heating and 12 % for hot water heating</a:t>
          </a:r>
          <a:r>
            <a:rPr lang="en-US" sz="1100" b="0" i="0" u="none" strike="noStrike" baseline="0">
              <a:solidFill>
                <a:schemeClr val="dk1"/>
              </a:solidFill>
              <a:latin typeface="+mn-lt"/>
              <a:ea typeface="+mn-ea"/>
              <a:cs typeface="+mn-cs"/>
            </a:rPr>
            <a:t>. The division of energy end use in “electricity” and “heating” demand was decided to be equal for single and multi-family houses."</a:t>
          </a:r>
        </a:p>
        <a:p>
          <a:pPr lvl="1"/>
          <a:endParaRPr lang="en-US" sz="1100" b="0" i="0" u="none" strike="noStrike" baseline="0">
            <a:solidFill>
              <a:schemeClr val="dk1"/>
            </a:solidFill>
            <a:latin typeface="+mn-lt"/>
            <a:ea typeface="+mn-ea"/>
            <a:cs typeface="+mn-cs"/>
          </a:endParaRPr>
        </a:p>
        <a:p>
          <a:pPr lvl="0"/>
          <a:r>
            <a:rPr lang="en-US" sz="1100" b="0" i="0" u="none" strike="noStrike" baseline="0">
              <a:solidFill>
                <a:schemeClr val="dk1"/>
              </a:solidFill>
              <a:latin typeface="+mn-lt"/>
              <a:ea typeface="+mn-ea"/>
              <a:cs typeface="+mn-cs"/>
            </a:rPr>
            <a:t>Therefore, </a:t>
          </a:r>
        </a:p>
        <a:p>
          <a:pPr lvl="0"/>
          <a:r>
            <a:rPr lang="en-US" sz="1100" b="1" i="0" u="none" strike="noStrike" baseline="0">
              <a:solidFill>
                <a:schemeClr val="dk1"/>
              </a:solidFill>
              <a:latin typeface="+mn-lt"/>
              <a:ea typeface="+mn-ea"/>
              <a:cs typeface="+mn-cs"/>
            </a:rPr>
            <a:t>30% </a:t>
          </a:r>
          <a:r>
            <a:rPr lang="en-US" sz="1100" b="0" i="0" u="none" strike="noStrike" baseline="0">
              <a:solidFill>
                <a:schemeClr val="dk1"/>
              </a:solidFill>
              <a:latin typeface="+mn-lt"/>
              <a:ea typeface="+mn-ea"/>
              <a:cs typeface="+mn-cs"/>
            </a:rPr>
            <a:t>of total electricity to residential stands for Appliences,</a:t>
          </a:r>
        </a:p>
        <a:p>
          <a:pPr lvl="0"/>
          <a:r>
            <a:rPr lang="en-US" sz="1100" b="1" i="0" u="none" strike="noStrike" baseline="0">
              <a:solidFill>
                <a:schemeClr val="dk1"/>
              </a:solidFill>
              <a:latin typeface="+mn-lt"/>
              <a:ea typeface="+mn-ea"/>
              <a:cs typeface="+mn-cs"/>
            </a:rPr>
            <a:t>58%</a:t>
          </a:r>
          <a:r>
            <a:rPr lang="en-US" sz="1100" b="0" i="0" u="none" strike="noStrike" baseline="0">
              <a:solidFill>
                <a:schemeClr val="dk1"/>
              </a:solidFill>
              <a:latin typeface="+mn-lt"/>
              <a:ea typeface="+mn-ea"/>
              <a:cs typeface="+mn-cs"/>
            </a:rPr>
            <a:t> of electricity + all other fules stand for space heating</a:t>
          </a:r>
        </a:p>
        <a:p>
          <a:pPr lvl="0"/>
          <a:r>
            <a:rPr lang="en-US" sz="1100" b="1" i="0" u="none" strike="noStrike" baseline="0">
              <a:solidFill>
                <a:schemeClr val="dk1"/>
              </a:solidFill>
              <a:latin typeface="+mn-lt"/>
              <a:ea typeface="+mn-ea"/>
              <a:cs typeface="+mn-cs"/>
            </a:rPr>
            <a:t>12% </a:t>
          </a:r>
          <a:r>
            <a:rPr lang="en-US" sz="1100" b="0" i="0" u="none" strike="noStrike" baseline="0">
              <a:solidFill>
                <a:schemeClr val="dk1"/>
              </a:solidFill>
              <a:latin typeface="+mn-lt"/>
              <a:ea typeface="+mn-ea"/>
              <a:cs typeface="+mn-cs"/>
            </a:rPr>
            <a:t>of electricity stands for DHW</a:t>
          </a:r>
        </a:p>
      </xdr:txBody>
    </xdr:sp>
    <xdr:clientData/>
  </xdr:twoCellAnchor>
  <xdr:twoCellAnchor>
    <xdr:from>
      <xdr:col>7</xdr:col>
      <xdr:colOff>7423</xdr:colOff>
      <xdr:row>41</xdr:row>
      <xdr:rowOff>3710</xdr:rowOff>
    </xdr:from>
    <xdr:to>
      <xdr:col>19</xdr:col>
      <xdr:colOff>268941</xdr:colOff>
      <xdr:row>57</xdr:row>
      <xdr:rowOff>78441</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2412335" y="7343563"/>
          <a:ext cx="10727812" cy="31227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Dmytro Romanchenko,</a:t>
          </a:r>
          <a:r>
            <a:rPr lang="en-US" sz="1200" u="sng" baseline="0"/>
            <a:t> September 2020</a:t>
          </a:r>
          <a:r>
            <a:rPr lang="en-US" sz="1200" u="sng"/>
            <a:t>:</a:t>
          </a:r>
        </a:p>
        <a:p>
          <a:endParaRPr lang="en-US" sz="1200"/>
        </a:p>
        <a:p>
          <a:r>
            <a:rPr lang="en-US" sz="1200"/>
            <a:t>Table 1: Total energy consumption in households in Norway, GWh  (see Statistics Norway - ENERGY USE sheet)</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t>Table 2:  Energy consumption for space heating and DHW in households in Norway:</a:t>
          </a:r>
          <a:endParaRPr lang="en-US" sz="1200" b="1">
            <a:effectLst/>
          </a:endParaRPr>
        </a:p>
        <a:p>
          <a:pPr lvl="1"/>
          <a:r>
            <a:rPr lang="en-US" sz="1200" baseline="0"/>
            <a:t>* Information from NVE and IFE is taken into account</a:t>
          </a:r>
        </a:p>
        <a:p>
          <a:pPr lvl="0"/>
          <a:endParaRPr lang="en-US" sz="1200" baseline="0"/>
        </a:p>
        <a:p>
          <a:pPr lvl="0"/>
          <a:r>
            <a:rPr lang="en-US" sz="1200" baseline="0"/>
            <a:t>Table 3: Heated area of the dwelling stock, over 2 regions, building type, construction year and share of centralization, m2   (copied from Service_Demand_2010 sheet)</a:t>
          </a:r>
        </a:p>
        <a:p>
          <a:pPr lvl="0"/>
          <a:endParaRPr lang="en-US" sz="1200" baseline="0"/>
        </a:p>
        <a:p>
          <a:pPr lvl="0"/>
          <a:r>
            <a:rPr lang="en-US" sz="1200" baseline="0"/>
            <a:t>Table 4: Energy consumption for space heating and DHW of the dwelling stock, over 2 regions, building type, construction year and share of centralization,  GWh</a:t>
          </a:r>
        </a:p>
        <a:p>
          <a:pPr lvl="0"/>
          <a:r>
            <a:rPr lang="en-US" sz="1200" baseline="0"/>
            <a:t>             * total energy consumption is divided between the buildings types based on the statistics on the heated floor area</a:t>
          </a:r>
        </a:p>
        <a:p>
          <a:pPr lvl="0"/>
          <a:r>
            <a:rPr lang="en-US" sz="1200" baseline="0"/>
            <a:t>             * specific energy use in buildings (Table 3.1) is used to account for larger energy use in Northern Norway as compared to Southern Norway</a:t>
          </a:r>
        </a:p>
        <a:p>
          <a:pPr lvl="0"/>
          <a:r>
            <a:rPr lang="en-US" sz="1200" baseline="0"/>
            <a:t>             * calibration is used to match now divided energy consumption with the total number, i.e., 39598 GWh</a:t>
          </a:r>
        </a:p>
        <a:p>
          <a:pPr lvl="0"/>
          <a:endParaRPr lang="en-US" sz="1200" baseline="0"/>
        </a:p>
        <a:p>
          <a:pPr lvl="0"/>
          <a:r>
            <a:rPr lang="en-US" sz="1200" baseline="0"/>
            <a:t>Table 5: Calculation of the shares of HPs in different building types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22</xdr:col>
      <xdr:colOff>27214</xdr:colOff>
      <xdr:row>4</xdr:row>
      <xdr:rowOff>40821</xdr:rowOff>
    </xdr:from>
    <xdr:to>
      <xdr:col>27</xdr:col>
      <xdr:colOff>13607</xdr:colOff>
      <xdr:row>37</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17</xdr:col>
      <xdr:colOff>585107</xdr:colOff>
      <xdr:row>90</xdr:row>
      <xdr:rowOff>13606</xdr:rowOff>
    </xdr:from>
    <xdr:to>
      <xdr:col>24</xdr:col>
      <xdr:colOff>503465</xdr:colOff>
      <xdr:row>93</xdr:row>
      <xdr:rowOff>95250</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20465143" y="15022285"/>
          <a:ext cx="5225143" cy="59871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Calibration factor to make the consumption calculated in this sheet (columns V, Y, AB, AE) lower or equal to the consumption calculated in the Boilers sheet. This is done to ensure that the capcity of the generation units if sufficient to cover the demand.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20856</xdr:colOff>
      <xdr:row>3</xdr:row>
      <xdr:rowOff>3077</xdr:rowOff>
    </xdr:from>
    <xdr:to>
      <xdr:col>13</xdr:col>
      <xdr:colOff>925829</xdr:colOff>
      <xdr:row>9</xdr:row>
      <xdr:rowOff>161925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7717056" y="517427"/>
          <a:ext cx="4857848" cy="136852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is presented in columns DEMAND~NOR1 and DEMAND~NOR2.</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813434</xdr:colOff>
      <xdr:row>21</xdr:row>
      <xdr:rowOff>22860</xdr:rowOff>
    </xdr:from>
    <xdr:to>
      <xdr:col>4</xdr:col>
      <xdr:colOff>760094</xdr:colOff>
      <xdr:row>30</xdr:row>
      <xdr:rowOff>123826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27759" y="3432810"/>
          <a:ext cx="5290185" cy="15868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twoCellAnchor>
    <xdr:from>
      <xdr:col>9</xdr:col>
      <xdr:colOff>325755</xdr:colOff>
      <xdr:row>3</xdr:row>
      <xdr:rowOff>152402</xdr:rowOff>
    </xdr:from>
    <xdr:to>
      <xdr:col>18</xdr:col>
      <xdr:colOff>152400</xdr:colOff>
      <xdr:row>8</xdr:row>
      <xdr:rowOff>142876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9364980" y="638177"/>
          <a:ext cx="5313045"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a:t>
          </a:r>
          <a:r>
            <a:rPr lang="en-US" sz="1100" b="1" baseline="0"/>
            <a:t> 2nd February 2018:</a:t>
          </a:r>
        </a:p>
        <a:p>
          <a:r>
            <a:rPr lang="en-US" sz="1100" b="0" baseline="0"/>
            <a:t>I removed the losses defined by Mohammad through the process FT-RESHCE and FT-RESHDE, since I have already defined them into the SysSettings. </a:t>
          </a:r>
          <a:r>
            <a:rPr lang="en-US" sz="1100" b="0" baseline="0">
              <a:solidFill>
                <a:schemeClr val="bg2">
                  <a:lumMod val="50000"/>
                </a:schemeClr>
              </a:solidFill>
            </a:rPr>
            <a:t>Moreover, I will proceed removing also such losses in the SysSettings when I will model pipes</a:t>
          </a:r>
        </a:p>
        <a:p>
          <a:endParaRPr lang="en-US" sz="1100" b="0" baseline="0">
            <a:solidFill>
              <a:schemeClr val="bg2">
                <a:lumMod val="50000"/>
              </a:schemeClr>
            </a:solidFill>
          </a:endParaRPr>
        </a:p>
      </xdr:txBody>
    </xdr:sp>
    <xdr:clientData/>
  </xdr:twoCellAnchor>
  <xdr:twoCellAnchor>
    <xdr:from>
      <xdr:col>9</xdr:col>
      <xdr:colOff>323850</xdr:colOff>
      <xdr:row>10</xdr:row>
      <xdr:rowOff>9525</xdr:rowOff>
    </xdr:from>
    <xdr:to>
      <xdr:col>18</xdr:col>
      <xdr:colOff>150495</xdr:colOff>
      <xdr:row>15</xdr:row>
      <xdr:rowOff>9524</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9363075" y="1638300"/>
          <a:ext cx="5313045" cy="80962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Dmytro,</a:t>
          </a:r>
          <a:r>
            <a:rPr lang="en-US" sz="1100" b="1" baseline="0"/>
            <a:t> September 2020:</a:t>
          </a:r>
        </a:p>
        <a:p>
          <a:r>
            <a:rPr lang="en-US" sz="1100" b="0" baseline="0"/>
            <a:t>I think the comment above should be checked!!!</a:t>
          </a:r>
          <a:endParaRPr lang="en-US" sz="1100" b="0" baseline="0">
            <a:solidFill>
              <a:schemeClr val="bg2">
                <a:lumMod val="50000"/>
              </a:schemeClr>
            </a:solidFill>
          </a:endParaRPr>
        </a:p>
        <a:p>
          <a:endParaRPr lang="en-US" sz="1100" b="0" baseline="0">
            <a:solidFill>
              <a:schemeClr val="bg2">
                <a:lumMod val="50000"/>
              </a:schemeClr>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4450</xdr:colOff>
      <xdr:row>37</xdr:row>
      <xdr:rowOff>948</xdr:rowOff>
    </xdr:from>
    <xdr:to>
      <xdr:col>20</xdr:col>
      <xdr:colOff>587829</xdr:colOff>
      <xdr:row>54</xdr:row>
      <xdr:rowOff>176893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2291700" y="7131091"/>
          <a:ext cx="7944843" cy="34280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Moah 8 May 2017  (updated by Dmytro,</a:t>
          </a:r>
          <a:r>
            <a:rPr lang="en-US" sz="1100" baseline="0"/>
            <a:t> September 2020)</a:t>
          </a:r>
          <a:r>
            <a:rPr lang="en-US" sz="1100"/>
            <a:t>:</a:t>
          </a:r>
        </a:p>
        <a:p>
          <a:endParaRPr lang="en-US" sz="1100"/>
        </a:p>
        <a:p>
          <a:r>
            <a:rPr lang="en-US" sz="1100"/>
            <a:t>Table 1</a:t>
          </a:r>
          <a:r>
            <a:rPr lang="en-US" sz="1100" baseline="0"/>
            <a:t> is the frequency of buildings in BY from ssb.no. Table 06266 (2010)</a:t>
          </a:r>
        </a:p>
        <a:p>
          <a:pPr lvl="1"/>
          <a:r>
            <a:rPr lang="en-US" sz="1100" baseline="0"/>
            <a:t>* Svalbard is left out.</a:t>
          </a:r>
        </a:p>
        <a:p>
          <a:pPr lvl="1"/>
          <a:r>
            <a:rPr lang="en-US" sz="1100" baseline="0"/>
            <a:t>* Other houses are left out.</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Table 2: Aggregated frequency of dwelling stock based on building type (detached vs multi S) and construction year   +    Assumtions on the share of centralization:</a:t>
          </a:r>
          <a:endParaRPr lang="en-US" b="1">
            <a:effectLst/>
          </a:endParaRPr>
        </a:p>
        <a:p>
          <a:pPr lvl="1"/>
          <a:r>
            <a:rPr lang="en-US" sz="1100" baseline="0"/>
            <a:t>* ssb reported that in 2009 around 2% of housholds used </a:t>
          </a:r>
          <a:r>
            <a:rPr lang="en-US" sz="1100" baseline="0">
              <a:solidFill>
                <a:schemeClr val="dk1"/>
              </a:solidFill>
              <a:effectLst/>
              <a:latin typeface="+mn-lt"/>
              <a:ea typeface="+mn-ea"/>
              <a:cs typeface="+mn-cs"/>
            </a:rPr>
            <a:t>district heating</a:t>
          </a:r>
          <a:r>
            <a:rPr lang="en-US" sz="1100" baseline="0"/>
            <a:t>.  </a:t>
          </a:r>
        </a:p>
        <a:p>
          <a:pPr lvl="1"/>
          <a:r>
            <a:rPr lang="en-US" sz="1100" baseline="0"/>
            <a:t>* We assume in four major cities, i.e., Oslo, Bergen, Trondheil and Stavanger, all district heating system is central and in other cities, all DH is decentral.</a:t>
          </a:r>
        </a:p>
        <a:p>
          <a:pPr lvl="0"/>
          <a:endParaRPr lang="en-US" sz="1100" baseline="0"/>
        </a:p>
        <a:p>
          <a:pPr lvl="0"/>
          <a:r>
            <a:rPr lang="en-US" sz="1100" baseline="0"/>
            <a:t>Table 3: Aggreagted dwelling stock divided into centralized, decentralized and individual buildings (based on assumed shares)</a:t>
          </a:r>
        </a:p>
        <a:p>
          <a:pPr lvl="0"/>
          <a:endParaRPr lang="en-US" sz="1100" baseline="0"/>
        </a:p>
        <a:p>
          <a:pPr lvl="0"/>
          <a:r>
            <a:rPr lang="en-US" sz="1100" baseline="0"/>
            <a:t>Table 4: Frequency and heated area of buildings are taken from TABULA project.</a:t>
          </a:r>
        </a:p>
        <a:p>
          <a:pPr lvl="0"/>
          <a:endParaRPr lang="en-US" sz="1100" baseline="0"/>
        </a:p>
        <a:p>
          <a:pPr lvl="0"/>
          <a:r>
            <a:rPr lang="en-US" sz="1100" baseline="0"/>
            <a:t>Table 5: Total area of the aggregated dwelling stock divided into centralized, decentralized and individual buildings</a:t>
          </a:r>
        </a:p>
        <a:p>
          <a:pPr lvl="0"/>
          <a:endParaRPr lang="en-US" sz="1100" baseline="0"/>
        </a:p>
        <a:p>
          <a:pPr lvl="0"/>
          <a:r>
            <a:rPr lang="en-US" sz="1100" baseline="0"/>
            <a:t>Table 6: Calculated heated area of the dwelling stock, over 2 regions, building type, construction year and share of centralization,   m2</a:t>
          </a:r>
        </a:p>
        <a:p>
          <a:pPr lvl="0"/>
          <a:endParaRPr lang="en-US" sz="1100" baseline="0"/>
        </a:p>
      </xdr:txBody>
    </xdr:sp>
    <xdr:clientData/>
  </xdr:twoCellAnchor>
  <xdr:twoCellAnchor editAs="oneCell">
    <xdr:from>
      <xdr:col>23</xdr:col>
      <xdr:colOff>4000</xdr:colOff>
      <xdr:row>89</xdr:row>
      <xdr:rowOff>70935</xdr:rowOff>
    </xdr:from>
    <xdr:to>
      <xdr:col>30</xdr:col>
      <xdr:colOff>1235</xdr:colOff>
      <xdr:row>97</xdr:row>
      <xdr:rowOff>156478</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040893" y="17215935"/>
          <a:ext cx="4923021" cy="1663972"/>
        </a:xfrm>
        <a:prstGeom prst="rect">
          <a:avLst/>
        </a:prstGeom>
      </xdr:spPr>
    </xdr:pic>
    <xdr:clientData/>
  </xdr:twoCellAnchor>
  <xdr:twoCellAnchor editAs="oneCell">
    <xdr:from>
      <xdr:col>15</xdr:col>
      <xdr:colOff>231323</xdr:colOff>
      <xdr:row>87</xdr:row>
      <xdr:rowOff>27214</xdr:rowOff>
    </xdr:from>
    <xdr:to>
      <xdr:col>22</xdr:col>
      <xdr:colOff>423592</xdr:colOff>
      <xdr:row>103</xdr:row>
      <xdr:rowOff>172993</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25000"/>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15103930" y="16777607"/>
          <a:ext cx="6820852" cy="32580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1323982</xdr:colOff>
      <xdr:row>62</xdr:row>
      <xdr:rowOff>7684</xdr:rowOff>
    </xdr:from>
    <xdr:to>
      <xdr:col>11</xdr:col>
      <xdr:colOff>771896</xdr:colOff>
      <xdr:row>86</xdr:row>
      <xdr:rowOff>112247</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019691" y="12158120"/>
          <a:ext cx="8093150" cy="428863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sv-SE" sz="1400" b="1">
              <a:solidFill>
                <a:srgbClr val="C00000"/>
              </a:solidFill>
            </a:rPr>
            <a:t>BEWARE</a:t>
          </a:r>
          <a:r>
            <a:rPr lang="sv-SE" sz="1400" b="1" baseline="0">
              <a:solidFill>
                <a:srgbClr val="C00000"/>
              </a:solidFill>
            </a:rPr>
            <a:t> norwegian statistics!</a:t>
          </a:r>
        </a:p>
        <a:p>
          <a:pPr fontAlgn="base"/>
          <a:endParaRPr lang="sv-SE" sz="1200" b="1" baseline="0"/>
        </a:p>
        <a:p>
          <a:pPr fontAlgn="base"/>
          <a:r>
            <a:rPr lang="sv-SE" sz="1200" b="1"/>
            <a:t>Dwelling: </a:t>
          </a:r>
          <a:r>
            <a:rPr lang="sv-SE" sz="1200"/>
            <a:t>A dwelling is defined as one or more rooms that has been built or rebuilt for the purpose of being used as a round-the-year dwelling for one or more persons. It must be possible to have access to the room (-s) without having to go through another dwelling. Both dwelling units and single rooms are counted as dwellings. A dwelling unit is a conventional dwelling with at least one room and kitchen. Single rooms are living quarters with separate entrance and with access to water and toilet outside other living quarters.</a:t>
          </a:r>
        </a:p>
        <a:p>
          <a:pPr fontAlgn="base"/>
          <a:endParaRPr lang="sv-SE" sz="1200"/>
        </a:p>
        <a:p>
          <a:pPr fontAlgn="base"/>
          <a:r>
            <a:rPr lang="sv-SE" sz="1200" b="1" i="0">
              <a:solidFill>
                <a:schemeClr val="dk1"/>
              </a:solidFill>
              <a:effectLst/>
              <a:latin typeface="+mn-lt"/>
              <a:ea typeface="+mn-ea"/>
              <a:cs typeface="+mn-cs"/>
            </a:rPr>
            <a:t>Building</a:t>
          </a:r>
          <a:r>
            <a:rPr lang="sv-SE" sz="1200" b="0" i="0">
              <a:solidFill>
                <a:schemeClr val="dk1"/>
              </a:solidFill>
              <a:effectLst/>
              <a:latin typeface="+mn-lt"/>
              <a:ea typeface="+mn-ea"/>
              <a:cs typeface="+mn-cs"/>
            </a:rPr>
            <a:t> : As a main rule, freestanding building units are to be given a unique building number. Combined units can be assigned individual building numbers when the building parts can be torn down independent of each other.</a:t>
          </a:r>
          <a:endParaRPr lang="sv-SE" sz="1200">
            <a:effectLst/>
          </a:endParaRPr>
        </a:p>
        <a:p>
          <a:pPr fontAlgn="base"/>
          <a:r>
            <a:rPr lang="sv-SE" sz="1200" b="0" i="0">
              <a:solidFill>
                <a:schemeClr val="dk1"/>
              </a:solidFill>
              <a:effectLst/>
              <a:latin typeface="+mn-lt"/>
              <a:ea typeface="+mn-ea"/>
              <a:cs typeface="+mn-cs"/>
            </a:rPr>
            <a:t>Row houses in which each dwelling unit lies on the ground are assigned one building number for each dwelling. Vertically divided semi-detached houses in which the housing units are equal shall be given one building number for each unit. On the other hand, horizontally divided semi-detached homes, four-unit houses and larger residential buildings in which the housing units lie on top of each other are assigned one building number for the entire building.</a:t>
          </a:r>
          <a:endParaRPr lang="sv-SE" sz="1200">
            <a:effectLst/>
          </a:endParaRPr>
        </a:p>
        <a:p>
          <a:pPr fontAlgn="base"/>
          <a:endParaRPr lang="sv-SE" sz="1200"/>
        </a:p>
        <a:p>
          <a:pPr fontAlgn="base"/>
          <a:r>
            <a:rPr lang="sv-SE" sz="1200" b="1" i="0">
              <a:solidFill>
                <a:schemeClr val="dk1"/>
              </a:solidFill>
              <a:effectLst/>
              <a:latin typeface="+mn-lt"/>
              <a:ea typeface="+mn-ea"/>
              <a:cs typeface="+mn-cs"/>
            </a:rPr>
            <a:t>Household:</a:t>
          </a:r>
          <a:r>
            <a:rPr lang="sv-SE" sz="1200" b="1" i="0" baseline="0">
              <a:solidFill>
                <a:schemeClr val="dk1"/>
              </a:solidFill>
              <a:effectLst/>
              <a:latin typeface="+mn-lt"/>
              <a:ea typeface="+mn-ea"/>
              <a:cs typeface="+mn-cs"/>
            </a:rPr>
            <a:t> </a:t>
          </a:r>
          <a:r>
            <a:rPr lang="sv-SE" sz="1200" b="0" i="0">
              <a:solidFill>
                <a:schemeClr val="dk1"/>
              </a:solidFill>
              <a:effectLst/>
              <a:latin typeface="+mn-lt"/>
              <a:ea typeface="+mn-ea"/>
              <a:cs typeface="+mn-cs"/>
            </a:rPr>
            <a:t>A household consists of all persons living in the same dwelling and eating at least one meal together every day. Persons who are temporarily absent due to school; vacation, admission to hospital, military service etc. are included.</a:t>
          </a:r>
          <a:endParaRPr lang="sv-SE" sz="1200">
            <a:effectLst/>
          </a:endParaRPr>
        </a:p>
        <a:p>
          <a:pPr fontAlgn="base"/>
          <a:r>
            <a:rPr lang="sv-SE" sz="1200" b="0" i="0">
              <a:solidFill>
                <a:schemeClr val="dk1"/>
              </a:solidFill>
              <a:effectLst/>
              <a:latin typeface="+mn-lt"/>
              <a:ea typeface="+mn-ea"/>
              <a:cs typeface="+mn-cs"/>
            </a:rPr>
            <a:t>Hence, I guess household</a:t>
          </a:r>
          <a:r>
            <a:rPr lang="sv-SE" sz="1200" b="0" i="0" baseline="0">
              <a:solidFill>
                <a:schemeClr val="dk1"/>
              </a:solidFill>
              <a:effectLst/>
              <a:latin typeface="+mn-lt"/>
              <a:ea typeface="+mn-ea"/>
              <a:cs typeface="+mn-cs"/>
            </a:rPr>
            <a:t> should be considered a proxy for a dwelling! </a:t>
          </a:r>
        </a:p>
        <a:p>
          <a:pPr fontAlgn="base"/>
          <a:endParaRPr lang="sv-SE" sz="1200">
            <a:effectLst/>
          </a:endParaRPr>
        </a:p>
        <a:p>
          <a:pPr fontAlgn="base"/>
          <a:r>
            <a:rPr lang="sv-SE" sz="1600" b="0" i="0" baseline="0">
              <a:solidFill>
                <a:schemeClr val="dk1"/>
              </a:solidFill>
              <a:effectLst/>
              <a:latin typeface="+mn-lt"/>
              <a:ea typeface="+mn-ea"/>
              <a:cs typeface="+mn-cs"/>
            </a:rPr>
            <a:t>Meaning, that statistics for </a:t>
          </a:r>
          <a:r>
            <a:rPr lang="sv-SE" sz="1600" b="1" i="0" baseline="0">
              <a:solidFill>
                <a:schemeClr val="dk1"/>
              </a:solidFill>
              <a:effectLst/>
              <a:latin typeface="+mn-lt"/>
              <a:ea typeface="+mn-ea"/>
              <a:cs typeface="+mn-cs"/>
            </a:rPr>
            <a:t>households</a:t>
          </a:r>
          <a:r>
            <a:rPr lang="sv-SE" sz="1600" b="0" i="0" baseline="0">
              <a:solidFill>
                <a:schemeClr val="dk1"/>
              </a:solidFill>
              <a:effectLst/>
              <a:latin typeface="+mn-lt"/>
              <a:ea typeface="+mn-ea"/>
              <a:cs typeface="+mn-cs"/>
            </a:rPr>
            <a:t> should be compared to statistics for </a:t>
          </a:r>
          <a:r>
            <a:rPr lang="sv-SE" sz="1600" b="1" i="0" baseline="0">
              <a:solidFill>
                <a:schemeClr val="dk1"/>
              </a:solidFill>
              <a:effectLst/>
              <a:latin typeface="+mn-lt"/>
              <a:ea typeface="+mn-ea"/>
              <a:cs typeface="+mn-cs"/>
            </a:rPr>
            <a:t>dwellings</a:t>
          </a:r>
          <a:r>
            <a:rPr lang="sv-SE" sz="1600" b="0" i="0" baseline="0">
              <a:solidFill>
                <a:schemeClr val="dk1"/>
              </a:solidFill>
              <a:effectLst/>
              <a:latin typeface="+mn-lt"/>
              <a:ea typeface="+mn-ea"/>
              <a:cs typeface="+mn-cs"/>
            </a:rPr>
            <a:t> and not for </a:t>
          </a:r>
          <a:r>
            <a:rPr lang="sv-SE" sz="1600" b="1" i="0" baseline="0">
              <a:solidFill>
                <a:schemeClr val="dk1"/>
              </a:solidFill>
              <a:effectLst/>
              <a:latin typeface="+mn-lt"/>
              <a:ea typeface="+mn-ea"/>
              <a:cs typeface="+mn-cs"/>
            </a:rPr>
            <a:t>buildings</a:t>
          </a:r>
          <a:r>
            <a:rPr lang="sv-SE" sz="1600" b="0" i="0" baseline="0">
              <a:solidFill>
                <a:schemeClr val="dk1"/>
              </a:solidFill>
              <a:effectLst/>
              <a:latin typeface="+mn-lt"/>
              <a:ea typeface="+mn-ea"/>
              <a:cs typeface="+mn-cs"/>
            </a:rPr>
            <a:t>!</a:t>
          </a:r>
          <a:endParaRPr lang="sv-SE" sz="1600">
            <a:effectLst/>
          </a:endParaRPr>
        </a:p>
        <a:p>
          <a:pPr fontAlgn="base"/>
          <a:endParaRPr lang="sv-SE"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381000</xdr:colOff>
      <xdr:row>3</xdr:row>
      <xdr:rowOff>28575</xdr:rowOff>
    </xdr:from>
    <xdr:to>
      <xdr:col>8</xdr:col>
      <xdr:colOff>266700</xdr:colOff>
      <xdr:row>31</xdr:row>
      <xdr:rowOff>9525</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514350"/>
          <a:ext cx="4762500" cy="5057775"/>
        </a:xfrm>
        <a:prstGeom prst="rect">
          <a:avLst/>
        </a:prstGeom>
      </xdr:spPr>
    </xdr:pic>
    <xdr:clientData/>
  </xdr:twoCellAnchor>
  <xdr:twoCellAnchor>
    <xdr:from>
      <xdr:col>0</xdr:col>
      <xdr:colOff>571501</xdr:colOff>
      <xdr:row>2</xdr:row>
      <xdr:rowOff>9525</xdr:rowOff>
    </xdr:from>
    <xdr:to>
      <xdr:col>8</xdr:col>
      <xdr:colOff>19051</xdr:colOff>
      <xdr:row>20</xdr:row>
      <xdr:rowOff>38100</xdr:rowOff>
    </xdr:to>
    <xdr:sp macro="" textlink="">
      <xdr:nvSpPr>
        <xdr:cNvPr id="4" name="Rectangle 3">
          <a:extLst>
            <a:ext uri="{FF2B5EF4-FFF2-40B4-BE49-F238E27FC236}">
              <a16:creationId xmlns:a16="http://schemas.microsoft.com/office/drawing/2014/main" id="{00000000-0008-0000-0E00-000004000000}"/>
            </a:ext>
          </a:extLst>
        </xdr:cNvPr>
        <xdr:cNvSpPr/>
      </xdr:nvSpPr>
      <xdr:spPr bwMode="auto">
        <a:xfrm>
          <a:off x="1181101" y="333375"/>
          <a:ext cx="4324350" cy="3371850"/>
        </a:xfrm>
        <a:prstGeom prst="rect">
          <a:avLst/>
        </a:prstGeom>
        <a:solidFill>
          <a:schemeClr val="accent1">
            <a:lumMod val="40000"/>
            <a:lumOff val="60000"/>
            <a:alpha val="46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lang="sv-SE" sz="1100"/>
        </a:p>
      </xdr:txBody>
    </xdr:sp>
    <xdr:clientData/>
  </xdr:twoCellAnchor>
  <xdr:twoCellAnchor>
    <xdr:from>
      <xdr:col>0</xdr:col>
      <xdr:colOff>123825</xdr:colOff>
      <xdr:row>20</xdr:row>
      <xdr:rowOff>66675</xdr:rowOff>
    </xdr:from>
    <xdr:to>
      <xdr:col>7</xdr:col>
      <xdr:colOff>19050</xdr:colOff>
      <xdr:row>35</xdr:row>
      <xdr:rowOff>38101</xdr:rowOff>
    </xdr:to>
    <xdr:sp macro="" textlink="">
      <xdr:nvSpPr>
        <xdr:cNvPr id="5" name="Rectangle 4">
          <a:extLst>
            <a:ext uri="{FF2B5EF4-FFF2-40B4-BE49-F238E27FC236}">
              <a16:creationId xmlns:a16="http://schemas.microsoft.com/office/drawing/2014/main" id="{00000000-0008-0000-0E00-000005000000}"/>
            </a:ext>
          </a:extLst>
        </xdr:cNvPr>
        <xdr:cNvSpPr/>
      </xdr:nvSpPr>
      <xdr:spPr bwMode="auto">
        <a:xfrm>
          <a:off x="733425" y="3733800"/>
          <a:ext cx="4162425" cy="2543176"/>
        </a:xfrm>
        <a:prstGeom prst="rect">
          <a:avLst/>
        </a:prstGeom>
        <a:solidFill>
          <a:schemeClr val="accent2">
            <a:lumMod val="20000"/>
            <a:lumOff val="80000"/>
            <a:alpha val="46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lang="sv-SE" sz="1100"/>
        </a:p>
      </xdr:txBody>
    </xdr:sp>
    <xdr:clientData/>
  </xdr:twoCellAnchor>
  <xdr:twoCellAnchor editAs="oneCell">
    <xdr:from>
      <xdr:col>18</xdr:col>
      <xdr:colOff>390525</xdr:colOff>
      <xdr:row>1</xdr:row>
      <xdr:rowOff>66675</xdr:rowOff>
    </xdr:from>
    <xdr:to>
      <xdr:col>25</xdr:col>
      <xdr:colOff>300349</xdr:colOff>
      <xdr:row>32</xdr:row>
      <xdr:rowOff>90845</xdr:rowOff>
    </xdr:to>
    <xdr:pic>
      <xdr:nvPicPr>
        <xdr:cNvPr id="7" name="Picture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92025" y="228600"/>
          <a:ext cx="4177024" cy="5586770"/>
        </a:xfrm>
        <a:prstGeom prst="rect">
          <a:avLst/>
        </a:prstGeom>
      </xdr:spPr>
    </xdr:pic>
    <xdr:clientData/>
  </xdr:twoCellAnchor>
  <xdr:twoCellAnchor>
    <xdr:from>
      <xdr:col>19</xdr:col>
      <xdr:colOff>28574</xdr:colOff>
      <xdr:row>2</xdr:row>
      <xdr:rowOff>0</xdr:rowOff>
    </xdr:from>
    <xdr:to>
      <xdr:col>26</xdr:col>
      <xdr:colOff>323849</xdr:colOff>
      <xdr:row>21</xdr:row>
      <xdr:rowOff>171450</xdr:rowOff>
    </xdr:to>
    <xdr:sp macro="" textlink="">
      <xdr:nvSpPr>
        <xdr:cNvPr id="8" name="Rectangle 7">
          <a:extLst>
            <a:ext uri="{FF2B5EF4-FFF2-40B4-BE49-F238E27FC236}">
              <a16:creationId xmlns:a16="http://schemas.microsoft.com/office/drawing/2014/main" id="{00000000-0008-0000-0E00-000008000000}"/>
            </a:ext>
          </a:extLst>
        </xdr:cNvPr>
        <xdr:cNvSpPr/>
      </xdr:nvSpPr>
      <xdr:spPr bwMode="auto">
        <a:xfrm>
          <a:off x="12639674" y="323850"/>
          <a:ext cx="4562475" cy="3705225"/>
        </a:xfrm>
        <a:prstGeom prst="rect">
          <a:avLst/>
        </a:prstGeom>
        <a:solidFill>
          <a:schemeClr val="accent1">
            <a:lumMod val="40000"/>
            <a:lumOff val="60000"/>
            <a:alpha val="46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lang="sv-SE" sz="1100"/>
        </a:p>
      </xdr:txBody>
    </xdr:sp>
    <xdr:clientData/>
  </xdr:twoCellAnchor>
  <xdr:twoCellAnchor>
    <xdr:from>
      <xdr:col>17</xdr:col>
      <xdr:colOff>438150</xdr:colOff>
      <xdr:row>22</xdr:row>
      <xdr:rowOff>9525</xdr:rowOff>
    </xdr:from>
    <xdr:to>
      <xdr:col>24</xdr:col>
      <xdr:colOff>333375</xdr:colOff>
      <xdr:row>37</xdr:row>
      <xdr:rowOff>38101</xdr:rowOff>
    </xdr:to>
    <xdr:sp macro="" textlink="">
      <xdr:nvSpPr>
        <xdr:cNvPr id="9" name="Rectangle 8">
          <a:extLst>
            <a:ext uri="{FF2B5EF4-FFF2-40B4-BE49-F238E27FC236}">
              <a16:creationId xmlns:a16="http://schemas.microsoft.com/office/drawing/2014/main" id="{00000000-0008-0000-0E00-000009000000}"/>
            </a:ext>
          </a:extLst>
        </xdr:cNvPr>
        <xdr:cNvSpPr/>
      </xdr:nvSpPr>
      <xdr:spPr bwMode="auto">
        <a:xfrm>
          <a:off x="11830050" y="4057650"/>
          <a:ext cx="4162425" cy="2543176"/>
        </a:xfrm>
        <a:prstGeom prst="rect">
          <a:avLst/>
        </a:prstGeom>
        <a:solidFill>
          <a:schemeClr val="accent2">
            <a:lumMod val="20000"/>
            <a:lumOff val="80000"/>
            <a:alpha val="46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lang="sv-SE"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182</xdr:row>
      <xdr:rowOff>0</xdr:rowOff>
    </xdr:from>
    <xdr:to>
      <xdr:col>14</xdr:col>
      <xdr:colOff>398931</xdr:colOff>
      <xdr:row>247</xdr:row>
      <xdr:rowOff>103542</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1975" y="26289000"/>
          <a:ext cx="8952381" cy="9866667"/>
        </a:xfrm>
        <a:prstGeom prst="rect">
          <a:avLst/>
        </a:prstGeom>
      </xdr:spPr>
    </xdr:pic>
    <xdr:clientData/>
  </xdr:twoCellAnchor>
  <xdr:twoCellAnchor editAs="oneCell">
    <xdr:from>
      <xdr:col>16</xdr:col>
      <xdr:colOff>0</xdr:colOff>
      <xdr:row>184</xdr:row>
      <xdr:rowOff>0</xdr:rowOff>
    </xdr:from>
    <xdr:to>
      <xdr:col>23</xdr:col>
      <xdr:colOff>475565</xdr:colOff>
      <xdr:row>241</xdr:row>
      <xdr:rowOff>113208</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10544175" y="26574750"/>
          <a:ext cx="5476190" cy="8733333"/>
        </a:xfrm>
        <a:prstGeom prst="rect">
          <a:avLst/>
        </a:prstGeom>
      </xdr:spPr>
    </xdr:pic>
    <xdr:clientData/>
  </xdr:twoCellAnchor>
  <xdr:twoCellAnchor editAs="oneCell">
    <xdr:from>
      <xdr:col>24</xdr:col>
      <xdr:colOff>523875</xdr:colOff>
      <xdr:row>183</xdr:row>
      <xdr:rowOff>0</xdr:rowOff>
    </xdr:from>
    <xdr:to>
      <xdr:col>32</xdr:col>
      <xdr:colOff>123161</xdr:colOff>
      <xdr:row>229</xdr:row>
      <xdr:rowOff>94357</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16783050" y="26431875"/>
          <a:ext cx="5314286" cy="7142857"/>
        </a:xfrm>
        <a:prstGeom prst="rect">
          <a:avLst/>
        </a:prstGeom>
      </xdr:spPr>
    </xdr:pic>
    <xdr:clientData/>
  </xdr:twoCellAnchor>
  <xdr:twoCellAnchor editAs="oneCell">
    <xdr:from>
      <xdr:col>34</xdr:col>
      <xdr:colOff>0</xdr:colOff>
      <xdr:row>183</xdr:row>
      <xdr:rowOff>0</xdr:rowOff>
    </xdr:from>
    <xdr:to>
      <xdr:col>45</xdr:col>
      <xdr:colOff>484732</xdr:colOff>
      <xdr:row>241</xdr:row>
      <xdr:rowOff>113190</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23402925" y="26431875"/>
          <a:ext cx="8342857" cy="8876190"/>
        </a:xfrm>
        <a:prstGeom prst="rect">
          <a:avLst/>
        </a:prstGeom>
      </xdr:spPr>
    </xdr:pic>
    <xdr:clientData/>
  </xdr:twoCellAnchor>
  <xdr:twoCellAnchor editAs="oneCell">
    <xdr:from>
      <xdr:col>46</xdr:col>
      <xdr:colOff>0</xdr:colOff>
      <xdr:row>182</xdr:row>
      <xdr:rowOff>0</xdr:rowOff>
    </xdr:from>
    <xdr:to>
      <xdr:col>58</xdr:col>
      <xdr:colOff>513311</xdr:colOff>
      <xdr:row>238</xdr:row>
      <xdr:rowOff>113226</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31908750" y="26289000"/>
          <a:ext cx="8314286" cy="8590476"/>
        </a:xfrm>
        <a:prstGeom prst="rect">
          <a:avLst/>
        </a:prstGeom>
      </xdr:spPr>
    </xdr:pic>
    <xdr:clientData/>
  </xdr:twoCellAnchor>
  <xdr:twoCellAnchor editAs="oneCell">
    <xdr:from>
      <xdr:col>60</xdr:col>
      <xdr:colOff>0</xdr:colOff>
      <xdr:row>185</xdr:row>
      <xdr:rowOff>0</xdr:rowOff>
    </xdr:from>
    <xdr:to>
      <xdr:col>75</xdr:col>
      <xdr:colOff>551238</xdr:colOff>
      <xdr:row>215</xdr:row>
      <xdr:rowOff>18452</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stretch>
          <a:fillRect/>
        </a:stretch>
      </xdr:blipFill>
      <xdr:spPr>
        <a:xfrm>
          <a:off x="40928925" y="26717625"/>
          <a:ext cx="9695238" cy="4780952"/>
        </a:xfrm>
        <a:prstGeom prst="rect">
          <a:avLst/>
        </a:prstGeom>
      </xdr:spPr>
    </xdr:pic>
    <xdr:clientData/>
  </xdr:twoCellAnchor>
  <xdr:twoCellAnchor editAs="oneCell">
    <xdr:from>
      <xdr:col>75</xdr:col>
      <xdr:colOff>283029</xdr:colOff>
      <xdr:row>179</xdr:row>
      <xdr:rowOff>97971</xdr:rowOff>
    </xdr:from>
    <xdr:to>
      <xdr:col>90</xdr:col>
      <xdr:colOff>453315</xdr:colOff>
      <xdr:row>223</xdr:row>
      <xdr:rowOff>52230</xdr:rowOff>
    </xdr:to>
    <xdr:pic>
      <xdr:nvPicPr>
        <xdr:cNvPr id="8" name="Picture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a:stretch>
          <a:fillRect/>
        </a:stretch>
      </xdr:blipFill>
      <xdr:spPr>
        <a:xfrm>
          <a:off x="51445886" y="23774400"/>
          <a:ext cx="9477572" cy="624620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27</xdr:col>
      <xdr:colOff>0</xdr:colOff>
      <xdr:row>17</xdr:row>
      <xdr:rowOff>0</xdr:rowOff>
    </xdr:from>
    <xdr:to>
      <xdr:col>31</xdr:col>
      <xdr:colOff>1160992</xdr:colOff>
      <xdr:row>34</xdr:row>
      <xdr:rowOff>33866</xdr:rowOff>
    </xdr:to>
    <xdr:sp macro="" textlink="">
      <xdr:nvSpPr>
        <xdr:cNvPr id="18" name="TextBox 17">
          <a:extLst>
            <a:ext uri="{FF2B5EF4-FFF2-40B4-BE49-F238E27FC236}">
              <a16:creationId xmlns:a16="http://schemas.microsoft.com/office/drawing/2014/main" id="{00000000-0008-0000-1000-000012000000}"/>
            </a:ext>
          </a:extLst>
        </xdr:cNvPr>
        <xdr:cNvSpPr txBox="1"/>
      </xdr:nvSpPr>
      <xdr:spPr>
        <a:xfrm>
          <a:off x="31686500" y="3852333"/>
          <a:ext cx="6315075" cy="2076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dk1"/>
              </a:solidFill>
              <a:latin typeface="+mn-lt"/>
              <a:ea typeface="+mn-ea"/>
              <a:cs typeface="+mn-cs"/>
            </a:rPr>
            <a:t>TIMES-Norway Documentation, IFE: </a:t>
          </a:r>
        </a:p>
        <a:p>
          <a:pPr lvl="1"/>
          <a:r>
            <a:rPr lang="en-US" sz="1100" b="0" i="0" u="none" strike="noStrike" baseline="0">
              <a:solidFill>
                <a:schemeClr val="dk1"/>
              </a:solidFill>
              <a:latin typeface="+mn-lt"/>
              <a:ea typeface="+mn-ea"/>
              <a:cs typeface="+mn-cs"/>
            </a:rPr>
            <a:t>"NVE and IFE agreed on an energy end-use share of </a:t>
          </a:r>
          <a:r>
            <a:rPr lang="en-US" sz="1100" b="0" i="0" u="none" strike="noStrike" baseline="0">
              <a:solidFill>
                <a:srgbClr val="FF0000"/>
              </a:solidFill>
              <a:latin typeface="+mn-lt"/>
              <a:ea typeface="+mn-ea"/>
              <a:cs typeface="+mn-cs"/>
            </a:rPr>
            <a:t>70% of energy use for “heating” </a:t>
          </a:r>
          <a:r>
            <a:rPr lang="en-US" sz="1100" b="0" i="0" u="none" strike="noStrike" baseline="0">
              <a:solidFill>
                <a:schemeClr val="dk1"/>
              </a:solidFill>
              <a:latin typeface="+mn-lt"/>
              <a:ea typeface="+mn-ea"/>
              <a:cs typeface="+mn-cs"/>
            </a:rPr>
            <a:t>and </a:t>
          </a:r>
          <a:r>
            <a:rPr lang="en-US" sz="1100" b="0" i="0" u="none" strike="noStrike" baseline="0">
              <a:solidFill>
                <a:srgbClr val="FF0000"/>
              </a:solidFill>
              <a:latin typeface="+mn-lt"/>
              <a:ea typeface="+mn-ea"/>
              <a:cs typeface="+mn-cs"/>
            </a:rPr>
            <a:t>30% for “electricity.” </a:t>
          </a:r>
          <a:r>
            <a:rPr lang="en-US" sz="1100" b="0" i="0" u="none" strike="noStrike" baseline="0">
              <a:solidFill>
                <a:schemeClr val="dk1"/>
              </a:solidFill>
              <a:latin typeface="+mn-lt"/>
              <a:ea typeface="+mn-ea"/>
              <a:cs typeface="+mn-cs"/>
            </a:rPr>
            <a:t>The demand of cooling was considered to be too small and uncertain to be included. It was further agreed to separate </a:t>
          </a:r>
          <a:r>
            <a:rPr lang="en-US" sz="1100" b="0" i="0" u="none" strike="noStrike" baseline="0">
              <a:solidFill>
                <a:srgbClr val="FF0000"/>
              </a:solidFill>
              <a:latin typeface="+mn-lt"/>
              <a:ea typeface="+mn-ea"/>
              <a:cs typeface="+mn-cs"/>
            </a:rPr>
            <a:t>“heating” into 58 % for space heating and 12 % for hot water heating</a:t>
          </a:r>
          <a:r>
            <a:rPr lang="en-US" sz="1100" b="0" i="0" u="none" strike="noStrike" baseline="0">
              <a:solidFill>
                <a:schemeClr val="dk1"/>
              </a:solidFill>
              <a:latin typeface="+mn-lt"/>
              <a:ea typeface="+mn-ea"/>
              <a:cs typeface="+mn-cs"/>
            </a:rPr>
            <a:t>. The division of energy end use in “electricity” and “heating” demand was decided to be equal for single and multi-family houses."</a:t>
          </a:r>
        </a:p>
        <a:p>
          <a:pPr lvl="1"/>
          <a:endParaRPr lang="en-US" sz="1100" b="0" i="0" u="none" strike="noStrike" baseline="0">
            <a:solidFill>
              <a:schemeClr val="dk1"/>
            </a:solidFill>
            <a:latin typeface="+mn-lt"/>
            <a:ea typeface="+mn-ea"/>
            <a:cs typeface="+mn-cs"/>
          </a:endParaRPr>
        </a:p>
        <a:p>
          <a:pPr lvl="0"/>
          <a:r>
            <a:rPr lang="en-US" sz="1100" b="0" i="0" u="none" strike="noStrike" baseline="0">
              <a:solidFill>
                <a:schemeClr val="dk1"/>
              </a:solidFill>
              <a:latin typeface="+mn-lt"/>
              <a:ea typeface="+mn-ea"/>
              <a:cs typeface="+mn-cs"/>
            </a:rPr>
            <a:t>Therefore, 30% of total electricity to residential stands for Appliences,</a:t>
          </a:r>
        </a:p>
        <a:p>
          <a:pPr lvl="0"/>
          <a:r>
            <a:rPr lang="en-US" sz="1100" b="0" i="0" u="none" strike="noStrike" baseline="0">
              <a:solidFill>
                <a:schemeClr val="dk1"/>
              </a:solidFill>
              <a:latin typeface="+mn-lt"/>
              <a:ea typeface="+mn-ea"/>
              <a:cs typeface="+mn-cs"/>
            </a:rPr>
            <a:t>58% of electricity + all other fules stand for space heating</a:t>
          </a:r>
        </a:p>
        <a:p>
          <a:pPr lvl="0"/>
          <a:r>
            <a:rPr lang="en-US" sz="1100" b="0" i="0" u="none" strike="noStrike" baseline="0">
              <a:solidFill>
                <a:schemeClr val="dk1"/>
              </a:solidFill>
              <a:latin typeface="+mn-lt"/>
              <a:ea typeface="+mn-ea"/>
              <a:cs typeface="+mn-cs"/>
            </a:rPr>
            <a:t>12% of electricity stands for DHW</a:t>
          </a:r>
        </a:p>
      </xdr:txBody>
    </xdr:sp>
    <xdr:clientData/>
  </xdr:twoCellAnchor>
  <xdr:twoCellAnchor>
    <xdr:from>
      <xdr:col>23</xdr:col>
      <xdr:colOff>1210623</xdr:colOff>
      <xdr:row>36</xdr:row>
      <xdr:rowOff>111546</xdr:rowOff>
    </xdr:from>
    <xdr:to>
      <xdr:col>27</xdr:col>
      <xdr:colOff>634703</xdr:colOff>
      <xdr:row>51</xdr:row>
      <xdr:rowOff>125647</xdr:rowOff>
    </xdr:to>
    <xdr:graphicFrame macro="">
      <xdr:nvGraphicFramePr>
        <xdr:cNvPr id="19" name="Chart 18">
          <a:extLst>
            <a:ext uri="{FF2B5EF4-FFF2-40B4-BE49-F238E27FC236}">
              <a16:creationId xmlns:a16="http://schemas.microsoft.com/office/drawing/2014/main" id="{00000000-0008-0000-1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130970</xdr:colOff>
      <xdr:row>69</xdr:row>
      <xdr:rowOff>11907</xdr:rowOff>
    </xdr:from>
    <xdr:to>
      <xdr:col>2</xdr:col>
      <xdr:colOff>3774283</xdr:colOff>
      <xdr:row>81</xdr:row>
      <xdr:rowOff>96167</xdr:rowOff>
    </xdr:to>
    <xdr:pic>
      <xdr:nvPicPr>
        <xdr:cNvPr id="20" name="Picture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2"/>
        <a:stretch>
          <a:fillRect/>
        </a:stretch>
      </xdr:blipFill>
      <xdr:spPr>
        <a:xfrm>
          <a:off x="261939" y="12644438"/>
          <a:ext cx="4667250" cy="2355021"/>
        </a:xfrm>
        <a:prstGeom prst="rect">
          <a:avLst/>
        </a:prstGeom>
      </xdr:spPr>
    </xdr:pic>
    <xdr:clientData/>
  </xdr:twoCellAnchor>
  <xdr:twoCellAnchor>
    <xdr:from>
      <xdr:col>1</xdr:col>
      <xdr:colOff>0</xdr:colOff>
      <xdr:row>34</xdr:row>
      <xdr:rowOff>0</xdr:rowOff>
    </xdr:from>
    <xdr:to>
      <xdr:col>2</xdr:col>
      <xdr:colOff>4411929</xdr:colOff>
      <xdr:row>59</xdr:row>
      <xdr:rowOff>122464</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136071" y="7293429"/>
          <a:ext cx="5446072" cy="4558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MOAH 9 May</a:t>
          </a:r>
          <a:r>
            <a:rPr lang="en-US" sz="1100" baseline="0">
              <a:solidFill>
                <a:schemeClr val="dk1"/>
              </a:solidFill>
              <a:effectLst/>
              <a:latin typeface="+mn-lt"/>
              <a:ea typeface="+mn-ea"/>
              <a:cs typeface="+mn-cs"/>
            </a:rPr>
            <a:t> 2017:</a:t>
          </a:r>
          <a:endParaRPr lang="en-US" sz="1200">
            <a:effectLst/>
          </a:endParaRPr>
        </a:p>
        <a:p>
          <a:r>
            <a:rPr lang="en-US" sz="1100" b="1" baseline="0">
              <a:solidFill>
                <a:schemeClr val="dk1"/>
              </a:solidFill>
              <a:effectLst/>
              <a:latin typeface="+mn-lt"/>
              <a:ea typeface="+mn-ea"/>
              <a:cs typeface="+mn-cs"/>
            </a:rPr>
            <a:t>Column F &amp; G </a:t>
          </a:r>
          <a:r>
            <a:rPr lang="en-US" sz="1100" baseline="0">
              <a:solidFill>
                <a:schemeClr val="dk1"/>
              </a:solidFill>
              <a:effectLst/>
              <a:latin typeface="+mn-lt"/>
              <a:ea typeface="+mn-ea"/>
              <a:cs typeface="+mn-cs"/>
            </a:rPr>
            <a:t>are installed capacity. </a:t>
          </a:r>
          <a:endParaRPr lang="en-US" sz="1200">
            <a:effectLst/>
          </a:endParaRPr>
        </a:p>
        <a:p>
          <a:r>
            <a:rPr lang="en-US" sz="1100" baseline="0">
              <a:solidFill>
                <a:schemeClr val="dk1"/>
              </a:solidFill>
              <a:effectLst/>
              <a:latin typeface="+mn-lt"/>
              <a:ea typeface="+mn-ea"/>
              <a:cs typeface="+mn-cs"/>
            </a:rPr>
            <a:t>Installed Capacity [MW]=Building Consumption [PJ] / (CAPUNIT *AFA)</a:t>
          </a:r>
          <a:endParaRPr lang="en-US" sz="1200">
            <a:effectLst/>
          </a:endParaRPr>
        </a:p>
        <a:p>
          <a:r>
            <a:rPr lang="en-US" sz="1100" baseline="0">
              <a:solidFill>
                <a:schemeClr val="dk1"/>
              </a:solidFill>
              <a:effectLst/>
              <a:latin typeface="+mn-lt"/>
              <a:ea typeface="+mn-ea"/>
              <a:cs typeface="+mn-cs"/>
            </a:rPr>
            <a:t>AFA: 20-25%</a:t>
          </a:r>
          <a:endParaRPr lang="en-US" sz="1200">
            <a:effectLst/>
          </a:endParaRPr>
        </a:p>
        <a:p>
          <a:r>
            <a:rPr lang="en-US" sz="1100" baseline="0">
              <a:solidFill>
                <a:schemeClr val="dk1"/>
              </a:solidFill>
              <a:effectLst/>
              <a:latin typeface="+mn-lt"/>
              <a:ea typeface="+mn-ea"/>
              <a:cs typeface="+mn-cs"/>
            </a:rPr>
            <a:t>Building Consumption [PJ]  (Q7:Q25) is taken from table 3. </a:t>
          </a:r>
          <a:endParaRPr lang="en-US" sz="1200">
            <a:effectLst/>
          </a:endParaRPr>
        </a:p>
        <a:p>
          <a:r>
            <a:rPr lang="en-US" sz="1100" baseline="0">
              <a:solidFill>
                <a:schemeClr val="dk1"/>
              </a:solidFill>
              <a:effectLst/>
              <a:latin typeface="+mn-lt"/>
              <a:ea typeface="+mn-ea"/>
              <a:cs typeface="+mn-cs"/>
            </a:rPr>
            <a:t>Column H and I are efficiency of technology. In some cases I adjust the efficiency to match the fuel consumption in EUROSTAT.</a:t>
          </a:r>
          <a:endParaRPr lang="en-US" sz="1200">
            <a:effectLst/>
          </a:endParaRPr>
        </a:p>
        <a:p>
          <a:r>
            <a:rPr lang="en-US" sz="1100" b="1" baseline="0">
              <a:solidFill>
                <a:schemeClr val="dk1"/>
              </a:solidFill>
              <a:effectLst/>
              <a:latin typeface="+mn-lt"/>
              <a:ea typeface="+mn-ea"/>
              <a:cs typeface="+mn-cs"/>
            </a:rPr>
            <a:t>Table 1</a:t>
          </a:r>
          <a:r>
            <a:rPr lang="en-US" sz="1100" baseline="0">
              <a:solidFill>
                <a:schemeClr val="dk1"/>
              </a:solidFill>
              <a:effectLst/>
              <a:latin typeface="+mn-lt"/>
              <a:ea typeface="+mn-ea"/>
              <a:cs typeface="+mn-cs"/>
            </a:rPr>
            <a:t> is  extracted from TABULA report to calculate share of each fuel. G32:G37.</a:t>
          </a:r>
        </a:p>
        <a:p>
          <a:pPr lvl="1"/>
          <a:r>
            <a:rPr lang="en-US" sz="1100" baseline="0">
              <a:solidFill>
                <a:schemeClr val="dk1"/>
              </a:solidFill>
              <a:effectLst/>
              <a:latin typeface="+mn-lt"/>
              <a:ea typeface="+mn-ea"/>
              <a:cs typeface="+mn-cs"/>
            </a:rPr>
            <a:t>For calibration, to match the statistics, I</a:t>
          </a:r>
          <a:r>
            <a:rPr lang="da-DK" sz="1100" baseline="0">
              <a:solidFill>
                <a:schemeClr val="dk1"/>
              </a:solidFill>
              <a:effectLst/>
              <a:latin typeface="+mn-lt"/>
              <a:ea typeface="+mn-ea"/>
              <a:cs typeface="+mn-cs"/>
            </a:rPr>
            <a:t> "manually moved"</a:t>
          </a:r>
          <a:r>
            <a:rPr lang="en-US" sz="1100" baseline="0">
              <a:solidFill>
                <a:schemeClr val="dk1"/>
              </a:solidFill>
              <a:effectLst/>
              <a:latin typeface="+mn-lt"/>
              <a:ea typeface="+mn-ea"/>
              <a:cs typeface="+mn-cs"/>
            </a:rPr>
            <a:t> 0.00438 from district heating to oil (F37). As a result, the efficincy of oil boilers increased.</a:t>
          </a:r>
        </a:p>
        <a:p>
          <a:r>
            <a:rPr lang="en-US" sz="1100" b="1" baseline="0">
              <a:solidFill>
                <a:schemeClr val="dk1"/>
              </a:solidFill>
              <a:effectLst/>
              <a:latin typeface="+mn-lt"/>
              <a:ea typeface="+mn-ea"/>
              <a:cs typeface="+mn-cs"/>
            </a:rPr>
            <a:t>Table 2</a:t>
          </a:r>
          <a:r>
            <a:rPr lang="en-US" sz="1100" baseline="0">
              <a:solidFill>
                <a:schemeClr val="dk1"/>
              </a:solidFill>
              <a:effectLst/>
              <a:latin typeface="+mn-lt"/>
              <a:ea typeface="+mn-ea"/>
              <a:cs typeface="+mn-cs"/>
            </a:rPr>
            <a:t>: Aggregates the activity of dwellings. </a:t>
          </a:r>
          <a:r>
            <a:rPr lang="da-DK" sz="1100">
              <a:solidFill>
                <a:schemeClr val="dk1"/>
              </a:solidFill>
              <a:effectLst/>
              <a:latin typeface="+mn-lt"/>
              <a:ea typeface="+mn-ea"/>
              <a:cs typeface="+mn-cs"/>
            </a:rPr>
            <a:t>The split between</a:t>
          </a:r>
          <a:r>
            <a:rPr lang="da-DK" sz="1100" baseline="0">
              <a:solidFill>
                <a:schemeClr val="dk1"/>
              </a:solidFill>
              <a:effectLst/>
              <a:latin typeface="+mn-lt"/>
              <a:ea typeface="+mn-ea"/>
              <a:cs typeface="+mn-cs"/>
            </a:rPr>
            <a:t> NOR1 and NOR2 is </a:t>
          </a:r>
          <a:r>
            <a:rPr lang="da-DK" sz="1100">
              <a:solidFill>
                <a:schemeClr val="dk1"/>
              </a:solidFill>
              <a:effectLst/>
              <a:latin typeface="+mn-lt"/>
              <a:ea typeface="+mn-ea"/>
              <a:cs typeface="+mn-cs"/>
            </a:rPr>
            <a:t>based on the share of heated area in</a:t>
          </a:r>
          <a:r>
            <a:rPr lang="da-DK" sz="1100" baseline="0">
              <a:solidFill>
                <a:schemeClr val="dk1"/>
              </a:solidFill>
              <a:effectLst/>
              <a:latin typeface="+mn-lt"/>
              <a:ea typeface="+mn-ea"/>
              <a:cs typeface="+mn-cs"/>
            </a:rPr>
            <a:t> each region and building type. </a:t>
          </a:r>
          <a:endParaRPr lang="en-US">
            <a:effectLst/>
          </a:endParaRPr>
        </a:p>
        <a:p>
          <a:r>
            <a:rPr lang="en-US" sz="1100" b="1" baseline="0">
              <a:solidFill>
                <a:schemeClr val="dk1"/>
              </a:solidFill>
              <a:effectLst/>
              <a:latin typeface="+mn-lt"/>
              <a:ea typeface="+mn-ea"/>
              <a:cs typeface="+mn-cs"/>
            </a:rPr>
            <a:t>Table 3:</a:t>
          </a:r>
          <a:r>
            <a:rPr lang="en-US" sz="1100" baseline="0">
              <a:solidFill>
                <a:schemeClr val="dk1"/>
              </a:solidFill>
              <a:effectLst/>
              <a:latin typeface="+mn-lt"/>
              <a:ea typeface="+mn-ea"/>
              <a:cs typeface="+mn-cs"/>
            </a:rPr>
            <a:t> Share of fuel consumption over region and Building type (Dwellings consumption-ACT) -&gt; Q7:Q25</a:t>
          </a:r>
        </a:p>
        <a:p>
          <a:pPr lvl="1"/>
          <a:r>
            <a:rPr lang="da-DK" sz="1200" baseline="0">
              <a:solidFill>
                <a:srgbClr val="FF0000"/>
              </a:solidFill>
              <a:latin typeface="Times New Roman" panose="02020603050405020304" pitchFamily="18" charset="0"/>
              <a:cs typeface="Times New Roman" panose="02020603050405020304" pitchFamily="18" charset="0"/>
            </a:rPr>
            <a:t>The split between centralized and decentralized is based on the weighted average of share of cent-decent over the counties.</a:t>
          </a:r>
        </a:p>
        <a:p>
          <a:pPr lvl="1"/>
          <a:r>
            <a:rPr lang="da-DK" sz="1200" baseline="0">
              <a:solidFill>
                <a:sysClr val="windowText" lastClr="000000"/>
              </a:solidFill>
              <a:latin typeface="Times New Roman" panose="02020603050405020304" pitchFamily="18" charset="0"/>
              <a:cs typeface="Times New Roman" panose="02020603050405020304" pitchFamily="18" charset="0"/>
            </a:rPr>
            <a:t>Share of Heat pump: (ssb) 15% of dwellings who use electricity have heat pump and the rest use direct electricity for heating implemented in cells J35 and K35.</a:t>
          </a:r>
        </a:p>
        <a:p>
          <a:pPr lvl="1"/>
          <a:endParaRPr lang="da-DK" sz="1200" baseline="0">
            <a:solidFill>
              <a:sysClr val="windowText" lastClr="000000"/>
            </a:solidFill>
            <a:latin typeface="Times New Roman" panose="02020603050405020304" pitchFamily="18" charset="0"/>
            <a:cs typeface="Times New Roman" panose="02020603050405020304" pitchFamily="18" charset="0"/>
          </a:endParaRPr>
        </a:p>
        <a:p>
          <a:pPr lvl="0"/>
          <a:r>
            <a:rPr lang="da-DK" sz="1200" baseline="0">
              <a:solidFill>
                <a:sysClr val="windowText" lastClr="000000"/>
              </a:solidFill>
              <a:latin typeface="Times New Roman" panose="02020603050405020304" pitchFamily="18" charset="0"/>
              <a:cs typeface="Times New Roman" panose="02020603050405020304" pitchFamily="18" charset="0"/>
            </a:rPr>
            <a:t>PTHC and PTHD technologies are added. these technologoies take HETC and HETD produced in power and heat sector and convert the commodities to HETCP and HETDP respectively to be used by FT.</a:t>
          </a: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105908</xdr:colOff>
      <xdr:row>71</xdr:row>
      <xdr:rowOff>13203</xdr:rowOff>
    </xdr:from>
    <xdr:to>
      <xdr:col>3</xdr:col>
      <xdr:colOff>1712281</xdr:colOff>
      <xdr:row>109</xdr:row>
      <xdr:rowOff>107493</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240379" y="12104350"/>
          <a:ext cx="6850726" cy="6481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MOAH 20 Apr 2017:</a:t>
          </a:r>
        </a:p>
        <a:p>
          <a:r>
            <a:rPr lang="da-DK" sz="1100">
              <a:solidFill>
                <a:schemeClr val="dk1"/>
              </a:solidFill>
              <a:effectLst/>
              <a:latin typeface="+mn-lt"/>
              <a:ea typeface="+mn-ea"/>
              <a:cs typeface="+mn-cs"/>
            </a:rPr>
            <a:t>For the </a:t>
          </a:r>
          <a:r>
            <a:rPr lang="da-DK" sz="1100" b="1">
              <a:solidFill>
                <a:schemeClr val="dk1"/>
              </a:solidFill>
              <a:effectLst/>
              <a:latin typeface="+mn-lt"/>
              <a:ea typeface="+mn-ea"/>
              <a:cs typeface="+mn-cs"/>
            </a:rPr>
            <a:t>processes</a:t>
          </a:r>
          <a:r>
            <a:rPr lang="da-DK" sz="1100">
              <a:solidFill>
                <a:schemeClr val="dk1"/>
              </a:solidFill>
              <a:effectLst/>
              <a:latin typeface="+mn-lt"/>
              <a:ea typeface="+mn-ea"/>
              <a:cs typeface="+mn-cs"/>
            </a:rPr>
            <a:t> (column B) the commodities going </a:t>
          </a:r>
          <a:r>
            <a:rPr lang="da-DK" sz="1100" b="1">
              <a:solidFill>
                <a:schemeClr val="dk1"/>
              </a:solidFill>
              <a:effectLst/>
              <a:latin typeface="+mn-lt"/>
              <a:ea typeface="+mn-ea"/>
              <a:cs typeface="+mn-cs"/>
            </a:rPr>
            <a:t>into the process</a:t>
          </a:r>
          <a:r>
            <a:rPr lang="da-DK" sz="1100">
              <a:solidFill>
                <a:schemeClr val="dk1"/>
              </a:solidFill>
              <a:effectLst/>
              <a:latin typeface="+mn-lt"/>
              <a:ea typeface="+mn-ea"/>
              <a:cs typeface="+mn-cs"/>
            </a:rPr>
            <a:t>  (column D)</a:t>
          </a:r>
          <a:r>
            <a:rPr lang="da-DK" sz="1100" baseline="0">
              <a:solidFill>
                <a:schemeClr val="dk1"/>
              </a:solidFill>
              <a:effectLst/>
              <a:latin typeface="+mn-lt"/>
              <a:ea typeface="+mn-ea"/>
              <a:cs typeface="+mn-cs"/>
            </a:rPr>
            <a:t> are heat from boilers, heat from heat exchangers (district heating) and heat savings. </a:t>
          </a:r>
          <a:endParaRPr lang="en-US">
            <a:effectLst/>
          </a:endParaRPr>
        </a:p>
        <a:p>
          <a:r>
            <a:rPr lang="da-DK" sz="1100" baseline="0">
              <a:solidFill>
                <a:schemeClr val="dk1"/>
              </a:solidFill>
              <a:effectLst/>
              <a:latin typeface="+mn-lt"/>
              <a:ea typeface="+mn-ea"/>
              <a:cs typeface="+mn-cs"/>
            </a:rPr>
            <a:t>The commodities going </a:t>
          </a:r>
          <a:r>
            <a:rPr lang="da-DK" sz="1100" b="1" baseline="0">
              <a:solidFill>
                <a:schemeClr val="dk1"/>
              </a:solidFill>
              <a:effectLst/>
              <a:latin typeface="+mn-lt"/>
              <a:ea typeface="+mn-ea"/>
              <a:cs typeface="+mn-cs"/>
            </a:rPr>
            <a:t>out of the processes</a:t>
          </a:r>
          <a:r>
            <a:rPr lang="da-DK" sz="1100" baseline="0">
              <a:solidFill>
                <a:schemeClr val="dk1"/>
              </a:solidFill>
              <a:effectLst/>
              <a:latin typeface="+mn-lt"/>
              <a:ea typeface="+mn-ea"/>
              <a:cs typeface="+mn-cs"/>
            </a:rPr>
            <a:t> (column E) are residential heating commodities for the specific building groups.</a:t>
          </a:r>
          <a:endParaRPr lang="en-US">
            <a:effectLst/>
          </a:endParaRPr>
        </a:p>
        <a:p>
          <a:r>
            <a:rPr lang="da-DK" sz="1100" b="1" baseline="0">
              <a:solidFill>
                <a:schemeClr val="dk1"/>
              </a:solidFill>
              <a:effectLst/>
              <a:latin typeface="+mn-lt"/>
              <a:ea typeface="+mn-ea"/>
              <a:cs typeface="+mn-cs"/>
            </a:rPr>
            <a:t>STOCK</a:t>
          </a:r>
          <a:r>
            <a:rPr lang="da-DK" sz="1100" baseline="0">
              <a:solidFill>
                <a:schemeClr val="dk1"/>
              </a:solidFill>
              <a:effectLst/>
              <a:latin typeface="+mn-lt"/>
              <a:ea typeface="+mn-ea"/>
              <a:cs typeface="+mn-cs"/>
            </a:rPr>
            <a:t> (columns H and I) defines the size of dwelling stock in the Base Year. </a:t>
          </a:r>
          <a:endParaRPr lang="en-US">
            <a:effectLst/>
          </a:endParaRPr>
        </a:p>
        <a:p>
          <a:r>
            <a:rPr lang="da-DK" sz="1100" b="1" baseline="0">
              <a:solidFill>
                <a:schemeClr val="dk1"/>
              </a:solidFill>
              <a:effectLst/>
              <a:latin typeface="+mn-lt"/>
              <a:ea typeface="+mn-ea"/>
              <a:cs typeface="+mn-cs"/>
            </a:rPr>
            <a:t>EFF</a:t>
          </a:r>
          <a:r>
            <a:rPr lang="da-DK" sz="1100" baseline="0">
              <a:solidFill>
                <a:schemeClr val="dk1"/>
              </a:solidFill>
              <a:effectLst/>
              <a:latin typeface="+mn-lt"/>
              <a:ea typeface="+mn-ea"/>
              <a:cs typeface="+mn-cs"/>
            </a:rPr>
            <a:t> defines efficiency of building stock over the analysed period. It is an inversion of specific heating demand.  The efficiency doesn't chnage over time because heat savings are modelled as heat generation technology. </a:t>
          </a:r>
          <a:endParaRPr lang="en-US">
            <a:effectLst/>
          </a:endParaRPr>
        </a:p>
        <a:p>
          <a:r>
            <a:rPr lang="da-DK" sz="1100" b="1">
              <a:solidFill>
                <a:schemeClr val="dk1"/>
              </a:solidFill>
              <a:effectLst/>
              <a:latin typeface="+mn-lt"/>
              <a:ea typeface="+mn-ea"/>
              <a:cs typeface="+mn-cs"/>
            </a:rPr>
            <a:t>CAP2ACT</a:t>
          </a:r>
          <a:r>
            <a:rPr lang="da-DK" sz="1100" baseline="0">
              <a:solidFill>
                <a:schemeClr val="dk1"/>
              </a:solidFill>
              <a:effectLst/>
              <a:latin typeface="+mn-lt"/>
              <a:ea typeface="+mn-ea"/>
              <a:cs typeface="+mn-cs"/>
            </a:rPr>
            <a:t> is a factor which is transforming from capacity to activity. SInce both capacities and activities in this case are in Mm2 CAP2ACT is 1. </a:t>
          </a:r>
          <a:endParaRPr lang="en-US">
            <a:effectLst/>
          </a:endParaRPr>
        </a:p>
        <a:p>
          <a:r>
            <a:rPr lang="da-DK" sz="1100" b="1" baseline="0">
              <a:solidFill>
                <a:schemeClr val="dk1"/>
              </a:solidFill>
              <a:effectLst/>
              <a:latin typeface="+mn-lt"/>
              <a:ea typeface="+mn-ea"/>
              <a:cs typeface="+mn-cs"/>
            </a:rPr>
            <a:t>START</a:t>
          </a:r>
          <a:r>
            <a:rPr lang="da-DK" sz="1100" baseline="0">
              <a:solidFill>
                <a:schemeClr val="dk1"/>
              </a:solidFill>
              <a:effectLst/>
              <a:latin typeface="+mn-lt"/>
              <a:ea typeface="+mn-ea"/>
              <a:cs typeface="+mn-cs"/>
            </a:rPr>
            <a:t> (column G) defines the year in which the technology becomes available.</a:t>
          </a:r>
          <a:endParaRPr lang="en-US">
            <a:effectLst/>
          </a:endParaRPr>
        </a:p>
        <a:p>
          <a:r>
            <a:rPr lang="da-DK" sz="1100" b="1">
              <a:solidFill>
                <a:schemeClr val="dk1"/>
              </a:solidFill>
              <a:effectLst/>
              <a:latin typeface="+mn-lt"/>
              <a:ea typeface="+mn-ea"/>
              <a:cs typeface="+mn-cs"/>
            </a:rPr>
            <a:t>YEAR</a:t>
          </a:r>
          <a:r>
            <a:rPr lang="da-DK" sz="1100">
              <a:solidFill>
                <a:schemeClr val="dk1"/>
              </a:solidFill>
              <a:effectLst/>
              <a:latin typeface="+mn-lt"/>
              <a:ea typeface="+mn-ea"/>
              <a:cs typeface="+mn-cs"/>
            </a:rPr>
            <a:t> (column F) specifies the year for which the attributes in columns J--&gt; O are specified.</a:t>
          </a:r>
          <a:endParaRPr lang="en-US">
            <a:effectLst/>
          </a:endParaRPr>
        </a:p>
        <a:p>
          <a:r>
            <a:rPr lang="da-DK" sz="1100" b="1">
              <a:solidFill>
                <a:schemeClr val="dk1"/>
              </a:solidFill>
              <a:effectLst/>
              <a:latin typeface="+mn-lt"/>
              <a:ea typeface="+mn-ea"/>
              <a:cs typeface="+mn-cs"/>
            </a:rPr>
            <a:t>AF</a:t>
          </a:r>
          <a:r>
            <a:rPr lang="da-DK" sz="1100">
              <a:solidFill>
                <a:schemeClr val="dk1"/>
              </a:solidFill>
              <a:effectLst/>
              <a:latin typeface="+mn-lt"/>
              <a:ea typeface="+mn-ea"/>
              <a:cs typeface="+mn-cs"/>
            </a:rPr>
            <a:t> (column M) is availability factor per time-slice. </a:t>
          </a:r>
          <a:r>
            <a:rPr lang="da-DK" sz="1100" b="1">
              <a:solidFill>
                <a:schemeClr val="dk1"/>
              </a:solidFill>
              <a:effectLst/>
              <a:latin typeface="+mn-lt"/>
              <a:ea typeface="+mn-ea"/>
              <a:cs typeface="+mn-cs"/>
            </a:rPr>
            <a:t>FX</a:t>
          </a:r>
          <a:r>
            <a:rPr lang="da-DK" sz="1100">
              <a:solidFill>
                <a:schemeClr val="dk1"/>
              </a:solidFill>
              <a:effectLst/>
              <a:latin typeface="+mn-lt"/>
              <a:ea typeface="+mn-ea"/>
              <a:cs typeface="+mn-cs"/>
            </a:rPr>
            <a:t> is short for fixed</a:t>
          </a:r>
          <a:r>
            <a:rPr lang="da-DK" sz="1100" baseline="0">
              <a:solidFill>
                <a:schemeClr val="dk1"/>
              </a:solidFill>
              <a:effectLst/>
              <a:latin typeface="+mn-lt"/>
              <a:ea typeface="+mn-ea"/>
              <a:cs typeface="+mn-cs"/>
            </a:rPr>
            <a:t>. In this case, availability factor is 1 in all time-slices.</a:t>
          </a:r>
          <a:endParaRPr lang="en-US">
            <a:effectLst/>
          </a:endParaRPr>
        </a:p>
        <a:p>
          <a:r>
            <a:rPr lang="da-DK" sz="1100" b="1" baseline="0">
              <a:solidFill>
                <a:schemeClr val="dk1"/>
              </a:solidFill>
              <a:effectLst/>
              <a:latin typeface="+mn-lt"/>
              <a:ea typeface="+mn-ea"/>
              <a:cs typeface="+mn-cs"/>
            </a:rPr>
            <a:t>LIFE</a:t>
          </a:r>
          <a:r>
            <a:rPr lang="da-DK" sz="1100" baseline="0">
              <a:solidFill>
                <a:schemeClr val="dk1"/>
              </a:solidFill>
              <a:effectLst/>
              <a:latin typeface="+mn-lt"/>
              <a:ea typeface="+mn-ea"/>
              <a:cs typeface="+mn-cs"/>
            </a:rPr>
            <a:t> specifies the lifetime of new capacity. Any number greater than 40 could be chosen - the only idea is that the new buildings live until the end of analysed period (2050).</a:t>
          </a:r>
          <a:endParaRPr lang="en-US" sz="1100" baseline="0">
            <a:solidFill>
              <a:schemeClr val="dk1"/>
            </a:solidFill>
            <a:effectLst/>
            <a:latin typeface="+mn-lt"/>
            <a:ea typeface="+mn-ea"/>
            <a:cs typeface="+mn-cs"/>
          </a:endParaRPr>
        </a:p>
        <a:p>
          <a:r>
            <a:rPr lang="da-DK" sz="1100" b="1">
              <a:solidFill>
                <a:schemeClr val="dk1"/>
              </a:solidFill>
              <a:effectLst/>
              <a:latin typeface="+mn-lt"/>
              <a:ea typeface="+mn-ea"/>
              <a:cs typeface="+mn-cs"/>
            </a:rPr>
            <a:t>Column Q</a:t>
          </a:r>
          <a:r>
            <a:rPr lang="da-DK" sz="1100">
              <a:solidFill>
                <a:schemeClr val="dk1"/>
              </a:solidFill>
              <a:effectLst/>
              <a:latin typeface="+mn-lt"/>
              <a:ea typeface="+mn-ea"/>
              <a:cs typeface="+mn-cs"/>
            </a:rPr>
            <a:t>: is activity (dwellings area)</a:t>
          </a:r>
        </a:p>
        <a:p>
          <a:pPr lvl="1"/>
          <a:r>
            <a:rPr lang="da-DK" sz="1100">
              <a:solidFill>
                <a:schemeClr val="dk1"/>
              </a:solidFill>
              <a:effectLst/>
              <a:latin typeface="+mn-lt"/>
              <a:ea typeface="+mn-ea"/>
              <a:cs typeface="+mn-cs"/>
            </a:rPr>
            <a:t>ACT=STOCK*CAP2ACT*AF</a:t>
          </a:r>
          <a:endParaRPr lang="en-US" sz="1100">
            <a:solidFill>
              <a:schemeClr val="dk1"/>
            </a:solidFill>
            <a:effectLst/>
            <a:latin typeface="+mn-lt"/>
            <a:ea typeface="+mn-ea"/>
            <a:cs typeface="+mn-cs"/>
          </a:endParaRPr>
        </a:p>
        <a:p>
          <a:pPr lvl="0"/>
          <a:r>
            <a:rPr lang="da-DK" sz="1100" b="1">
              <a:solidFill>
                <a:schemeClr val="dk1"/>
              </a:solidFill>
              <a:effectLst/>
              <a:latin typeface="+mn-lt"/>
              <a:ea typeface="+mn-ea"/>
              <a:cs typeface="+mn-cs"/>
            </a:rPr>
            <a:t>Column R: </a:t>
          </a:r>
          <a:r>
            <a:rPr lang="da-DK" sz="1100" b="0">
              <a:solidFill>
                <a:schemeClr val="dk1"/>
              </a:solidFill>
              <a:effectLst/>
              <a:latin typeface="+mn-lt"/>
              <a:ea typeface="+mn-ea"/>
              <a:cs typeface="+mn-cs"/>
            </a:rPr>
            <a:t>is dwellings</a:t>
          </a:r>
          <a:r>
            <a:rPr lang="da-DK" sz="1100" b="0" baseline="0">
              <a:solidFill>
                <a:schemeClr val="dk1"/>
              </a:solidFill>
              <a:effectLst/>
              <a:latin typeface="+mn-lt"/>
              <a:ea typeface="+mn-ea"/>
              <a:cs typeface="+mn-cs"/>
            </a:rPr>
            <a:t> consupmtion (heat needed)</a:t>
          </a:r>
          <a:endParaRPr lang="da-DK" sz="1100" b="0">
            <a:solidFill>
              <a:schemeClr val="dk1"/>
            </a:solidFill>
            <a:effectLst/>
            <a:latin typeface="+mn-lt"/>
            <a:ea typeface="+mn-ea"/>
            <a:cs typeface="+mn-cs"/>
          </a:endParaRPr>
        </a:p>
        <a:p>
          <a:pPr lvl="1"/>
          <a:r>
            <a:rPr lang="da-DK" sz="1100">
              <a:solidFill>
                <a:schemeClr val="dk1"/>
              </a:solidFill>
              <a:effectLst/>
              <a:latin typeface="+mn-lt"/>
              <a:ea typeface="+mn-ea"/>
              <a:cs typeface="+mn-cs"/>
            </a:rPr>
            <a:t>CONS=ACT/EFF</a:t>
          </a:r>
          <a:endParaRPr lang="en-US">
            <a:effectLst/>
          </a:endParaRPr>
        </a:p>
        <a:p>
          <a:pPr lvl="1"/>
          <a:r>
            <a:rPr lang="da-DK" sz="1100">
              <a:solidFill>
                <a:schemeClr val="dk1"/>
              </a:solidFill>
              <a:effectLst/>
              <a:latin typeface="+mn-lt"/>
              <a:ea typeface="+mn-ea"/>
              <a:cs typeface="+mn-cs"/>
            </a:rPr>
            <a:t>These relations are general and are valid for any process, not only in residential sector.</a:t>
          </a:r>
          <a:endParaRPr lang="en-US">
            <a:effectLst/>
          </a:endParaRPr>
        </a:p>
        <a:p>
          <a:pPr lvl="1"/>
          <a:r>
            <a:rPr lang="da-DK" sz="1100">
              <a:solidFill>
                <a:schemeClr val="dk1"/>
              </a:solidFill>
              <a:effectLst/>
              <a:latin typeface="+mn-lt"/>
              <a:ea typeface="+mn-ea"/>
              <a:cs typeface="+mn-cs"/>
            </a:rPr>
            <a:t>ACT=Activity</a:t>
          </a:r>
          <a:endParaRPr lang="en-US">
            <a:effectLst/>
          </a:endParaRPr>
        </a:p>
        <a:p>
          <a:pPr lvl="1"/>
          <a:r>
            <a:rPr lang="da-DK" sz="1100">
              <a:solidFill>
                <a:schemeClr val="dk1"/>
              </a:solidFill>
              <a:effectLst/>
              <a:latin typeface="+mn-lt"/>
              <a:ea typeface="+mn-ea"/>
              <a:cs typeface="+mn-cs"/>
            </a:rPr>
            <a:t>STOCK=Stock</a:t>
          </a:r>
          <a:endParaRPr lang="en-US">
            <a:effectLst/>
          </a:endParaRPr>
        </a:p>
        <a:p>
          <a:pPr lvl="1"/>
          <a:r>
            <a:rPr lang="da-DK" sz="1100">
              <a:solidFill>
                <a:schemeClr val="dk1"/>
              </a:solidFill>
              <a:effectLst/>
              <a:latin typeface="+mn-lt"/>
              <a:ea typeface="+mn-ea"/>
              <a:cs typeface="+mn-cs"/>
            </a:rPr>
            <a:t>CAP2ACT=Constant</a:t>
          </a:r>
          <a:r>
            <a:rPr lang="da-DK" sz="1100" baseline="0">
              <a:solidFill>
                <a:schemeClr val="dk1"/>
              </a:solidFill>
              <a:effectLst/>
              <a:latin typeface="+mn-lt"/>
              <a:ea typeface="+mn-ea"/>
              <a:cs typeface="+mn-cs"/>
            </a:rPr>
            <a:t> which is converting from capacity to activity</a:t>
          </a:r>
          <a:endParaRPr lang="en-US">
            <a:effectLst/>
          </a:endParaRPr>
        </a:p>
        <a:p>
          <a:pPr lvl="1"/>
          <a:r>
            <a:rPr lang="da-DK" sz="1100">
              <a:solidFill>
                <a:schemeClr val="dk1"/>
              </a:solidFill>
              <a:effectLst/>
              <a:latin typeface="+mn-lt"/>
              <a:ea typeface="+mn-ea"/>
              <a:cs typeface="+mn-cs"/>
            </a:rPr>
            <a:t>AF=Availability</a:t>
          </a:r>
          <a:r>
            <a:rPr lang="da-DK" sz="1100" baseline="0">
              <a:solidFill>
                <a:schemeClr val="dk1"/>
              </a:solidFill>
              <a:effectLst/>
              <a:latin typeface="+mn-lt"/>
              <a:ea typeface="+mn-ea"/>
              <a:cs typeface="+mn-cs"/>
            </a:rPr>
            <a:t> factor</a:t>
          </a:r>
          <a:endParaRPr lang="en-US">
            <a:effectLst/>
          </a:endParaRPr>
        </a:p>
        <a:p>
          <a:pPr lvl="1"/>
          <a:r>
            <a:rPr lang="da-DK" sz="1100">
              <a:solidFill>
                <a:schemeClr val="dk1"/>
              </a:solidFill>
              <a:effectLst/>
              <a:latin typeface="+mn-lt"/>
              <a:ea typeface="+mn-ea"/>
              <a:cs typeface="+mn-cs"/>
            </a:rPr>
            <a:t>CONS=consumption</a:t>
          </a:r>
          <a:endParaRPr lang="en-US">
            <a:effectLst/>
          </a:endParaRPr>
        </a:p>
        <a:p>
          <a:pPr lvl="1"/>
          <a:r>
            <a:rPr lang="da-DK" sz="1100">
              <a:solidFill>
                <a:schemeClr val="dk1"/>
              </a:solidFill>
              <a:effectLst/>
              <a:latin typeface="+mn-lt"/>
              <a:ea typeface="+mn-ea"/>
              <a:cs typeface="+mn-cs"/>
            </a:rPr>
            <a:t>EFF=efficency</a:t>
          </a:r>
          <a:endParaRPr lang="en-US">
            <a:effectLst/>
          </a:endParaRPr>
        </a:p>
        <a:p>
          <a:r>
            <a:rPr lang="en-US" sz="1100" b="1"/>
            <a:t>Column J and</a:t>
          </a:r>
          <a:r>
            <a:rPr lang="en-US" sz="1100" b="1" baseline="0"/>
            <a:t> K:</a:t>
          </a:r>
        </a:p>
        <a:p>
          <a:r>
            <a:rPr lang="en-US" sz="1100" baseline="0"/>
            <a:t>Specific heating demand is extracted from TABULA online tool for a representative building type and construction year, climate zone is national.</a:t>
          </a:r>
        </a:p>
        <a:p>
          <a:r>
            <a:rPr lang="en-US" sz="1100" baseline="0"/>
            <a:t>SHF+</a:t>
          </a:r>
          <a:r>
            <a:rPr lang="en-US" sz="1100" baseline="0">
              <a:solidFill>
                <a:schemeClr val="dk1"/>
              </a:solidFill>
              <a:effectLst/>
              <a:latin typeface="+mn-lt"/>
              <a:ea typeface="+mn-ea"/>
              <a:cs typeface="+mn-cs"/>
            </a:rPr>
            <a:t>TH</a:t>
          </a:r>
          <a:r>
            <a:rPr lang="en-US" sz="1100" baseline="0"/>
            <a:t> are Detached, AB is Multi S.</a:t>
          </a:r>
        </a:p>
        <a:p>
          <a:r>
            <a:rPr lang="en-US" sz="1100" baseline="0">
              <a:solidFill>
                <a:schemeClr val="dk1"/>
              </a:solidFill>
              <a:effectLst/>
              <a:latin typeface="+mn-lt"/>
              <a:ea typeface="+mn-ea"/>
              <a:cs typeface="+mn-cs"/>
            </a:rPr>
            <a:t>The specific heating demand for </a:t>
          </a:r>
          <a:r>
            <a:rPr lang="en-US" sz="1100" baseline="0">
              <a:solidFill>
                <a:srgbClr val="FF0000"/>
              </a:solidFill>
              <a:effectLst/>
              <a:latin typeface="+mn-lt"/>
              <a:ea typeface="+mn-ea"/>
              <a:cs typeface="+mn-cs"/>
            </a:rPr>
            <a:t>Detached, Period 1 </a:t>
          </a:r>
          <a:r>
            <a:rPr lang="en-US" sz="1100" baseline="0">
              <a:solidFill>
                <a:schemeClr val="dk1"/>
              </a:solidFill>
              <a:effectLst/>
              <a:latin typeface="+mn-lt"/>
              <a:ea typeface="+mn-ea"/>
              <a:cs typeface="+mn-cs"/>
            </a:rPr>
            <a:t>is Average Specific Heat Demand (GWh/Mm2) -&gt; converted to PJ</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specific heating demand for </a:t>
          </a:r>
          <a:r>
            <a:rPr lang="en-US" sz="1100" baseline="0">
              <a:solidFill>
                <a:srgbClr val="FF0000"/>
              </a:solidFill>
              <a:effectLst/>
              <a:latin typeface="+mn-lt"/>
              <a:ea typeface="+mn-ea"/>
              <a:cs typeface="+mn-cs"/>
            </a:rPr>
            <a:t>Detached for Period 2 </a:t>
          </a:r>
          <a:r>
            <a:rPr lang="en-US" sz="1100" baseline="0">
              <a:solidFill>
                <a:schemeClr val="dk1"/>
              </a:solidFill>
              <a:effectLst/>
              <a:latin typeface="+mn-lt"/>
              <a:ea typeface="+mn-ea"/>
              <a:cs typeface="+mn-cs"/>
            </a:rPr>
            <a:t>is weighted Average of Specific Heat Demand (GWh/Mm2) over construction year -&gt; converted to PJ</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specific heating demand for </a:t>
          </a:r>
          <a:r>
            <a:rPr lang="en-US" sz="1100" baseline="0">
              <a:solidFill>
                <a:srgbClr val="FF0000"/>
              </a:solidFill>
              <a:effectLst/>
              <a:latin typeface="+mn-lt"/>
              <a:ea typeface="+mn-ea"/>
              <a:cs typeface="+mn-cs"/>
            </a:rPr>
            <a:t>Multi S, Period 1 </a:t>
          </a:r>
          <a:r>
            <a:rPr lang="en-US" sz="1100" baseline="0">
              <a:solidFill>
                <a:schemeClr val="dk1"/>
              </a:solidFill>
              <a:effectLst/>
              <a:latin typeface="+mn-lt"/>
              <a:ea typeface="+mn-ea"/>
              <a:cs typeface="+mn-cs"/>
            </a:rPr>
            <a:t>is weighted Average Specific Heat Demand (GWh/Mm2) of TH*A+AB*A -&gt; converted to PJ</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specific heating demand for </a:t>
          </a:r>
          <a:r>
            <a:rPr lang="en-US" sz="1100" baseline="0">
              <a:solidFill>
                <a:srgbClr val="FF0000"/>
              </a:solidFill>
              <a:effectLst/>
              <a:latin typeface="+mn-lt"/>
              <a:ea typeface="+mn-ea"/>
              <a:cs typeface="+mn-cs"/>
            </a:rPr>
            <a:t>Multi S, Period 2 </a:t>
          </a:r>
          <a:r>
            <a:rPr lang="en-US" sz="1100" baseline="0">
              <a:solidFill>
                <a:schemeClr val="dk1"/>
              </a:solidFill>
              <a:effectLst/>
              <a:latin typeface="+mn-lt"/>
              <a:ea typeface="+mn-ea"/>
              <a:cs typeface="+mn-cs"/>
            </a:rPr>
            <a:t>is weighted Average Specific Heat Demand (GWh/Mm2) of TH*A+AB*A over construction year -&gt; converted to PJ</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baseline="0"/>
        </a:p>
        <a:p>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29</xdr:col>
      <xdr:colOff>171449</xdr:colOff>
      <xdr:row>73</xdr:row>
      <xdr:rowOff>104775</xdr:rowOff>
    </xdr:from>
    <xdr:to>
      <xdr:col>36</xdr:col>
      <xdr:colOff>104774</xdr:colOff>
      <xdr:row>86</xdr:row>
      <xdr:rowOff>142875</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381000</xdr:colOff>
      <xdr:row>12</xdr:row>
      <xdr:rowOff>26160</xdr:rowOff>
    </xdr:from>
    <xdr:to>
      <xdr:col>28</xdr:col>
      <xdr:colOff>9676</xdr:colOff>
      <xdr:row>33</xdr:row>
      <xdr:rowOff>32657</xdr:rowOff>
    </xdr:to>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14913429" y="2257731"/>
          <a:ext cx="8859761" cy="39471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Moah 8 May 2017:</a:t>
          </a:r>
        </a:p>
        <a:p>
          <a:r>
            <a:rPr lang="en-US" sz="1100"/>
            <a:t>Table 1</a:t>
          </a:r>
          <a:r>
            <a:rPr lang="en-US" sz="1100" baseline="0"/>
            <a:t> is the frequency of buildings in BY from ssb.no. Table 06266 (2010)</a:t>
          </a:r>
        </a:p>
        <a:p>
          <a:pPr lvl="1"/>
          <a:r>
            <a:rPr lang="en-US" sz="1100" baseline="0"/>
            <a:t>* Svalbard is left out.</a:t>
          </a:r>
        </a:p>
        <a:p>
          <a:pPr lvl="1"/>
          <a:r>
            <a:rPr lang="en-US" sz="1100" baseline="0"/>
            <a:t>* Other houses are left out.</a:t>
          </a:r>
        </a:p>
        <a:p>
          <a:pPr lvl="1"/>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Table 2: The frequency of buildings are aggreagted over the construction year, and building type. </a:t>
          </a:r>
          <a:r>
            <a:rPr lang="en-US" sz="1100" b="1" baseline="0">
              <a:solidFill>
                <a:schemeClr val="dk1"/>
              </a:solidFill>
              <a:effectLst/>
              <a:latin typeface="+mn-lt"/>
              <a:ea typeface="+mn-ea"/>
              <a:cs typeface="+mn-cs"/>
            </a:rPr>
            <a:t>Share of cent/decent/individual: </a:t>
          </a:r>
          <a:endParaRPr lang="en-US" b="1">
            <a:effectLst/>
          </a:endParaRPr>
        </a:p>
        <a:p>
          <a:pPr lvl="1"/>
          <a:r>
            <a:rPr lang="en-US" sz="1100" baseline="0"/>
            <a:t>* ssb reported that in 2009 around 2% of housholds used </a:t>
          </a:r>
          <a:r>
            <a:rPr lang="en-US" sz="1100" baseline="0">
              <a:solidFill>
                <a:schemeClr val="dk1"/>
              </a:solidFill>
              <a:effectLst/>
              <a:latin typeface="+mn-lt"/>
              <a:ea typeface="+mn-ea"/>
              <a:cs typeface="+mn-cs"/>
            </a:rPr>
            <a:t>district heating</a:t>
          </a:r>
          <a:r>
            <a:rPr lang="en-US" sz="1100" baseline="0"/>
            <a:t>.  </a:t>
          </a:r>
        </a:p>
        <a:p>
          <a:pPr lvl="1"/>
          <a:r>
            <a:rPr lang="en-US" sz="1100" baseline="0"/>
            <a:t>* We assume in four major cities, i.e., Oslo, Bergen, Trondheil and Stavanger, all district heating system is central and in other cities, all DH is decentral.</a:t>
          </a:r>
        </a:p>
        <a:p>
          <a:pPr lvl="0"/>
          <a:r>
            <a:rPr lang="en-US" sz="1100" baseline="0"/>
            <a:t>Table 3: Share of cent/decent/individual is implemented</a:t>
          </a:r>
        </a:p>
        <a:p>
          <a:pPr lvl="0"/>
          <a:r>
            <a:rPr lang="en-US" sz="1100" baseline="0"/>
            <a:t>Table 4: The space heating and DHW demand is extracted form TABULA online tool.</a:t>
          </a:r>
        </a:p>
        <a:p>
          <a:pPr lvl="1"/>
          <a:r>
            <a:rPr lang="en-US" sz="1100" baseline="0"/>
            <a:t>* We </a:t>
          </a:r>
          <a:r>
            <a:rPr lang="en-US" sz="1100" baseline="0">
              <a:solidFill>
                <a:schemeClr val="dk1"/>
              </a:solidFill>
              <a:effectLst/>
              <a:latin typeface="+mn-lt"/>
              <a:ea typeface="+mn-ea"/>
              <a:cs typeface="+mn-cs"/>
            </a:rPr>
            <a:t>assume </a:t>
          </a:r>
          <a:r>
            <a:rPr lang="en-US" sz="1100" baseline="0"/>
            <a:t>10% solar gain  through windows.</a:t>
          </a:r>
        </a:p>
        <a:p>
          <a:pPr lvl="0"/>
          <a:r>
            <a:rPr lang="en-US" sz="1100" baseline="0"/>
            <a:t>Table 5: DHW demand and space heating are summed.</a:t>
          </a:r>
        </a:p>
        <a:p>
          <a:pPr lvl="0"/>
          <a:r>
            <a:rPr lang="en-US" sz="1100" baseline="0"/>
            <a:t>Table 6: The specific heating demand is calculated for each group based on TIMES-NO split.</a:t>
          </a:r>
        </a:p>
        <a:p>
          <a:pPr lvl="0"/>
          <a:r>
            <a:rPr lang="en-US" sz="1100" baseline="0"/>
            <a:t>Table 7: weighted average</a:t>
          </a:r>
        </a:p>
        <a:p>
          <a:pPr lvl="0"/>
          <a:r>
            <a:rPr lang="en-US" sz="1100" baseline="0"/>
            <a:t>Table 8: Frequency and area of buildings are taken from TABULA report (2013).</a:t>
          </a:r>
        </a:p>
        <a:p>
          <a:pPr lvl="0"/>
          <a:r>
            <a:rPr lang="en-US" sz="1100" baseline="0"/>
            <a:t>Table 9: Average heating area for dwellings are calculated.</a:t>
          </a:r>
        </a:p>
        <a:p>
          <a:pPr lvl="0"/>
          <a:r>
            <a:rPr lang="en-US" sz="1100" baseline="0"/>
            <a:t>Table 10: The number of dwellings from ssb 2010 and TABULA 2013 do not match. So we </a:t>
          </a:r>
          <a:r>
            <a:rPr lang="en-US" sz="1100" baseline="0">
              <a:solidFill>
                <a:srgbClr val="FF0000"/>
              </a:solidFill>
            </a:rPr>
            <a:t>scaled down </a:t>
          </a:r>
          <a:r>
            <a:rPr lang="en-US" sz="1100" baseline="0"/>
            <a:t>the data from ssb. and multiplied by average heating area per group.</a:t>
          </a:r>
        </a:p>
        <a:p>
          <a:pPr lvl="1"/>
          <a:r>
            <a:rPr lang="en-US" sz="1100" baseline="0"/>
            <a:t>* Now we have </a:t>
          </a:r>
          <a:r>
            <a:rPr lang="en-US" sz="1100" baseline="0">
              <a:solidFill>
                <a:srgbClr val="FF0000"/>
              </a:solidFill>
            </a:rPr>
            <a:t>237 651 mM2 </a:t>
          </a:r>
          <a:r>
            <a:rPr lang="en-US" sz="1100" baseline="0"/>
            <a:t>in our model compared to </a:t>
          </a:r>
          <a:r>
            <a:rPr lang="en-US" sz="1100" baseline="0">
              <a:solidFill>
                <a:srgbClr val="FF0000"/>
              </a:solidFill>
            </a:rPr>
            <a:t>237 009 mM2 </a:t>
          </a:r>
          <a:r>
            <a:rPr lang="en-US" sz="1100" baseline="0"/>
            <a:t>from TABULA.</a:t>
          </a:r>
        </a:p>
        <a:p>
          <a:pPr lvl="0"/>
          <a:r>
            <a:rPr lang="en-US" sz="1100" baseline="0"/>
            <a:t>Table 11: Split cent/decent</a:t>
          </a:r>
        </a:p>
        <a:p>
          <a:pPr lvl="0"/>
          <a:r>
            <a:rPr lang="en-US" sz="1100" baseline="0"/>
            <a:t>Table 12: Final data to be used in model.</a:t>
          </a:r>
        </a:p>
        <a:p>
          <a:pPr lvl="0"/>
          <a:endParaRPr lang="en-US" sz="1100" baseline="0"/>
        </a:p>
        <a:p>
          <a:pPr lvl="0"/>
          <a:endParaRPr lang="en-US" sz="1100" baseline="0"/>
        </a:p>
      </xdr:txBody>
    </xdr:sp>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601980</xdr:colOff>
          <xdr:row>44</xdr:row>
          <xdr:rowOff>7620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3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s://www.ssb.no/en/energi-og-industri/statistikker/husenergi/hvert-3-aar/2014-07-14"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https://www.sintef.no/globalassets/upload/energi/transes/article_energy-demand_jepo.pdf"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11.vml"/><Relationship Id="rId1" Type="http://schemas.openxmlformats.org/officeDocument/2006/relationships/drawing" Target="../drawings/drawing17.xml"/><Relationship Id="rId4" Type="http://schemas.openxmlformats.org/officeDocument/2006/relationships/image" Target="../media/image1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24" sqref="E24"/>
    </sheetView>
  </sheetViews>
  <sheetFormatPr defaultColWidth="9.109375" defaultRowHeight="13.2"/>
  <cols>
    <col min="1" max="1" width="11" style="116" bestFit="1" customWidth="1"/>
    <col min="2" max="2" width="21.109375" style="116" customWidth="1"/>
    <col min="3" max="3" width="30.33203125" style="116" bestFit="1" customWidth="1"/>
    <col min="4" max="4" width="16.33203125" style="116" bestFit="1" customWidth="1"/>
    <col min="5" max="5" width="132.109375" style="116" customWidth="1"/>
    <col min="6" max="8" width="9.109375" style="116"/>
    <col min="9" max="9" width="13" style="116" customWidth="1"/>
    <col min="10" max="10" width="14.5546875" style="116" bestFit="1" customWidth="1"/>
    <col min="11" max="16384" width="9.109375" style="116"/>
  </cols>
  <sheetData>
    <row r="3" spans="1:6">
      <c r="A3" s="114" t="s">
        <v>215</v>
      </c>
      <c r="B3" s="115" t="s">
        <v>167</v>
      </c>
      <c r="C3" s="115" t="s">
        <v>216</v>
      </c>
      <c r="D3" s="115" t="s">
        <v>217</v>
      </c>
      <c r="E3" s="115" t="s">
        <v>218</v>
      </c>
    </row>
    <row r="4" spans="1:6">
      <c r="A4" s="1420">
        <v>44099</v>
      </c>
      <c r="B4" s="1421" t="s">
        <v>1150</v>
      </c>
      <c r="C4" s="1421"/>
      <c r="D4" s="1422"/>
      <c r="E4" s="1423" t="s">
        <v>1257</v>
      </c>
    </row>
    <row r="5" spans="1:6">
      <c r="A5" s="1420"/>
      <c r="B5" s="1421"/>
      <c r="C5" s="1421" t="s">
        <v>1264</v>
      </c>
      <c r="D5" s="1422"/>
      <c r="E5" s="1423" t="s">
        <v>1266</v>
      </c>
    </row>
    <row r="6" spans="1:6">
      <c r="A6" s="1420"/>
      <c r="B6" s="1421"/>
      <c r="C6" s="1421" t="s">
        <v>1265</v>
      </c>
      <c r="D6" s="1422"/>
      <c r="E6" s="1423" t="s">
        <v>1267</v>
      </c>
    </row>
    <row r="7" spans="1:6">
      <c r="A7" s="114"/>
      <c r="B7" s="115"/>
      <c r="C7" s="1421" t="s">
        <v>1268</v>
      </c>
      <c r="D7" s="1422"/>
      <c r="E7" s="1423" t="s">
        <v>1269</v>
      </c>
    </row>
    <row r="8" spans="1:6">
      <c r="A8" s="114"/>
      <c r="B8" s="115"/>
      <c r="C8" s="1421" t="s">
        <v>1258</v>
      </c>
      <c r="D8" s="1422"/>
      <c r="E8" s="1423" t="s">
        <v>1259</v>
      </c>
    </row>
    <row r="9" spans="1:6">
      <c r="A9" s="540"/>
      <c r="B9" s="205"/>
      <c r="C9" s="1421" t="s">
        <v>1260</v>
      </c>
      <c r="D9" s="1422"/>
      <c r="E9" s="1423" t="s">
        <v>1261</v>
      </c>
    </row>
    <row r="10" spans="1:6">
      <c r="A10" s="540"/>
      <c r="B10" s="205"/>
      <c r="C10" s="1421" t="s">
        <v>1262</v>
      </c>
      <c r="D10" s="1422"/>
      <c r="E10" s="1423" t="s">
        <v>1270</v>
      </c>
    </row>
    <row r="11" spans="1:6">
      <c r="A11" s="540"/>
      <c r="B11" s="205"/>
      <c r="C11" s="1421" t="s">
        <v>1151</v>
      </c>
      <c r="D11" s="1422"/>
      <c r="E11" s="1423" t="s">
        <v>1271</v>
      </c>
    </row>
    <row r="12" spans="1:6">
      <c r="A12" s="540"/>
      <c r="B12" s="205"/>
      <c r="C12" s="1421" t="s">
        <v>292</v>
      </c>
      <c r="D12" s="1422"/>
      <c r="E12" s="1423" t="s">
        <v>1263</v>
      </c>
    </row>
    <row r="13" spans="1:6">
      <c r="A13" s="117">
        <v>43559</v>
      </c>
      <c r="B13" s="118" t="s">
        <v>1050</v>
      </c>
      <c r="C13" s="118" t="s">
        <v>220</v>
      </c>
      <c r="D13" s="118" t="s">
        <v>1051</v>
      </c>
      <c r="E13" s="118" t="s">
        <v>1052</v>
      </c>
    </row>
    <row r="14" spans="1:6">
      <c r="A14" s="540">
        <v>42864</v>
      </c>
      <c r="B14" s="205" t="s">
        <v>985</v>
      </c>
      <c r="C14" s="205"/>
      <c r="D14" s="205"/>
      <c r="E14" s="205" t="s">
        <v>986</v>
      </c>
    </row>
    <row r="15" spans="1:6">
      <c r="F15" s="119"/>
    </row>
    <row r="16" spans="1:6">
      <c r="A16" s="114"/>
      <c r="B16" s="115"/>
      <c r="C16" s="115"/>
      <c r="D16" s="115"/>
      <c r="E16" s="115"/>
    </row>
    <row r="17" spans="1:5">
      <c r="A17" s="114"/>
      <c r="B17" s="115"/>
      <c r="C17" s="115"/>
      <c r="D17" s="115"/>
      <c r="E17" s="115"/>
    </row>
    <row r="18" spans="1:5">
      <c r="A18" s="114"/>
      <c r="B18" s="115"/>
      <c r="C18" s="115"/>
      <c r="D18" s="115"/>
      <c r="E18" s="115"/>
    </row>
    <row r="19" spans="1:5">
      <c r="A19" s="114"/>
      <c r="B19" s="115"/>
      <c r="C19" s="115"/>
      <c r="D19" s="115"/>
      <c r="E19" s="115"/>
    </row>
    <row r="20" spans="1:5">
      <c r="A20" s="114"/>
      <c r="B20" s="115"/>
      <c r="C20" s="115"/>
      <c r="D20" s="115"/>
      <c r="E20" s="115"/>
    </row>
    <row r="21" spans="1:5">
      <c r="A21" s="114"/>
      <c r="B21" s="115"/>
      <c r="C21" s="115"/>
      <c r="D21" s="115"/>
      <c r="E21" s="115"/>
    </row>
    <row r="22" spans="1:5" s="211" customFormat="1">
      <c r="A22" s="204">
        <v>42675</v>
      </c>
      <c r="B22" s="200" t="s">
        <v>330</v>
      </c>
      <c r="C22" s="200" t="s">
        <v>224</v>
      </c>
      <c r="D22" s="200" t="e">
        <f>ADDRESS(ROW(#REF!),COLUMN(#REF!),4,1)&amp;":"&amp;ADDRESS(ROW(#REF!),COLUMN(#REF!),4,1)</f>
        <v>#REF!</v>
      </c>
      <c r="E22" s="200" t="s">
        <v>337</v>
      </c>
    </row>
    <row r="23" spans="1:5" s="211" customFormat="1">
      <c r="A23" s="204">
        <v>42675</v>
      </c>
      <c r="B23" s="200" t="s">
        <v>330</v>
      </c>
      <c r="C23" s="200" t="s">
        <v>224</v>
      </c>
      <c r="D23" s="200" t="e">
        <f>ADDRESS(ROW(#REF!),COLUMN(#REF!),4,1)&amp;":"&amp;ADDRESS(ROW(#REF!),COLUMN(#REF!),4,1)</f>
        <v>#REF!</v>
      </c>
      <c r="E23" s="200" t="s">
        <v>336</v>
      </c>
    </row>
    <row r="24" spans="1:5" s="211" customFormat="1">
      <c r="A24" s="204">
        <v>42674</v>
      </c>
      <c r="B24" s="200" t="s">
        <v>330</v>
      </c>
      <c r="C24" s="200" t="s">
        <v>295</v>
      </c>
      <c r="D24" s="200" t="str">
        <f>ADDRESS(ROW(Processes!D47),COLUMN(Processes!D47),4,1)&amp;":"&amp;ADDRESS(ROW(Processes!G47),COLUMN(Processes!G47),4,1)</f>
        <v>D47:G47</v>
      </c>
      <c r="E24" s="200" t="s">
        <v>333</v>
      </c>
    </row>
    <row r="25" spans="1:5" s="211" customFormat="1">
      <c r="A25" s="213">
        <v>42674</v>
      </c>
      <c r="B25" s="212" t="s">
        <v>330</v>
      </c>
      <c r="C25" s="213" t="s">
        <v>295</v>
      </c>
      <c r="D25" s="213" t="str">
        <f>ADDRESS(ROW(Processes!D27),COLUMN(Processes!D27),4,1)&amp;":"&amp;ADDRESS(ROW(Processes!H27),COLUMN(Processes!H27),4,1)</f>
        <v>D27:H27</v>
      </c>
      <c r="E25" s="214" t="s">
        <v>334</v>
      </c>
    </row>
    <row r="26" spans="1:5">
      <c r="A26" s="204">
        <v>42674</v>
      </c>
      <c r="B26" s="200" t="s">
        <v>330</v>
      </c>
      <c r="C26" s="200" t="s">
        <v>220</v>
      </c>
      <c r="D26" s="200" t="str">
        <f>ADDRESS(ROW(Commodities!C15),COLUMN(Commodities!C15),4,1)&amp;":"&amp;ADDRESS(ROW(Commodities!J15),COLUMN(Commodities!J15),4,1)</f>
        <v>C15:J15</v>
      </c>
      <c r="E26" s="200" t="s">
        <v>331</v>
      </c>
    </row>
    <row r="27" spans="1:5">
      <c r="A27" s="204">
        <v>42671</v>
      </c>
      <c r="B27" s="205" t="s">
        <v>314</v>
      </c>
      <c r="C27" s="205" t="s">
        <v>308</v>
      </c>
      <c r="D27" s="205" t="s">
        <v>324</v>
      </c>
      <c r="E27" s="205" t="s">
        <v>323</v>
      </c>
    </row>
    <row r="28" spans="1:5">
      <c r="A28" s="204">
        <v>42613</v>
      </c>
      <c r="B28" s="205" t="s">
        <v>314</v>
      </c>
      <c r="C28" s="205" t="s">
        <v>318</v>
      </c>
      <c r="D28" s="115"/>
      <c r="E28" s="205" t="s">
        <v>319</v>
      </c>
    </row>
    <row r="29" spans="1:5">
      <c r="A29" s="204">
        <v>42607</v>
      </c>
      <c r="B29" s="205" t="s">
        <v>314</v>
      </c>
      <c r="C29" s="205" t="s">
        <v>308</v>
      </c>
      <c r="D29" s="205" t="s">
        <v>315</v>
      </c>
      <c r="E29" s="205" t="s">
        <v>316</v>
      </c>
    </row>
    <row r="30" spans="1:5">
      <c r="A30" s="204">
        <v>42606</v>
      </c>
      <c r="B30" s="205" t="s">
        <v>307</v>
      </c>
      <c r="C30" s="205" t="s">
        <v>308</v>
      </c>
      <c r="D30" s="205" t="s">
        <v>310</v>
      </c>
      <c r="E30" s="205" t="s">
        <v>313</v>
      </c>
    </row>
    <row r="31" spans="1:5">
      <c r="A31" s="204">
        <v>42606</v>
      </c>
      <c r="B31" s="205" t="s">
        <v>307</v>
      </c>
      <c r="C31" s="205" t="s">
        <v>308</v>
      </c>
      <c r="D31" s="205" t="s">
        <v>310</v>
      </c>
      <c r="E31" s="205" t="s">
        <v>312</v>
      </c>
    </row>
    <row r="32" spans="1:5" s="124" customFormat="1">
      <c r="A32" s="204">
        <v>42606</v>
      </c>
      <c r="B32" s="205" t="s">
        <v>307</v>
      </c>
      <c r="C32" s="205" t="s">
        <v>308</v>
      </c>
      <c r="D32" s="205" t="s">
        <v>309</v>
      </c>
      <c r="E32" s="205" t="s">
        <v>311</v>
      </c>
    </row>
    <row r="33" spans="1:5" s="124" customFormat="1">
      <c r="A33" s="126">
        <v>42474</v>
      </c>
      <c r="B33" s="200" t="s">
        <v>305</v>
      </c>
      <c r="C33" s="125"/>
      <c r="D33" s="125"/>
      <c r="E33" s="200" t="s">
        <v>306</v>
      </c>
    </row>
    <row r="34" spans="1:5" s="119" customFormat="1">
      <c r="A34" s="126">
        <v>41901</v>
      </c>
      <c r="B34" s="125" t="s">
        <v>226</v>
      </c>
      <c r="C34" s="125" t="s">
        <v>224</v>
      </c>
      <c r="D34" s="125" t="e">
        <f>ADDRESS(ROW(#REF!),COLUMN(#REF!),4,1)&amp;","&amp;ADDRESS(ROW(#REF!),COLUMN(#REF!),4,1)&amp;","&amp;ADDRESS(ROW(#REF!),COLUMN(#REF!),4,1)&amp;","&amp;ADDRESS(ROW(#REF!),COLUMN(#REF!),4,1)</f>
        <v>#REF!</v>
      </c>
      <c r="E34" s="125" t="s">
        <v>227</v>
      </c>
    </row>
    <row r="35" spans="1:5" s="119" customFormat="1">
      <c r="A35" s="117">
        <v>41802</v>
      </c>
      <c r="B35" s="118" t="s">
        <v>219</v>
      </c>
      <c r="C35" s="118" t="s">
        <v>220</v>
      </c>
      <c r="D35" s="119" t="s">
        <v>221</v>
      </c>
      <c r="E35" s="118" t="s">
        <v>222</v>
      </c>
    </row>
    <row r="36" spans="1:5" s="119" customFormat="1">
      <c r="A36" s="117">
        <v>41841</v>
      </c>
      <c r="B36" s="118" t="s">
        <v>219</v>
      </c>
      <c r="C36" s="118" t="s">
        <v>224</v>
      </c>
      <c r="D36" s="119" t="s">
        <v>225</v>
      </c>
      <c r="E36" s="118" t="s">
        <v>223</v>
      </c>
    </row>
    <row r="37" spans="1:5" s="119" customFormat="1">
      <c r="A37" s="117"/>
      <c r="B37" s="118"/>
      <c r="C37" s="118"/>
      <c r="D37" s="118"/>
      <c r="E37" s="118"/>
    </row>
    <row r="38" spans="1:5" s="119" customFormat="1">
      <c r="A38" s="117"/>
      <c r="B38" s="118"/>
      <c r="C38" s="118"/>
      <c r="D38" s="118"/>
      <c r="E38" s="118"/>
    </row>
    <row r="39" spans="1:5" s="119" customFormat="1">
      <c r="A39" s="117"/>
      <c r="B39" s="118"/>
      <c r="C39" s="118"/>
      <c r="D39" s="118"/>
      <c r="E39" s="118"/>
    </row>
    <row r="40" spans="1:5">
      <c r="A40" s="117"/>
      <c r="B40" s="118"/>
      <c r="C40" s="118"/>
      <c r="D40" s="118"/>
      <c r="E40" s="118"/>
    </row>
    <row r="41" spans="1:5">
      <c r="A41" s="117"/>
      <c r="B41" s="120"/>
      <c r="C41" s="120"/>
      <c r="D41" s="121"/>
      <c r="E41" s="120"/>
    </row>
    <row r="42" spans="1:5">
      <c r="A42" s="122"/>
      <c r="B42" s="120"/>
      <c r="C42" s="120"/>
      <c r="D42" s="123"/>
      <c r="E42" s="123"/>
    </row>
    <row r="43" spans="1:5">
      <c r="A43" s="12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C20"/>
  <sheetViews>
    <sheetView workbookViewId="0">
      <selection activeCell="C36" sqref="C36"/>
    </sheetView>
  </sheetViews>
  <sheetFormatPr defaultColWidth="9.109375" defaultRowHeight="14.4"/>
  <cols>
    <col min="1" max="1" width="9.109375" style="197"/>
    <col min="2" max="2" width="28.33203125" style="197" customWidth="1"/>
    <col min="3" max="3" width="138.44140625" style="197" customWidth="1"/>
    <col min="4" max="16384" width="9.109375" style="197"/>
  </cols>
  <sheetData>
    <row r="1" spans="2:3" ht="18">
      <c r="B1" s="196" t="s">
        <v>281</v>
      </c>
    </row>
    <row r="3" spans="2:3">
      <c r="B3" s="198" t="s">
        <v>282</v>
      </c>
      <c r="C3" s="197" t="s">
        <v>289</v>
      </c>
    </row>
    <row r="4" spans="2:3">
      <c r="B4" s="198" t="s">
        <v>283</v>
      </c>
      <c r="C4" s="197" t="s">
        <v>290</v>
      </c>
    </row>
    <row r="5" spans="2:3">
      <c r="B5" s="198"/>
    </row>
    <row r="6" spans="2:3">
      <c r="B6" s="198" t="s">
        <v>284</v>
      </c>
      <c r="C6" s="197" t="s">
        <v>304</v>
      </c>
    </row>
    <row r="7" spans="2:3">
      <c r="B7" s="198"/>
    </row>
    <row r="8" spans="2:3">
      <c r="B8" s="199" t="s">
        <v>285</v>
      </c>
    </row>
    <row r="9" spans="2:3">
      <c r="B9" s="198"/>
    </row>
    <row r="10" spans="2:3">
      <c r="B10" s="201" t="s">
        <v>291</v>
      </c>
      <c r="C10" s="197" t="s">
        <v>294</v>
      </c>
    </row>
    <row r="11" spans="2:3">
      <c r="B11" s="201" t="s">
        <v>993</v>
      </c>
      <c r="C11" s="545" t="s">
        <v>994</v>
      </c>
    </row>
    <row r="12" spans="2:3">
      <c r="B12" s="201" t="s">
        <v>292</v>
      </c>
      <c r="C12" s="197" t="s">
        <v>293</v>
      </c>
    </row>
    <row r="13" spans="2:3">
      <c r="B13" s="201" t="s">
        <v>220</v>
      </c>
      <c r="C13" s="197" t="s">
        <v>286</v>
      </c>
    </row>
    <row r="14" spans="2:3">
      <c r="B14" s="201" t="s">
        <v>295</v>
      </c>
      <c r="C14" s="197" t="s">
        <v>296</v>
      </c>
    </row>
    <row r="15" spans="2:3">
      <c r="B15" s="201" t="s">
        <v>224</v>
      </c>
      <c r="C15" s="197" t="s">
        <v>297</v>
      </c>
    </row>
    <row r="16" spans="2:3">
      <c r="B16" s="201" t="s">
        <v>298</v>
      </c>
      <c r="C16" s="197" t="s">
        <v>299</v>
      </c>
    </row>
    <row r="17" spans="2:3">
      <c r="B17" s="201" t="s">
        <v>300</v>
      </c>
      <c r="C17" s="197" t="s">
        <v>303</v>
      </c>
    </row>
    <row r="18" spans="2:3">
      <c r="B18" s="201" t="s">
        <v>301</v>
      </c>
      <c r="C18" s="197" t="s">
        <v>302</v>
      </c>
    </row>
    <row r="19" spans="2:3">
      <c r="B19" s="201" t="s">
        <v>287</v>
      </c>
      <c r="C19" s="197" t="s">
        <v>288</v>
      </c>
    </row>
    <row r="20" spans="2:3">
      <c r="B20" s="197" t="s">
        <v>983</v>
      </c>
      <c r="C20" s="539" t="s">
        <v>984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U48"/>
  <sheetViews>
    <sheetView showGridLines="0" zoomScale="80" zoomScaleNormal="80" workbookViewId="0">
      <selection activeCell="AA7" sqref="AA7"/>
    </sheetView>
  </sheetViews>
  <sheetFormatPr defaultRowHeight="13.2"/>
  <cols>
    <col min="2" max="14" width="5.6640625" customWidth="1"/>
    <col min="15" max="15" width="6.109375" customWidth="1"/>
    <col min="16" max="16" width="5.6640625" customWidth="1"/>
    <col min="17" max="17" width="6.33203125" customWidth="1"/>
    <col min="19" max="19" width="14.5546875" bestFit="1" customWidth="1"/>
    <col min="20" max="20" width="8.33203125" customWidth="1"/>
    <col min="21" max="32" width="4.6640625" customWidth="1"/>
    <col min="34" max="34" width="10.6640625" bestFit="1" customWidth="1"/>
    <col min="35" max="35" width="11.5546875" customWidth="1"/>
    <col min="36" max="47" width="3.6640625" customWidth="1"/>
  </cols>
  <sheetData>
    <row r="1" spans="1:47">
      <c r="A1" s="16"/>
    </row>
    <row r="5" spans="1:47">
      <c r="AQ5" s="1"/>
      <c r="AR5" s="1"/>
    </row>
    <row r="6" spans="1:47">
      <c r="AQ6" s="1"/>
      <c r="AR6" s="1"/>
    </row>
    <row r="7" spans="1:47">
      <c r="B7" s="1435" t="s">
        <v>139</v>
      </c>
      <c r="C7" s="1435"/>
      <c r="D7" s="1436" t="s">
        <v>140</v>
      </c>
      <c r="E7" s="1436"/>
      <c r="F7" s="1437" t="s">
        <v>141</v>
      </c>
      <c r="G7" s="1437"/>
      <c r="H7" s="1437" t="s">
        <v>142</v>
      </c>
      <c r="I7" s="1437"/>
      <c r="J7" s="1438" t="s">
        <v>143</v>
      </c>
      <c r="K7" s="1438"/>
      <c r="L7" s="1433" t="s">
        <v>144</v>
      </c>
      <c r="M7" s="1433"/>
      <c r="N7" s="1434" t="s">
        <v>145</v>
      </c>
      <c r="O7" s="1434"/>
      <c r="P7" s="1434" t="s">
        <v>146</v>
      </c>
      <c r="Q7" s="1434"/>
      <c r="U7" s="1432" t="s">
        <v>90</v>
      </c>
      <c r="V7" s="1432"/>
      <c r="W7" s="1432" t="s">
        <v>97</v>
      </c>
      <c r="X7" s="1432"/>
      <c r="Y7" s="1432" t="s">
        <v>99</v>
      </c>
      <c r="Z7" s="1432"/>
      <c r="AA7" s="202" t="s">
        <v>91</v>
      </c>
      <c r="AB7" s="202"/>
      <c r="AC7" s="202" t="s">
        <v>98</v>
      </c>
      <c r="AD7" s="202"/>
      <c r="AE7" s="202" t="s">
        <v>100</v>
      </c>
      <c r="AF7" s="202"/>
      <c r="AJ7" s="1432" t="str">
        <f>Commodities!$C$6</f>
        <v>RHDDB</v>
      </c>
      <c r="AK7" s="1432"/>
      <c r="AL7" s="1432" t="str">
        <f>Commodities!$C$7</f>
        <v>RHCDB</v>
      </c>
      <c r="AM7" s="1432"/>
      <c r="AN7" s="1432" t="str">
        <f>Commodities!$C$8</f>
        <v>RHIDB</v>
      </c>
      <c r="AO7" s="1432"/>
      <c r="AP7" s="1431" t="str">
        <f>Commodities!$C$9</f>
        <v>RHDMB</v>
      </c>
      <c r="AQ7" s="1431"/>
      <c r="AR7" s="1431" t="str">
        <f>Commodities!$C$10</f>
        <v>RHCMB</v>
      </c>
      <c r="AS7" s="1431"/>
      <c r="AT7" s="1431" t="str">
        <f>Commodities!$C$11</f>
        <v>RHIMB</v>
      </c>
      <c r="AU7" s="1431"/>
    </row>
    <row r="8" spans="1:47">
      <c r="C8" s="27"/>
      <c r="E8" s="27"/>
      <c r="G8" s="27"/>
      <c r="I8" s="27"/>
      <c r="K8" s="27"/>
      <c r="M8" s="27"/>
      <c r="O8" s="27"/>
      <c r="Q8" s="27"/>
      <c r="V8" s="27"/>
      <c r="X8" s="27"/>
      <c r="Z8" s="27"/>
      <c r="AB8" s="27"/>
      <c r="AD8" s="27"/>
      <c r="AF8" s="27"/>
      <c r="AJ8" s="1"/>
      <c r="AK8" s="27"/>
      <c r="AL8" s="1"/>
      <c r="AM8" s="27"/>
      <c r="AN8" s="1"/>
      <c r="AO8" s="27"/>
      <c r="AP8" s="1"/>
      <c r="AQ8" s="27"/>
      <c r="AR8" s="1"/>
      <c r="AS8" s="27"/>
      <c r="AT8" s="1"/>
      <c r="AU8" s="27"/>
    </row>
    <row r="9" spans="1:47">
      <c r="C9" s="27"/>
      <c r="E9" s="27"/>
      <c r="G9" s="27"/>
      <c r="I9" s="27"/>
      <c r="K9" s="27"/>
      <c r="M9" s="27"/>
      <c r="O9" s="27"/>
      <c r="Q9" s="27"/>
      <c r="V9" s="27"/>
      <c r="X9" s="27"/>
      <c r="Z9" s="27"/>
      <c r="AB9" s="27"/>
      <c r="AD9" s="27"/>
      <c r="AF9" s="27"/>
      <c r="AJ9" s="1"/>
      <c r="AK9" s="27"/>
      <c r="AL9" s="1"/>
      <c r="AM9" s="27"/>
      <c r="AN9" s="1"/>
      <c r="AO9" s="27"/>
      <c r="AP9" s="1"/>
      <c r="AQ9" s="27"/>
      <c r="AR9" s="1"/>
      <c r="AS9" s="27"/>
      <c r="AT9" s="1"/>
      <c r="AU9" s="27"/>
    </row>
    <row r="10" spans="1:47" ht="13.8" thickBot="1">
      <c r="C10" s="27"/>
      <c r="E10" s="27"/>
      <c r="G10" s="27"/>
      <c r="I10" s="27"/>
      <c r="K10" s="27"/>
      <c r="M10" s="27"/>
      <c r="O10" s="27"/>
      <c r="Q10" s="27"/>
      <c r="T10" s="1"/>
      <c r="U10" s="1"/>
      <c r="V10" s="27"/>
      <c r="X10" s="27"/>
      <c r="Z10" s="27"/>
      <c r="AB10" s="27"/>
      <c r="AD10" s="27"/>
      <c r="AF10" s="27"/>
      <c r="AJ10" s="1"/>
      <c r="AK10" s="27"/>
      <c r="AL10" s="1"/>
      <c r="AM10" s="27"/>
      <c r="AN10" s="1"/>
      <c r="AO10" s="27"/>
      <c r="AP10" s="1"/>
      <c r="AQ10" s="27"/>
      <c r="AR10" s="1"/>
      <c r="AS10" s="27"/>
      <c r="AT10" s="1"/>
      <c r="AU10" s="27"/>
    </row>
    <row r="11" spans="1:47" ht="13.8" thickBot="1">
      <c r="C11" s="41"/>
      <c r="D11" s="28"/>
      <c r="E11" s="41"/>
      <c r="F11" s="28"/>
      <c r="G11" s="41"/>
      <c r="H11" s="28"/>
      <c r="I11" s="41"/>
      <c r="J11" s="28"/>
      <c r="K11" s="41"/>
      <c r="L11" s="28"/>
      <c r="M11" s="41"/>
      <c r="N11" s="28"/>
      <c r="O11" s="41"/>
      <c r="P11" s="28"/>
      <c r="Q11" s="41"/>
      <c r="R11" s="51"/>
      <c r="S11" s="54" t="s">
        <v>123</v>
      </c>
      <c r="T11" s="52"/>
      <c r="U11" s="48"/>
      <c r="V11" s="27"/>
      <c r="W11" s="1"/>
      <c r="X11" s="27"/>
      <c r="Y11" s="1"/>
      <c r="Z11" s="27"/>
      <c r="AA11" s="43"/>
      <c r="AB11" s="27"/>
      <c r="AD11" s="27"/>
      <c r="AF11" s="27"/>
      <c r="AJ11" s="1"/>
      <c r="AK11" s="27"/>
      <c r="AL11" s="1"/>
      <c r="AM11" s="27"/>
      <c r="AN11" s="1"/>
      <c r="AO11" s="27"/>
      <c r="AP11" s="1"/>
      <c r="AQ11" s="27"/>
      <c r="AR11" s="1"/>
      <c r="AS11" s="27"/>
      <c r="AT11" s="1"/>
      <c r="AU11" s="27"/>
    </row>
    <row r="12" spans="1:47" ht="15" thickBot="1">
      <c r="C12" s="27"/>
      <c r="E12" s="27"/>
      <c r="G12" s="27"/>
      <c r="I12" s="27"/>
      <c r="K12" s="27"/>
      <c r="M12" s="27"/>
      <c r="O12" s="27"/>
      <c r="Q12" s="27"/>
      <c r="V12" s="27"/>
      <c r="X12" s="27"/>
      <c r="Z12" s="41"/>
      <c r="AA12" s="28"/>
      <c r="AB12" s="41"/>
      <c r="AC12" s="28"/>
      <c r="AD12" s="41"/>
      <c r="AE12" s="28"/>
      <c r="AF12" s="41"/>
      <c r="AG12" s="51"/>
      <c r="AH12" s="59" t="s">
        <v>64</v>
      </c>
      <c r="AI12" s="44"/>
      <c r="AJ12" s="45"/>
      <c r="AK12" s="42"/>
      <c r="AL12" s="3"/>
      <c r="AM12" s="42"/>
      <c r="AN12" s="3"/>
      <c r="AO12" s="42"/>
      <c r="AP12" s="3"/>
      <c r="AQ12" s="42"/>
      <c r="AR12" s="3"/>
      <c r="AS12" s="42"/>
      <c r="AT12" s="3"/>
      <c r="AU12" s="42"/>
    </row>
    <row r="13" spans="1:47" ht="13.8" thickBot="1">
      <c r="C13" s="27"/>
      <c r="E13" s="41"/>
      <c r="F13" s="28"/>
      <c r="G13" s="41"/>
      <c r="H13" s="28"/>
      <c r="I13" s="41"/>
      <c r="J13" s="28"/>
      <c r="K13" s="41"/>
      <c r="L13" s="28"/>
      <c r="M13" s="41"/>
      <c r="N13" s="28"/>
      <c r="O13" s="41"/>
      <c r="P13" s="28"/>
      <c r="Q13" s="41"/>
      <c r="R13" s="51"/>
      <c r="S13" s="55" t="s">
        <v>124</v>
      </c>
      <c r="T13" s="47"/>
      <c r="U13" s="48"/>
      <c r="V13" s="42"/>
      <c r="W13" s="11"/>
      <c r="X13" s="42"/>
      <c r="Y13" s="11"/>
      <c r="Z13" s="42"/>
      <c r="AA13" s="11"/>
      <c r="AB13" s="42"/>
      <c r="AC13" s="11"/>
      <c r="AD13" s="42"/>
      <c r="AE13" s="11"/>
      <c r="AF13" s="42"/>
      <c r="AI13" s="11"/>
      <c r="AJ13" s="3"/>
      <c r="AK13" s="42"/>
      <c r="AL13" s="46"/>
      <c r="AM13" s="42"/>
      <c r="AN13" s="3"/>
      <c r="AO13" s="42"/>
      <c r="AP13" s="3"/>
      <c r="AQ13" s="42"/>
      <c r="AR13" s="3"/>
      <c r="AS13" s="42"/>
      <c r="AT13" s="3"/>
      <c r="AU13" s="42"/>
    </row>
    <row r="14" spans="1:47" ht="13.8" thickBot="1">
      <c r="C14" s="27"/>
      <c r="E14" s="27"/>
      <c r="G14" s="27"/>
      <c r="I14" s="27"/>
      <c r="K14" s="27"/>
      <c r="M14" s="27"/>
      <c r="O14" s="27"/>
      <c r="Q14" s="27"/>
      <c r="T14" s="11"/>
      <c r="U14" s="11"/>
      <c r="V14" s="42"/>
      <c r="W14" s="11"/>
      <c r="X14" s="42"/>
      <c r="Y14" s="11"/>
      <c r="Z14" s="49"/>
      <c r="AA14" s="35"/>
      <c r="AB14" s="49"/>
      <c r="AC14" s="35"/>
      <c r="AD14" s="49"/>
      <c r="AE14" s="35"/>
      <c r="AF14" s="49"/>
      <c r="AG14" s="51"/>
      <c r="AH14" s="59" t="s">
        <v>65</v>
      </c>
      <c r="AI14" s="47"/>
      <c r="AJ14" s="48"/>
      <c r="AK14" s="42"/>
      <c r="AL14" s="3"/>
      <c r="AM14" s="42"/>
      <c r="AN14" s="3"/>
      <c r="AO14" s="42"/>
      <c r="AP14" s="3"/>
      <c r="AQ14" s="42"/>
      <c r="AR14" s="3"/>
      <c r="AS14" s="42"/>
      <c r="AT14" s="3"/>
      <c r="AU14" s="42"/>
    </row>
    <row r="15" spans="1:47" ht="13.8" thickBot="1">
      <c r="C15" s="27"/>
      <c r="E15" s="27"/>
      <c r="G15" s="41"/>
      <c r="H15" s="28"/>
      <c r="I15" s="41"/>
      <c r="J15" s="28"/>
      <c r="K15" s="41"/>
      <c r="L15" s="28"/>
      <c r="M15" s="41"/>
      <c r="N15" s="28"/>
      <c r="O15" s="41"/>
      <c r="P15" s="28"/>
      <c r="Q15" s="41"/>
      <c r="R15" s="51"/>
      <c r="S15" s="56" t="s">
        <v>125</v>
      </c>
      <c r="T15" s="47"/>
      <c r="U15" s="48"/>
      <c r="V15" s="42"/>
      <c r="W15" s="11"/>
      <c r="X15" s="42"/>
      <c r="Y15" s="11"/>
      <c r="Z15" s="42"/>
      <c r="AA15" s="11"/>
      <c r="AB15" s="42"/>
      <c r="AC15" s="11"/>
      <c r="AD15" s="42"/>
      <c r="AE15" s="11"/>
      <c r="AF15" s="42"/>
      <c r="AI15" s="11"/>
      <c r="AJ15" s="3"/>
      <c r="AK15" s="42"/>
      <c r="AL15" s="46"/>
      <c r="AM15" s="42"/>
      <c r="AN15" s="3"/>
      <c r="AO15" s="42"/>
      <c r="AP15" s="3"/>
      <c r="AQ15" s="42"/>
      <c r="AR15" s="3"/>
      <c r="AS15" s="42"/>
      <c r="AT15" s="3"/>
      <c r="AU15" s="42"/>
    </row>
    <row r="16" spans="1:47" ht="13.8" thickBot="1">
      <c r="C16" s="27"/>
      <c r="E16" s="27"/>
      <c r="G16" s="27"/>
      <c r="I16" s="27"/>
      <c r="K16" s="27"/>
      <c r="M16" s="27"/>
      <c r="O16" s="27"/>
      <c r="Q16" s="27"/>
      <c r="T16" s="11"/>
      <c r="U16" s="11"/>
      <c r="V16" s="42"/>
      <c r="W16" s="11"/>
      <c r="X16" s="49"/>
      <c r="Y16" s="35"/>
      <c r="Z16" s="49"/>
      <c r="AA16" s="35"/>
      <c r="AB16" s="49"/>
      <c r="AC16" s="35"/>
      <c r="AD16" s="49"/>
      <c r="AE16" s="35"/>
      <c r="AF16" s="49"/>
      <c r="AG16" s="51"/>
      <c r="AH16" s="59" t="s">
        <v>67</v>
      </c>
      <c r="AI16" s="47"/>
      <c r="AJ16" s="35"/>
      <c r="AK16" s="49"/>
      <c r="AL16" s="48"/>
      <c r="AM16" s="42"/>
      <c r="AN16" s="3"/>
      <c r="AO16" s="42"/>
      <c r="AP16" s="3"/>
      <c r="AQ16" s="42"/>
      <c r="AR16" s="3"/>
      <c r="AS16" s="42"/>
      <c r="AT16" s="3"/>
      <c r="AU16" s="42"/>
    </row>
    <row r="17" spans="3:47" ht="13.8" thickBot="1">
      <c r="C17" s="27"/>
      <c r="E17" s="27"/>
      <c r="G17" s="27"/>
      <c r="I17" s="41"/>
      <c r="J17" s="28"/>
      <c r="K17" s="41"/>
      <c r="L17" s="28"/>
      <c r="M17" s="41"/>
      <c r="N17" s="28"/>
      <c r="O17" s="41"/>
      <c r="P17" s="28"/>
      <c r="Q17" s="41"/>
      <c r="R17" s="51"/>
      <c r="S17" s="56" t="s">
        <v>126</v>
      </c>
      <c r="T17" s="47"/>
      <c r="U17" s="48"/>
      <c r="V17" s="42"/>
      <c r="W17" s="11"/>
      <c r="X17" s="42"/>
      <c r="Y17" s="11"/>
      <c r="Z17" s="42"/>
      <c r="AA17" s="11"/>
      <c r="AB17" s="42"/>
      <c r="AC17" s="11"/>
      <c r="AD17" s="42"/>
      <c r="AE17" s="11"/>
      <c r="AF17" s="42"/>
      <c r="AI17" s="11"/>
      <c r="AJ17" s="3"/>
      <c r="AK17" s="42"/>
      <c r="AL17" s="3"/>
      <c r="AM17" s="42"/>
      <c r="AN17" s="3"/>
      <c r="AO17" s="42"/>
      <c r="AP17" s="3"/>
      <c r="AQ17" s="42"/>
      <c r="AR17" s="3"/>
      <c r="AS17" s="42"/>
      <c r="AT17" s="3"/>
      <c r="AU17" s="42"/>
    </row>
    <row r="18" spans="3:47" ht="13.8" thickBot="1">
      <c r="C18" s="27"/>
      <c r="E18" s="27"/>
      <c r="G18" s="27"/>
      <c r="I18" s="27"/>
      <c r="K18" s="27"/>
      <c r="M18" s="27"/>
      <c r="O18" s="27"/>
      <c r="Q18" s="27"/>
      <c r="T18" s="11"/>
      <c r="U18" s="11"/>
      <c r="V18" s="42"/>
      <c r="W18" s="11"/>
      <c r="X18" s="49"/>
      <c r="Y18" s="35"/>
      <c r="Z18" s="49"/>
      <c r="AA18" s="35"/>
      <c r="AB18" s="49"/>
      <c r="AC18" s="35"/>
      <c r="AD18" s="49"/>
      <c r="AE18" s="35"/>
      <c r="AF18" s="49"/>
      <c r="AG18" s="51"/>
      <c r="AH18" s="59" t="s">
        <v>68</v>
      </c>
      <c r="AI18" s="47"/>
      <c r="AJ18" s="35"/>
      <c r="AK18" s="49"/>
      <c r="AL18" s="48"/>
      <c r="AM18" s="42"/>
      <c r="AN18" s="3"/>
      <c r="AO18" s="42"/>
      <c r="AP18" s="3"/>
      <c r="AQ18" s="42"/>
      <c r="AR18" s="3"/>
      <c r="AS18" s="42"/>
      <c r="AT18" s="3"/>
      <c r="AU18" s="42"/>
    </row>
    <row r="19" spans="3:47" ht="13.8" thickBot="1">
      <c r="C19" s="27"/>
      <c r="E19" s="27"/>
      <c r="G19" s="27"/>
      <c r="I19" s="27"/>
      <c r="K19" s="27"/>
      <c r="M19" s="27"/>
      <c r="O19" s="41"/>
      <c r="P19" s="28"/>
      <c r="Q19" s="41"/>
      <c r="R19" s="51"/>
      <c r="S19" s="40" t="s">
        <v>127</v>
      </c>
      <c r="T19" s="47"/>
      <c r="U19" s="35"/>
      <c r="V19" s="49"/>
      <c r="W19" s="48"/>
      <c r="X19" s="42"/>
      <c r="Y19" s="11"/>
      <c r="Z19" s="42"/>
      <c r="AA19" s="11"/>
      <c r="AB19" s="42"/>
      <c r="AC19" s="11"/>
      <c r="AD19" s="42"/>
      <c r="AE19" s="11"/>
      <c r="AF19" s="42"/>
      <c r="AI19" s="11"/>
      <c r="AJ19" s="3"/>
      <c r="AK19" s="42"/>
      <c r="AL19" s="46"/>
      <c r="AM19" s="42"/>
      <c r="AN19" s="3"/>
      <c r="AO19" s="42"/>
      <c r="AP19" s="3"/>
      <c r="AQ19" s="42"/>
      <c r="AR19" s="3"/>
      <c r="AS19" s="42"/>
      <c r="AT19" s="3"/>
      <c r="AU19" s="42"/>
    </row>
    <row r="20" spans="3:47" ht="13.8" thickBot="1">
      <c r="C20" s="27"/>
      <c r="E20" s="27"/>
      <c r="G20" s="27"/>
      <c r="I20" s="27"/>
      <c r="K20" s="27"/>
      <c r="M20" s="27"/>
      <c r="O20" s="27"/>
      <c r="Q20" s="27"/>
      <c r="T20" s="11"/>
      <c r="U20" s="11"/>
      <c r="V20" s="49"/>
      <c r="W20" s="35"/>
      <c r="X20" s="49"/>
      <c r="Y20" s="35"/>
      <c r="Z20" s="49"/>
      <c r="AA20" s="35"/>
      <c r="AB20" s="49"/>
      <c r="AC20" s="35"/>
      <c r="AD20" s="49"/>
      <c r="AE20" s="35"/>
      <c r="AF20" s="49"/>
      <c r="AG20" s="51"/>
      <c r="AH20" s="59" t="s">
        <v>70</v>
      </c>
      <c r="AI20" s="47"/>
      <c r="AJ20" s="35"/>
      <c r="AK20" s="49"/>
      <c r="AL20" s="35"/>
      <c r="AM20" s="49"/>
      <c r="AN20" s="48"/>
      <c r="AO20" s="42"/>
      <c r="AP20" s="3"/>
      <c r="AQ20" s="42"/>
      <c r="AR20" s="3"/>
      <c r="AS20" s="42"/>
      <c r="AT20" s="3"/>
      <c r="AU20" s="42"/>
    </row>
    <row r="21" spans="3:47" ht="13.8" thickBot="1">
      <c r="C21" s="27"/>
      <c r="E21" s="27"/>
      <c r="G21" s="27"/>
      <c r="I21" s="27"/>
      <c r="K21" s="27"/>
      <c r="M21" s="27"/>
      <c r="O21" s="27"/>
      <c r="Q21" s="41"/>
      <c r="R21" s="51"/>
      <c r="S21" s="40" t="s">
        <v>128</v>
      </c>
      <c r="T21" s="47"/>
      <c r="U21" s="35"/>
      <c r="V21" s="49"/>
      <c r="W21" s="35"/>
      <c r="X21" s="49"/>
      <c r="Y21" s="48"/>
      <c r="Z21" s="42"/>
      <c r="AA21" s="11"/>
      <c r="AB21" s="42"/>
      <c r="AC21" s="11"/>
      <c r="AD21" s="42"/>
      <c r="AE21" s="11"/>
      <c r="AF21" s="42"/>
      <c r="AI21" s="11"/>
      <c r="AJ21" s="3"/>
      <c r="AK21" s="42"/>
      <c r="AL21" s="46"/>
      <c r="AM21" s="42"/>
      <c r="AN21" s="3"/>
      <c r="AO21" s="42"/>
      <c r="AP21" s="3"/>
      <c r="AQ21" s="42"/>
      <c r="AR21" s="3"/>
      <c r="AS21" s="42"/>
      <c r="AT21" s="3"/>
      <c r="AU21" s="42"/>
    </row>
    <row r="22" spans="3:47" ht="13.8" thickBot="1">
      <c r="C22" s="27"/>
      <c r="E22" s="27"/>
      <c r="G22" s="27"/>
      <c r="I22" s="27"/>
      <c r="K22" s="27"/>
      <c r="M22" s="27"/>
      <c r="O22" s="27"/>
      <c r="Q22" s="27"/>
      <c r="T22" s="11"/>
      <c r="U22" s="11"/>
      <c r="V22" s="49"/>
      <c r="W22" s="35"/>
      <c r="X22" s="49"/>
      <c r="Y22" s="35"/>
      <c r="Z22" s="49"/>
      <c r="AA22" s="35"/>
      <c r="AB22" s="49"/>
      <c r="AC22" s="35"/>
      <c r="AD22" s="49"/>
      <c r="AE22" s="35"/>
      <c r="AF22" s="49"/>
      <c r="AG22" s="51"/>
      <c r="AH22" s="59" t="s">
        <v>71</v>
      </c>
      <c r="AI22" s="47"/>
      <c r="AJ22" s="35"/>
      <c r="AK22" s="49"/>
      <c r="AL22" s="35"/>
      <c r="AM22" s="49"/>
      <c r="AN22" s="48"/>
      <c r="AO22" s="42"/>
      <c r="AP22" s="3"/>
      <c r="AQ22" s="42"/>
      <c r="AR22" s="3"/>
      <c r="AS22" s="42"/>
      <c r="AT22" s="3"/>
      <c r="AU22" s="42"/>
    </row>
    <row r="23" spans="3:47" ht="13.8" thickBot="1">
      <c r="C23" s="27"/>
      <c r="E23" s="27"/>
      <c r="G23" s="27"/>
      <c r="I23" s="27"/>
      <c r="K23" s="41"/>
      <c r="L23" s="28"/>
      <c r="M23" s="41"/>
      <c r="N23" s="28"/>
      <c r="O23" s="41"/>
      <c r="P23" s="28"/>
      <c r="Q23" s="41"/>
      <c r="R23" s="51"/>
      <c r="S23" s="57" t="s">
        <v>129</v>
      </c>
      <c r="T23" s="47"/>
      <c r="U23" s="48"/>
      <c r="V23" s="42"/>
      <c r="W23" s="11"/>
      <c r="X23" s="42"/>
      <c r="Y23" s="11"/>
      <c r="Z23" s="42"/>
      <c r="AA23" s="11"/>
      <c r="AB23" s="42"/>
      <c r="AC23" s="11"/>
      <c r="AD23" s="42"/>
      <c r="AE23" s="11"/>
      <c r="AF23" s="42"/>
      <c r="AI23" s="11"/>
      <c r="AJ23" s="3"/>
      <c r="AK23" s="42"/>
      <c r="AL23" s="3"/>
      <c r="AM23" s="42"/>
      <c r="AN23" s="3"/>
      <c r="AO23" s="42"/>
      <c r="AP23" s="3"/>
      <c r="AQ23" s="42"/>
      <c r="AR23" s="3"/>
      <c r="AS23" s="42"/>
      <c r="AT23" s="3"/>
      <c r="AU23" s="42"/>
    </row>
    <row r="24" spans="3:47" ht="13.8" thickBot="1">
      <c r="C24" s="27"/>
      <c r="E24" s="27"/>
      <c r="G24" s="27"/>
      <c r="I24" s="27"/>
      <c r="K24" s="27"/>
      <c r="M24" s="27"/>
      <c r="O24" s="27"/>
      <c r="Q24" s="27"/>
      <c r="T24" s="11"/>
      <c r="U24" s="11"/>
      <c r="V24" s="42"/>
      <c r="W24" s="11"/>
      <c r="X24" s="42"/>
      <c r="Y24" s="11"/>
      <c r="Z24" s="42"/>
      <c r="AA24" s="11"/>
      <c r="AB24" s="49"/>
      <c r="AC24" s="35"/>
      <c r="AD24" s="49"/>
      <c r="AE24" s="35"/>
      <c r="AF24" s="49"/>
      <c r="AG24" s="51"/>
      <c r="AH24" s="202" t="s">
        <v>73</v>
      </c>
      <c r="AI24" s="47"/>
      <c r="AJ24" s="35"/>
      <c r="AK24" s="49"/>
      <c r="AL24" s="50"/>
      <c r="AM24" s="49"/>
      <c r="AN24" s="35"/>
      <c r="AO24" s="49"/>
      <c r="AP24" s="48"/>
      <c r="AQ24" s="42"/>
      <c r="AR24" s="3"/>
      <c r="AS24" s="42"/>
      <c r="AT24" s="3"/>
      <c r="AU24" s="42"/>
    </row>
    <row r="25" spans="3:47" ht="13.8" thickBot="1">
      <c r="C25" s="27"/>
      <c r="E25" s="27"/>
      <c r="G25" s="27"/>
      <c r="I25" s="27"/>
      <c r="K25" s="27"/>
      <c r="M25" s="41"/>
      <c r="N25" s="28"/>
      <c r="O25" s="41"/>
      <c r="P25" s="28"/>
      <c r="Q25" s="41"/>
      <c r="R25" s="51"/>
      <c r="S25" s="58" t="s">
        <v>130</v>
      </c>
      <c r="T25" s="47"/>
      <c r="U25" s="48"/>
      <c r="V25" s="42"/>
      <c r="W25" s="11"/>
      <c r="X25" s="42"/>
      <c r="Y25" s="11"/>
      <c r="Z25" s="42"/>
      <c r="AA25" s="11"/>
      <c r="AB25" s="42"/>
      <c r="AC25" s="11"/>
      <c r="AD25" s="42"/>
      <c r="AE25" s="11"/>
      <c r="AF25" s="42"/>
      <c r="AI25" s="11"/>
      <c r="AJ25" s="3"/>
      <c r="AK25" s="42"/>
      <c r="AL25" s="46"/>
      <c r="AM25" s="42"/>
      <c r="AN25" s="3"/>
      <c r="AO25" s="42"/>
      <c r="AP25" s="3"/>
      <c r="AQ25" s="42"/>
      <c r="AR25" s="3"/>
      <c r="AS25" s="42"/>
      <c r="AT25" s="3"/>
      <c r="AU25" s="42"/>
    </row>
    <row r="26" spans="3:47" ht="13.8" thickBot="1">
      <c r="C26" s="27"/>
      <c r="E26" s="27"/>
      <c r="G26" s="27"/>
      <c r="I26" s="27"/>
      <c r="K26" s="27"/>
      <c r="M26" s="27"/>
      <c r="O26" s="27"/>
      <c r="Q26" s="27"/>
      <c r="T26" s="11"/>
      <c r="U26" s="11"/>
      <c r="V26" s="42"/>
      <c r="W26" s="11"/>
      <c r="X26" s="42"/>
      <c r="Y26" s="11"/>
      <c r="Z26" s="42"/>
      <c r="AA26" s="11"/>
      <c r="AB26" s="49"/>
      <c r="AC26" s="35"/>
      <c r="AD26" s="49"/>
      <c r="AE26" s="35"/>
      <c r="AF26" s="49"/>
      <c r="AG26" s="51"/>
      <c r="AH26" s="203" t="s">
        <v>74</v>
      </c>
      <c r="AI26" s="47"/>
      <c r="AJ26" s="35"/>
      <c r="AK26" s="49"/>
      <c r="AL26" s="35"/>
      <c r="AM26" s="49"/>
      <c r="AN26" s="35"/>
      <c r="AO26" s="49"/>
      <c r="AP26" s="48"/>
      <c r="AQ26" s="42"/>
      <c r="AR26" s="3"/>
      <c r="AS26" s="42"/>
      <c r="AT26" s="3"/>
      <c r="AU26" s="42"/>
    </row>
    <row r="27" spans="3:47" ht="13.8" thickBot="1">
      <c r="C27" s="41"/>
      <c r="D27" s="28"/>
      <c r="E27" s="41"/>
      <c r="F27" s="28"/>
      <c r="G27" s="41"/>
      <c r="H27" s="28"/>
      <c r="I27" s="41"/>
      <c r="J27" s="28"/>
      <c r="K27" s="41"/>
      <c r="L27" s="28"/>
      <c r="M27" s="41"/>
      <c r="N27" s="28"/>
      <c r="O27" s="41"/>
      <c r="P27" s="28"/>
      <c r="Q27" s="41"/>
      <c r="R27" s="51"/>
      <c r="S27" s="54" t="s">
        <v>131</v>
      </c>
      <c r="T27" s="47"/>
      <c r="U27" s="35"/>
      <c r="V27" s="49"/>
      <c r="W27" s="35"/>
      <c r="X27" s="49"/>
      <c r="Y27" s="35"/>
      <c r="Z27" s="49"/>
      <c r="AA27" s="48"/>
      <c r="AB27" s="42"/>
      <c r="AC27" s="11"/>
      <c r="AD27" s="42"/>
      <c r="AE27" s="11"/>
      <c r="AF27" s="42"/>
      <c r="AI27" s="11"/>
      <c r="AJ27" s="3"/>
      <c r="AK27" s="42"/>
      <c r="AL27" s="46"/>
      <c r="AM27" s="42"/>
      <c r="AN27" s="3"/>
      <c r="AO27" s="42"/>
      <c r="AP27" s="3"/>
      <c r="AQ27" s="42"/>
      <c r="AR27" s="3"/>
      <c r="AS27" s="42"/>
      <c r="AT27" s="3"/>
      <c r="AU27" s="42"/>
    </row>
    <row r="28" spans="3:47" ht="13.8" thickBot="1">
      <c r="C28" s="27"/>
      <c r="E28" s="27"/>
      <c r="G28" s="27"/>
      <c r="I28" s="27"/>
      <c r="K28" s="27"/>
      <c r="M28" s="27"/>
      <c r="O28" s="27"/>
      <c r="Q28" s="27"/>
      <c r="T28" s="11"/>
      <c r="U28" s="11"/>
      <c r="V28" s="42"/>
      <c r="W28" s="11"/>
      <c r="X28" s="42"/>
      <c r="Y28" s="11"/>
      <c r="Z28" s="42"/>
      <c r="AA28" s="11"/>
      <c r="AB28" s="42"/>
      <c r="AC28" s="11"/>
      <c r="AD28" s="49"/>
      <c r="AE28" s="35"/>
      <c r="AF28" s="49"/>
      <c r="AG28" s="51"/>
      <c r="AH28" s="203" t="s">
        <v>76</v>
      </c>
      <c r="AI28" s="47"/>
      <c r="AJ28" s="35"/>
      <c r="AK28" s="49"/>
      <c r="AL28" s="50"/>
      <c r="AM28" s="49"/>
      <c r="AN28" s="35"/>
      <c r="AO28" s="49"/>
      <c r="AP28" s="35"/>
      <c r="AQ28" s="49"/>
      <c r="AR28" s="48"/>
      <c r="AS28" s="42"/>
      <c r="AT28" s="3"/>
      <c r="AU28" s="42"/>
    </row>
    <row r="29" spans="3:47" ht="13.8" thickBot="1">
      <c r="C29" s="27"/>
      <c r="E29" s="41"/>
      <c r="F29" s="28"/>
      <c r="G29" s="41"/>
      <c r="H29" s="28"/>
      <c r="I29" s="41"/>
      <c r="J29" s="28"/>
      <c r="K29" s="41"/>
      <c r="L29" s="28"/>
      <c r="M29" s="41"/>
      <c r="N29" s="28"/>
      <c r="O29" s="41"/>
      <c r="P29" s="28"/>
      <c r="Q29" s="41"/>
      <c r="R29" s="51"/>
      <c r="S29" s="55" t="s">
        <v>132</v>
      </c>
      <c r="T29" s="47"/>
      <c r="U29" s="35"/>
      <c r="V29" s="49"/>
      <c r="W29" s="35"/>
      <c r="X29" s="49"/>
      <c r="Y29" s="35"/>
      <c r="Z29" s="49"/>
      <c r="AA29" s="48"/>
      <c r="AB29" s="42"/>
      <c r="AC29" s="11"/>
      <c r="AD29" s="42"/>
      <c r="AE29" s="11"/>
      <c r="AF29" s="42"/>
      <c r="AI29" s="11"/>
      <c r="AJ29" s="3"/>
      <c r="AK29" s="42"/>
      <c r="AL29" s="3"/>
      <c r="AM29" s="42"/>
      <c r="AN29" s="3"/>
      <c r="AO29" s="42"/>
      <c r="AP29" s="3"/>
      <c r="AQ29" s="42"/>
      <c r="AR29" s="3"/>
      <c r="AS29" s="42"/>
      <c r="AT29" s="3"/>
      <c r="AU29" s="42"/>
    </row>
    <row r="30" spans="3:47" ht="13.8" thickBot="1">
      <c r="C30" s="27"/>
      <c r="E30" s="27"/>
      <c r="G30" s="27"/>
      <c r="I30" s="27"/>
      <c r="K30" s="27"/>
      <c r="M30" s="27"/>
      <c r="O30" s="27"/>
      <c r="Q30" s="27"/>
      <c r="T30" s="11"/>
      <c r="U30" s="11"/>
      <c r="V30" s="42"/>
      <c r="W30" s="11"/>
      <c r="X30" s="42"/>
      <c r="Y30" s="11"/>
      <c r="Z30" s="42"/>
      <c r="AA30" s="11"/>
      <c r="AB30" s="42"/>
      <c r="AC30" s="11"/>
      <c r="AD30" s="49"/>
      <c r="AE30" s="35"/>
      <c r="AF30" s="49"/>
      <c r="AG30" s="51"/>
      <c r="AH30" s="203" t="s">
        <v>77</v>
      </c>
      <c r="AI30" s="47"/>
      <c r="AJ30" s="35"/>
      <c r="AK30" s="49"/>
      <c r="AL30" s="35"/>
      <c r="AM30" s="49"/>
      <c r="AN30" s="35"/>
      <c r="AO30" s="49"/>
      <c r="AP30" s="35"/>
      <c r="AQ30" s="49"/>
      <c r="AR30" s="48"/>
      <c r="AS30" s="42"/>
      <c r="AT30" s="3"/>
      <c r="AU30" s="42"/>
    </row>
    <row r="31" spans="3:47" ht="13.8" thickBot="1">
      <c r="C31" s="27"/>
      <c r="E31" s="27"/>
      <c r="G31" s="41"/>
      <c r="H31" s="28"/>
      <c r="I31" s="41"/>
      <c r="J31" s="28"/>
      <c r="K31" s="41"/>
      <c r="L31" s="28"/>
      <c r="M31" s="41"/>
      <c r="N31" s="28"/>
      <c r="O31" s="41"/>
      <c r="P31" s="28"/>
      <c r="Q31" s="41"/>
      <c r="R31" s="51"/>
      <c r="S31" s="56" t="s">
        <v>133</v>
      </c>
      <c r="T31" s="47"/>
      <c r="U31" s="35"/>
      <c r="V31" s="49"/>
      <c r="W31" s="35"/>
      <c r="X31" s="49"/>
      <c r="Y31" s="35"/>
      <c r="Z31" s="49"/>
      <c r="AA31" s="48"/>
      <c r="AB31" s="42"/>
      <c r="AC31" s="11"/>
      <c r="AD31" s="42"/>
      <c r="AE31" s="11"/>
      <c r="AF31" s="42"/>
      <c r="AI31" s="11"/>
      <c r="AJ31" s="3"/>
      <c r="AK31" s="42"/>
      <c r="AL31" s="3"/>
      <c r="AM31" s="42"/>
      <c r="AN31" s="3"/>
      <c r="AO31" s="42"/>
      <c r="AP31" s="3"/>
      <c r="AQ31" s="42"/>
      <c r="AR31" s="3"/>
      <c r="AS31" s="42"/>
      <c r="AT31" s="3"/>
      <c r="AU31" s="42"/>
    </row>
    <row r="32" spans="3:47" ht="13.8" thickBot="1">
      <c r="C32" s="27"/>
      <c r="E32" s="27"/>
      <c r="G32" s="27"/>
      <c r="I32" s="27"/>
      <c r="K32" s="27"/>
      <c r="M32" s="27"/>
      <c r="O32" s="27"/>
      <c r="Q32" s="27"/>
      <c r="T32" s="11"/>
      <c r="U32" s="11"/>
      <c r="V32" s="42"/>
      <c r="W32" s="11"/>
      <c r="X32" s="42"/>
      <c r="Y32" s="11"/>
      <c r="Z32" s="42"/>
      <c r="AA32" s="11"/>
      <c r="AB32" s="42"/>
      <c r="AC32" s="11"/>
      <c r="AD32" s="49"/>
      <c r="AE32" s="35"/>
      <c r="AF32" s="49"/>
      <c r="AG32" s="51"/>
      <c r="AH32" s="203" t="s">
        <v>79</v>
      </c>
      <c r="AI32" s="47"/>
      <c r="AJ32" s="35"/>
      <c r="AK32" s="49"/>
      <c r="AL32" s="35"/>
      <c r="AM32" s="49"/>
      <c r="AN32" s="35"/>
      <c r="AO32" s="49"/>
      <c r="AP32" s="35"/>
      <c r="AQ32" s="49"/>
      <c r="AR32" s="35"/>
      <c r="AS32" s="49"/>
      <c r="AT32" s="48"/>
      <c r="AU32" s="42"/>
    </row>
    <row r="33" spans="3:47" ht="13.8" thickBot="1">
      <c r="C33" s="27"/>
      <c r="E33" s="27"/>
      <c r="G33" s="27"/>
      <c r="I33" s="41"/>
      <c r="J33" s="28"/>
      <c r="K33" s="41"/>
      <c r="L33" s="28"/>
      <c r="M33" s="41"/>
      <c r="N33" s="28"/>
      <c r="O33" s="41"/>
      <c r="P33" s="28"/>
      <c r="Q33" s="41"/>
      <c r="R33" s="51"/>
      <c r="S33" s="56" t="s">
        <v>134</v>
      </c>
      <c r="T33" s="47"/>
      <c r="U33" s="35"/>
      <c r="V33" s="49"/>
      <c r="W33" s="35"/>
      <c r="X33" s="49"/>
      <c r="Y33" s="35"/>
      <c r="Z33" s="49"/>
      <c r="AA33" s="48"/>
      <c r="AB33" s="42"/>
      <c r="AC33" s="11"/>
      <c r="AD33" s="42"/>
      <c r="AE33" s="11"/>
      <c r="AF33" s="42"/>
      <c r="AI33" s="11"/>
      <c r="AJ33" s="3"/>
      <c r="AK33" s="42"/>
      <c r="AL33" s="3"/>
      <c r="AM33" s="42"/>
      <c r="AN33" s="3"/>
      <c r="AO33" s="42"/>
      <c r="AP33" s="3"/>
      <c r="AQ33" s="42"/>
      <c r="AR33" s="3"/>
      <c r="AS33" s="42"/>
      <c r="AT33" s="3"/>
      <c r="AU33" s="42"/>
    </row>
    <row r="34" spans="3:47" ht="13.8" thickBot="1">
      <c r="C34" s="27"/>
      <c r="E34" s="27"/>
      <c r="G34" s="27"/>
      <c r="I34" s="27"/>
      <c r="K34" s="27"/>
      <c r="M34" s="27"/>
      <c r="O34" s="27"/>
      <c r="Q34" s="27"/>
      <c r="T34" s="11"/>
      <c r="U34" s="11"/>
      <c r="V34" s="42"/>
      <c r="W34" s="11"/>
      <c r="X34" s="42"/>
      <c r="Y34" s="11"/>
      <c r="Z34" s="42"/>
      <c r="AA34" s="11"/>
      <c r="AB34" s="42"/>
      <c r="AC34" s="11"/>
      <c r="AD34" s="49"/>
      <c r="AE34" s="35"/>
      <c r="AF34" s="49"/>
      <c r="AG34" s="51"/>
      <c r="AH34" s="203" t="s">
        <v>80</v>
      </c>
      <c r="AI34" s="47"/>
      <c r="AJ34" s="35"/>
      <c r="AK34" s="49"/>
      <c r="AL34" s="35"/>
      <c r="AM34" s="49"/>
      <c r="AN34" s="35"/>
      <c r="AO34" s="49"/>
      <c r="AP34" s="35"/>
      <c r="AQ34" s="49"/>
      <c r="AR34" s="35"/>
      <c r="AS34" s="49"/>
      <c r="AT34" s="48"/>
      <c r="AU34" s="42"/>
    </row>
    <row r="35" spans="3:47" ht="13.8" thickBot="1">
      <c r="C35" s="27"/>
      <c r="E35" s="27"/>
      <c r="G35" s="27"/>
      <c r="I35" s="27"/>
      <c r="K35" s="27"/>
      <c r="M35" s="27"/>
      <c r="O35" s="41"/>
      <c r="P35" s="28"/>
      <c r="Q35" s="41"/>
      <c r="R35" s="51"/>
      <c r="S35" s="40" t="s">
        <v>135</v>
      </c>
      <c r="T35" s="47"/>
      <c r="U35" s="35"/>
      <c r="V35" s="49"/>
      <c r="W35" s="35"/>
      <c r="X35" s="49"/>
      <c r="Y35" s="35"/>
      <c r="Z35" s="49"/>
      <c r="AA35" s="35"/>
      <c r="AB35" s="49"/>
      <c r="AC35" s="48"/>
      <c r="AD35" s="42"/>
      <c r="AE35" s="11"/>
      <c r="AF35" s="42"/>
      <c r="AI35" s="11"/>
      <c r="AJ35" s="3"/>
      <c r="AK35" s="42"/>
      <c r="AL35" s="3"/>
      <c r="AM35" s="42"/>
      <c r="AN35" s="3"/>
      <c r="AO35" s="42"/>
      <c r="AP35" s="3"/>
      <c r="AQ35" s="42"/>
      <c r="AR35" s="3"/>
      <c r="AS35" s="42"/>
      <c r="AT35" s="3"/>
      <c r="AU35" s="42"/>
    </row>
    <row r="36" spans="3:47" ht="13.8" thickBot="1">
      <c r="C36" s="27"/>
      <c r="E36" s="27"/>
      <c r="G36" s="27"/>
      <c r="I36" s="27"/>
      <c r="K36" s="27"/>
      <c r="M36" s="27"/>
      <c r="O36" s="27"/>
      <c r="Q36" s="27"/>
      <c r="T36" s="11"/>
      <c r="U36" s="11"/>
      <c r="V36" s="42"/>
      <c r="W36" s="11"/>
      <c r="X36" s="42"/>
      <c r="Y36" s="11"/>
      <c r="Z36" s="42"/>
      <c r="AA36" s="11"/>
      <c r="AB36" s="42"/>
      <c r="AC36" s="11"/>
      <c r="AD36" s="42"/>
      <c r="AE36" s="11"/>
      <c r="AF36" s="42"/>
      <c r="AI36" s="11"/>
      <c r="AJ36" s="3"/>
      <c r="AK36" s="42"/>
      <c r="AL36" s="3"/>
      <c r="AM36" s="42"/>
      <c r="AN36" s="3"/>
      <c r="AO36" s="42"/>
      <c r="AP36" s="3"/>
      <c r="AQ36" s="42"/>
      <c r="AR36" s="3"/>
      <c r="AS36" s="42"/>
      <c r="AT36" s="3"/>
      <c r="AU36" s="42"/>
    </row>
    <row r="37" spans="3:47" ht="13.8" thickBot="1">
      <c r="C37" s="27"/>
      <c r="E37" s="27"/>
      <c r="G37" s="27"/>
      <c r="I37" s="27"/>
      <c r="K37" s="27"/>
      <c r="M37" s="27"/>
      <c r="O37" s="27"/>
      <c r="Q37" s="41"/>
      <c r="R37" s="51"/>
      <c r="S37" s="40" t="s">
        <v>136</v>
      </c>
      <c r="T37" s="47"/>
      <c r="U37" s="35"/>
      <c r="V37" s="49"/>
      <c r="W37" s="35"/>
      <c r="X37" s="49"/>
      <c r="Y37" s="35"/>
      <c r="Z37" s="49"/>
      <c r="AA37" s="35"/>
      <c r="AB37" s="49"/>
      <c r="AC37" s="35"/>
      <c r="AD37" s="49"/>
      <c r="AE37" s="48"/>
      <c r="AF37" s="42"/>
      <c r="AJ37" s="1"/>
      <c r="AK37" s="27"/>
      <c r="AL37" s="1"/>
      <c r="AM37" s="27"/>
      <c r="AN37" s="1"/>
      <c r="AO37" s="27"/>
      <c r="AP37" s="1"/>
      <c r="AQ37" s="27"/>
      <c r="AR37" s="1"/>
      <c r="AS37" s="27"/>
      <c r="AT37" s="1"/>
      <c r="AU37" s="27"/>
    </row>
    <row r="38" spans="3:47" ht="13.8" thickBot="1">
      <c r="C38" s="27"/>
      <c r="E38" s="27"/>
      <c r="G38" s="27"/>
      <c r="I38" s="27"/>
      <c r="K38" s="27"/>
      <c r="M38" s="27"/>
      <c r="O38" s="27"/>
      <c r="Q38" s="27"/>
      <c r="T38" s="11"/>
      <c r="U38" s="11"/>
      <c r="V38" s="42"/>
      <c r="W38" s="11"/>
      <c r="X38" s="42"/>
      <c r="Y38" s="11"/>
      <c r="Z38" s="42"/>
      <c r="AA38" s="11"/>
      <c r="AB38" s="42"/>
      <c r="AC38" s="11"/>
      <c r="AD38" s="42"/>
      <c r="AE38" s="11"/>
      <c r="AF38" s="42"/>
      <c r="AJ38" s="1"/>
      <c r="AK38" s="27"/>
      <c r="AL38" s="1"/>
      <c r="AM38" s="27"/>
      <c r="AN38" s="1"/>
      <c r="AO38" s="27"/>
      <c r="AP38" s="1"/>
      <c r="AQ38" s="27"/>
      <c r="AR38" s="1"/>
      <c r="AS38" s="27"/>
      <c r="AT38" s="1"/>
      <c r="AU38" s="27"/>
    </row>
    <row r="39" spans="3:47" ht="13.8" thickBot="1">
      <c r="C39" s="27"/>
      <c r="E39" s="27"/>
      <c r="G39" s="27"/>
      <c r="I39" s="27"/>
      <c r="K39" s="41"/>
      <c r="L39" s="28"/>
      <c r="M39" s="41"/>
      <c r="N39" s="28"/>
      <c r="O39" s="41"/>
      <c r="P39" s="28"/>
      <c r="Q39" s="41"/>
      <c r="R39" s="51"/>
      <c r="S39" s="57" t="s">
        <v>137</v>
      </c>
      <c r="T39" s="47"/>
      <c r="U39" s="35"/>
      <c r="V39" s="49"/>
      <c r="W39" s="35"/>
      <c r="X39" s="49"/>
      <c r="Y39" s="35"/>
      <c r="Z39" s="49"/>
      <c r="AA39" s="48"/>
      <c r="AB39" s="42"/>
      <c r="AC39" s="11"/>
      <c r="AD39" s="42"/>
      <c r="AE39" s="11"/>
      <c r="AF39" s="42"/>
      <c r="AJ39" s="1"/>
      <c r="AK39" s="27"/>
      <c r="AL39" s="1"/>
      <c r="AM39" s="27"/>
      <c r="AN39" s="1"/>
      <c r="AO39" s="27"/>
      <c r="AP39" s="1"/>
      <c r="AQ39" s="27"/>
      <c r="AR39" s="1"/>
      <c r="AS39" s="27"/>
      <c r="AT39" s="1"/>
      <c r="AU39" s="27"/>
    </row>
    <row r="40" spans="3:47" ht="13.8" thickBot="1">
      <c r="C40" s="27"/>
      <c r="E40" s="27"/>
      <c r="G40" s="27"/>
      <c r="I40" s="27"/>
      <c r="K40" s="27"/>
      <c r="M40" s="27"/>
      <c r="O40" s="27"/>
      <c r="Q40" s="27"/>
      <c r="T40" s="11"/>
      <c r="U40" s="11"/>
      <c r="V40" s="42"/>
      <c r="W40" s="11"/>
      <c r="X40" s="42"/>
      <c r="Y40" s="11"/>
      <c r="Z40" s="42"/>
      <c r="AA40" s="11"/>
      <c r="AB40" s="42"/>
      <c r="AC40" s="11"/>
      <c r="AD40" s="42"/>
      <c r="AE40" s="11"/>
      <c r="AF40" s="42"/>
      <c r="AJ40" s="1"/>
      <c r="AK40" s="27"/>
      <c r="AL40" s="1"/>
      <c r="AM40" s="27"/>
      <c r="AN40" s="1"/>
      <c r="AO40" s="27"/>
      <c r="AP40" s="1"/>
      <c r="AQ40" s="27"/>
      <c r="AR40" s="1"/>
      <c r="AS40" s="27"/>
      <c r="AT40" s="1"/>
      <c r="AU40" s="27"/>
    </row>
    <row r="41" spans="3:47" ht="13.8" thickBot="1">
      <c r="C41" s="27"/>
      <c r="E41" s="27"/>
      <c r="G41" s="27"/>
      <c r="I41" s="27"/>
      <c r="K41" s="27"/>
      <c r="M41" s="41"/>
      <c r="N41" s="28"/>
      <c r="O41" s="41"/>
      <c r="P41" s="28"/>
      <c r="Q41" s="41"/>
      <c r="R41" s="51"/>
      <c r="S41" s="58" t="s">
        <v>138</v>
      </c>
      <c r="T41" s="47"/>
      <c r="U41" s="35"/>
      <c r="V41" s="49"/>
      <c r="W41" s="35"/>
      <c r="X41" s="49"/>
      <c r="Y41" s="35"/>
      <c r="Z41" s="49"/>
      <c r="AA41" s="48"/>
      <c r="AB41" s="42"/>
      <c r="AC41" s="11"/>
      <c r="AD41" s="42"/>
      <c r="AE41" s="11"/>
      <c r="AF41" s="42"/>
      <c r="AJ41" s="1"/>
      <c r="AK41" s="27"/>
      <c r="AL41" s="1"/>
      <c r="AM41" s="27"/>
      <c r="AN41" s="1"/>
      <c r="AO41" s="27"/>
      <c r="AP41" s="1"/>
      <c r="AQ41" s="27"/>
      <c r="AR41" s="1"/>
      <c r="AS41" s="27"/>
      <c r="AT41" s="1"/>
      <c r="AU41" s="27"/>
    </row>
    <row r="42" spans="3:47">
      <c r="C42" s="27"/>
      <c r="E42" s="27"/>
      <c r="G42" s="27"/>
      <c r="I42" s="27"/>
      <c r="K42" s="27"/>
      <c r="M42" s="27"/>
      <c r="O42" s="27"/>
      <c r="Q42" s="27"/>
      <c r="T42" s="11"/>
      <c r="U42" s="11"/>
      <c r="V42" s="42"/>
      <c r="W42" s="11"/>
      <c r="X42" s="42"/>
      <c r="Y42" s="11"/>
      <c r="Z42" s="42"/>
      <c r="AA42" s="11"/>
      <c r="AB42" s="42"/>
      <c r="AC42" s="11"/>
      <c r="AD42" s="42"/>
      <c r="AE42" s="11"/>
      <c r="AF42" s="42"/>
      <c r="AJ42" s="1"/>
      <c r="AK42" s="27"/>
      <c r="AL42" s="1"/>
      <c r="AM42" s="27"/>
      <c r="AN42" s="1"/>
      <c r="AO42" s="27"/>
      <c r="AP42" s="1"/>
      <c r="AQ42" s="27"/>
      <c r="AR42" s="1"/>
      <c r="AS42" s="27"/>
      <c r="AT42" s="1"/>
      <c r="AU42" s="27"/>
    </row>
    <row r="43" spans="3:47">
      <c r="C43" s="27"/>
      <c r="E43" s="27"/>
      <c r="G43" s="27"/>
      <c r="I43" s="27"/>
      <c r="K43" s="27"/>
      <c r="M43" s="27"/>
      <c r="O43" s="27"/>
      <c r="Q43" s="27"/>
      <c r="T43" s="11"/>
      <c r="U43" s="11"/>
      <c r="V43" s="42"/>
      <c r="W43" s="11"/>
      <c r="X43" s="42"/>
      <c r="Y43" s="11"/>
      <c r="Z43" s="42"/>
      <c r="AA43" s="11"/>
      <c r="AB43" s="42"/>
      <c r="AC43" s="11"/>
      <c r="AD43" s="42"/>
      <c r="AE43" s="11"/>
      <c r="AF43" s="42"/>
      <c r="AJ43" s="1"/>
      <c r="AK43" s="27"/>
      <c r="AL43" s="1"/>
      <c r="AM43" s="27"/>
      <c r="AN43" s="1"/>
      <c r="AO43" s="27"/>
      <c r="AP43" s="1"/>
      <c r="AQ43" s="27"/>
      <c r="AR43" s="1"/>
      <c r="AS43" s="27"/>
      <c r="AT43" s="1"/>
      <c r="AU43" s="27"/>
    </row>
    <row r="44" spans="3:47">
      <c r="C44" s="27"/>
      <c r="E44" s="27"/>
      <c r="G44" s="27"/>
      <c r="I44" s="27"/>
      <c r="K44" s="27"/>
      <c r="M44" s="27"/>
      <c r="O44" s="27"/>
      <c r="Q44" s="27"/>
      <c r="T44" s="11"/>
      <c r="U44" s="11"/>
      <c r="V44" s="42"/>
      <c r="W44" s="11"/>
      <c r="X44" s="42"/>
      <c r="Y44" s="11"/>
      <c r="Z44" s="42"/>
      <c r="AA44" s="11"/>
      <c r="AB44" s="42"/>
      <c r="AC44" s="11"/>
      <c r="AD44" s="42"/>
      <c r="AE44" s="11"/>
      <c r="AF44" s="42"/>
      <c r="AJ44" s="1"/>
      <c r="AK44" s="27"/>
      <c r="AL44" s="1"/>
      <c r="AM44" s="27"/>
      <c r="AN44" s="1"/>
      <c r="AO44" s="27"/>
      <c r="AP44" s="1"/>
      <c r="AQ44" s="27"/>
      <c r="AR44" s="1"/>
      <c r="AS44" s="27"/>
      <c r="AT44" s="1"/>
      <c r="AU44" s="27"/>
    </row>
    <row r="45" spans="3:47">
      <c r="C45" s="27"/>
      <c r="E45" s="27"/>
      <c r="G45" s="27"/>
      <c r="I45" s="27"/>
      <c r="K45" s="27"/>
      <c r="M45" s="27"/>
      <c r="O45" s="27"/>
      <c r="Q45" s="27"/>
      <c r="T45" s="11"/>
      <c r="U45" s="11"/>
      <c r="V45" s="42"/>
      <c r="W45" s="11"/>
      <c r="X45" s="42"/>
      <c r="Y45" s="11"/>
      <c r="Z45" s="42"/>
      <c r="AA45" s="11"/>
      <c r="AB45" s="42"/>
      <c r="AC45" s="11"/>
      <c r="AD45" s="42"/>
      <c r="AE45" s="11"/>
      <c r="AF45" s="42"/>
      <c r="AJ45" s="1"/>
      <c r="AK45" s="27"/>
      <c r="AL45" s="1"/>
      <c r="AM45" s="27"/>
      <c r="AN45" s="1"/>
      <c r="AO45" s="27"/>
      <c r="AP45" s="1"/>
      <c r="AQ45" s="27"/>
      <c r="AR45" s="1"/>
      <c r="AS45" s="27"/>
      <c r="AT45" s="1"/>
      <c r="AU45" s="27"/>
    </row>
    <row r="46" spans="3:47">
      <c r="T46" s="11"/>
      <c r="U46" s="11"/>
      <c r="V46" s="11"/>
      <c r="W46" s="11"/>
      <c r="X46" s="11"/>
      <c r="Y46" s="11"/>
      <c r="Z46" s="11"/>
      <c r="AA46" s="11"/>
      <c r="AB46" s="11"/>
      <c r="AC46" s="11"/>
      <c r="AD46" s="11"/>
      <c r="AE46" s="11"/>
      <c r="AF46" s="11"/>
      <c r="AJ46" s="1"/>
      <c r="AL46" s="1"/>
      <c r="AM46" s="1"/>
      <c r="AN46" s="1"/>
      <c r="AO46" s="1"/>
      <c r="AP46" s="1"/>
      <c r="AQ46" s="1"/>
      <c r="AR46" s="1"/>
      <c r="AS46" s="1"/>
      <c r="AT46" s="1"/>
    </row>
    <row r="47" spans="3:47">
      <c r="T47" s="11"/>
      <c r="U47" s="11"/>
      <c r="V47" s="11"/>
      <c r="W47" s="11"/>
      <c r="X47" s="11"/>
      <c r="Y47" s="11"/>
      <c r="Z47" s="11"/>
      <c r="AA47" s="11"/>
      <c r="AB47" s="11"/>
      <c r="AC47" s="11"/>
      <c r="AD47" s="11"/>
      <c r="AE47" s="11"/>
      <c r="AF47" s="11"/>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2:T32"/>
  <sheetViews>
    <sheetView zoomScale="80" zoomScaleNormal="80" workbookViewId="0">
      <selection activeCell="L52" sqref="L52"/>
    </sheetView>
  </sheetViews>
  <sheetFormatPr defaultRowHeight="13.2"/>
  <cols>
    <col min="2" max="2" width="36" customWidth="1"/>
    <col min="3" max="5" width="6.6640625" customWidth="1"/>
    <col min="7" max="7" width="8.6640625" bestFit="1" customWidth="1"/>
    <col min="8" max="8" width="55.33203125" bestFit="1" customWidth="1"/>
    <col min="9" max="9" width="14.5546875" bestFit="1" customWidth="1"/>
    <col min="14" max="14" width="4" bestFit="1" customWidth="1"/>
    <col min="15" max="15" width="26.6640625" bestFit="1" customWidth="1"/>
    <col min="16" max="16" width="19" bestFit="1" customWidth="1"/>
    <col min="17" max="17" width="11.5546875" bestFit="1" customWidth="1"/>
    <col min="19" max="19" width="11.6640625" customWidth="1"/>
  </cols>
  <sheetData>
    <row r="2" spans="1:20" ht="18.600000000000001" thickBot="1">
      <c r="H2" s="246" t="s">
        <v>343</v>
      </c>
      <c r="I2" s="247"/>
      <c r="J2" s="247"/>
      <c r="K2" s="247"/>
    </row>
    <row r="3" spans="1:20" ht="16.8" thickTop="1" thickBot="1">
      <c r="A3" s="134" t="s">
        <v>1</v>
      </c>
      <c r="B3" s="135" t="s">
        <v>109</v>
      </c>
      <c r="C3" s="1439" t="s">
        <v>237</v>
      </c>
      <c r="D3" s="1440"/>
      <c r="E3" s="1441"/>
      <c r="H3" s="247"/>
      <c r="I3" s="247"/>
      <c r="J3" s="247"/>
      <c r="K3" s="247"/>
    </row>
    <row r="4" spans="1:20" ht="15.9" customHeight="1" thickBot="1">
      <c r="A4" s="1442" t="s">
        <v>1016</v>
      </c>
      <c r="B4" s="142" t="s">
        <v>51</v>
      </c>
      <c r="C4" s="148" t="s">
        <v>355</v>
      </c>
      <c r="D4" s="143" t="s">
        <v>356</v>
      </c>
      <c r="E4" s="144" t="s">
        <v>57</v>
      </c>
      <c r="H4" s="247"/>
      <c r="I4" s="248">
        <v>2010</v>
      </c>
      <c r="J4" s="247"/>
      <c r="K4" s="247"/>
    </row>
    <row r="5" spans="1:20" ht="15.9" customHeight="1">
      <c r="A5" s="1443"/>
      <c r="B5" s="136" t="s">
        <v>52</v>
      </c>
      <c r="C5" s="149" t="s">
        <v>355</v>
      </c>
      <c r="D5" s="137" t="s">
        <v>356</v>
      </c>
      <c r="E5" s="138" t="s">
        <v>57</v>
      </c>
      <c r="H5" s="253"/>
      <c r="I5" s="254" t="s">
        <v>344</v>
      </c>
      <c r="J5" s="255"/>
      <c r="K5" s="256"/>
    </row>
    <row r="6" spans="1:20" ht="15.9" customHeight="1">
      <c r="A6" s="1443"/>
      <c r="B6" s="136" t="s">
        <v>53</v>
      </c>
      <c r="C6" s="149" t="s">
        <v>355</v>
      </c>
      <c r="D6" s="137" t="s">
        <v>356</v>
      </c>
      <c r="E6" s="138" t="s">
        <v>57</v>
      </c>
      <c r="H6" s="257" t="s">
        <v>342</v>
      </c>
      <c r="I6" s="258">
        <f>'Building Stock &amp; Specific Heat '!C29</f>
        <v>0</v>
      </c>
      <c r="J6" s="259" t="s">
        <v>345</v>
      </c>
      <c r="K6" s="1446" t="s">
        <v>176</v>
      </c>
    </row>
    <row r="7" spans="1:20" ht="15.9" customHeight="1">
      <c r="A7" s="1443"/>
      <c r="B7" s="136" t="s">
        <v>54</v>
      </c>
      <c r="C7" s="149" t="s">
        <v>355</v>
      </c>
      <c r="D7" s="137" t="s">
        <v>356</v>
      </c>
      <c r="E7" s="138" t="s">
        <v>57</v>
      </c>
      <c r="H7" s="257" t="s">
        <v>346</v>
      </c>
      <c r="I7" s="258">
        <f>'Building Stock &amp; Specific Heat '!O29</f>
        <v>0</v>
      </c>
      <c r="J7" s="259" t="s">
        <v>347</v>
      </c>
      <c r="K7" s="1447"/>
    </row>
    <row r="8" spans="1:20" ht="15.9" customHeight="1">
      <c r="A8" s="1443"/>
      <c r="B8" s="136" t="s">
        <v>56</v>
      </c>
      <c r="C8" s="149" t="s">
        <v>355</v>
      </c>
      <c r="D8" s="137" t="s">
        <v>356</v>
      </c>
      <c r="E8" s="138" t="s">
        <v>57</v>
      </c>
      <c r="H8" s="257" t="s">
        <v>349</v>
      </c>
      <c r="I8" s="258">
        <f>'Building Stock &amp; Specific Heat '!AB29</f>
        <v>0</v>
      </c>
      <c r="J8" s="259" t="s">
        <v>347</v>
      </c>
      <c r="K8" s="1448"/>
    </row>
    <row r="9" spans="1:20" ht="15.9" customHeight="1" thickBot="1">
      <c r="A9" s="1444"/>
      <c r="B9" s="145" t="s">
        <v>55</v>
      </c>
      <c r="C9" s="151" t="s">
        <v>355</v>
      </c>
      <c r="D9" s="146" t="s">
        <v>356</v>
      </c>
      <c r="E9" s="147" t="s">
        <v>57</v>
      </c>
      <c r="H9" s="257" t="s">
        <v>341</v>
      </c>
      <c r="I9" s="258">
        <f>'Building Stock &amp; Specific Heat '!AN29</f>
        <v>0</v>
      </c>
      <c r="J9" s="259" t="s">
        <v>350</v>
      </c>
      <c r="K9" s="1446" t="s">
        <v>348</v>
      </c>
      <c r="N9" s="1"/>
      <c r="O9" s="1"/>
      <c r="P9" s="1"/>
      <c r="Q9" s="1"/>
    </row>
    <row r="10" spans="1:20" ht="15.9" customHeight="1">
      <c r="A10" s="1443" t="s">
        <v>1017</v>
      </c>
      <c r="B10" s="136" t="s">
        <v>51</v>
      </c>
      <c r="C10" s="149" t="s">
        <v>355</v>
      </c>
      <c r="D10" s="137" t="s">
        <v>356</v>
      </c>
      <c r="E10" s="138" t="s">
        <v>57</v>
      </c>
      <c r="H10" s="257" t="s">
        <v>351</v>
      </c>
      <c r="I10" s="258">
        <f>'Building Stock &amp; Specific Heat '!AZ29</f>
        <v>0</v>
      </c>
      <c r="J10" s="259" t="s">
        <v>350</v>
      </c>
      <c r="K10" s="1448"/>
      <c r="N10" s="1"/>
      <c r="O10" s="1"/>
      <c r="P10" s="1"/>
      <c r="Q10" s="1"/>
    </row>
    <row r="11" spans="1:20" ht="15.9" customHeight="1">
      <c r="A11" s="1443"/>
      <c r="B11" s="136" t="s">
        <v>52</v>
      </c>
      <c r="C11" s="149" t="s">
        <v>355</v>
      </c>
      <c r="D11" s="137" t="s">
        <v>356</v>
      </c>
      <c r="E11" s="138" t="s">
        <v>57</v>
      </c>
      <c r="H11" s="257" t="s">
        <v>352</v>
      </c>
      <c r="I11" s="258">
        <f>'Building Stock &amp; Specific Heat '!BL29</f>
        <v>0</v>
      </c>
      <c r="J11" s="259" t="s">
        <v>350</v>
      </c>
      <c r="K11" s="260" t="s">
        <v>357</v>
      </c>
      <c r="N11" s="1"/>
      <c r="O11" s="1"/>
      <c r="P11" s="1"/>
      <c r="Q11" s="1"/>
    </row>
    <row r="12" spans="1:20" ht="15.9" customHeight="1" thickBot="1">
      <c r="A12" s="1443"/>
      <c r="B12" s="136" t="s">
        <v>53</v>
      </c>
      <c r="C12" s="149" t="s">
        <v>355</v>
      </c>
      <c r="D12" s="137" t="s">
        <v>356</v>
      </c>
      <c r="E12" s="138" t="s">
        <v>57</v>
      </c>
      <c r="H12" s="261" t="s">
        <v>147</v>
      </c>
      <c r="I12" s="262">
        <f>SUM(I6:I11)</f>
        <v>0</v>
      </c>
      <c r="J12" s="263"/>
      <c r="K12" s="264"/>
      <c r="N12" s="1"/>
      <c r="O12" s="1"/>
      <c r="P12" s="1"/>
      <c r="Q12" s="1"/>
    </row>
    <row r="13" spans="1:20" ht="15.9" customHeight="1">
      <c r="A13" s="1443"/>
      <c r="B13" s="136" t="s">
        <v>54</v>
      </c>
      <c r="C13" s="149" t="s">
        <v>355</v>
      </c>
      <c r="D13" s="137" t="s">
        <v>356</v>
      </c>
      <c r="E13" s="138" t="s">
        <v>57</v>
      </c>
      <c r="N13" s="1"/>
      <c r="O13" s="1"/>
      <c r="P13" s="1"/>
      <c r="Q13" s="1"/>
    </row>
    <row r="14" spans="1:20" ht="15.9" customHeight="1">
      <c r="A14" s="1443"/>
      <c r="B14" s="136" t="s">
        <v>56</v>
      </c>
      <c r="C14" s="149" t="s">
        <v>355</v>
      </c>
      <c r="D14" s="137" t="s">
        <v>356</v>
      </c>
      <c r="E14" s="138" t="s">
        <v>57</v>
      </c>
      <c r="N14" s="1"/>
      <c r="O14" s="1"/>
      <c r="P14" s="1"/>
      <c r="Q14" s="1"/>
      <c r="R14" s="1"/>
      <c r="S14" s="1"/>
      <c r="T14" s="1"/>
    </row>
    <row r="15" spans="1:20" ht="15.9" customHeight="1" thickBot="1">
      <c r="A15" s="1445"/>
      <c r="B15" s="139" t="s">
        <v>55</v>
      </c>
      <c r="C15" s="150" t="s">
        <v>355</v>
      </c>
      <c r="D15" s="140" t="s">
        <v>356</v>
      </c>
      <c r="E15" s="141" t="s">
        <v>57</v>
      </c>
      <c r="N15" s="1"/>
      <c r="O15" s="1"/>
      <c r="P15" s="133"/>
      <c r="Q15" s="133"/>
      <c r="R15" s="1"/>
      <c r="S15" s="1"/>
      <c r="T15" s="1"/>
    </row>
    <row r="16" spans="1:20" ht="13.8" thickTop="1">
      <c r="N16" s="1"/>
      <c r="O16" s="1"/>
      <c r="P16" s="133"/>
      <c r="Q16" s="1"/>
      <c r="R16" s="1"/>
      <c r="S16" s="1"/>
      <c r="T16" s="1"/>
    </row>
    <row r="17" spans="14:20">
      <c r="N17" s="1"/>
      <c r="O17" s="1"/>
      <c r="P17" s="133"/>
      <c r="Q17" s="1"/>
      <c r="R17" s="1"/>
      <c r="S17" s="1"/>
      <c r="T17" s="1"/>
    </row>
    <row r="18" spans="14:20">
      <c r="N18" s="1"/>
      <c r="O18" s="1"/>
      <c r="P18" s="133"/>
      <c r="Q18" s="1"/>
      <c r="R18" s="1"/>
      <c r="S18" s="1"/>
      <c r="T18" s="1"/>
    </row>
    <row r="19" spans="14:20">
      <c r="N19" s="1"/>
      <c r="O19" s="1"/>
      <c r="P19" s="133"/>
      <c r="Q19" s="1"/>
      <c r="R19" s="1"/>
      <c r="S19" s="1"/>
      <c r="T19" s="1"/>
    </row>
    <row r="20" spans="14:20">
      <c r="N20" s="1"/>
      <c r="O20" s="1"/>
      <c r="P20" s="133"/>
      <c r="Q20" s="1"/>
      <c r="R20" s="1"/>
      <c r="S20" s="1"/>
      <c r="T20" s="1"/>
    </row>
    <row r="21" spans="14:20">
      <c r="N21" s="1"/>
      <c r="O21" s="1"/>
      <c r="P21" s="133"/>
      <c r="Q21" s="1"/>
      <c r="R21" s="1"/>
      <c r="S21" s="1"/>
      <c r="T21" s="1"/>
    </row>
    <row r="22" spans="14:20">
      <c r="N22" s="1"/>
      <c r="O22" s="1"/>
      <c r="P22" s="133"/>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M51"/>
  <sheetViews>
    <sheetView zoomScale="85" zoomScaleNormal="85" workbookViewId="0">
      <selection activeCell="J51" sqref="J51"/>
    </sheetView>
  </sheetViews>
  <sheetFormatPr defaultRowHeight="13.2"/>
  <cols>
    <col min="1" max="1" width="12.5546875" customWidth="1"/>
    <col min="2" max="2" width="13.6640625" customWidth="1"/>
    <col min="3" max="3" width="14.6640625" bestFit="1" customWidth="1"/>
    <col min="4" max="4" width="61.6640625" bestFit="1" customWidth="1"/>
    <col min="5" max="5" width="5.109375" bestFit="1" customWidth="1"/>
    <col min="6" max="6" width="9.88671875" customWidth="1"/>
    <col min="7" max="7" width="10.6640625" customWidth="1"/>
    <col min="8" max="8" width="8.44140625" bestFit="1" customWidth="1"/>
    <col min="9" max="9" width="7.6640625" bestFit="1" customWidth="1"/>
    <col min="10" max="10" width="152.5546875" bestFit="1" customWidth="1"/>
  </cols>
  <sheetData>
    <row r="1" spans="2:10">
      <c r="B1" s="2"/>
      <c r="C1" s="16"/>
    </row>
    <row r="2" spans="2:10">
      <c r="B2" s="2"/>
    </row>
    <row r="3" spans="2:10">
      <c r="B3" s="82" t="s">
        <v>9</v>
      </c>
      <c r="C3" s="83"/>
      <c r="D3" s="83"/>
      <c r="E3" s="83"/>
      <c r="F3" s="83"/>
      <c r="G3" s="83"/>
      <c r="H3" s="83"/>
      <c r="I3" s="83"/>
    </row>
    <row r="4" spans="2:10" ht="13.8">
      <c r="B4" s="84" t="s">
        <v>6</v>
      </c>
      <c r="C4" s="84" t="s">
        <v>4</v>
      </c>
      <c r="D4" s="84" t="s">
        <v>5</v>
      </c>
      <c r="E4" s="84" t="s">
        <v>7</v>
      </c>
      <c r="F4" s="84" t="s">
        <v>10</v>
      </c>
      <c r="G4" s="84" t="s">
        <v>11</v>
      </c>
      <c r="H4" s="84" t="s">
        <v>12</v>
      </c>
      <c r="I4" s="84" t="s">
        <v>13</v>
      </c>
      <c r="J4" s="152" t="s">
        <v>246</v>
      </c>
    </row>
    <row r="5" spans="2:10" ht="21" thickBot="1">
      <c r="B5" s="176" t="s">
        <v>37</v>
      </c>
      <c r="C5" s="177" t="s">
        <v>38</v>
      </c>
      <c r="D5" s="177" t="s">
        <v>39</v>
      </c>
      <c r="E5" s="177" t="s">
        <v>7</v>
      </c>
      <c r="F5" s="177" t="s">
        <v>40</v>
      </c>
      <c r="G5" s="177" t="s">
        <v>41</v>
      </c>
      <c r="H5" s="177" t="s">
        <v>42</v>
      </c>
      <c r="I5" s="177" t="s">
        <v>43</v>
      </c>
    </row>
    <row r="6" spans="2:10" s="11" customFormat="1">
      <c r="B6" s="178" t="s">
        <v>17</v>
      </c>
      <c r="C6" s="178" t="s">
        <v>58</v>
      </c>
      <c r="D6" s="179" t="str">
        <f>"Residential heating "&amp;Legend!B4&amp;" Demand"</f>
        <v>Residential heating Decentralised Detached Buildings Demand</v>
      </c>
      <c r="E6" s="158" t="s">
        <v>48</v>
      </c>
      <c r="F6" s="180"/>
      <c r="G6" s="180"/>
      <c r="H6" s="180"/>
      <c r="I6" s="180"/>
      <c r="J6" s="169" t="s">
        <v>256</v>
      </c>
    </row>
    <row r="7" spans="2:10">
      <c r="B7" s="83"/>
      <c r="C7" s="1025" t="s">
        <v>59</v>
      </c>
      <c r="D7" s="86" t="str">
        <f>"Residential heating "&amp;Legend!B5&amp;" Demand"</f>
        <v>Residential heating Centralised Detached Buildings Demand</v>
      </c>
      <c r="E7" s="87" t="s">
        <v>48</v>
      </c>
      <c r="F7" s="88"/>
      <c r="G7" s="83"/>
      <c r="H7" s="83"/>
      <c r="I7" s="83"/>
      <c r="J7" s="153" t="s">
        <v>256</v>
      </c>
    </row>
    <row r="8" spans="2:10">
      <c r="B8" s="83"/>
      <c r="C8" s="1025" t="s">
        <v>60</v>
      </c>
      <c r="D8" s="86" t="str">
        <f>"Residential heating "&amp;Legend!B6&amp;" Demand"</f>
        <v>Residential heating Indivdual Detached Buildings Demand</v>
      </c>
      <c r="E8" s="87" t="s">
        <v>48</v>
      </c>
      <c r="F8" s="88"/>
      <c r="G8" s="83"/>
      <c r="H8" s="83"/>
      <c r="I8" s="83"/>
      <c r="J8" s="153" t="s">
        <v>256</v>
      </c>
    </row>
    <row r="9" spans="2:10">
      <c r="B9" s="83"/>
      <c r="C9" s="1025" t="s">
        <v>61</v>
      </c>
      <c r="D9" s="86" t="str">
        <f>"Residential heating "&amp;Legend!B7&amp;" Demand"</f>
        <v>Residential heating Decentralised Multi S. Buildings Demand</v>
      </c>
      <c r="E9" s="87" t="s">
        <v>48</v>
      </c>
      <c r="F9" s="88"/>
      <c r="G9" s="83"/>
      <c r="H9" s="83"/>
      <c r="I9" s="83"/>
      <c r="J9" s="153" t="s">
        <v>256</v>
      </c>
    </row>
    <row r="10" spans="2:10">
      <c r="B10" s="83"/>
      <c r="C10" s="1025" t="s">
        <v>62</v>
      </c>
      <c r="D10" s="86" t="str">
        <f>"Residential heating "&amp;Legend!B8&amp;" Demand"</f>
        <v>Residential heating Centralised Multi S. Buildings Demand</v>
      </c>
      <c r="E10" s="87" t="s">
        <v>48</v>
      </c>
      <c r="F10" s="88"/>
      <c r="G10" s="83"/>
      <c r="H10" s="83"/>
      <c r="I10" s="83"/>
      <c r="J10" s="153" t="s">
        <v>256</v>
      </c>
    </row>
    <row r="11" spans="2:10">
      <c r="B11" s="97"/>
      <c r="C11" s="1025" t="s">
        <v>63</v>
      </c>
      <c r="D11" s="174" t="str">
        <f>"Residential heating "&amp;Legend!B9&amp;" Demand"</f>
        <v>Residential heating Individual Multi S. Buildings Demand</v>
      </c>
      <c r="E11" s="87" t="s">
        <v>48</v>
      </c>
      <c r="F11" s="98"/>
      <c r="G11" s="97"/>
      <c r="H11" s="97"/>
      <c r="I11" s="97"/>
      <c r="J11" s="153" t="s">
        <v>256</v>
      </c>
    </row>
    <row r="12" spans="2:10">
      <c r="B12" s="160" t="s">
        <v>49</v>
      </c>
      <c r="C12" s="635" t="s">
        <v>46</v>
      </c>
      <c r="D12" s="635" t="s">
        <v>199</v>
      </c>
      <c r="E12" s="161" t="s">
        <v>44</v>
      </c>
      <c r="F12" s="159"/>
      <c r="G12" s="159"/>
      <c r="H12" s="159"/>
      <c r="I12" s="159"/>
      <c r="J12" s="175" t="s">
        <v>258</v>
      </c>
    </row>
    <row r="13" spans="2:10">
      <c r="B13" s="83"/>
      <c r="C13" s="88" t="s">
        <v>166</v>
      </c>
      <c r="D13" s="88" t="s">
        <v>200</v>
      </c>
      <c r="E13" s="87" t="s">
        <v>44</v>
      </c>
      <c r="F13" s="83"/>
      <c r="G13" s="83"/>
      <c r="H13" s="83"/>
      <c r="I13" s="83"/>
      <c r="J13" s="11" t="s">
        <v>259</v>
      </c>
    </row>
    <row r="14" spans="2:10">
      <c r="B14" s="83"/>
      <c r="C14" s="88" t="s">
        <v>204</v>
      </c>
      <c r="D14" s="87" t="s">
        <v>203</v>
      </c>
      <c r="E14" s="87" t="s">
        <v>44</v>
      </c>
      <c r="F14" s="83"/>
      <c r="G14" s="83"/>
      <c r="H14" s="83"/>
      <c r="I14" s="83"/>
      <c r="J14" s="11" t="s">
        <v>260</v>
      </c>
    </row>
    <row r="15" spans="2:10">
      <c r="B15" s="83"/>
      <c r="C15" s="1026" t="s">
        <v>327</v>
      </c>
      <c r="D15" s="183" t="s">
        <v>328</v>
      </c>
      <c r="E15" s="87" t="s">
        <v>44</v>
      </c>
      <c r="F15" s="83"/>
      <c r="G15" s="83"/>
      <c r="H15" s="83"/>
      <c r="I15" s="83"/>
      <c r="J15" s="153" t="s">
        <v>329</v>
      </c>
    </row>
    <row r="16" spans="2:10">
      <c r="B16" s="83"/>
      <c r="C16" s="88" t="s">
        <v>165</v>
      </c>
      <c r="D16" s="88" t="s">
        <v>201</v>
      </c>
      <c r="E16" s="87" t="s">
        <v>44</v>
      </c>
      <c r="F16" s="83"/>
      <c r="G16" s="83"/>
      <c r="H16" s="83"/>
      <c r="I16" s="83"/>
      <c r="J16" s="11" t="s">
        <v>261</v>
      </c>
    </row>
    <row r="17" spans="1:13">
      <c r="B17" s="83"/>
      <c r="C17" s="88" t="s">
        <v>1053</v>
      </c>
      <c r="D17" s="88" t="s">
        <v>1054</v>
      </c>
      <c r="E17" s="210" t="s">
        <v>44</v>
      </c>
      <c r="F17" s="83"/>
      <c r="G17" s="83"/>
      <c r="H17" s="83"/>
      <c r="I17" s="83"/>
      <c r="J17" t="s">
        <v>1055</v>
      </c>
    </row>
    <row r="18" spans="1:13">
      <c r="B18" s="83"/>
      <c r="C18" s="88" t="s">
        <v>47</v>
      </c>
      <c r="D18" s="88" t="s">
        <v>202</v>
      </c>
      <c r="E18" s="87" t="s">
        <v>44</v>
      </c>
      <c r="F18" s="83"/>
      <c r="G18" s="83"/>
      <c r="H18" s="83"/>
      <c r="I18" s="83"/>
      <c r="J18" s="11" t="s">
        <v>262</v>
      </c>
    </row>
    <row r="19" spans="1:13" ht="13.8" thickBot="1">
      <c r="B19" s="97"/>
      <c r="C19" s="183" t="s">
        <v>277</v>
      </c>
      <c r="D19" s="194" t="s">
        <v>278</v>
      </c>
      <c r="E19" s="87" t="s">
        <v>44</v>
      </c>
      <c r="F19" s="97"/>
      <c r="G19" s="97" t="s">
        <v>169</v>
      </c>
      <c r="H19" s="97"/>
      <c r="I19" s="97" t="s">
        <v>170</v>
      </c>
      <c r="J19" s="11" t="s">
        <v>279</v>
      </c>
    </row>
    <row r="20" spans="1:13">
      <c r="B20" s="155"/>
      <c r="C20" s="546" t="s">
        <v>95</v>
      </c>
      <c r="D20" s="157" t="s">
        <v>205</v>
      </c>
      <c r="E20" s="158" t="s">
        <v>44</v>
      </c>
      <c r="F20" s="155"/>
      <c r="G20" s="156" t="s">
        <v>169</v>
      </c>
      <c r="H20" s="155"/>
      <c r="I20" s="155"/>
      <c r="J20" s="169" t="s">
        <v>269</v>
      </c>
    </row>
    <row r="21" spans="1:13" ht="13.8" thickBot="1">
      <c r="B21" s="162"/>
      <c r="C21" s="164" t="s">
        <v>96</v>
      </c>
      <c r="D21" s="163" t="s">
        <v>206</v>
      </c>
      <c r="E21" s="164" t="s">
        <v>44</v>
      </c>
      <c r="F21" s="171"/>
      <c r="G21" s="569" t="s">
        <v>169</v>
      </c>
      <c r="H21" s="162"/>
      <c r="I21" s="162"/>
      <c r="J21" s="166" t="s">
        <v>270</v>
      </c>
    </row>
    <row r="22" spans="1:13">
      <c r="B22" s="97"/>
      <c r="C22" s="87" t="s">
        <v>207</v>
      </c>
      <c r="D22" s="96" t="s">
        <v>208</v>
      </c>
      <c r="E22" s="87" t="s">
        <v>44</v>
      </c>
      <c r="F22" s="98"/>
      <c r="G22" s="97"/>
      <c r="H22" s="97"/>
      <c r="I22" s="97"/>
      <c r="J22" s="154" t="s">
        <v>253</v>
      </c>
      <c r="M22" t="s">
        <v>271</v>
      </c>
    </row>
    <row r="23" spans="1:13" ht="13.8" thickBot="1">
      <c r="B23" s="97"/>
      <c r="C23" s="87" t="s">
        <v>209</v>
      </c>
      <c r="D23" s="96" t="s">
        <v>210</v>
      </c>
      <c r="E23" s="87" t="s">
        <v>44</v>
      </c>
      <c r="F23" s="98"/>
      <c r="G23" s="97"/>
      <c r="H23" s="97"/>
      <c r="I23" s="97"/>
      <c r="J23" s="154" t="s">
        <v>254</v>
      </c>
      <c r="M23" t="s">
        <v>272</v>
      </c>
    </row>
    <row r="24" spans="1:13">
      <c r="B24" s="155"/>
      <c r="C24" s="546" t="s">
        <v>156</v>
      </c>
      <c r="D24" s="157" t="s">
        <v>150</v>
      </c>
      <c r="E24" s="158" t="s">
        <v>44</v>
      </c>
      <c r="F24" s="155"/>
      <c r="G24" s="168" t="s">
        <v>169</v>
      </c>
      <c r="H24" s="155"/>
      <c r="I24" s="155"/>
      <c r="J24" s="181" t="s">
        <v>249</v>
      </c>
      <c r="L24" s="16"/>
      <c r="M24" t="s">
        <v>273</v>
      </c>
    </row>
    <row r="25" spans="1:13">
      <c r="B25" s="89"/>
      <c r="C25" s="90" t="s">
        <v>157</v>
      </c>
      <c r="D25" s="93" t="s">
        <v>151</v>
      </c>
      <c r="E25" s="90" t="s">
        <v>44</v>
      </c>
      <c r="F25" s="89"/>
      <c r="G25" s="95" t="s">
        <v>169</v>
      </c>
      <c r="H25" s="89"/>
      <c r="I25" s="89"/>
      <c r="J25" s="173" t="s">
        <v>257</v>
      </c>
    </row>
    <row r="26" spans="1:13">
      <c r="B26" s="97"/>
      <c r="C26" s="87" t="s">
        <v>158</v>
      </c>
      <c r="D26" s="160" t="s">
        <v>152</v>
      </c>
      <c r="E26" s="87" t="s">
        <v>44</v>
      </c>
      <c r="F26" s="98"/>
      <c r="G26" s="94" t="s">
        <v>169</v>
      </c>
      <c r="H26" s="97"/>
      <c r="I26" s="97"/>
      <c r="J26" s="154" t="s">
        <v>250</v>
      </c>
    </row>
    <row r="27" spans="1:13" ht="13.8" thickBot="1">
      <c r="B27" s="162"/>
      <c r="C27" s="164" t="s">
        <v>159</v>
      </c>
      <c r="D27" s="163" t="s">
        <v>153</v>
      </c>
      <c r="E27" s="164" t="s">
        <v>44</v>
      </c>
      <c r="F27" s="171"/>
      <c r="G27" s="165" t="s">
        <v>169</v>
      </c>
      <c r="H27" s="162"/>
      <c r="I27" s="162"/>
      <c r="J27" s="166" t="s">
        <v>251</v>
      </c>
      <c r="L27" s="39"/>
    </row>
    <row r="28" spans="1:13" s="1" customFormat="1">
      <c r="B28" s="97"/>
      <c r="C28" s="183" t="s">
        <v>160</v>
      </c>
      <c r="D28" s="96" t="s">
        <v>154</v>
      </c>
      <c r="E28" s="87" t="s">
        <v>44</v>
      </c>
      <c r="F28" s="98"/>
      <c r="G28" s="94" t="s">
        <v>169</v>
      </c>
      <c r="H28" s="97"/>
      <c r="I28" s="97"/>
      <c r="J28" s="154" t="s">
        <v>255</v>
      </c>
      <c r="M28"/>
    </row>
    <row r="29" spans="1:13" ht="13.8" thickBot="1">
      <c r="B29" s="162"/>
      <c r="C29" s="164" t="s">
        <v>161</v>
      </c>
      <c r="D29" s="569" t="s">
        <v>155</v>
      </c>
      <c r="E29" s="164" t="s">
        <v>44</v>
      </c>
      <c r="F29" s="162"/>
      <c r="G29" s="165" t="s">
        <v>169</v>
      </c>
      <c r="H29" s="162"/>
      <c r="I29" s="162"/>
      <c r="J29" s="166" t="s">
        <v>255</v>
      </c>
    </row>
    <row r="30" spans="1:13">
      <c r="A30" s="132" t="s">
        <v>1061</v>
      </c>
      <c r="B30" s="97"/>
      <c r="C30" s="582" t="s">
        <v>1024</v>
      </c>
      <c r="D30" s="582" t="s">
        <v>1025</v>
      </c>
      <c r="E30" s="582" t="s">
        <v>44</v>
      </c>
      <c r="F30" s="586"/>
      <c r="G30" s="587" t="s">
        <v>169</v>
      </c>
      <c r="H30" s="586"/>
      <c r="I30" s="586"/>
      <c r="J30" s="583" t="s">
        <v>255</v>
      </c>
    </row>
    <row r="31" spans="1:13">
      <c r="B31" s="97"/>
      <c r="C31" s="183" t="s">
        <v>1026</v>
      </c>
      <c r="D31" s="183" t="s">
        <v>1027</v>
      </c>
      <c r="E31" s="183" t="s">
        <v>44</v>
      </c>
      <c r="F31" s="100"/>
      <c r="G31" s="588" t="s">
        <v>169</v>
      </c>
      <c r="H31" s="100"/>
      <c r="I31" s="100"/>
      <c r="J31" s="154" t="s">
        <v>255</v>
      </c>
    </row>
    <row r="32" spans="1:13">
      <c r="B32" s="97"/>
      <c r="C32" s="183" t="s">
        <v>1028</v>
      </c>
      <c r="D32" s="183" t="s">
        <v>1029</v>
      </c>
      <c r="E32" s="183" t="s">
        <v>44</v>
      </c>
      <c r="F32" s="100"/>
      <c r="G32" s="588" t="s">
        <v>169</v>
      </c>
      <c r="H32" s="100"/>
      <c r="I32" s="100"/>
      <c r="J32" s="154" t="s">
        <v>255</v>
      </c>
    </row>
    <row r="33" spans="1:11" ht="13.8" thickBot="1">
      <c r="B33" s="97"/>
      <c r="C33" s="584" t="s">
        <v>1030</v>
      </c>
      <c r="D33" s="584" t="s">
        <v>1031</v>
      </c>
      <c r="E33" s="584" t="s">
        <v>44</v>
      </c>
      <c r="F33" s="589"/>
      <c r="G33" s="590" t="s">
        <v>169</v>
      </c>
      <c r="H33" s="589"/>
      <c r="I33" s="589"/>
      <c r="J33" s="585" t="s">
        <v>255</v>
      </c>
    </row>
    <row r="34" spans="1:11">
      <c r="A34" s="132" t="s">
        <v>1062</v>
      </c>
      <c r="B34" s="156"/>
      <c r="C34" s="1027" t="s">
        <v>462</v>
      </c>
      <c r="D34" s="167" t="s">
        <v>463</v>
      </c>
      <c r="E34" s="546" t="s">
        <v>44</v>
      </c>
      <c r="F34" s="546" t="s">
        <v>175</v>
      </c>
      <c r="G34" s="168" t="s">
        <v>169</v>
      </c>
      <c r="H34" s="155"/>
      <c r="I34" s="155"/>
      <c r="J34" s="169" t="s">
        <v>252</v>
      </c>
      <c r="K34" s="132"/>
    </row>
    <row r="35" spans="1:11">
      <c r="B35" s="97"/>
      <c r="C35" s="1028" t="s">
        <v>464</v>
      </c>
      <c r="D35" s="100" t="s">
        <v>465</v>
      </c>
      <c r="E35" s="87" t="s">
        <v>44</v>
      </c>
      <c r="F35" s="87" t="s">
        <v>175</v>
      </c>
      <c r="G35" s="94" t="s">
        <v>169</v>
      </c>
      <c r="H35" s="97"/>
      <c r="I35" s="97"/>
      <c r="J35" s="154" t="s">
        <v>252</v>
      </c>
    </row>
    <row r="36" spans="1:11">
      <c r="B36" s="97"/>
      <c r="C36" s="1028" t="s">
        <v>466</v>
      </c>
      <c r="D36" s="100" t="s">
        <v>467</v>
      </c>
      <c r="E36" s="87" t="s">
        <v>44</v>
      </c>
      <c r="F36" s="87" t="s">
        <v>175</v>
      </c>
      <c r="G36" s="94" t="s">
        <v>169</v>
      </c>
      <c r="H36" s="97"/>
      <c r="I36" s="97"/>
      <c r="J36" s="154" t="s">
        <v>252</v>
      </c>
    </row>
    <row r="37" spans="1:11">
      <c r="B37" s="97"/>
      <c r="C37" s="1028" t="s">
        <v>468</v>
      </c>
      <c r="D37" s="100" t="s">
        <v>469</v>
      </c>
      <c r="E37" s="87" t="s">
        <v>44</v>
      </c>
      <c r="F37" s="87" t="s">
        <v>175</v>
      </c>
      <c r="G37" s="94" t="s">
        <v>169</v>
      </c>
      <c r="H37" s="97"/>
      <c r="I37" s="97"/>
      <c r="J37" s="154" t="s">
        <v>252</v>
      </c>
    </row>
    <row r="38" spans="1:11">
      <c r="B38" s="97"/>
      <c r="C38" s="1028" t="s">
        <v>470</v>
      </c>
      <c r="D38" s="100" t="s">
        <v>471</v>
      </c>
      <c r="E38" s="87" t="s">
        <v>44</v>
      </c>
      <c r="F38" s="87" t="s">
        <v>175</v>
      </c>
      <c r="G38" s="94" t="s">
        <v>169</v>
      </c>
      <c r="H38" s="97"/>
      <c r="I38" s="97"/>
      <c r="J38" s="154" t="s">
        <v>252</v>
      </c>
    </row>
    <row r="39" spans="1:11">
      <c r="B39" s="89"/>
      <c r="C39" s="131" t="s">
        <v>472</v>
      </c>
      <c r="D39" s="113" t="s">
        <v>473</v>
      </c>
      <c r="E39" s="90" t="s">
        <v>44</v>
      </c>
      <c r="F39" s="90" t="s">
        <v>175</v>
      </c>
      <c r="G39" s="95" t="s">
        <v>169</v>
      </c>
      <c r="H39" s="89"/>
      <c r="I39" s="89"/>
      <c r="J39" s="173" t="s">
        <v>252</v>
      </c>
    </row>
    <row r="40" spans="1:11">
      <c r="B40" s="97"/>
      <c r="C40" s="1028" t="s">
        <v>474</v>
      </c>
      <c r="D40" s="100" t="s">
        <v>475</v>
      </c>
      <c r="E40" s="87" t="s">
        <v>44</v>
      </c>
      <c r="F40" s="87" t="s">
        <v>175</v>
      </c>
      <c r="G40" s="94" t="s">
        <v>169</v>
      </c>
      <c r="H40" s="97"/>
      <c r="I40" s="97"/>
      <c r="J40" s="154" t="s">
        <v>252</v>
      </c>
    </row>
    <row r="41" spans="1:11">
      <c r="B41" s="97"/>
      <c r="C41" s="1028" t="s">
        <v>476</v>
      </c>
      <c r="D41" s="100" t="s">
        <v>477</v>
      </c>
      <c r="E41" s="87" t="s">
        <v>44</v>
      </c>
      <c r="F41" s="87" t="s">
        <v>175</v>
      </c>
      <c r="G41" s="94" t="s">
        <v>169</v>
      </c>
      <c r="H41" s="97"/>
      <c r="I41" s="97"/>
      <c r="J41" s="154" t="s">
        <v>252</v>
      </c>
    </row>
    <row r="42" spans="1:11">
      <c r="B42" s="97"/>
      <c r="C42" s="1028" t="s">
        <v>478</v>
      </c>
      <c r="D42" s="100" t="s">
        <v>479</v>
      </c>
      <c r="E42" s="87" t="s">
        <v>44</v>
      </c>
      <c r="F42" s="87" t="s">
        <v>175</v>
      </c>
      <c r="G42" s="94" t="s">
        <v>169</v>
      </c>
      <c r="H42" s="97"/>
      <c r="I42" s="97"/>
      <c r="J42" s="154" t="s">
        <v>252</v>
      </c>
    </row>
    <row r="43" spans="1:11">
      <c r="B43" s="97"/>
      <c r="C43" s="1028" t="s">
        <v>480</v>
      </c>
      <c r="D43" s="100" t="s">
        <v>481</v>
      </c>
      <c r="E43" s="87" t="s">
        <v>44</v>
      </c>
      <c r="F43" s="87" t="s">
        <v>175</v>
      </c>
      <c r="G43" s="94" t="s">
        <v>169</v>
      </c>
      <c r="H43" s="97"/>
      <c r="I43" s="97"/>
      <c r="J43" s="154" t="s">
        <v>252</v>
      </c>
    </row>
    <row r="44" spans="1:11">
      <c r="B44" s="97"/>
      <c r="C44" s="1028" t="s">
        <v>482</v>
      </c>
      <c r="D44" s="100" t="s">
        <v>483</v>
      </c>
      <c r="E44" s="87" t="s">
        <v>44</v>
      </c>
      <c r="F44" s="87" t="s">
        <v>175</v>
      </c>
      <c r="G44" s="94" t="s">
        <v>169</v>
      </c>
      <c r="H44" s="97"/>
      <c r="I44" s="97"/>
      <c r="J44" s="154" t="s">
        <v>252</v>
      </c>
    </row>
    <row r="45" spans="1:11" ht="13.8" thickBot="1">
      <c r="B45" s="162"/>
      <c r="C45" s="1029" t="s">
        <v>484</v>
      </c>
      <c r="D45" s="170" t="s">
        <v>485</v>
      </c>
      <c r="E45" s="164" t="s">
        <v>44</v>
      </c>
      <c r="F45" s="164" t="s">
        <v>175</v>
      </c>
      <c r="G45" s="165" t="s">
        <v>169</v>
      </c>
      <c r="H45" s="162"/>
      <c r="I45" s="162"/>
      <c r="J45" s="166" t="s">
        <v>252</v>
      </c>
    </row>
    <row r="46" spans="1:11">
      <c r="B46" s="89" t="s">
        <v>187</v>
      </c>
      <c r="C46" s="131" t="s">
        <v>188</v>
      </c>
      <c r="D46" s="113" t="s">
        <v>190</v>
      </c>
      <c r="E46" s="90" t="s">
        <v>189</v>
      </c>
      <c r="F46" s="89"/>
      <c r="G46" s="89"/>
      <c r="H46" s="89"/>
      <c r="I46" s="89"/>
      <c r="J46" s="173" t="s">
        <v>263</v>
      </c>
    </row>
    <row r="47" spans="1:11">
      <c r="A47" s="11"/>
      <c r="B47" s="98" t="s">
        <v>49</v>
      </c>
      <c r="C47" s="98" t="s">
        <v>211</v>
      </c>
      <c r="D47" s="98" t="s">
        <v>212</v>
      </c>
      <c r="E47" s="98" t="s">
        <v>44</v>
      </c>
      <c r="F47" s="98"/>
      <c r="G47" s="98" t="s">
        <v>169</v>
      </c>
      <c r="H47" s="97"/>
      <c r="I47" s="97"/>
      <c r="J47" s="3" t="s">
        <v>247</v>
      </c>
    </row>
    <row r="48" spans="1:11" ht="13.8" thickBot="1">
      <c r="A48" s="11"/>
      <c r="B48" s="171"/>
      <c r="C48" s="171" t="s">
        <v>213</v>
      </c>
      <c r="D48" s="171" t="s">
        <v>214</v>
      </c>
      <c r="E48" s="171" t="s">
        <v>44</v>
      </c>
      <c r="F48" s="171"/>
      <c r="G48" s="171" t="s">
        <v>169</v>
      </c>
      <c r="H48" s="162"/>
      <c r="I48" s="162"/>
      <c r="J48" s="172" t="s">
        <v>248</v>
      </c>
    </row>
    <row r="50" spans="2:3" ht="13.8">
      <c r="B50" s="92"/>
      <c r="C50" s="665" t="s">
        <v>1057</v>
      </c>
    </row>
    <row r="51" spans="2:3">
      <c r="B51" s="83"/>
      <c r="C51" s="83"/>
    </row>
  </sheetData>
  <phoneticPr fontId="38" type="noConversion"/>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3:Q58"/>
  <sheetViews>
    <sheetView zoomScale="80" zoomScaleNormal="80" workbookViewId="0">
      <selection activeCell="D39" sqref="D39"/>
    </sheetView>
  </sheetViews>
  <sheetFormatPr defaultRowHeight="13.2"/>
  <cols>
    <col min="1" max="1" width="5.88671875" customWidth="1"/>
    <col min="2" max="2" width="11.6640625" bestFit="1" customWidth="1"/>
    <col min="3" max="3" width="10.5546875" customWidth="1"/>
    <col min="4" max="4" width="16.6640625" customWidth="1"/>
    <col min="5" max="5" width="68.88671875" bestFit="1" customWidth="1"/>
    <col min="7" max="7" width="12" customWidth="1"/>
    <col min="8" max="8" width="12.88671875" customWidth="1"/>
    <col min="9" max="9" width="14" customWidth="1"/>
    <col min="12" max="12" width="107.6640625" bestFit="1" customWidth="1"/>
  </cols>
  <sheetData>
    <row r="3" spans="1:17">
      <c r="B3" s="82" t="s">
        <v>18</v>
      </c>
      <c r="C3" s="82"/>
      <c r="D3" s="83"/>
      <c r="E3" s="83"/>
      <c r="F3" s="83"/>
      <c r="G3" s="83"/>
      <c r="H3" s="83"/>
      <c r="I3" s="83"/>
      <c r="J3" s="83"/>
      <c r="K3" s="83"/>
    </row>
    <row r="4" spans="1:17" ht="13.8">
      <c r="B4" s="84" t="s">
        <v>19</v>
      </c>
      <c r="C4" s="84" t="s">
        <v>1</v>
      </c>
      <c r="D4" s="84" t="s">
        <v>2</v>
      </c>
      <c r="E4" s="84" t="s">
        <v>3</v>
      </c>
      <c r="F4" s="84" t="s">
        <v>20</v>
      </c>
      <c r="G4" s="84" t="s">
        <v>21</v>
      </c>
      <c r="H4" s="84" t="s">
        <v>22</v>
      </c>
      <c r="I4" s="84" t="s">
        <v>23</v>
      </c>
      <c r="J4" s="84" t="s">
        <v>24</v>
      </c>
      <c r="K4" s="1428"/>
      <c r="L4" s="152" t="s">
        <v>246</v>
      </c>
    </row>
    <row r="5" spans="1:17" ht="21" thickBot="1">
      <c r="B5" s="85" t="s">
        <v>28</v>
      </c>
      <c r="C5" s="85" t="s">
        <v>29</v>
      </c>
      <c r="D5" s="85" t="s">
        <v>30</v>
      </c>
      <c r="E5" s="85" t="s">
        <v>31</v>
      </c>
      <c r="F5" s="85" t="s">
        <v>32</v>
      </c>
      <c r="G5" s="85" t="s">
        <v>33</v>
      </c>
      <c r="H5" s="85" t="s">
        <v>34</v>
      </c>
      <c r="I5" s="85" t="s">
        <v>35</v>
      </c>
      <c r="J5" s="85" t="s">
        <v>36</v>
      </c>
      <c r="K5" s="1429"/>
    </row>
    <row r="6" spans="1:17" s="11" customFormat="1">
      <c r="A6" s="3"/>
      <c r="B6" s="98" t="s">
        <v>25</v>
      </c>
      <c r="C6" s="101"/>
      <c r="D6" s="87" t="s">
        <v>428</v>
      </c>
      <c r="E6" s="102" t="s">
        <v>429</v>
      </c>
      <c r="F6" s="98" t="str">
        <f>Commodities!$E$6</f>
        <v>Mm2</v>
      </c>
      <c r="G6" s="98" t="str">
        <f>Commodities!$E$6</f>
        <v>Mm2</v>
      </c>
      <c r="H6" s="98"/>
      <c r="I6" s="103"/>
      <c r="J6" s="98"/>
      <c r="K6" s="98"/>
      <c r="L6" s="153" t="s">
        <v>266</v>
      </c>
    </row>
    <row r="7" spans="1:17">
      <c r="B7" s="97"/>
      <c r="C7" s="97"/>
      <c r="D7" s="87" t="s">
        <v>430</v>
      </c>
      <c r="E7" s="104" t="s">
        <v>431</v>
      </c>
      <c r="F7" s="98" t="str">
        <f>Commodities!$E$6</f>
        <v>Mm2</v>
      </c>
      <c r="G7" s="98" t="str">
        <f>Commodities!$E$6</f>
        <v>Mm2</v>
      </c>
      <c r="H7" s="97"/>
      <c r="I7" s="105"/>
      <c r="J7" s="97"/>
      <c r="K7" s="97"/>
    </row>
    <row r="8" spans="1:17">
      <c r="B8" s="97"/>
      <c r="C8" s="97"/>
      <c r="D8" s="83" t="s">
        <v>66</v>
      </c>
      <c r="E8" s="92" t="s">
        <v>178</v>
      </c>
      <c r="F8" s="98" t="s">
        <v>48</v>
      </c>
      <c r="G8" s="87" t="s">
        <v>48</v>
      </c>
      <c r="H8" s="97"/>
      <c r="I8" s="105"/>
      <c r="J8" s="98" t="s">
        <v>185</v>
      </c>
      <c r="K8" s="98"/>
      <c r="L8" s="183" t="s">
        <v>264</v>
      </c>
    </row>
    <row r="9" spans="1:17">
      <c r="B9" s="97"/>
      <c r="C9" s="97"/>
      <c r="D9" s="87" t="s">
        <v>432</v>
      </c>
      <c r="E9" s="104" t="s">
        <v>433</v>
      </c>
      <c r="F9" s="98" t="str">
        <f>Commodities!$E$6</f>
        <v>Mm2</v>
      </c>
      <c r="G9" s="98" t="str">
        <f>Commodities!$E$6</f>
        <v>Mm2</v>
      </c>
      <c r="H9" s="97"/>
      <c r="I9" s="105"/>
      <c r="J9" s="97"/>
      <c r="K9" s="97"/>
      <c r="Q9" s="132"/>
    </row>
    <row r="10" spans="1:17">
      <c r="B10" s="97"/>
      <c r="C10" s="97"/>
      <c r="D10" s="87" t="s">
        <v>434</v>
      </c>
      <c r="E10" s="104" t="s">
        <v>435</v>
      </c>
      <c r="F10" s="98" t="str">
        <f>Commodities!$E$6</f>
        <v>Mm2</v>
      </c>
      <c r="G10" s="98" t="str">
        <f>Commodities!$E$6</f>
        <v>Mm2</v>
      </c>
      <c r="H10" s="97"/>
      <c r="I10" s="105"/>
      <c r="J10" s="97"/>
      <c r="K10" s="97"/>
    </row>
    <row r="11" spans="1:17">
      <c r="B11" s="97"/>
      <c r="C11" s="97"/>
      <c r="D11" s="83" t="s">
        <v>69</v>
      </c>
      <c r="E11" s="92" t="s">
        <v>179</v>
      </c>
      <c r="F11" s="98" t="s">
        <v>48</v>
      </c>
      <c r="G11" s="87" t="s">
        <v>48</v>
      </c>
      <c r="H11" s="97"/>
      <c r="I11" s="105"/>
      <c r="J11" s="98" t="s">
        <v>185</v>
      </c>
      <c r="K11" s="98"/>
      <c r="L11" s="183" t="s">
        <v>264</v>
      </c>
    </row>
    <row r="12" spans="1:17">
      <c r="B12" s="97"/>
      <c r="C12" s="97"/>
      <c r="D12" s="87" t="s">
        <v>436</v>
      </c>
      <c r="E12" s="104" t="s">
        <v>437</v>
      </c>
      <c r="F12" s="98" t="str">
        <f>Commodities!$E$6</f>
        <v>Mm2</v>
      </c>
      <c r="G12" s="98" t="str">
        <f>Commodities!$E$6</f>
        <v>Mm2</v>
      </c>
      <c r="H12" s="97"/>
      <c r="I12" s="105"/>
      <c r="J12" s="97"/>
      <c r="K12" s="97"/>
    </row>
    <row r="13" spans="1:17">
      <c r="B13" s="97"/>
      <c r="C13" s="97"/>
      <c r="D13" s="87" t="s">
        <v>438</v>
      </c>
      <c r="E13" s="104" t="s">
        <v>439</v>
      </c>
      <c r="F13" s="98" t="str">
        <f>Commodities!$E$6</f>
        <v>Mm2</v>
      </c>
      <c r="G13" s="98" t="str">
        <f>Commodities!$E$6</f>
        <v>Mm2</v>
      </c>
      <c r="H13" s="97"/>
      <c r="I13" s="105"/>
      <c r="J13" s="97"/>
      <c r="K13" s="97"/>
    </row>
    <row r="14" spans="1:17">
      <c r="B14" s="97"/>
      <c r="C14" s="97"/>
      <c r="D14" s="87" t="s">
        <v>72</v>
      </c>
      <c r="E14" s="92" t="s">
        <v>180</v>
      </c>
      <c r="F14" s="98" t="s">
        <v>48</v>
      </c>
      <c r="G14" s="87" t="s">
        <v>48</v>
      </c>
      <c r="H14" s="97"/>
      <c r="I14" s="105"/>
      <c r="J14" s="98" t="s">
        <v>185</v>
      </c>
      <c r="K14" s="98"/>
      <c r="L14" s="183" t="s">
        <v>264</v>
      </c>
    </row>
    <row r="15" spans="1:17">
      <c r="B15" s="97"/>
      <c r="C15" s="97"/>
      <c r="D15" s="87" t="s">
        <v>440</v>
      </c>
      <c r="E15" s="104" t="s">
        <v>441</v>
      </c>
      <c r="F15" s="98" t="str">
        <f>Commodities!$E$6</f>
        <v>Mm2</v>
      </c>
      <c r="G15" s="98" t="str">
        <f>Commodities!$E$6</f>
        <v>Mm2</v>
      </c>
      <c r="H15" s="97"/>
      <c r="I15" s="105"/>
      <c r="J15" s="97"/>
      <c r="K15" s="97"/>
    </row>
    <row r="16" spans="1:17">
      <c r="B16" s="97"/>
      <c r="C16" s="97"/>
      <c r="D16" s="87" t="s">
        <v>442</v>
      </c>
      <c r="E16" s="104" t="s">
        <v>443</v>
      </c>
      <c r="F16" s="98" t="str">
        <f>Commodities!$E$6</f>
        <v>Mm2</v>
      </c>
      <c r="G16" s="98" t="str">
        <f>Commodities!$E$6</f>
        <v>Mm2</v>
      </c>
      <c r="H16" s="97"/>
      <c r="I16" s="105"/>
      <c r="J16" s="97"/>
      <c r="K16" s="97"/>
    </row>
    <row r="17" spans="2:16">
      <c r="B17" s="97"/>
      <c r="C17" s="97"/>
      <c r="D17" s="87" t="s">
        <v>75</v>
      </c>
      <c r="E17" s="92" t="s">
        <v>181</v>
      </c>
      <c r="F17" s="98" t="s">
        <v>48</v>
      </c>
      <c r="G17" s="87" t="s">
        <v>48</v>
      </c>
      <c r="H17" s="97"/>
      <c r="I17" s="105"/>
      <c r="J17" s="98" t="s">
        <v>185</v>
      </c>
      <c r="K17" s="98"/>
      <c r="L17" s="183" t="s">
        <v>264</v>
      </c>
    </row>
    <row r="18" spans="2:16">
      <c r="B18" s="97"/>
      <c r="C18" s="97"/>
      <c r="D18" s="87" t="s">
        <v>444</v>
      </c>
      <c r="E18" s="104" t="s">
        <v>445</v>
      </c>
      <c r="F18" s="98" t="str">
        <f>Commodities!$E$6</f>
        <v>Mm2</v>
      </c>
      <c r="G18" s="98" t="str">
        <f>Commodities!$E$6</f>
        <v>Mm2</v>
      </c>
      <c r="H18" s="97"/>
      <c r="I18" s="105"/>
      <c r="J18" s="97"/>
      <c r="K18" s="97"/>
    </row>
    <row r="19" spans="2:16">
      <c r="B19" s="97"/>
      <c r="C19" s="97"/>
      <c r="D19" s="87" t="s">
        <v>446</v>
      </c>
      <c r="E19" s="104" t="s">
        <v>447</v>
      </c>
      <c r="F19" s="98" t="str">
        <f>Commodities!$E$6</f>
        <v>Mm2</v>
      </c>
      <c r="G19" s="98" t="str">
        <f>Commodities!$E$6</f>
        <v>Mm2</v>
      </c>
      <c r="H19" s="97"/>
      <c r="I19" s="105"/>
      <c r="J19" s="97"/>
      <c r="K19" s="97"/>
    </row>
    <row r="20" spans="2:16">
      <c r="B20" s="97"/>
      <c r="C20" s="97"/>
      <c r="D20" s="87" t="s">
        <v>78</v>
      </c>
      <c r="E20" s="92" t="s">
        <v>182</v>
      </c>
      <c r="F20" s="98" t="s">
        <v>48</v>
      </c>
      <c r="G20" s="87" t="s">
        <v>48</v>
      </c>
      <c r="H20" s="97"/>
      <c r="I20" s="105"/>
      <c r="J20" s="98" t="s">
        <v>185</v>
      </c>
      <c r="K20" s="98"/>
      <c r="L20" s="183" t="s">
        <v>264</v>
      </c>
    </row>
    <row r="21" spans="2:16">
      <c r="B21" s="97"/>
      <c r="C21" s="97"/>
      <c r="D21" s="87" t="s">
        <v>448</v>
      </c>
      <c r="E21" s="102" t="s">
        <v>449</v>
      </c>
      <c r="F21" s="98" t="str">
        <f>Commodities!$E$6</f>
        <v>Mm2</v>
      </c>
      <c r="G21" s="98" t="str">
        <f>Commodities!$E$6</f>
        <v>Mm2</v>
      </c>
      <c r="H21" s="83"/>
      <c r="I21" s="105"/>
      <c r="J21" s="83"/>
      <c r="K21" s="83"/>
    </row>
    <row r="22" spans="2:16">
      <c r="B22" s="97"/>
      <c r="C22" s="97"/>
      <c r="D22" s="87" t="s">
        <v>450</v>
      </c>
      <c r="E22" s="102" t="s">
        <v>451</v>
      </c>
      <c r="F22" s="98" t="s">
        <v>48</v>
      </c>
      <c r="G22" s="98" t="s">
        <v>48</v>
      </c>
      <c r="H22" s="83"/>
      <c r="I22" s="105"/>
      <c r="J22" s="83"/>
      <c r="K22" s="83"/>
    </row>
    <row r="23" spans="2:16">
      <c r="B23" s="89"/>
      <c r="C23" s="89"/>
      <c r="D23" s="90" t="s">
        <v>81</v>
      </c>
      <c r="E23" s="106" t="s">
        <v>183</v>
      </c>
      <c r="F23" s="91" t="s">
        <v>48</v>
      </c>
      <c r="G23" s="91" t="s">
        <v>48</v>
      </c>
      <c r="H23" s="89"/>
      <c r="I23" s="107"/>
      <c r="J23" s="89" t="s">
        <v>185</v>
      </c>
      <c r="K23" s="97"/>
      <c r="L23" s="183" t="s">
        <v>264</v>
      </c>
    </row>
    <row r="24" spans="2:16">
      <c r="B24" s="108" t="s">
        <v>82</v>
      </c>
      <c r="C24" s="88"/>
      <c r="D24" s="87" t="str">
        <f>"RHT"&amp;"DB"&amp;RIGHT(Commodities!C12,3)&amp;"BE1"</f>
        <v>RHTDBNGABE1</v>
      </c>
      <c r="E24" s="109" t="s">
        <v>84</v>
      </c>
      <c r="F24" s="87" t="s">
        <v>44</v>
      </c>
      <c r="G24" s="87" t="s">
        <v>83</v>
      </c>
      <c r="H24" s="99" t="s">
        <v>169</v>
      </c>
      <c r="I24" s="83"/>
      <c r="J24" s="83"/>
      <c r="K24" s="83"/>
      <c r="L24" s="132" t="s">
        <v>265</v>
      </c>
    </row>
    <row r="25" spans="2:16">
      <c r="B25" s="88"/>
      <c r="C25" s="88"/>
      <c r="D25" s="87" t="str">
        <f>"RHT"&amp;"DB"&amp;RIGHT(Commodities!C13,3)&amp;"BE1"</f>
        <v>RHTDBDSLBE1</v>
      </c>
      <c r="E25" s="109" t="s">
        <v>85</v>
      </c>
      <c r="F25" s="87" t="s">
        <v>44</v>
      </c>
      <c r="G25" s="87" t="s">
        <v>83</v>
      </c>
      <c r="H25" s="99" t="s">
        <v>169</v>
      </c>
      <c r="I25" s="83"/>
      <c r="J25" s="83"/>
      <c r="K25" s="83"/>
    </row>
    <row r="26" spans="2:16">
      <c r="B26" s="88"/>
      <c r="C26" s="88"/>
      <c r="D26" s="87" t="str">
        <f>"RHT"&amp;"DB"&amp;RIGHT(Commodities!C14,3)&amp;"BE1"</f>
        <v>RHTDBWPEBE1</v>
      </c>
      <c r="E26" s="209" t="s">
        <v>326</v>
      </c>
      <c r="F26" s="87" t="s">
        <v>44</v>
      </c>
      <c r="G26" s="87" t="s">
        <v>83</v>
      </c>
      <c r="H26" s="99" t="s">
        <v>169</v>
      </c>
      <c r="I26" s="83"/>
      <c r="J26" s="83"/>
      <c r="K26" s="83"/>
    </row>
    <row r="27" spans="2:16">
      <c r="B27" s="88"/>
      <c r="C27" s="88"/>
      <c r="D27" s="87" t="str">
        <f>"RHT"&amp;"DB"&amp;RIGHT(Commodities!C15,3)&amp;"BE1"</f>
        <v>RHTDBFIWBE1</v>
      </c>
      <c r="E27" s="209" t="s">
        <v>332</v>
      </c>
      <c r="F27" s="87" t="s">
        <v>44</v>
      </c>
      <c r="G27" s="87" t="s">
        <v>83</v>
      </c>
      <c r="H27" s="99" t="s">
        <v>169</v>
      </c>
      <c r="I27" s="83"/>
      <c r="J27" s="83"/>
      <c r="K27" s="83"/>
    </row>
    <row r="28" spans="2:16">
      <c r="B28" s="88"/>
      <c r="C28" s="88"/>
      <c r="D28" s="87" t="str">
        <f>"RHT"&amp;"DB"&amp;RIGHT(Commodities!C16,3)&amp;"BE1"</f>
        <v>RHTDBSTRBE1</v>
      </c>
      <c r="E28" s="109" t="s">
        <v>86</v>
      </c>
      <c r="F28" s="87" t="s">
        <v>44</v>
      </c>
      <c r="G28" s="87" t="s">
        <v>83</v>
      </c>
      <c r="H28" s="99" t="s">
        <v>169</v>
      </c>
      <c r="I28" s="83"/>
      <c r="J28" s="83"/>
      <c r="K28" s="83"/>
      <c r="P28" s="182"/>
    </row>
    <row r="29" spans="2:16">
      <c r="B29" s="88"/>
      <c r="C29" s="88"/>
      <c r="D29" s="87" t="str">
        <f>"RHT"&amp;"DB"&amp;RIGHT(Commodities!C18,3)&amp;"XE1"</f>
        <v>RHTDBSOLXE1</v>
      </c>
      <c r="E29" s="110" t="s">
        <v>172</v>
      </c>
      <c r="F29" s="87" t="s">
        <v>44</v>
      </c>
      <c r="G29" s="87" t="s">
        <v>83</v>
      </c>
      <c r="H29" s="99" t="s">
        <v>169</v>
      </c>
      <c r="I29" s="83"/>
      <c r="J29" s="83"/>
      <c r="K29" s="83"/>
    </row>
    <row r="30" spans="2:16">
      <c r="B30" s="88"/>
      <c r="C30" s="88"/>
      <c r="D30" s="87" t="str">
        <f>"RHT"&amp;"DB"&amp;RIGHT(Commodities!C19,3)&amp;"XE1"</f>
        <v>RHTDBLCHXE1</v>
      </c>
      <c r="E30" s="110" t="s">
        <v>234</v>
      </c>
      <c r="F30" s="87" t="s">
        <v>44</v>
      </c>
      <c r="G30" s="87" t="s">
        <v>83</v>
      </c>
      <c r="H30" s="99" t="s">
        <v>169</v>
      </c>
      <c r="I30" s="83"/>
      <c r="J30" s="83"/>
      <c r="K30" s="83"/>
    </row>
    <row r="31" spans="2:16">
      <c r="B31" s="88"/>
      <c r="C31" s="88"/>
      <c r="D31" s="87" t="str">
        <f>"RHT"&amp;"DB"&amp;RIGHT(Commodities!C19,3)&amp;"XE2"</f>
        <v>RHTDBLCHXE2</v>
      </c>
      <c r="E31" s="110" t="s">
        <v>235</v>
      </c>
      <c r="F31" s="87" t="s">
        <v>44</v>
      </c>
      <c r="G31" s="87" t="s">
        <v>83</v>
      </c>
      <c r="H31" s="99" t="s">
        <v>169</v>
      </c>
      <c r="I31" s="83"/>
      <c r="J31" s="83"/>
      <c r="K31" s="83"/>
    </row>
    <row r="32" spans="2:16">
      <c r="B32" s="98"/>
      <c r="C32" s="98"/>
      <c r="D32" s="87" t="str">
        <f>"RHT"&amp;"DB"&amp;RIGHT(Commodities!C20,3)&amp;"BE1"</f>
        <v>RHTDBHCEBE1</v>
      </c>
      <c r="E32" s="109" t="s">
        <v>101</v>
      </c>
      <c r="F32" s="87" t="s">
        <v>44</v>
      </c>
      <c r="G32" s="87" t="s">
        <v>83</v>
      </c>
      <c r="H32" s="99" t="s">
        <v>169</v>
      </c>
      <c r="I32" s="104"/>
      <c r="J32" s="97"/>
      <c r="K32" s="97"/>
    </row>
    <row r="33" spans="2:12">
      <c r="B33" s="91"/>
      <c r="C33" s="91"/>
      <c r="D33" s="90" t="str">
        <f>"RHT"&amp;"DB"&amp;RIGHT(Commodities!C21,3)&amp;"BE1"</f>
        <v>RHTDBHDEBE1</v>
      </c>
      <c r="E33" s="111" t="s">
        <v>102</v>
      </c>
      <c r="F33" s="90" t="s">
        <v>44</v>
      </c>
      <c r="G33" s="90" t="s">
        <v>83</v>
      </c>
      <c r="H33" s="95" t="s">
        <v>169</v>
      </c>
      <c r="I33" s="106"/>
      <c r="J33" s="89"/>
      <c r="K33" s="97"/>
    </row>
    <row r="34" spans="2:12">
      <c r="B34" s="88"/>
      <c r="C34" s="88"/>
      <c r="D34" s="87" t="str">
        <f>"RHT"&amp;"MB"&amp;RIGHT(Commodities!C12,3)&amp;"BE1"</f>
        <v>RHTMBNGABE1</v>
      </c>
      <c r="E34" s="109" t="s">
        <v>92</v>
      </c>
      <c r="F34" s="87" t="s">
        <v>44</v>
      </c>
      <c r="G34" s="87" t="s">
        <v>83</v>
      </c>
      <c r="H34" s="99" t="s">
        <v>169</v>
      </c>
      <c r="I34" s="83"/>
      <c r="J34" s="83"/>
      <c r="K34" s="83"/>
    </row>
    <row r="35" spans="2:12">
      <c r="B35" s="88"/>
      <c r="C35" s="88"/>
      <c r="D35" s="87" t="str">
        <f>"RHT"&amp;"MB"&amp;RIGHT(Commodities!C13,3)&amp;"BE1"</f>
        <v>RHTMBDSLBE1</v>
      </c>
      <c r="E35" s="109" t="s">
        <v>93</v>
      </c>
      <c r="F35" s="87" t="s">
        <v>44</v>
      </c>
      <c r="G35" s="87" t="s">
        <v>83</v>
      </c>
      <c r="H35" s="99" t="s">
        <v>169</v>
      </c>
      <c r="I35" s="83"/>
      <c r="J35" s="83"/>
      <c r="K35" s="83"/>
    </row>
    <row r="36" spans="2:12">
      <c r="B36" s="88"/>
      <c r="C36" s="88"/>
      <c r="D36" s="87" t="str">
        <f>"RHT"&amp;"MB"&amp;RIGHT(Commodities!C14,3)&amp;"BE1"</f>
        <v>RHTMBWPEBE1</v>
      </c>
      <c r="E36" s="209" t="s">
        <v>325</v>
      </c>
      <c r="F36" s="87" t="s">
        <v>44</v>
      </c>
      <c r="G36" s="87" t="s">
        <v>83</v>
      </c>
      <c r="H36" s="99" t="s">
        <v>169</v>
      </c>
      <c r="I36" s="83"/>
      <c r="J36" s="83"/>
      <c r="K36" s="83"/>
    </row>
    <row r="37" spans="2:12">
      <c r="B37" s="88"/>
      <c r="C37" s="88"/>
      <c r="D37" s="87" t="str">
        <f>"RHT"&amp;"MB"&amp;RIGHT(Commodities!C15,3)&amp;"BE1"</f>
        <v>RHTMBFIWBE1</v>
      </c>
      <c r="E37" s="209" t="s">
        <v>1272</v>
      </c>
      <c r="F37" s="87" t="s">
        <v>44</v>
      </c>
      <c r="G37" s="87" t="s">
        <v>83</v>
      </c>
      <c r="H37" s="99" t="s">
        <v>169</v>
      </c>
      <c r="I37" s="83"/>
      <c r="J37" s="83"/>
      <c r="K37" s="83"/>
    </row>
    <row r="38" spans="2:12">
      <c r="B38" s="88"/>
      <c r="C38" s="88"/>
      <c r="D38" s="87" t="str">
        <f>"RHT"&amp;"MB"&amp;RIGHT(Commodities!C16,3)&amp;"BE1"</f>
        <v>RHTMBSTRBE1</v>
      </c>
      <c r="E38" s="109" t="s">
        <v>94</v>
      </c>
      <c r="F38" s="87" t="s">
        <v>44</v>
      </c>
      <c r="G38" s="87" t="s">
        <v>83</v>
      </c>
      <c r="H38" s="99" t="s">
        <v>169</v>
      </c>
      <c r="I38" s="83"/>
      <c r="J38" s="83"/>
      <c r="K38" s="83"/>
    </row>
    <row r="39" spans="2:12">
      <c r="B39" s="88"/>
      <c r="C39" s="88"/>
      <c r="D39" s="87" t="str">
        <f>"RHT"&amp;"MB"&amp;RIGHT(Commodities!C18,3)&amp;"XE1"</f>
        <v>RHTMBSOLXE1</v>
      </c>
      <c r="E39" s="109" t="s">
        <v>173</v>
      </c>
      <c r="F39" s="87" t="s">
        <v>44</v>
      </c>
      <c r="G39" s="87" t="s">
        <v>83</v>
      </c>
      <c r="H39" s="99" t="s">
        <v>169</v>
      </c>
      <c r="I39" s="83"/>
      <c r="J39" s="83"/>
      <c r="K39" s="83"/>
    </row>
    <row r="40" spans="2:12">
      <c r="B40" s="88"/>
      <c r="C40" s="88"/>
      <c r="D40" s="87" t="str">
        <f>"RHT"&amp;"MB"&amp;RIGHT(Commodities!C19,3)&amp;"XE1"</f>
        <v>RHTMBLCHXE1</v>
      </c>
      <c r="E40" s="195" t="s">
        <v>280</v>
      </c>
      <c r="F40" s="87" t="s">
        <v>44</v>
      </c>
      <c r="G40" s="87" t="s">
        <v>83</v>
      </c>
      <c r="H40" s="99" t="s">
        <v>169</v>
      </c>
      <c r="I40" s="83"/>
      <c r="J40" s="83"/>
      <c r="K40" s="83"/>
    </row>
    <row r="41" spans="2:12">
      <c r="B41" s="88"/>
      <c r="C41" s="88"/>
      <c r="D41" s="87" t="str">
        <f>"RHT"&amp;"MB"&amp;RIGHT(Commodities!C19,3)&amp;"XE2"</f>
        <v>RHTMBLCHXE2</v>
      </c>
      <c r="E41" s="110" t="s">
        <v>236</v>
      </c>
      <c r="F41" s="87" t="s">
        <v>44</v>
      </c>
      <c r="G41" s="87" t="s">
        <v>83</v>
      </c>
      <c r="H41" s="99" t="s">
        <v>169</v>
      </c>
      <c r="I41" s="83"/>
      <c r="J41" s="83"/>
      <c r="K41" s="83"/>
    </row>
    <row r="42" spans="2:12">
      <c r="B42" s="88"/>
      <c r="C42" s="88"/>
      <c r="D42" s="87" t="str">
        <f>"RHT"&amp;"MB"&amp;RIGHT(Commodities!C20,3)&amp;"BE1"</f>
        <v>RHTMBHCEBE1</v>
      </c>
      <c r="E42" s="109" t="s">
        <v>103</v>
      </c>
      <c r="F42" s="87" t="s">
        <v>44</v>
      </c>
      <c r="G42" s="87" t="s">
        <v>83</v>
      </c>
      <c r="H42" s="99" t="s">
        <v>169</v>
      </c>
      <c r="I42" s="102"/>
      <c r="J42" s="83"/>
      <c r="K42" s="83"/>
    </row>
    <row r="43" spans="2:12">
      <c r="B43" s="91"/>
      <c r="C43" s="91"/>
      <c r="D43" s="90" t="str">
        <f>"RHT"&amp;"MB"&amp;RIGHT(Commodities!C21,3)&amp;"BE1"</f>
        <v>RHTMBHDEBE1</v>
      </c>
      <c r="E43" s="111" t="s">
        <v>104</v>
      </c>
      <c r="F43" s="90" t="s">
        <v>44</v>
      </c>
      <c r="G43" s="90" t="s">
        <v>83</v>
      </c>
      <c r="H43" s="95" t="s">
        <v>169</v>
      </c>
      <c r="I43" s="106"/>
      <c r="J43" s="89"/>
      <c r="K43" s="97"/>
    </row>
    <row r="44" spans="2:12">
      <c r="B44" s="88"/>
      <c r="C44" s="88"/>
      <c r="D44" s="88" t="str">
        <f>"FT-RES"&amp;RIGHT(Commodities!C12,3)</f>
        <v>FT-RESNGA</v>
      </c>
      <c r="E44" s="112" t="str">
        <f>"Fuel Technology "&amp;Commodities!D12</f>
        <v>Fuel Technology Nat. Gas RES</v>
      </c>
      <c r="F44" s="87" t="s">
        <v>44</v>
      </c>
      <c r="G44" s="87" t="s">
        <v>87</v>
      </c>
      <c r="H44" s="83"/>
      <c r="I44" s="83"/>
      <c r="J44" s="83"/>
      <c r="K44" s="83"/>
      <c r="L44" s="132"/>
    </row>
    <row r="45" spans="2:12">
      <c r="B45" s="88"/>
      <c r="C45" s="88"/>
      <c r="D45" s="88" t="str">
        <f>"FT-RES"&amp;RIGHT(Commodities!C13,3)</f>
        <v>FT-RESDSL</v>
      </c>
      <c r="E45" s="112" t="str">
        <f>"Fuel Technology "&amp;Commodities!D13</f>
        <v>Fuel Technology Diesel RES</v>
      </c>
      <c r="F45" s="87" t="s">
        <v>44</v>
      </c>
      <c r="G45" s="87" t="s">
        <v>87</v>
      </c>
      <c r="H45" s="83"/>
      <c r="I45" s="83"/>
      <c r="J45" s="83"/>
      <c r="K45" s="83"/>
    </row>
    <row r="46" spans="2:12">
      <c r="B46" s="88"/>
      <c r="C46" s="88"/>
      <c r="D46" s="88" t="str">
        <f>"FT-RES"&amp;RIGHT(Commodities!C14,3)</f>
        <v>FT-RESWPE</v>
      </c>
      <c r="E46" s="112" t="str">
        <f>"Fuel Technology "&amp;Commodities!D14</f>
        <v>Fuel Technology Wood Pellets RES</v>
      </c>
      <c r="F46" s="87" t="s">
        <v>44</v>
      </c>
      <c r="G46" s="87" t="s">
        <v>87</v>
      </c>
      <c r="H46" s="83"/>
      <c r="I46" s="83"/>
      <c r="J46" s="83"/>
      <c r="K46" s="83"/>
    </row>
    <row r="47" spans="2:12">
      <c r="B47" s="88"/>
      <c r="C47" s="88"/>
      <c r="D47" s="88" t="str">
        <f>"FT-RES"&amp;RIGHT(Commodities!C15,3)</f>
        <v>FT-RESFIW</v>
      </c>
      <c r="E47" s="112" t="str">
        <f>"Fuel Technology "&amp;Commodities!D15</f>
        <v>Fuel Technology Firewoods RES</v>
      </c>
      <c r="F47" s="87" t="s">
        <v>44</v>
      </c>
      <c r="G47" s="87" t="s">
        <v>87</v>
      </c>
      <c r="H47" s="83"/>
      <c r="I47" s="83"/>
      <c r="J47" s="83"/>
      <c r="K47" s="83"/>
    </row>
    <row r="48" spans="2:12">
      <c r="B48" s="88"/>
      <c r="C48" s="88"/>
      <c r="D48" s="88" t="str">
        <f>"FT-RES"&amp;RIGHT(Commodities!C16,3)</f>
        <v>FT-RESSTR</v>
      </c>
      <c r="E48" s="112" t="str">
        <f>"Fuel Technology "&amp;Commodities!D16</f>
        <v>Fuel Technology Straw RES</v>
      </c>
      <c r="F48" s="87" t="s">
        <v>44</v>
      </c>
      <c r="G48" s="87" t="s">
        <v>87</v>
      </c>
      <c r="H48" s="83"/>
      <c r="I48" s="83"/>
      <c r="J48" s="83"/>
      <c r="K48" s="83"/>
    </row>
    <row r="49" spans="2:11">
      <c r="B49" s="83"/>
      <c r="C49" s="83"/>
      <c r="D49" s="83" t="str">
        <f>"FT-RES"&amp;RIGHT(Commodities!C17,2)</f>
        <v>FT-RESH2</v>
      </c>
      <c r="E49" s="83" t="str">
        <f>"Fuel Technology "&amp;Commodities!D17</f>
        <v>Fuel Technology Hydrogen RES</v>
      </c>
      <c r="F49" s="210" t="s">
        <v>44</v>
      </c>
      <c r="G49" s="210" t="s">
        <v>87</v>
      </c>
      <c r="H49" s="83"/>
      <c r="I49" s="83"/>
      <c r="J49" s="83"/>
      <c r="K49" s="83"/>
    </row>
    <row r="50" spans="2:11">
      <c r="B50" s="88"/>
      <c r="C50" s="88"/>
      <c r="D50" s="88" t="str">
        <f>"FT-RES"&amp;RIGHT(Commodities!C18,3)</f>
        <v>FT-RESSOL</v>
      </c>
      <c r="E50" s="112" t="str">
        <f>"Fuel Technology "&amp;Commodities!D18</f>
        <v>Fuel Technology Solar RES</v>
      </c>
      <c r="F50" s="87" t="s">
        <v>44</v>
      </c>
      <c r="G50" s="87" t="s">
        <v>87</v>
      </c>
      <c r="H50" s="83"/>
      <c r="I50" s="83"/>
      <c r="J50" s="83"/>
      <c r="K50" s="83"/>
    </row>
    <row r="51" spans="2:11">
      <c r="B51" s="88"/>
      <c r="C51" s="88"/>
      <c r="D51" s="88" t="str">
        <f>"FT-RES"&amp;RIGHT(Commodities!C19,4)</f>
        <v>FT-RESELCH</v>
      </c>
      <c r="E51" s="112" t="str">
        <f>"Fuel Technology for "&amp;Commodities!D19</f>
        <v>Fuel Technology for Heating Electricity RES</v>
      </c>
      <c r="F51" s="87" t="s">
        <v>44</v>
      </c>
      <c r="G51" s="87" t="s">
        <v>87</v>
      </c>
      <c r="H51" s="99" t="s">
        <v>169</v>
      </c>
      <c r="I51" s="83"/>
      <c r="J51" s="83"/>
      <c r="K51" s="83"/>
    </row>
    <row r="52" spans="2:11">
      <c r="B52" s="88"/>
      <c r="C52" s="88"/>
      <c r="D52" s="88" t="str">
        <f>"FT-RES"&amp;RIGHT(Commodities!C20,3)</f>
        <v>FT-RESHCE</v>
      </c>
      <c r="E52" s="112" t="str">
        <f>"Fuel Technology "&amp;Commodities!D20</f>
        <v>Fuel Technology Centralised District Heat RES</v>
      </c>
      <c r="F52" s="87" t="s">
        <v>44</v>
      </c>
      <c r="G52" s="87" t="s">
        <v>87</v>
      </c>
      <c r="H52" s="99" t="s">
        <v>169</v>
      </c>
      <c r="I52" s="83"/>
      <c r="J52" s="83"/>
      <c r="K52" s="83"/>
    </row>
    <row r="53" spans="2:11">
      <c r="B53" s="91"/>
      <c r="C53" s="91"/>
      <c r="D53" s="91" t="str">
        <f>"FT-RES"&amp;RIGHT(Commodities!C21,3)</f>
        <v>FT-RESHDE</v>
      </c>
      <c r="E53" s="113" t="str">
        <f>"Fuel Technology "&amp;Commodities!D21</f>
        <v>Fuel Technology Decentralised District Heat RES</v>
      </c>
      <c r="F53" s="90" t="s">
        <v>44</v>
      </c>
      <c r="G53" s="90" t="s">
        <v>87</v>
      </c>
      <c r="H53" s="95" t="s">
        <v>169</v>
      </c>
      <c r="I53" s="89"/>
      <c r="J53" s="89"/>
      <c r="K53" s="97"/>
    </row>
    <row r="54" spans="2:11">
      <c r="B54" s="83"/>
      <c r="C54" s="83"/>
      <c r="D54" s="98" t="str">
        <f>"FT-RES"&amp;RIGHT(Commodities!C22,3)</f>
        <v>FT-RESSNG</v>
      </c>
      <c r="E54" s="100" t="str">
        <f>"Fuel Technology "&amp;Commodities!D22</f>
        <v>Fuel Technology Bio Synt. Nat. Gas RES</v>
      </c>
      <c r="F54" s="87" t="s">
        <v>44</v>
      </c>
      <c r="G54" s="87" t="s">
        <v>87</v>
      </c>
      <c r="H54" s="83"/>
      <c r="I54" s="83"/>
      <c r="J54" s="83"/>
      <c r="K54" s="83"/>
    </row>
    <row r="55" spans="2:11">
      <c r="B55" s="83"/>
      <c r="C55" s="83"/>
      <c r="D55" s="98" t="str">
        <f>"FT-RES"&amp;RIGHT(Commodities!C23,3)</f>
        <v>FT-RESDSB</v>
      </c>
      <c r="E55" s="100" t="str">
        <f>"Fuel Technology "&amp;Commodities!D23</f>
        <v>Fuel Technology BioDiesel RES</v>
      </c>
      <c r="F55" s="87" t="s">
        <v>44</v>
      </c>
      <c r="G55" s="87" t="s">
        <v>87</v>
      </c>
      <c r="H55" s="83"/>
      <c r="I55" s="97"/>
      <c r="J55" s="97"/>
      <c r="K55" s="97"/>
    </row>
    <row r="56" spans="2:11">
      <c r="B56" s="1"/>
      <c r="C56" s="1"/>
      <c r="D56" s="11"/>
      <c r="F56" s="87"/>
      <c r="G56" s="87"/>
      <c r="H56" s="99"/>
      <c r="I56" s="1"/>
      <c r="J56" s="1"/>
      <c r="K56" s="1"/>
    </row>
    <row r="57" spans="2:11">
      <c r="B57" s="88"/>
      <c r="C57" s="88"/>
      <c r="D57" s="11"/>
      <c r="F57" s="87"/>
      <c r="G57" s="87"/>
      <c r="H57" s="99"/>
    </row>
    <row r="58" spans="2:11">
      <c r="B58" s="97"/>
      <c r="C58" s="97"/>
      <c r="H58" s="94"/>
    </row>
  </sheetData>
  <phoneticPr fontId="38" type="noConversion"/>
  <pageMargins left="0.75" right="0.75" top="1" bottom="1" header="0.5" footer="0.5"/>
  <pageSetup paperSize="9" orientation="portrait" horizontalDpi="300" verticalDpi="300"/>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theme="9" tint="0.59999389629810485"/>
  </sheetPr>
  <dimension ref="B1:AU1630"/>
  <sheetViews>
    <sheetView tabSelected="1" zoomScale="70" zoomScaleNormal="70" workbookViewId="0">
      <pane xSplit="2" ySplit="5" topLeftCell="F6" activePane="bottomRight" state="frozen"/>
      <selection pane="topRight" activeCell="C1" sqref="C1"/>
      <selection pane="bottomLeft" activeCell="A6" sqref="A6"/>
      <selection pane="bottomRight" activeCell="I14" sqref="I14"/>
    </sheetView>
  </sheetViews>
  <sheetFormatPr defaultColWidth="9.109375" defaultRowHeight="13.8"/>
  <cols>
    <col min="1" max="1" width="5.33203125" style="1142" customWidth="1"/>
    <col min="2" max="2" width="20.5546875" style="1142" customWidth="1"/>
    <col min="3" max="3" width="67.44140625" style="1142" customWidth="1"/>
    <col min="4" max="4" width="21.44140625" style="1145" customWidth="1"/>
    <col min="5" max="5" width="20.109375" style="1145" customWidth="1"/>
    <col min="6" max="6" width="30.33203125" style="1145" customWidth="1"/>
    <col min="7" max="7" width="21" style="1145" customWidth="1"/>
    <col min="8" max="8" width="29.6640625" style="1147" customWidth="1"/>
    <col min="9" max="9" width="16.88671875" style="1147" bestFit="1" customWidth="1"/>
    <col min="10" max="10" width="16.6640625" style="1147" customWidth="1"/>
    <col min="11" max="11" width="14" style="1142" customWidth="1"/>
    <col min="12" max="12" width="17.6640625" style="1142" customWidth="1"/>
    <col min="13" max="16" width="13.6640625" style="1142" customWidth="1"/>
    <col min="17" max="17" width="14.6640625" style="1142" customWidth="1"/>
    <col min="18" max="18" width="17.5546875" style="1142" customWidth="1"/>
    <col min="19" max="19" width="16" style="1142" customWidth="1"/>
    <col min="20" max="20" width="12.6640625" style="1142" customWidth="1"/>
    <col min="21" max="21" width="16.6640625" style="1148" customWidth="1"/>
    <col min="22" max="22" width="12.88671875" style="1142" customWidth="1"/>
    <col min="23" max="23" width="14.33203125" style="1142" customWidth="1"/>
    <col min="24" max="24" width="11.6640625" style="1142" bestFit="1" customWidth="1"/>
    <col min="25" max="26" width="15.6640625" style="1142" customWidth="1"/>
    <col min="27" max="27" width="20.33203125" style="1142" customWidth="1"/>
    <col min="28" max="28" width="24.109375" style="1142" customWidth="1"/>
    <col min="29" max="29" width="14.109375" style="1142" bestFit="1" customWidth="1"/>
    <col min="30" max="30" width="11.6640625" style="1142" customWidth="1"/>
    <col min="31" max="31" width="23.5546875" style="1142" customWidth="1"/>
    <col min="32" max="32" width="20.109375" style="1142" customWidth="1"/>
    <col min="33" max="33" width="33" style="1142" customWidth="1"/>
    <col min="34" max="34" width="8.6640625" style="1142" customWidth="1"/>
    <col min="35" max="35" width="20.109375" style="1142" customWidth="1"/>
    <col min="36" max="36" width="12.88671875" style="1142" bestFit="1" customWidth="1"/>
    <col min="37" max="37" width="9.109375" style="1142"/>
    <col min="38" max="38" width="16.5546875" style="1142" bestFit="1" customWidth="1"/>
    <col min="39" max="40" width="15.5546875" style="1142" bestFit="1" customWidth="1"/>
    <col min="41" max="41" width="13" style="1142" bestFit="1" customWidth="1"/>
    <col min="42" max="42" width="9.109375" style="1142"/>
    <col min="43" max="43" width="24" style="1142" bestFit="1" customWidth="1"/>
    <col min="44" max="44" width="16.33203125" style="1142" bestFit="1" customWidth="1"/>
    <col min="45" max="45" width="17.6640625" style="1142" bestFit="1" customWidth="1"/>
    <col min="46" max="46" width="13" style="1142" bestFit="1" customWidth="1"/>
    <col min="47" max="16384" width="9.109375" style="1142"/>
  </cols>
  <sheetData>
    <row r="1" spans="2:47" ht="14.4">
      <c r="B1" s="1141"/>
      <c r="D1" s="1143"/>
      <c r="E1" s="1144" t="s">
        <v>928</v>
      </c>
      <c r="F1" s="1297">
        <v>1.02</v>
      </c>
      <c r="H1" s="1146"/>
      <c r="M1" s="1148"/>
      <c r="N1" s="1424">
        <f>SUM(O6:O13)</f>
        <v>100.18425861921639</v>
      </c>
      <c r="O1" s="1148"/>
      <c r="P1" s="1148"/>
      <c r="Q1" s="1148"/>
      <c r="R1" s="1148"/>
      <c r="S1" s="1148"/>
      <c r="U1" s="1142"/>
    </row>
    <row r="2" spans="2:47" ht="14.4">
      <c r="B2" s="1141"/>
      <c r="D2" s="1143"/>
      <c r="E2" s="1144"/>
      <c r="F2" s="1297"/>
      <c r="H2" s="1146"/>
      <c r="M2" s="1148"/>
      <c r="N2" s="1424"/>
      <c r="O2" s="1148"/>
      <c r="P2" s="1148"/>
      <c r="Q2" s="1148"/>
      <c r="R2" s="1148"/>
      <c r="S2" s="1148"/>
      <c r="U2" s="1142"/>
    </row>
    <row r="3" spans="2:47">
      <c r="F3" s="1149" t="s">
        <v>8</v>
      </c>
      <c r="G3" s="1149"/>
      <c r="I3" s="1150"/>
      <c r="J3" s="1142"/>
      <c r="L3" s="1148"/>
      <c r="M3" s="1148"/>
      <c r="N3" s="1200">
        <f>SUM(O14:O15)</f>
        <v>2.3186103923867138</v>
      </c>
      <c r="O3" s="1148"/>
      <c r="P3" s="1148"/>
      <c r="Q3" s="1148"/>
      <c r="R3" s="1449" t="s">
        <v>1016</v>
      </c>
      <c r="S3" s="1450"/>
      <c r="T3" s="1451" t="s">
        <v>1017</v>
      </c>
      <c r="U3" s="1449"/>
      <c r="Z3" s="1151"/>
      <c r="AA3" s="1152"/>
      <c r="AB3" s="1152"/>
      <c r="AC3" s="1152"/>
      <c r="AD3" s="1152"/>
      <c r="AE3" s="1152"/>
    </row>
    <row r="4" spans="2:47">
      <c r="B4" s="1153" t="s">
        <v>2</v>
      </c>
      <c r="C4" s="1153" t="s">
        <v>26</v>
      </c>
      <c r="D4" s="1153" t="s">
        <v>14</v>
      </c>
      <c r="E4" s="1153" t="s">
        <v>15</v>
      </c>
      <c r="F4" s="1430" t="s">
        <v>1310</v>
      </c>
      <c r="G4" s="1154" t="s">
        <v>1012</v>
      </c>
      <c r="H4" s="1154" t="s">
        <v>1013</v>
      </c>
      <c r="I4" s="1155" t="s">
        <v>1014</v>
      </c>
      <c r="J4" s="1155" t="s">
        <v>1015</v>
      </c>
      <c r="K4" s="1153" t="s">
        <v>0</v>
      </c>
      <c r="L4" s="1153" t="s">
        <v>1007</v>
      </c>
      <c r="M4" s="1154" t="s">
        <v>162</v>
      </c>
      <c r="S4" s="1298" t="s">
        <v>107</v>
      </c>
      <c r="T4" s="1298" t="s">
        <v>120</v>
      </c>
      <c r="U4" s="1299" t="s">
        <v>107</v>
      </c>
      <c r="V4" s="1298" t="s">
        <v>120</v>
      </c>
      <c r="AA4" s="1156"/>
      <c r="AB4" s="1152"/>
      <c r="AC4" s="1152"/>
      <c r="AD4" s="1152"/>
      <c r="AE4" s="1152"/>
      <c r="AF4" s="1152"/>
    </row>
    <row r="5" spans="2:47" ht="14.4" thickBot="1">
      <c r="B5" s="1157" t="s">
        <v>27</v>
      </c>
      <c r="C5" s="1157"/>
      <c r="D5" s="1157"/>
      <c r="E5" s="1157"/>
      <c r="F5" s="1427"/>
      <c r="G5" s="1427" t="s">
        <v>83</v>
      </c>
      <c r="H5" s="1427" t="s">
        <v>83</v>
      </c>
      <c r="I5" s="1158" t="s">
        <v>105</v>
      </c>
      <c r="J5" s="1158" t="s">
        <v>105</v>
      </c>
      <c r="K5" s="1157"/>
      <c r="L5" s="1157"/>
      <c r="M5" s="1157" t="s">
        <v>163</v>
      </c>
      <c r="S5" s="1300" t="s">
        <v>106</v>
      </c>
      <c r="T5" s="1300" t="s">
        <v>50</v>
      </c>
      <c r="U5" s="1301" t="s">
        <v>106</v>
      </c>
      <c r="V5" s="1300" t="s">
        <v>274</v>
      </c>
      <c r="AA5" s="1156"/>
      <c r="AB5" s="1152"/>
      <c r="AC5" s="1152"/>
      <c r="AD5" s="1152"/>
      <c r="AE5" s="1152"/>
      <c r="AF5" s="1152"/>
    </row>
    <row r="6" spans="2:47" ht="15" customHeight="1">
      <c r="B6" s="1142" t="str">
        <f>Processes!D24</f>
        <v>RHTDBNGABE1</v>
      </c>
      <c r="C6" s="1142" t="str">
        <f>Processes!E24</f>
        <v>Residential heating technology detached building - natural gas - existing 1</v>
      </c>
      <c r="D6" s="1145" t="str">
        <f>Commodities!$C$12&amp;","&amp;Commodities!$C$22</f>
        <v>RESNGA,RESSNG</v>
      </c>
      <c r="E6" s="1145" t="str">
        <f>Commodities!$C$28</f>
        <v>RESHBDB</v>
      </c>
      <c r="F6" s="1145" t="s">
        <v>1311</v>
      </c>
      <c r="G6" s="1166">
        <f>S6/(K6*L6)*$F$1</f>
        <v>9.4584201791001519</v>
      </c>
      <c r="H6" s="1166">
        <f>U6/(K6*L6)*$F$1</f>
        <v>3.9654266049175653</v>
      </c>
      <c r="I6" s="1272">
        <v>0.72</v>
      </c>
      <c r="J6" s="1273">
        <v>0.72</v>
      </c>
      <c r="K6" s="1159">
        <f>31.536/1000</f>
        <v>3.1536000000000002E-2</v>
      </c>
      <c r="L6" s="1160">
        <v>0.25</v>
      </c>
      <c r="M6" s="1161">
        <v>22</v>
      </c>
      <c r="O6" s="1200">
        <f>G6*$K$6*$L$6</f>
        <v>7.4570184692025601E-2</v>
      </c>
      <c r="P6" s="1200">
        <f>H6*$K$6*$L$6</f>
        <v>3.1263423353170089E-2</v>
      </c>
      <c r="R6" s="1162" t="s">
        <v>1064</v>
      </c>
      <c r="S6" s="1302">
        <f>T6*I6</f>
        <v>7.310802420786823E-2</v>
      </c>
      <c r="T6" s="1308">
        <f>J98*R28</f>
        <v>0.10153892251092811</v>
      </c>
      <c r="U6" s="1302">
        <f>V6*J6</f>
        <v>3.0650415052127535E-2</v>
      </c>
      <c r="V6" s="1303">
        <f>J99*R28</f>
        <v>4.257002090573269E-2</v>
      </c>
      <c r="AA6" s="1163"/>
      <c r="AB6" s="1152"/>
      <c r="AC6" s="1164"/>
      <c r="AD6" s="1165"/>
      <c r="AE6" s="1165"/>
      <c r="AF6" s="1152"/>
    </row>
    <row r="7" spans="2:47" ht="15" customHeight="1">
      <c r="B7" s="1142" t="str">
        <f>Processes!D25</f>
        <v>RHTDBDSLBE1</v>
      </c>
      <c r="C7" s="1142" t="str">
        <f>Processes!E25</f>
        <v>Residential heating technology detached building - oil - existing 1</v>
      </c>
      <c r="D7" s="1145" t="str">
        <f>Commodities!$C$13&amp;","&amp;Commodities!$C$23</f>
        <v>RESDSL,RESDSB</v>
      </c>
      <c r="E7" s="1145" t="str">
        <f>Commodities!$C$28</f>
        <v>RESHBDB</v>
      </c>
      <c r="F7" s="1145" t="s">
        <v>1311</v>
      </c>
      <c r="G7" s="1166">
        <f>S7/(K7*L7)*$F$1</f>
        <v>464.93332742090632</v>
      </c>
      <c r="H7" s="1166">
        <f t="shared" ref="H7:H25" si="0">U7/(K7*L7)*$F$1</f>
        <v>194.92250832137509</v>
      </c>
      <c r="I7" s="1274">
        <v>0.71</v>
      </c>
      <c r="J7" s="1275">
        <v>0.71</v>
      </c>
      <c r="K7" s="1159">
        <f t="shared" ref="K7:K25" si="1">31.536/1000</f>
        <v>3.1536000000000002E-2</v>
      </c>
      <c r="L7" s="1160">
        <v>0.25</v>
      </c>
      <c r="M7" s="1161">
        <v>20</v>
      </c>
      <c r="O7" s="1200">
        <f>G7*$K$6*$L$6</f>
        <v>3.6655343533864255</v>
      </c>
      <c r="P7" s="1200">
        <f t="shared" ref="P6:P25" si="2">H7*$K$6*$L$6</f>
        <v>1.5367690556057212</v>
      </c>
      <c r="R7" s="1162" t="s">
        <v>893</v>
      </c>
      <c r="S7" s="1167">
        <f t="shared" ref="S7:S25" si="3">T7*I7</f>
        <v>3.5936611307710056</v>
      </c>
      <c r="T7" s="1309">
        <f>SUM(F98:H98)*R28</f>
        <v>5.0614945503816982</v>
      </c>
      <c r="U7" s="1167">
        <f t="shared" ref="U7:U25" si="4">V7*J7</f>
        <v>1.5066363290252169</v>
      </c>
      <c r="V7" s="1268">
        <f>SUM(F99:H99)*R28</f>
        <v>2.1220229986270662</v>
      </c>
      <c r="AA7" s="1163"/>
      <c r="AB7" s="1152"/>
      <c r="AC7" s="1164"/>
      <c r="AD7" s="1165"/>
      <c r="AE7" s="1165"/>
      <c r="AF7" s="1152"/>
      <c r="AU7" s="1168"/>
    </row>
    <row r="8" spans="2:47" ht="15" customHeight="1">
      <c r="B8" s="1142" t="str">
        <f>Processes!D26</f>
        <v>RHTDBWPEBE1</v>
      </c>
      <c r="C8" s="1142" t="str">
        <f>Processes!E26</f>
        <v>Residential heating technology detached building - wood pellets - existing 1</v>
      </c>
      <c r="D8" s="1145" t="str">
        <f>Commodities!$C$14</f>
        <v>RESWPE</v>
      </c>
      <c r="E8" s="1145" t="str">
        <f>Commodities!$C$28</f>
        <v>RESHBDB</v>
      </c>
      <c r="F8" s="1145" t="s">
        <v>1311</v>
      </c>
      <c r="G8" s="1166">
        <f>S8/(K8*L8)*$F$1</f>
        <v>0</v>
      </c>
      <c r="H8" s="1166">
        <f t="shared" si="0"/>
        <v>0</v>
      </c>
      <c r="I8" s="1274">
        <v>0.61</v>
      </c>
      <c r="J8" s="1275">
        <v>0.61</v>
      </c>
      <c r="K8" s="1159">
        <f t="shared" si="1"/>
        <v>3.1536000000000002E-2</v>
      </c>
      <c r="L8" s="1160">
        <v>0.25</v>
      </c>
      <c r="M8" s="1161">
        <v>20</v>
      </c>
      <c r="O8" s="1200">
        <f>G8*$K$6*$L$6</f>
        <v>0</v>
      </c>
      <c r="P8" s="1200">
        <f t="shared" si="2"/>
        <v>0</v>
      </c>
      <c r="R8" s="1171" t="s">
        <v>1274</v>
      </c>
      <c r="S8" s="1167">
        <f t="shared" si="3"/>
        <v>0</v>
      </c>
      <c r="T8" s="1309">
        <v>0</v>
      </c>
      <c r="U8" s="1167">
        <f t="shared" si="4"/>
        <v>0</v>
      </c>
      <c r="V8" s="1268">
        <v>0</v>
      </c>
      <c r="AA8" s="1163"/>
      <c r="AB8" s="1152"/>
      <c r="AC8" s="1169"/>
      <c r="AD8" s="1165"/>
      <c r="AE8" s="1165"/>
      <c r="AF8" s="1152"/>
      <c r="AU8" s="1170"/>
    </row>
    <row r="9" spans="2:47" ht="15" customHeight="1">
      <c r="B9" s="1142" t="str">
        <f>Processes!D27</f>
        <v>RHTDBFIWBE1</v>
      </c>
      <c r="C9" s="1142" t="str">
        <f>Processes!E27</f>
        <v>Residential heating technology detached building - Firewoods - existing 1</v>
      </c>
      <c r="D9" s="1145" t="str">
        <f>Commodities!$C$15</f>
        <v>RESFIW</v>
      </c>
      <c r="E9" s="1145" t="str">
        <f>Commodities!$C$28</f>
        <v>RESHBDB</v>
      </c>
      <c r="F9" s="1145" t="s">
        <v>1311</v>
      </c>
      <c r="G9" s="1166">
        <f>S9/(K9*L9)*$F$1</f>
        <v>1552.0296319562797</v>
      </c>
      <c r="H9" s="1166">
        <f t="shared" si="0"/>
        <v>650.68578870909971</v>
      </c>
      <c r="I9" s="1274">
        <v>0.65000022993955098</v>
      </c>
      <c r="J9" s="1275">
        <v>0.65000022993955098</v>
      </c>
      <c r="K9" s="1159">
        <f t="shared" si="1"/>
        <v>3.1536000000000002E-2</v>
      </c>
      <c r="L9" s="1160">
        <v>0.25</v>
      </c>
      <c r="M9" s="1161">
        <v>20</v>
      </c>
      <c r="O9" s="1200">
        <f>G9*$K$6*$L$6</f>
        <v>12.23620161834331</v>
      </c>
      <c r="P9" s="1200">
        <f t="shared" si="2"/>
        <v>5.1300067581825424</v>
      </c>
      <c r="R9" s="1171" t="s">
        <v>1273</v>
      </c>
      <c r="S9" s="1167">
        <f t="shared" si="3"/>
        <v>11.996276096415009</v>
      </c>
      <c r="T9" s="1310">
        <f>I98*R28</f>
        <v>18.45580285030152</v>
      </c>
      <c r="U9" s="1167">
        <f t="shared" si="4"/>
        <v>5.0294183903750413</v>
      </c>
      <c r="V9" s="1167">
        <f>I99*R28</f>
        <v>7.7375640172354547</v>
      </c>
      <c r="AA9" s="1163"/>
      <c r="AB9" s="1152"/>
      <c r="AC9" s="1169"/>
      <c r="AD9" s="1165"/>
      <c r="AE9" s="1165"/>
      <c r="AF9" s="1152"/>
      <c r="AU9" s="1168"/>
    </row>
    <row r="10" spans="2:47" ht="15" customHeight="1">
      <c r="B10" s="1148" t="str">
        <f>Processes!D28</f>
        <v>RHTDBSTRBE1</v>
      </c>
      <c r="C10" s="1148" t="str">
        <f>Processes!E28</f>
        <v>Residential heating technology detached building - straw - existing 1</v>
      </c>
      <c r="D10" s="1145" t="str">
        <f>Commodities!$C$16</f>
        <v>RESSTR</v>
      </c>
      <c r="E10" s="1145" t="str">
        <f>Commodities!$C$28</f>
        <v>RESHBDB</v>
      </c>
      <c r="F10" s="1145" t="s">
        <v>1311</v>
      </c>
      <c r="G10" s="1166">
        <f>S10/(K10*L10)*$F$1</f>
        <v>0</v>
      </c>
      <c r="H10" s="1166">
        <f t="shared" si="0"/>
        <v>0</v>
      </c>
      <c r="I10" s="1274">
        <v>0.61</v>
      </c>
      <c r="J10" s="1275">
        <v>0.61</v>
      </c>
      <c r="K10" s="1159">
        <f t="shared" si="1"/>
        <v>3.1536000000000002E-2</v>
      </c>
      <c r="L10" s="1160">
        <v>0.25</v>
      </c>
      <c r="M10" s="1161">
        <v>20</v>
      </c>
      <c r="O10" s="1200">
        <f>G10*$K$6*$L$6</f>
        <v>0</v>
      </c>
      <c r="P10" s="1200">
        <f t="shared" si="2"/>
        <v>0</v>
      </c>
      <c r="R10" s="1171" t="s">
        <v>1065</v>
      </c>
      <c r="S10" s="1167">
        <f t="shared" si="3"/>
        <v>0</v>
      </c>
      <c r="T10" s="1310">
        <v>0</v>
      </c>
      <c r="U10" s="1167">
        <f t="shared" si="4"/>
        <v>0</v>
      </c>
      <c r="V10" s="1167">
        <v>0</v>
      </c>
      <c r="AA10" s="1163"/>
      <c r="AB10" s="1152"/>
      <c r="AC10" s="1169"/>
      <c r="AD10" s="1165"/>
      <c r="AE10" s="1165"/>
      <c r="AF10" s="1172"/>
      <c r="AU10" s="1168"/>
    </row>
    <row r="11" spans="2:47" ht="15" customHeight="1">
      <c r="B11" s="1148" t="str">
        <f>Processes!D29</f>
        <v>RHTDBSOLXE1</v>
      </c>
      <c r="C11" s="1148" t="str">
        <f>Processes!E29</f>
        <v>Residential heating technology detached building - solar - existing 1</v>
      </c>
      <c r="D11" s="1145" t="str">
        <f>Commodities!$C$18</f>
        <v>RESSOL</v>
      </c>
      <c r="E11" s="1145" t="str">
        <f>Commodities!$C$28</f>
        <v>RESHBDB</v>
      </c>
      <c r="F11" s="1145" t="s">
        <v>1311</v>
      </c>
      <c r="G11" s="1166">
        <f>S11/(K11*L11)*$F$1</f>
        <v>0</v>
      </c>
      <c r="H11" s="1166">
        <f t="shared" si="0"/>
        <v>0</v>
      </c>
      <c r="I11" s="1293">
        <v>1</v>
      </c>
      <c r="J11" s="1294">
        <v>1</v>
      </c>
      <c r="K11" s="1159">
        <f t="shared" si="1"/>
        <v>3.1536000000000002E-2</v>
      </c>
      <c r="L11" s="1160">
        <v>0.25</v>
      </c>
      <c r="M11" s="1161">
        <v>20</v>
      </c>
      <c r="O11" s="1200">
        <f>G11*$K$6*$L$6</f>
        <v>0</v>
      </c>
      <c r="P11" s="1200">
        <f t="shared" si="2"/>
        <v>0</v>
      </c>
      <c r="R11" s="1171" t="s">
        <v>1066</v>
      </c>
      <c r="S11" s="1167">
        <f t="shared" si="3"/>
        <v>0</v>
      </c>
      <c r="T11" s="1311">
        <v>0</v>
      </c>
      <c r="U11" s="1167">
        <f t="shared" si="4"/>
        <v>0</v>
      </c>
      <c r="V11" s="1173">
        <v>0</v>
      </c>
      <c r="AA11" s="1163"/>
      <c r="AB11" s="1174"/>
      <c r="AC11" s="1174"/>
      <c r="AD11" s="1165"/>
      <c r="AE11" s="1165"/>
      <c r="AF11" s="1174"/>
      <c r="AU11" s="1168"/>
    </row>
    <row r="12" spans="2:47" ht="15" customHeight="1">
      <c r="B12" s="1148" t="str">
        <f>Processes!D30</f>
        <v>RHTDBLCHXE1</v>
      </c>
      <c r="C12" s="1148" t="str">
        <f>Processes!E30</f>
        <v>Residential heating technology detached building - direct electricity - existing 1</v>
      </c>
      <c r="D12" s="1145" t="str">
        <f>Commodities!$C$19</f>
        <v>RESELCH</v>
      </c>
      <c r="E12" s="1145" t="str">
        <f>Commodities!$C$28</f>
        <v>RESHBDB</v>
      </c>
      <c r="F12" s="1145" t="s">
        <v>1311</v>
      </c>
      <c r="G12" s="1166">
        <f>S12/(K12*L12)*$F$1</f>
        <v>5861.1022260883501</v>
      </c>
      <c r="H12" s="1166">
        <f t="shared" si="0"/>
        <v>2457.2571593751572</v>
      </c>
      <c r="I12" s="1293">
        <v>1</v>
      </c>
      <c r="J12" s="1294">
        <v>1</v>
      </c>
      <c r="K12" s="1159">
        <f t="shared" si="1"/>
        <v>3.1536000000000002E-2</v>
      </c>
      <c r="L12" s="1160">
        <v>0.25</v>
      </c>
      <c r="M12" s="1161">
        <v>30</v>
      </c>
      <c r="O12" s="1200">
        <f>G12*$K$6*$L$6</f>
        <v>46.208929950480552</v>
      </c>
      <c r="P12" s="1200">
        <f>H12*$K$6*$L$6</f>
        <v>19.37301544451374</v>
      </c>
      <c r="R12" s="1171" t="s">
        <v>1067</v>
      </c>
      <c r="S12" s="1167">
        <f t="shared" si="3"/>
        <v>45.302872500471132</v>
      </c>
      <c r="T12" s="1309">
        <f>D98*(1-E109)*R28</f>
        <v>45.302872500471132</v>
      </c>
      <c r="U12" s="1167">
        <f t="shared" si="4"/>
        <v>18.993152396582097</v>
      </c>
      <c r="V12" s="1268">
        <f>D99*(1-E109)*R28</f>
        <v>18.993152396582097</v>
      </c>
      <c r="AA12" s="1163"/>
      <c r="AB12" s="1152"/>
      <c r="AC12" s="1169"/>
      <c r="AD12" s="1165"/>
      <c r="AE12" s="1165"/>
      <c r="AF12" s="1152"/>
      <c r="AU12" s="1168"/>
    </row>
    <row r="13" spans="2:47" ht="15" customHeight="1">
      <c r="B13" s="1148" t="str">
        <f>Processes!D31</f>
        <v>RHTDBLCHXE2</v>
      </c>
      <c r="C13" s="1148" t="str">
        <f>Processes!E31</f>
        <v>Residential heating technology detached building - heat pump - existing 2</v>
      </c>
      <c r="D13" s="1145" t="str">
        <f>Commodities!$C$19</f>
        <v>RESELCH</v>
      </c>
      <c r="E13" s="1145" t="str">
        <f>Commodities!$C$28</f>
        <v>RESHBDB</v>
      </c>
      <c r="F13" s="1145" t="s">
        <v>1311</v>
      </c>
      <c r="G13" s="1166">
        <f>S13/(K13*L13)*$F$1</f>
        <v>4819.7643978074684</v>
      </c>
      <c r="H13" s="1166">
        <f t="shared" si="0"/>
        <v>2020.6780424845247</v>
      </c>
      <c r="I13" s="1274">
        <v>2.3149999999999999</v>
      </c>
      <c r="J13" s="1275">
        <v>2.3149999999999999</v>
      </c>
      <c r="K13" s="1159">
        <f t="shared" si="1"/>
        <v>3.1536000000000002E-2</v>
      </c>
      <c r="L13" s="1160">
        <v>0.25</v>
      </c>
      <c r="M13" s="1161">
        <v>30</v>
      </c>
      <c r="O13" s="1200">
        <f>G13*$K$6*$L$6</f>
        <v>37.999022512314085</v>
      </c>
      <c r="P13" s="1200">
        <f>H13*$K$6*$L$6</f>
        <v>15.931025686947994</v>
      </c>
      <c r="R13" s="1171" t="s">
        <v>1068</v>
      </c>
      <c r="S13" s="1167">
        <f>T13*I13</f>
        <v>37.253943639523612</v>
      </c>
      <c r="T13" s="1309">
        <f>D98*(E109)*R28</f>
        <v>16.092416258973483</v>
      </c>
      <c r="U13" s="1167">
        <f t="shared" si="4"/>
        <v>15.618652634262737</v>
      </c>
      <c r="V13" s="1268">
        <f>D99*(E109)*R28</f>
        <v>6.7467182005454589</v>
      </c>
      <c r="AA13" s="1163"/>
      <c r="AB13" s="1152"/>
      <c r="AC13" s="1169"/>
      <c r="AD13" s="1169"/>
      <c r="AE13" s="1152"/>
      <c r="AF13" s="1152"/>
      <c r="AU13" s="1170"/>
    </row>
    <row r="14" spans="2:47" ht="14.4">
      <c r="B14" s="1148" t="str">
        <f>Processes!D32</f>
        <v>RHTDBHCEBE1</v>
      </c>
      <c r="C14" s="1148" t="str">
        <f>Processes!E32</f>
        <v>Residential heating technology detached building - heat centralised- existing 1</v>
      </c>
      <c r="D14" s="1145" t="str">
        <f>Commodities!$C$20</f>
        <v>RESHCE</v>
      </c>
      <c r="E14" s="1145" t="str">
        <f>Commodities!$C$24</f>
        <v>RESHXCD</v>
      </c>
      <c r="F14" s="1145" t="s">
        <v>1311</v>
      </c>
      <c r="G14" s="1166">
        <f>S14/(K14*L14)*$F$1</f>
        <v>92.231237693668191</v>
      </c>
      <c r="H14" s="1166">
        <f t="shared" si="0"/>
        <v>14.505469909052065</v>
      </c>
      <c r="I14" s="1293">
        <v>0.95</v>
      </c>
      <c r="J14" s="1294">
        <v>0.95</v>
      </c>
      <c r="K14" s="1159">
        <f t="shared" si="1"/>
        <v>3.1536000000000002E-2</v>
      </c>
      <c r="L14" s="1160">
        <v>0.25</v>
      </c>
      <c r="M14" s="1161">
        <v>30</v>
      </c>
      <c r="O14" s="1200">
        <f>G14*$K$6*$L$6</f>
        <v>0.72715107797688006</v>
      </c>
      <c r="P14" s="1200">
        <f t="shared" si="2"/>
        <v>0.11436112476296649</v>
      </c>
      <c r="R14" s="1171" t="s">
        <v>1069</v>
      </c>
      <c r="S14" s="1167">
        <f t="shared" si="3"/>
        <v>0.71289321370282355</v>
      </c>
      <c r="T14" s="1309">
        <f>K98*R28</f>
        <v>0.75041390916086692</v>
      </c>
      <c r="U14" s="1167">
        <f t="shared" si="4"/>
        <v>0.1121187497676142</v>
      </c>
      <c r="V14" s="1268">
        <f>K99*R28</f>
        <v>0.11801973659748864</v>
      </c>
      <c r="AA14" s="1163"/>
      <c r="AB14" s="1152"/>
      <c r="AC14" s="1165"/>
      <c r="AD14" s="1169"/>
      <c r="AE14" s="1152"/>
      <c r="AF14" s="1152"/>
      <c r="AU14" s="1168"/>
    </row>
    <row r="15" spans="2:47" ht="15" customHeight="1">
      <c r="B15" s="1175" t="str">
        <f>Processes!D33</f>
        <v>RHTDBHDEBE1</v>
      </c>
      <c r="C15" s="1175" t="str">
        <f>Processes!E33</f>
        <v>Residential heating technology detached building - heat decentralised - existing 1</v>
      </c>
      <c r="D15" s="1176" t="str">
        <f>Commodities!$C$21</f>
        <v>RESHDE</v>
      </c>
      <c r="E15" s="1176" t="str">
        <f>Commodities!$C$26</f>
        <v>RESHXDD</v>
      </c>
      <c r="F15" s="1597" t="s">
        <v>1311</v>
      </c>
      <c r="G15" s="1598">
        <f>S15/(K15*L15)*$F$1</f>
        <v>201.85937524224173</v>
      </c>
      <c r="H15" s="1598">
        <f t="shared" si="0"/>
        <v>108.79152036099953</v>
      </c>
      <c r="I15" s="1295">
        <v>0.95</v>
      </c>
      <c r="J15" s="1296">
        <v>0.95</v>
      </c>
      <c r="K15" s="1177">
        <f t="shared" si="1"/>
        <v>3.1536000000000002E-2</v>
      </c>
      <c r="L15" s="1178">
        <v>0.25</v>
      </c>
      <c r="M15" s="1179">
        <v>30</v>
      </c>
      <c r="O15" s="1200">
        <f>G15*$K$6*$L$6</f>
        <v>1.5914593144098339</v>
      </c>
      <c r="P15" s="1200">
        <f>H15*$K$6*$L$6</f>
        <v>0.85771234652612027</v>
      </c>
      <c r="R15" s="1171" t="s">
        <v>1070</v>
      </c>
      <c r="S15" s="1304">
        <f t="shared" si="3"/>
        <v>1.5602542298135627</v>
      </c>
      <c r="T15" s="1312">
        <f>L98*R28</f>
        <v>1.6423728734879608</v>
      </c>
      <c r="U15" s="1304">
        <f t="shared" si="4"/>
        <v>0.84089445737854929</v>
      </c>
      <c r="V15" s="1305">
        <f>L99*R28</f>
        <v>0.88515206039847294</v>
      </c>
      <c r="AA15" s="1163"/>
      <c r="AB15" s="1152"/>
      <c r="AC15" s="1165"/>
      <c r="AD15" s="1169"/>
      <c r="AE15" s="1169"/>
      <c r="AF15" s="1152"/>
      <c r="AU15" s="1168"/>
    </row>
    <row r="16" spans="2:47" ht="15" customHeight="1">
      <c r="B16" s="1148" t="str">
        <f>Processes!D34</f>
        <v>RHTMBNGABE1</v>
      </c>
      <c r="C16" s="1148" t="str">
        <f>Processes!E34</f>
        <v>Residential heating technology multistorey building - natural gas - existing 1</v>
      </c>
      <c r="D16" s="1145" t="str">
        <f>Commodities!$C$12&amp;","&amp;Commodities!$C$22</f>
        <v>RESNGA,RESSNG</v>
      </c>
      <c r="E16" s="1180" t="str">
        <f>Commodities!$C$29</f>
        <v>RESHBMB</v>
      </c>
      <c r="F16" s="1145" t="s">
        <v>1311</v>
      </c>
      <c r="G16" s="1166">
        <f t="shared" ref="G16:G25" si="5">S16/(K16*L16)*$F$1</f>
        <v>1.8006414997239268</v>
      </c>
      <c r="H16" s="1166">
        <f t="shared" si="0"/>
        <v>0.3959743440673022</v>
      </c>
      <c r="I16" s="1274">
        <v>0.79</v>
      </c>
      <c r="J16" s="1275">
        <v>0.79</v>
      </c>
      <c r="K16" s="1159">
        <f t="shared" si="1"/>
        <v>3.1536000000000002E-2</v>
      </c>
      <c r="L16" s="1160">
        <v>0.25</v>
      </c>
      <c r="M16" s="1161">
        <v>25</v>
      </c>
      <c r="O16" s="1200">
        <f t="shared" ref="O16:O25" si="6">G16*$K$6*$L$6</f>
        <v>1.419625758382344E-2</v>
      </c>
      <c r="P16" s="1200">
        <f>H16*$K$6*$L$6</f>
        <v>3.1218617286266105E-3</v>
      </c>
      <c r="R16" s="1171" t="s">
        <v>1064</v>
      </c>
      <c r="S16" s="1306">
        <f t="shared" si="3"/>
        <v>1.3917899591983765E-2</v>
      </c>
      <c r="T16" s="1313">
        <f>J96*R28</f>
        <v>1.7617594420232613E-2</v>
      </c>
      <c r="U16" s="1306">
        <f t="shared" si="4"/>
        <v>3.0606487535555006E-3</v>
      </c>
      <c r="V16" s="1307">
        <f>J97*R28</f>
        <v>3.8742389285512666E-3</v>
      </c>
      <c r="AA16" s="1163"/>
      <c r="AB16" s="1152"/>
      <c r="AC16" s="1165"/>
      <c r="AD16" s="1181"/>
      <c r="AE16" s="1152"/>
      <c r="AF16" s="1152"/>
      <c r="AU16" s="1168"/>
    </row>
    <row r="17" spans="2:47" ht="15" customHeight="1">
      <c r="B17" s="1148" t="str">
        <f>Processes!D35</f>
        <v>RHTMBDSLBE1</v>
      </c>
      <c r="C17" s="1148" t="str">
        <f>Processes!E35</f>
        <v>Residential heating technology multistorey building - oil - existing 1</v>
      </c>
      <c r="D17" s="1145" t="str">
        <f>Commodities!$C$13&amp;","&amp;Commodities!$C$23</f>
        <v>RESDSL,RESDSB</v>
      </c>
      <c r="E17" s="1180" t="str">
        <f>Commodities!$C$29</f>
        <v>RESHBMB</v>
      </c>
      <c r="F17" s="1145" t="s">
        <v>1311</v>
      </c>
      <c r="G17" s="1166">
        <f t="shared" si="5"/>
        <v>89.758064323194873</v>
      </c>
      <c r="H17" s="1166">
        <f t="shared" si="0"/>
        <v>19.738460237963565</v>
      </c>
      <c r="I17" s="1274">
        <v>0.79</v>
      </c>
      <c r="J17" s="1275">
        <v>0.79</v>
      </c>
      <c r="K17" s="1159">
        <f t="shared" si="1"/>
        <v>3.1536000000000002E-2</v>
      </c>
      <c r="L17" s="1160">
        <v>0.25</v>
      </c>
      <c r="M17" s="1161">
        <v>20</v>
      </c>
      <c r="O17" s="1200">
        <f t="shared" si="6"/>
        <v>0.70765257912406843</v>
      </c>
      <c r="P17" s="1200">
        <f t="shared" si="2"/>
        <v>0.15561802051610477</v>
      </c>
      <c r="R17" s="1171" t="s">
        <v>893</v>
      </c>
      <c r="S17" s="1167">
        <f t="shared" si="3"/>
        <v>0.69377703835692983</v>
      </c>
      <c r="T17" s="1309">
        <f>SUM(F96:H96)*R28</f>
        <v>0.87819878273029084</v>
      </c>
      <c r="U17" s="1167">
        <f t="shared" si="4"/>
        <v>0.15256668678049484</v>
      </c>
      <c r="V17" s="1268">
        <f>SUM(F97:H97)*R28</f>
        <v>0.1931223883297403</v>
      </c>
      <c r="AA17" s="1163"/>
      <c r="AB17" s="1152"/>
      <c r="AC17" s="1165"/>
      <c r="AD17" s="1181"/>
      <c r="AE17" s="1152"/>
      <c r="AF17" s="1152"/>
      <c r="AH17" s="1182"/>
      <c r="AP17" s="1183"/>
      <c r="AU17" s="1168"/>
    </row>
    <row r="18" spans="2:47" ht="15" customHeight="1">
      <c r="B18" s="1148" t="str">
        <f>Processes!D36</f>
        <v>RHTMBWPEBE1</v>
      </c>
      <c r="C18" s="1148" t="str">
        <f>Processes!E36</f>
        <v>Residential heating technology multistorey building - wood pellets - existing 1</v>
      </c>
      <c r="D18" s="1145" t="str">
        <f>Commodities!$C$14</f>
        <v>RESWPE</v>
      </c>
      <c r="E18" s="1180" t="str">
        <f>Commodities!$C$29</f>
        <v>RESHBMB</v>
      </c>
      <c r="F18" s="1145" t="s">
        <v>1311</v>
      </c>
      <c r="G18" s="1166">
        <f t="shared" si="5"/>
        <v>0</v>
      </c>
      <c r="H18" s="1166">
        <f t="shared" si="0"/>
        <v>0</v>
      </c>
      <c r="I18" s="1274">
        <v>0.67</v>
      </c>
      <c r="J18" s="1275">
        <v>0.67</v>
      </c>
      <c r="K18" s="1159">
        <f>31.536/1000</f>
        <v>3.1536000000000002E-2</v>
      </c>
      <c r="L18" s="1160">
        <v>0.25</v>
      </c>
      <c r="M18" s="1161">
        <v>20</v>
      </c>
      <c r="O18" s="1200">
        <f t="shared" si="6"/>
        <v>0</v>
      </c>
      <c r="P18" s="1200">
        <f t="shared" si="2"/>
        <v>0</v>
      </c>
      <c r="R18" s="1171" t="s">
        <v>1274</v>
      </c>
      <c r="S18" s="1167">
        <f>T18*I18</f>
        <v>0</v>
      </c>
      <c r="T18" s="1309">
        <v>0</v>
      </c>
      <c r="U18" s="1167">
        <f>V18*J18</f>
        <v>0</v>
      </c>
      <c r="V18" s="1268">
        <v>0</v>
      </c>
      <c r="AA18" s="1163"/>
      <c r="AB18" s="1152"/>
      <c r="AC18" s="1165"/>
      <c r="AD18" s="1181"/>
      <c r="AE18" s="1152"/>
      <c r="AF18" s="1152"/>
      <c r="AH18" s="1182"/>
      <c r="AP18" s="1183"/>
      <c r="AU18" s="1170"/>
    </row>
    <row r="19" spans="2:47" ht="15" customHeight="1">
      <c r="B19" s="1148" t="str">
        <f>Processes!D37</f>
        <v>RHTMBFIWBE1</v>
      </c>
      <c r="C19" s="1148" t="str">
        <f>Processes!E37</f>
        <v>Residential heating technology multistorey building - Fire wood - existing 1</v>
      </c>
      <c r="D19" s="1145" t="str">
        <f>Commodities!$C$15</f>
        <v>RESFIW</v>
      </c>
      <c r="E19" s="1180" t="str">
        <f>Commodities!$C$29</f>
        <v>RESHBMB</v>
      </c>
      <c r="F19" s="1145" t="s">
        <v>1311</v>
      </c>
      <c r="G19" s="1166">
        <f t="shared" si="5"/>
        <v>277.57181062351327</v>
      </c>
      <c r="H19" s="1166">
        <f t="shared" si="0"/>
        <v>61.040088024223948</v>
      </c>
      <c r="I19" s="1274">
        <v>0.67</v>
      </c>
      <c r="J19" s="1275">
        <v>0.67</v>
      </c>
      <c r="K19" s="1159">
        <f>31.536/1000</f>
        <v>3.1536000000000002E-2</v>
      </c>
      <c r="L19" s="1160">
        <v>0.25</v>
      </c>
      <c r="M19" s="1161">
        <v>20</v>
      </c>
      <c r="O19" s="1200">
        <f t="shared" si="6"/>
        <v>2.1883761549557788</v>
      </c>
      <c r="P19" s="1200">
        <f t="shared" si="2"/>
        <v>0.48124005398298164</v>
      </c>
      <c r="R19" s="1171" t="s">
        <v>1273</v>
      </c>
      <c r="S19" s="1167">
        <f>T19*I19</f>
        <v>2.1454668185840968</v>
      </c>
      <c r="T19" s="1309">
        <f>I96*R28</f>
        <v>3.2021892814688013</v>
      </c>
      <c r="U19" s="1167">
        <f>V19*J19</f>
        <v>0.47180397449311923</v>
      </c>
      <c r="V19" s="1268">
        <f>I97*R28</f>
        <v>0.70418503655689435</v>
      </c>
      <c r="AA19" s="1163"/>
      <c r="AB19" s="1152"/>
      <c r="AC19" s="1165"/>
      <c r="AD19" s="1181"/>
      <c r="AE19" s="1152"/>
      <c r="AF19" s="1152"/>
      <c r="AH19" s="1182"/>
      <c r="AP19" s="1183"/>
      <c r="AU19" s="1170"/>
    </row>
    <row r="20" spans="2:47" ht="15" customHeight="1">
      <c r="B20" s="1148" t="str">
        <f>Processes!D38</f>
        <v>RHTMBSTRBE1</v>
      </c>
      <c r="C20" s="1148" t="str">
        <f>Processes!E38</f>
        <v>Residential heating technology multistorey building - straw - existing 1</v>
      </c>
      <c r="D20" s="1145" t="str">
        <f>Commodities!$C$16</f>
        <v>RESSTR</v>
      </c>
      <c r="E20" s="1180" t="str">
        <f>Commodities!$C$29</f>
        <v>RESHBMB</v>
      </c>
      <c r="F20" s="1145" t="s">
        <v>1311</v>
      </c>
      <c r="G20" s="1166">
        <f t="shared" si="5"/>
        <v>0</v>
      </c>
      <c r="H20" s="1166">
        <f t="shared" si="0"/>
        <v>0</v>
      </c>
      <c r="I20" s="1274">
        <v>0.61</v>
      </c>
      <c r="J20" s="1275">
        <v>0.61</v>
      </c>
      <c r="K20" s="1159">
        <f t="shared" si="1"/>
        <v>3.1536000000000002E-2</v>
      </c>
      <c r="L20" s="1160">
        <v>0.25</v>
      </c>
      <c r="M20" s="1161">
        <v>20</v>
      </c>
      <c r="O20" s="1200">
        <f t="shared" si="6"/>
        <v>0</v>
      </c>
      <c r="P20" s="1200">
        <f t="shared" si="2"/>
        <v>0</v>
      </c>
      <c r="R20" s="1171" t="s">
        <v>1065</v>
      </c>
      <c r="S20" s="1167">
        <f t="shared" si="3"/>
        <v>0</v>
      </c>
      <c r="T20" s="1310">
        <v>0</v>
      </c>
      <c r="U20" s="1167">
        <f t="shared" si="4"/>
        <v>0</v>
      </c>
      <c r="V20" s="1167">
        <v>0</v>
      </c>
      <c r="AA20" s="1163"/>
      <c r="AB20" s="1152"/>
      <c r="AC20" s="1165"/>
      <c r="AD20" s="1152"/>
      <c r="AE20" s="1152"/>
      <c r="AF20" s="1152"/>
      <c r="AP20" s="1183"/>
      <c r="AU20" s="1168"/>
    </row>
    <row r="21" spans="2:47" ht="15" customHeight="1">
      <c r="B21" s="1148" t="str">
        <f>Processes!D39</f>
        <v>RHTMBSOLXE1</v>
      </c>
      <c r="C21" s="1148" t="str">
        <f>Processes!E39</f>
        <v>Residential heating technology multistorey building - solar - existing 1</v>
      </c>
      <c r="D21" s="1145" t="str">
        <f>Commodities!$C$18</f>
        <v>RESSOL</v>
      </c>
      <c r="E21" s="1180" t="str">
        <f>Commodities!$C$29</f>
        <v>RESHBMB</v>
      </c>
      <c r="F21" s="1145" t="s">
        <v>1311</v>
      </c>
      <c r="G21" s="1166">
        <f t="shared" si="5"/>
        <v>0</v>
      </c>
      <c r="H21" s="1166">
        <f t="shared" si="0"/>
        <v>0</v>
      </c>
      <c r="I21" s="1293">
        <v>1</v>
      </c>
      <c r="J21" s="1294">
        <v>1</v>
      </c>
      <c r="K21" s="1159">
        <f t="shared" si="1"/>
        <v>3.1536000000000002E-2</v>
      </c>
      <c r="L21" s="1160">
        <v>0.25</v>
      </c>
      <c r="M21" s="1161">
        <v>20</v>
      </c>
      <c r="O21" s="1200">
        <f t="shared" si="6"/>
        <v>0</v>
      </c>
      <c r="P21" s="1200">
        <f t="shared" si="2"/>
        <v>0</v>
      </c>
      <c r="R21" s="1171" t="s">
        <v>1066</v>
      </c>
      <c r="S21" s="1167">
        <f t="shared" si="3"/>
        <v>0</v>
      </c>
      <c r="T21" s="1311">
        <v>0</v>
      </c>
      <c r="U21" s="1167">
        <f t="shared" si="4"/>
        <v>0</v>
      </c>
      <c r="V21" s="1173">
        <v>0</v>
      </c>
      <c r="AA21" s="1163"/>
      <c r="AB21" s="1152"/>
      <c r="AC21" s="1165"/>
      <c r="AD21" s="1181"/>
      <c r="AE21" s="1152"/>
      <c r="AF21" s="1165"/>
      <c r="AP21" s="1183"/>
      <c r="AU21" s="1168"/>
    </row>
    <row r="22" spans="2:47" ht="15" customHeight="1">
      <c r="B22" s="1148" t="str">
        <f>Processes!D40</f>
        <v>RHTMBLCHXE1</v>
      </c>
      <c r="C22" s="1148" t="str">
        <f>Processes!E40</f>
        <v>Residential heating technology multistorey building - direct electricity - existing 1</v>
      </c>
      <c r="D22" s="1145" t="str">
        <f>Commodities!$C$19</f>
        <v>RESELCH</v>
      </c>
      <c r="E22" s="1180" t="str">
        <f>Commodities!$C$29</f>
        <v>RESHBMB</v>
      </c>
      <c r="F22" s="1145" t="s">
        <v>1311</v>
      </c>
      <c r="G22" s="1166">
        <f t="shared" si="5"/>
        <v>1305.2695588838135</v>
      </c>
      <c r="H22" s="1166">
        <f t="shared" si="0"/>
        <v>287.03840130824403</v>
      </c>
      <c r="I22" s="1293">
        <v>1</v>
      </c>
      <c r="J22" s="1294">
        <v>1</v>
      </c>
      <c r="K22" s="1159">
        <f t="shared" si="1"/>
        <v>3.1536000000000002E-2</v>
      </c>
      <c r="L22" s="1160">
        <v>0.25</v>
      </c>
      <c r="M22" s="1161">
        <v>30</v>
      </c>
      <c r="O22" s="1200">
        <f t="shared" si="6"/>
        <v>10.290745202239986</v>
      </c>
      <c r="P22" s="1200">
        <f t="shared" si="2"/>
        <v>2.2630107559141961</v>
      </c>
      <c r="R22" s="1171" t="s">
        <v>1067</v>
      </c>
      <c r="S22" s="1167">
        <f t="shared" si="3"/>
        <v>10.088965884549006</v>
      </c>
      <c r="T22" s="1309">
        <f>D96*(1-E110)*R28</f>
        <v>10.088965884549006</v>
      </c>
      <c r="U22" s="1167">
        <f t="shared" si="4"/>
        <v>2.2186379959943099</v>
      </c>
      <c r="V22" s="1268">
        <f>D97*(1-E110)*R28</f>
        <v>2.2186379959943099</v>
      </c>
      <c r="AA22" s="1163"/>
      <c r="AB22" s="1152"/>
      <c r="AC22" s="1165"/>
      <c r="AD22" s="1184"/>
      <c r="AE22" s="1152"/>
      <c r="AF22" s="1165"/>
      <c r="AP22" s="1183"/>
      <c r="AU22" s="1168"/>
    </row>
    <row r="23" spans="2:47" ht="15" customHeight="1">
      <c r="B23" s="1148" t="str">
        <f>Processes!D41</f>
        <v>RHTMBLCHXE2</v>
      </c>
      <c r="C23" s="1148" t="str">
        <f>Processes!E41</f>
        <v>Residential heating technology multistorey building - heat pump - existing 2</v>
      </c>
      <c r="D23" s="1145" t="str">
        <f>Commodities!$C$19</f>
        <v>RESELCH</v>
      </c>
      <c r="E23" s="1180" t="str">
        <f>Commodities!$C$29</f>
        <v>RESHBMB</v>
      </c>
      <c r="F23" s="1145" t="s">
        <v>1311</v>
      </c>
      <c r="G23" s="1166">
        <f t="shared" si="5"/>
        <v>168.76354938222224</v>
      </c>
      <c r="H23" s="1166">
        <f t="shared" si="0"/>
        <v>37.112349004141535</v>
      </c>
      <c r="I23" s="1274">
        <v>2.3149999999999999</v>
      </c>
      <c r="J23" s="1275">
        <v>2.3149999999999999</v>
      </c>
      <c r="K23" s="1159">
        <f t="shared" si="1"/>
        <v>3.1536000000000002E-2</v>
      </c>
      <c r="L23" s="1160">
        <v>0.25</v>
      </c>
      <c r="M23" s="1161">
        <v>30</v>
      </c>
      <c r="O23" s="1200">
        <f t="shared" si="6"/>
        <v>1.3305318233294401</v>
      </c>
      <c r="P23" s="1200">
        <f t="shared" si="2"/>
        <v>0.29259375954865185</v>
      </c>
      <c r="R23" s="1171" t="s">
        <v>1068</v>
      </c>
      <c r="S23" s="1167">
        <f t="shared" si="3"/>
        <v>1.3044429640484707</v>
      </c>
      <c r="T23" s="1309">
        <f>D96*E110*R28</f>
        <v>0.56347428252633724</v>
      </c>
      <c r="U23" s="1167">
        <f t="shared" si="4"/>
        <v>0.28685662700848225</v>
      </c>
      <c r="V23" s="1268">
        <f>D97*E110*R28</f>
        <v>0.12391214989567269</v>
      </c>
      <c r="AA23" s="1163"/>
      <c r="AB23" s="1152"/>
      <c r="AC23" s="1165"/>
      <c r="AD23" s="1152"/>
      <c r="AE23" s="1152"/>
      <c r="AF23" s="1165"/>
      <c r="AP23" s="1183"/>
      <c r="AU23" s="1168"/>
    </row>
    <row r="24" spans="2:47" ht="15" customHeight="1">
      <c r="B24" s="1148" t="str">
        <f>Processes!D42</f>
        <v>RHTMBHCEBE1</v>
      </c>
      <c r="C24" s="1148" t="str">
        <f>Processes!E42</f>
        <v>Residential heating technology multistorey building - heat centralised - existing 1</v>
      </c>
      <c r="D24" s="1145" t="str">
        <f>Commodities!$C$20</f>
        <v>RESHCE</v>
      </c>
      <c r="E24" s="1185" t="str">
        <f>Commodities!$C$25</f>
        <v>RESHXCM</v>
      </c>
      <c r="F24" s="1145" t="s">
        <v>1311</v>
      </c>
      <c r="G24" s="1166">
        <f t="shared" si="5"/>
        <v>35.453591830168016</v>
      </c>
      <c r="H24" s="1166">
        <f t="shared" si="0"/>
        <v>0.79273046833114091</v>
      </c>
      <c r="I24" s="1293">
        <v>0.98</v>
      </c>
      <c r="J24" s="1294">
        <v>0.98</v>
      </c>
      <c r="K24" s="1159">
        <f t="shared" si="1"/>
        <v>3.1536000000000002E-2</v>
      </c>
      <c r="L24" s="1160">
        <v>0.25</v>
      </c>
      <c r="M24" s="1161">
        <v>30</v>
      </c>
      <c r="O24" s="1200">
        <f t="shared" si="6"/>
        <v>0.27951611798904463</v>
      </c>
      <c r="P24" s="1200">
        <f t="shared" si="2"/>
        <v>6.2498870123227149E-3</v>
      </c>
      <c r="R24" s="1171" t="s">
        <v>1069</v>
      </c>
      <c r="S24" s="1167">
        <f t="shared" si="3"/>
        <v>0.27403540979318103</v>
      </c>
      <c r="T24" s="1309">
        <f>K96*R28</f>
        <v>0.27962796917671534</v>
      </c>
      <c r="U24" s="1167">
        <f t="shared" si="4"/>
        <v>6.1273402081595246E-3</v>
      </c>
      <c r="V24" s="1268">
        <f>K97*R28</f>
        <v>6.2523879675097189E-3</v>
      </c>
      <c r="AA24" s="1163"/>
      <c r="AB24" s="1152"/>
      <c r="AC24" s="1165"/>
      <c r="AD24" s="1152"/>
      <c r="AE24" s="1152"/>
      <c r="AF24" s="1165"/>
      <c r="AP24" s="1183"/>
      <c r="AU24" s="1170"/>
    </row>
    <row r="25" spans="2:47" ht="15" customHeight="1">
      <c r="B25" s="1148" t="str">
        <f>Processes!D43</f>
        <v>RHTMBHDEBE1</v>
      </c>
      <c r="C25" s="1142" t="str">
        <f>Processes!E43</f>
        <v>Residential heating technology multistorey building - heat decentralised - existing 1</v>
      </c>
      <c r="D25" s="1180" t="str">
        <f>Commodities!$C$21</f>
        <v>RESHDE</v>
      </c>
      <c r="E25" s="1185" t="str">
        <f>Commodities!$C$27</f>
        <v>RESHXDM</v>
      </c>
      <c r="F25" s="1145" t="s">
        <v>1311</v>
      </c>
      <c r="G25" s="1166">
        <f t="shared" si="5"/>
        <v>17.18420338135433</v>
      </c>
      <c r="H25" s="1166">
        <f t="shared" si="0"/>
        <v>10.78270885994559</v>
      </c>
      <c r="I25" s="1293">
        <v>0.98</v>
      </c>
      <c r="J25" s="1294">
        <v>0.98</v>
      </c>
      <c r="K25" s="1159">
        <f t="shared" si="1"/>
        <v>3.1536000000000002E-2</v>
      </c>
      <c r="L25" s="1160">
        <v>0.25</v>
      </c>
      <c r="M25" s="1161">
        <v>30</v>
      </c>
      <c r="O25" s="1200">
        <f t="shared" si="6"/>
        <v>0.13548025945859754</v>
      </c>
      <c r="P25" s="1200">
        <f t="shared" si="2"/>
        <v>8.5010876651811035E-2</v>
      </c>
      <c r="R25" s="1162" t="s">
        <v>1070</v>
      </c>
      <c r="S25" s="1304">
        <f t="shared" si="3"/>
        <v>0.13282378378293877</v>
      </c>
      <c r="T25" s="1312">
        <f>L96*R28</f>
        <v>0.13553447324789672</v>
      </c>
      <c r="U25" s="1304">
        <f t="shared" si="4"/>
        <v>8.3343996717461788E-2</v>
      </c>
      <c r="V25" s="1305">
        <f>L97*R28</f>
        <v>8.5044894609654892E-2</v>
      </c>
      <c r="W25" s="1186" t="s">
        <v>1200</v>
      </c>
      <c r="AA25" s="1163"/>
      <c r="AB25" s="1152"/>
      <c r="AC25" s="1152"/>
      <c r="AD25" s="1152"/>
      <c r="AE25" s="1152"/>
      <c r="AF25" s="1165"/>
      <c r="AP25" s="1183"/>
      <c r="AU25" s="1168"/>
    </row>
    <row r="26" spans="2:47" ht="15" customHeight="1" thickBot="1">
      <c r="G26" s="1187"/>
      <c r="H26" s="1187"/>
      <c r="I26" s="1274"/>
      <c r="J26" s="1274"/>
      <c r="K26" s="1188"/>
      <c r="L26" s="1160"/>
      <c r="M26" s="1161"/>
      <c r="S26" s="1189">
        <f>SUM(S6:S15)</f>
        <v>100.49300883490503</v>
      </c>
      <c r="T26" s="1189">
        <f>SUM(T6:T15)</f>
        <v>87.406911865287597</v>
      </c>
      <c r="U26" s="1189">
        <f t="shared" ref="U26:V26" si="7">SUM(U7:U15)</f>
        <v>42.100872957391253</v>
      </c>
      <c r="V26" s="1189">
        <f t="shared" si="7"/>
        <v>36.602629409986044</v>
      </c>
      <c r="W26" s="1190">
        <f>SUM(T26:T27,V26:V27)</f>
        <v>142.51017863567526</v>
      </c>
      <c r="X26" s="1142" t="s">
        <v>44</v>
      </c>
      <c r="Y26" s="1191"/>
      <c r="Z26" s="1191"/>
      <c r="AA26" s="1163"/>
      <c r="AB26" s="1152"/>
      <c r="AC26" s="1152"/>
      <c r="AD26" s="1152"/>
      <c r="AE26" s="1152"/>
      <c r="AF26" s="1165"/>
      <c r="AO26" s="1183"/>
      <c r="AT26" s="1168"/>
    </row>
    <row r="27" spans="2:47" ht="15" customHeight="1">
      <c r="G27" s="1192" t="s">
        <v>147</v>
      </c>
      <c r="H27" s="1193">
        <f>SUM(G6:H25)</f>
        <v>20764.886664324054</v>
      </c>
      <c r="I27" s="1194"/>
      <c r="J27" s="1194"/>
      <c r="K27" s="1195"/>
      <c r="L27" s="1194"/>
      <c r="M27" s="1194"/>
      <c r="O27" s="1200">
        <f>SUM(O6:O15)</f>
        <v>102.50286901160311</v>
      </c>
      <c r="P27" s="1200">
        <f>SUM(P6:P15)</f>
        <v>42.974153839892253</v>
      </c>
      <c r="R27" s="1196" t="s">
        <v>1199</v>
      </c>
      <c r="S27" s="1189">
        <f>SUM(S16:S25)</f>
        <v>14.653429798706608</v>
      </c>
      <c r="T27" s="1189">
        <f>SUM(T16:T25)</f>
        <v>15.165608268119282</v>
      </c>
      <c r="U27" s="1189">
        <f t="shared" ref="U27:V27" si="8">SUM(U16:U25)</f>
        <v>3.2223972699555827</v>
      </c>
      <c r="V27" s="1189">
        <f t="shared" si="8"/>
        <v>3.3350290922823325</v>
      </c>
      <c r="W27" s="1190">
        <f>W26/R28</f>
        <v>39586.160732132019</v>
      </c>
      <c r="X27" s="1142" t="s">
        <v>1100</v>
      </c>
      <c r="Y27" s="1191"/>
      <c r="Z27" s="1191"/>
      <c r="AA27" s="1163"/>
      <c r="AB27" s="1152"/>
      <c r="AC27" s="1152"/>
      <c r="AD27" s="1152"/>
      <c r="AE27" s="1152"/>
      <c r="AF27" s="1165"/>
      <c r="AO27" s="1183"/>
      <c r="AT27" s="1168"/>
    </row>
    <row r="28" spans="2:47" ht="15" customHeight="1" thickBot="1">
      <c r="G28" s="1192"/>
      <c r="H28" s="1193"/>
      <c r="I28" s="1194"/>
      <c r="J28" s="1194"/>
      <c r="K28" s="1195"/>
      <c r="L28" s="1194"/>
      <c r="M28" s="1194"/>
      <c r="O28" s="1200">
        <f>SUM(O16:O25)</f>
        <v>14.946498394680741</v>
      </c>
      <c r="P28" s="1200">
        <f>SUM(P16:P25)</f>
        <v>3.2868452153546945</v>
      </c>
      <c r="R28" s="1197">
        <v>3.5999999999999999E-3</v>
      </c>
      <c r="S28" s="1198">
        <f>SUM(S26:S27)</f>
        <v>115.14643863361164</v>
      </c>
      <c r="U28" s="1198">
        <f>SUM(U26:U27)</f>
        <v>45.323270227346839</v>
      </c>
      <c r="V28" s="1189"/>
      <c r="W28" s="1199">
        <f>(T26+V26)/R28</f>
        <v>34447.094798687125</v>
      </c>
      <c r="X28" s="1191"/>
      <c r="Y28" s="1191"/>
      <c r="Z28" s="1191"/>
      <c r="AA28" s="1163"/>
      <c r="AB28" s="1152"/>
      <c r="AC28" s="1152"/>
      <c r="AD28" s="1152"/>
      <c r="AE28" s="1152"/>
      <c r="AF28" s="1165"/>
      <c r="AO28" s="1183"/>
      <c r="AT28" s="1168"/>
    </row>
    <row r="29" spans="2:47" ht="15" customHeight="1">
      <c r="G29" s="1192"/>
      <c r="H29" s="1193"/>
      <c r="I29" s="1194"/>
      <c r="J29" s="1194"/>
      <c r="K29" s="1195"/>
      <c r="L29" s="1194"/>
      <c r="M29" s="1194"/>
      <c r="T29" s="1200"/>
      <c r="U29" s="1201"/>
      <c r="V29" s="1201"/>
      <c r="W29" s="1199">
        <f>(T27+V27)/R28</f>
        <v>5139.0659334448937</v>
      </c>
      <c r="X29" s="1191"/>
      <c r="Y29" s="1191"/>
      <c r="Z29" s="1191"/>
      <c r="AA29" s="1163"/>
      <c r="AB29" s="1152"/>
      <c r="AC29" s="1152"/>
      <c r="AD29" s="1152"/>
      <c r="AE29" s="1152"/>
      <c r="AF29" s="1165"/>
      <c r="AO29" s="1183"/>
      <c r="AT29" s="1168"/>
    </row>
    <row r="30" spans="2:47" ht="15" customHeight="1">
      <c r="G30" s="1187"/>
      <c r="H30" s="1187"/>
      <c r="I30" s="1140"/>
      <c r="J30" s="1140"/>
      <c r="K30" s="1195"/>
      <c r="L30" s="1140"/>
      <c r="M30" s="1140"/>
      <c r="T30" s="1200"/>
      <c r="U30" s="1201"/>
      <c r="V30" s="1201"/>
      <c r="W30" s="1201"/>
      <c r="X30" s="1191"/>
      <c r="Y30" s="1191"/>
      <c r="Z30" s="1191"/>
      <c r="AA30" s="1163"/>
      <c r="AB30" s="1152"/>
      <c r="AC30" s="1152"/>
      <c r="AD30" s="1152"/>
      <c r="AE30" s="1152"/>
      <c r="AF30" s="1165"/>
      <c r="AO30" s="1183"/>
      <c r="AT30" s="1168"/>
    </row>
    <row r="31" spans="2:47" ht="15" customHeight="1">
      <c r="G31" s="1187"/>
      <c r="H31" s="1187"/>
      <c r="I31" s="1140"/>
      <c r="J31" s="1140"/>
      <c r="K31" s="1195"/>
      <c r="L31" s="1140"/>
      <c r="M31" s="1140"/>
      <c r="T31" s="1200"/>
      <c r="U31" s="1201"/>
      <c r="V31" s="1201"/>
      <c r="W31" s="1201"/>
      <c r="X31" s="1191"/>
      <c r="Y31" s="1191"/>
      <c r="Z31" s="1191"/>
      <c r="AA31" s="1163"/>
      <c r="AB31" s="1152"/>
      <c r="AC31" s="1152"/>
      <c r="AD31" s="1152"/>
      <c r="AE31" s="1152"/>
      <c r="AF31" s="1165"/>
      <c r="AO31" s="1183"/>
      <c r="AT31" s="1168"/>
    </row>
    <row r="32" spans="2:47" ht="15" customHeight="1">
      <c r="G32" s="1187"/>
      <c r="H32" s="1187"/>
      <c r="I32" s="1140"/>
      <c r="J32" s="1140"/>
      <c r="K32" s="1195"/>
      <c r="L32" s="1140"/>
      <c r="M32" s="1140"/>
      <c r="T32" s="1200"/>
      <c r="U32" s="1201"/>
      <c r="V32" s="1201"/>
      <c r="W32" s="1201"/>
      <c r="X32" s="1191"/>
      <c r="Y32" s="1191"/>
      <c r="Z32" s="1191"/>
      <c r="AA32" s="1163"/>
      <c r="AB32" s="1152"/>
      <c r="AC32" s="1152"/>
      <c r="AD32" s="1152"/>
      <c r="AE32" s="1152"/>
      <c r="AF32" s="1165"/>
      <c r="AO32" s="1183"/>
      <c r="AT32" s="1168"/>
    </row>
    <row r="33" spans="2:46" ht="15" customHeight="1">
      <c r="E33" s="1127"/>
      <c r="F33" s="1127"/>
      <c r="G33" s="1127"/>
      <c r="H33" s="1127"/>
      <c r="I33" s="1127"/>
      <c r="J33" s="1140"/>
      <c r="K33" s="1195"/>
      <c r="L33" s="1140"/>
      <c r="M33" s="1140"/>
      <c r="T33" s="1200"/>
      <c r="U33" s="1201"/>
      <c r="V33" s="1201"/>
      <c r="W33" s="1201"/>
      <c r="X33" s="1191"/>
      <c r="Y33" s="1191"/>
      <c r="Z33" s="1191"/>
      <c r="AA33" s="1163"/>
      <c r="AB33" s="1152"/>
      <c r="AC33" s="1152"/>
      <c r="AD33" s="1152"/>
      <c r="AE33" s="1152"/>
      <c r="AF33" s="1165"/>
      <c r="AO33" s="1183"/>
      <c r="AT33" s="1168"/>
    </row>
    <row r="34" spans="2:46" ht="15" customHeight="1">
      <c r="E34" s="1127"/>
      <c r="F34" s="1127"/>
      <c r="G34" s="1127"/>
      <c r="H34" s="1127"/>
      <c r="I34" s="1127"/>
      <c r="J34" s="1140"/>
      <c r="K34" s="1195"/>
      <c r="L34" s="1140"/>
      <c r="M34" s="1140"/>
      <c r="T34" s="1200"/>
      <c r="U34" s="1201"/>
      <c r="V34" s="1201"/>
      <c r="W34" s="1201"/>
      <c r="X34" s="1191"/>
      <c r="Y34" s="1191"/>
      <c r="Z34" s="1191"/>
      <c r="AA34" s="1163"/>
      <c r="AB34" s="1152"/>
      <c r="AC34" s="1152"/>
      <c r="AD34" s="1152"/>
      <c r="AE34" s="1152"/>
      <c r="AF34" s="1165"/>
      <c r="AO34" s="1183"/>
      <c r="AT34" s="1168"/>
    </row>
    <row r="35" spans="2:46" ht="15" customHeight="1">
      <c r="E35" s="1127"/>
      <c r="F35" s="1127"/>
      <c r="G35" s="1127"/>
      <c r="H35" s="1127"/>
      <c r="I35" s="1127"/>
      <c r="J35" s="1140"/>
      <c r="K35" s="1195"/>
      <c r="L35" s="1140"/>
      <c r="M35" s="1140"/>
      <c r="T35" s="1200"/>
      <c r="U35" s="1201"/>
      <c r="V35" s="1201"/>
      <c r="W35" s="1201"/>
      <c r="X35" s="1191"/>
      <c r="Y35" s="1191"/>
      <c r="Z35" s="1191"/>
      <c r="AA35" s="1163"/>
      <c r="AB35" s="1152"/>
      <c r="AC35" s="1152"/>
      <c r="AD35" s="1152"/>
      <c r="AE35" s="1152"/>
      <c r="AF35" s="1165"/>
      <c r="AO35" s="1183"/>
      <c r="AT35" s="1168"/>
    </row>
    <row r="36" spans="2:46" ht="15" customHeight="1">
      <c r="E36" s="1127"/>
      <c r="F36" s="1127"/>
      <c r="G36" s="1127"/>
      <c r="H36" s="1127"/>
      <c r="I36" s="1127"/>
      <c r="J36" s="1140"/>
      <c r="K36" s="1195"/>
      <c r="L36" s="1140"/>
      <c r="M36" s="1140"/>
      <c r="T36" s="1200"/>
      <c r="U36" s="1201"/>
      <c r="V36" s="1201"/>
      <c r="W36" s="1201"/>
      <c r="X36" s="1191"/>
      <c r="Y36" s="1191"/>
      <c r="Z36" s="1191"/>
      <c r="AA36" s="1163"/>
      <c r="AB36" s="1152"/>
      <c r="AC36" s="1152"/>
      <c r="AD36" s="1152"/>
      <c r="AE36" s="1152"/>
      <c r="AF36" s="1165"/>
      <c r="AO36" s="1183"/>
      <c r="AT36" s="1168"/>
    </row>
    <row r="37" spans="2:46" ht="15" customHeight="1">
      <c r="E37" s="1127"/>
      <c r="F37" s="1127"/>
      <c r="G37" s="1127"/>
      <c r="H37" s="1127"/>
      <c r="I37" s="1127"/>
      <c r="J37" s="1140"/>
      <c r="K37" s="1195"/>
      <c r="L37" s="1140"/>
      <c r="M37" s="1140"/>
      <c r="T37" s="1200"/>
      <c r="U37" s="1201"/>
      <c r="V37" s="1201"/>
      <c r="W37" s="1201"/>
      <c r="X37" s="1191"/>
      <c r="Y37" s="1191"/>
      <c r="Z37" s="1191"/>
      <c r="AA37" s="1163"/>
      <c r="AB37" s="1152"/>
      <c r="AC37" s="1152"/>
      <c r="AD37" s="1152"/>
      <c r="AE37" s="1152"/>
      <c r="AF37" s="1165"/>
      <c r="AO37" s="1183"/>
      <c r="AT37" s="1168"/>
    </row>
    <row r="38" spans="2:46" s="1202" customFormat="1" ht="15" customHeight="1">
      <c r="D38" s="1203"/>
      <c r="E38" s="1203"/>
      <c r="F38" s="1204"/>
      <c r="G38" s="1204"/>
      <c r="H38" s="1205"/>
      <c r="I38" s="1205"/>
      <c r="J38" s="1206"/>
      <c r="K38" s="1205"/>
      <c r="L38" s="1205"/>
      <c r="S38" s="1207"/>
      <c r="T38" s="1208"/>
      <c r="U38" s="1208"/>
      <c r="V38" s="1208"/>
      <c r="W38" s="1209"/>
      <c r="X38" s="1209"/>
      <c r="Y38" s="1209"/>
      <c r="Z38" s="1210"/>
      <c r="AA38" s="1211"/>
      <c r="AB38" s="1211"/>
      <c r="AC38" s="1211"/>
      <c r="AD38" s="1211"/>
      <c r="AE38" s="1209"/>
      <c r="AN38" s="1212"/>
      <c r="AS38" s="1213"/>
    </row>
    <row r="39" spans="2:46" ht="15" customHeight="1">
      <c r="F39" s="1187"/>
      <c r="G39" s="1187"/>
      <c r="H39" s="1140"/>
      <c r="I39" s="1140"/>
      <c r="J39" s="1195"/>
      <c r="K39" s="1140"/>
      <c r="L39" s="1140"/>
      <c r="S39" s="1200"/>
      <c r="T39" s="1201"/>
      <c r="U39" s="1201"/>
      <c r="V39" s="1201"/>
      <c r="W39" s="1191"/>
      <c r="X39" s="1191"/>
      <c r="Y39" s="1191"/>
      <c r="Z39" s="1163"/>
      <c r="AA39" s="1152"/>
      <c r="AB39" s="1152"/>
      <c r="AC39" s="1152"/>
      <c r="AD39" s="1152"/>
      <c r="AE39" s="1165"/>
      <c r="AN39" s="1183"/>
      <c r="AS39" s="1168"/>
    </row>
    <row r="40" spans="2:46" ht="15" customHeight="1">
      <c r="B40" s="1418" t="s">
        <v>1186</v>
      </c>
      <c r="C40" s="1127" t="s">
        <v>1250</v>
      </c>
      <c r="D40" s="1127"/>
      <c r="F40" s="1187"/>
      <c r="S40" s="1200"/>
      <c r="T40" s="1201"/>
      <c r="U40" s="1201"/>
      <c r="V40" s="1201"/>
      <c r="W40" s="1191"/>
      <c r="X40" s="1191"/>
      <c r="Y40" s="1191"/>
      <c r="Z40" s="1163"/>
      <c r="AA40" s="1152"/>
      <c r="AB40" s="1152"/>
      <c r="AC40" s="1152"/>
      <c r="AD40" s="1152"/>
      <c r="AE40" s="1165"/>
      <c r="AN40" s="1183"/>
      <c r="AS40" s="1168"/>
    </row>
    <row r="41" spans="2:46" ht="15" customHeight="1">
      <c r="C41" s="1142" t="s">
        <v>1105</v>
      </c>
      <c r="D41" s="1214">
        <v>2010</v>
      </c>
      <c r="F41" s="1187"/>
      <c r="S41" s="1200"/>
      <c r="T41" s="1201"/>
      <c r="U41" s="1201"/>
      <c r="V41" s="1201"/>
      <c r="W41" s="1191"/>
      <c r="X41" s="1191"/>
      <c r="Y41" s="1191"/>
      <c r="Z41" s="1163"/>
      <c r="AA41" s="1152"/>
      <c r="AB41" s="1152"/>
      <c r="AC41" s="1152"/>
      <c r="AD41" s="1152"/>
      <c r="AE41" s="1165"/>
      <c r="AN41" s="1183"/>
      <c r="AS41" s="1168"/>
    </row>
    <row r="42" spans="2:46" ht="15" customHeight="1">
      <c r="C42" s="1385" t="s">
        <v>1127</v>
      </c>
      <c r="D42" s="1386">
        <v>39734</v>
      </c>
      <c r="E42" s="1215"/>
      <c r="F42" s="1187"/>
      <c r="S42" s="1200"/>
      <c r="T42" s="1201"/>
      <c r="U42" s="1201"/>
      <c r="V42" s="1201"/>
      <c r="W42" s="1191"/>
      <c r="X42" s="1191"/>
      <c r="Y42" s="1191"/>
      <c r="Z42" s="1163"/>
      <c r="AA42" s="1152"/>
      <c r="AB42" s="1152"/>
      <c r="AC42" s="1152"/>
      <c r="AD42" s="1152"/>
      <c r="AE42" s="1165"/>
      <c r="AN42" s="1183"/>
      <c r="AS42" s="1168"/>
    </row>
    <row r="43" spans="2:46" ht="15" customHeight="1">
      <c r="C43" s="1387" t="s">
        <v>1128</v>
      </c>
      <c r="D43" s="1388">
        <v>0</v>
      </c>
      <c r="E43" s="1215"/>
      <c r="F43" s="1187"/>
      <c r="S43" s="1200"/>
      <c r="T43" s="1201"/>
      <c r="U43" s="1201"/>
      <c r="V43" s="1201"/>
      <c r="W43" s="1191"/>
      <c r="X43" s="1191"/>
      <c r="Y43" s="1191"/>
      <c r="Z43" s="1163"/>
      <c r="AA43" s="1152"/>
      <c r="AB43" s="1152"/>
      <c r="AC43" s="1152"/>
      <c r="AD43" s="1152"/>
      <c r="AE43" s="1165"/>
      <c r="AN43" s="1183"/>
      <c r="AS43" s="1168"/>
    </row>
    <row r="44" spans="2:46" ht="15" customHeight="1">
      <c r="C44" s="1387" t="s">
        <v>1129</v>
      </c>
      <c r="D44" s="1388">
        <v>1561</v>
      </c>
      <c r="E44" s="1215"/>
      <c r="F44" s="1187"/>
      <c r="S44" s="1200"/>
      <c r="T44" s="1201"/>
      <c r="U44" s="1201"/>
      <c r="V44" s="1201"/>
      <c r="W44" s="1191"/>
      <c r="X44" s="1191"/>
      <c r="Y44" s="1191"/>
      <c r="Z44" s="1163"/>
      <c r="AA44" s="1152"/>
      <c r="AB44" s="1152"/>
      <c r="AC44" s="1152"/>
      <c r="AD44" s="1152"/>
      <c r="AE44" s="1165"/>
      <c r="AN44" s="1183"/>
      <c r="AS44" s="1168"/>
    </row>
    <row r="45" spans="2:46" ht="15" customHeight="1">
      <c r="C45" s="1387" t="s">
        <v>1130</v>
      </c>
      <c r="D45" s="1388">
        <v>635</v>
      </c>
      <c r="E45" s="1215"/>
      <c r="F45" s="1187"/>
      <c r="S45" s="1200"/>
      <c r="T45" s="1201"/>
      <c r="U45" s="1201"/>
      <c r="V45" s="1201"/>
      <c r="W45" s="1191"/>
      <c r="X45" s="1191"/>
      <c r="Y45" s="1191"/>
      <c r="Z45" s="1163"/>
      <c r="AA45" s="1152"/>
      <c r="AB45" s="1152"/>
      <c r="AC45" s="1152"/>
      <c r="AD45" s="1152"/>
      <c r="AE45" s="1165"/>
      <c r="AN45" s="1183"/>
      <c r="AS45" s="1168"/>
    </row>
    <row r="46" spans="2:46" ht="15" customHeight="1">
      <c r="C46" s="1387" t="s">
        <v>1131</v>
      </c>
      <c r="D46" s="1388">
        <v>97</v>
      </c>
      <c r="E46" s="1215"/>
      <c r="F46" s="1187"/>
      <c r="S46" s="1200"/>
      <c r="T46" s="1201"/>
      <c r="U46" s="1201"/>
      <c r="V46" s="1201"/>
      <c r="W46" s="1191"/>
      <c r="X46" s="1191"/>
      <c r="Y46" s="1191"/>
      <c r="Z46" s="1163"/>
      <c r="AA46" s="1152"/>
      <c r="AB46" s="1152"/>
      <c r="AC46" s="1152"/>
      <c r="AD46" s="1152"/>
      <c r="AE46" s="1165"/>
      <c r="AN46" s="1183"/>
      <c r="AS46" s="1168"/>
    </row>
    <row r="47" spans="2:46" ht="15" customHeight="1">
      <c r="C47" s="1387" t="s">
        <v>1132</v>
      </c>
      <c r="D47" s="1388">
        <v>8361</v>
      </c>
      <c r="E47" s="1215"/>
      <c r="F47" s="1187"/>
      <c r="S47" s="1200"/>
      <c r="T47" s="1201"/>
      <c r="U47" s="1201"/>
      <c r="V47" s="1201"/>
      <c r="W47" s="1191"/>
      <c r="X47" s="1191"/>
      <c r="Y47" s="1191"/>
      <c r="Z47" s="1163"/>
      <c r="AA47" s="1152"/>
      <c r="AB47" s="1152"/>
      <c r="AC47" s="1152"/>
      <c r="AD47" s="1152"/>
      <c r="AE47" s="1165"/>
      <c r="AN47" s="1183"/>
      <c r="AS47" s="1168"/>
    </row>
    <row r="48" spans="2:46" ht="15" customHeight="1">
      <c r="C48" s="1387" t="s">
        <v>1133</v>
      </c>
      <c r="D48" s="1388">
        <v>46</v>
      </c>
      <c r="E48" s="1215"/>
      <c r="F48" s="1187"/>
      <c r="S48" s="1200"/>
      <c r="T48" s="1201"/>
      <c r="U48" s="1201"/>
      <c r="V48" s="1201"/>
      <c r="W48" s="1191"/>
      <c r="X48" s="1191"/>
      <c r="Y48" s="1191"/>
      <c r="Z48" s="1163"/>
      <c r="AA48" s="1152"/>
      <c r="AB48" s="1152"/>
      <c r="AC48" s="1152"/>
      <c r="AD48" s="1152"/>
      <c r="AE48" s="1165"/>
      <c r="AN48" s="1183"/>
      <c r="AS48" s="1168"/>
    </row>
    <row r="49" spans="2:45" ht="15" customHeight="1">
      <c r="C49" s="1387" t="s">
        <v>1134</v>
      </c>
      <c r="D49" s="1388">
        <v>1084</v>
      </c>
      <c r="E49" s="1215"/>
      <c r="F49" s="1187"/>
      <c r="S49" s="1200"/>
      <c r="T49" s="1201"/>
      <c r="U49" s="1201"/>
      <c r="V49" s="1201"/>
      <c r="W49" s="1191"/>
      <c r="X49" s="1191"/>
      <c r="Y49" s="1191"/>
      <c r="Z49" s="1163"/>
      <c r="AA49" s="1152"/>
      <c r="AB49" s="1152"/>
      <c r="AC49" s="1152"/>
      <c r="AD49" s="1152"/>
      <c r="AE49" s="1165"/>
      <c r="AN49" s="1183"/>
      <c r="AS49" s="1168"/>
    </row>
    <row r="50" spans="2:45" ht="15" customHeight="1">
      <c r="C50" s="1389" t="s">
        <v>1135</v>
      </c>
      <c r="D50" s="1390">
        <v>13437</v>
      </c>
      <c r="F50" s="1187"/>
      <c r="S50" s="1200"/>
      <c r="T50" s="1201"/>
      <c r="U50" s="1201"/>
      <c r="V50" s="1201"/>
      <c r="W50" s="1191"/>
      <c r="X50" s="1191"/>
      <c r="Y50" s="1191"/>
      <c r="Z50" s="1163"/>
      <c r="AA50" s="1152"/>
      <c r="AB50" s="1152"/>
      <c r="AC50" s="1152"/>
      <c r="AD50" s="1152"/>
      <c r="AE50" s="1165"/>
      <c r="AN50" s="1183"/>
      <c r="AS50" s="1168"/>
    </row>
    <row r="51" spans="2:45" ht="15" customHeight="1">
      <c r="C51" s="1389" t="s">
        <v>1136</v>
      </c>
      <c r="D51" s="1390">
        <v>679</v>
      </c>
      <c r="F51" s="1187"/>
      <c r="G51" s="1187"/>
      <c r="S51" s="1200"/>
      <c r="T51" s="1201"/>
      <c r="U51" s="1201"/>
      <c r="V51" s="1201"/>
      <c r="W51" s="1191"/>
      <c r="X51" s="1191"/>
      <c r="Y51" s="1191"/>
      <c r="Z51" s="1163"/>
      <c r="AA51" s="1152"/>
      <c r="AB51" s="1152"/>
      <c r="AC51" s="1152"/>
      <c r="AD51" s="1152"/>
      <c r="AE51" s="1165"/>
      <c r="AN51" s="1183"/>
      <c r="AS51" s="1168"/>
    </row>
    <row r="52" spans="2:45" ht="15" customHeight="1">
      <c r="C52" s="1389" t="s">
        <v>1137</v>
      </c>
      <c r="D52" s="1390">
        <v>7662</v>
      </c>
      <c r="F52" s="1187"/>
      <c r="G52" s="1187"/>
      <c r="H52" s="1140"/>
      <c r="I52" s="1140"/>
      <c r="J52" s="1195"/>
      <c r="K52" s="1140"/>
      <c r="L52" s="1140"/>
      <c r="S52" s="1200"/>
      <c r="T52" s="1201"/>
      <c r="U52" s="1201"/>
      <c r="V52" s="1201"/>
      <c r="W52" s="1191"/>
      <c r="X52" s="1191"/>
      <c r="Y52" s="1191"/>
      <c r="Z52" s="1163"/>
      <c r="AA52" s="1152"/>
      <c r="AB52" s="1152"/>
      <c r="AC52" s="1152"/>
      <c r="AD52" s="1152"/>
      <c r="AE52" s="1165"/>
      <c r="AN52" s="1183"/>
      <c r="AS52" s="1168"/>
    </row>
    <row r="53" spans="2:45" ht="15" customHeight="1">
      <c r="C53" s="1389" t="s">
        <v>1138</v>
      </c>
      <c r="D53" s="1390">
        <v>467</v>
      </c>
      <c r="F53" s="1187"/>
      <c r="G53" s="1187"/>
      <c r="S53" s="1200"/>
      <c r="T53" s="1201"/>
      <c r="U53" s="1201"/>
      <c r="V53" s="1201"/>
      <c r="W53" s="1191"/>
      <c r="X53" s="1191"/>
      <c r="Y53" s="1191"/>
      <c r="Z53" s="1163"/>
      <c r="AA53" s="1152"/>
      <c r="AB53" s="1152"/>
      <c r="AC53" s="1152"/>
      <c r="AD53" s="1152"/>
      <c r="AE53" s="1165"/>
      <c r="AN53" s="1183"/>
      <c r="AS53" s="1168"/>
    </row>
    <row r="54" spans="2:45" ht="15" customHeight="1">
      <c r="C54" s="1389" t="s">
        <v>1139</v>
      </c>
      <c r="D54" s="1390">
        <v>73763</v>
      </c>
      <c r="F54" s="1187"/>
      <c r="G54" s="1187"/>
      <c r="S54" s="1200"/>
      <c r="T54" s="1201"/>
      <c r="U54" s="1201"/>
      <c r="V54" s="1201"/>
      <c r="W54" s="1191"/>
      <c r="X54" s="1191"/>
      <c r="Y54" s="1191"/>
      <c r="Z54" s="1163"/>
      <c r="AA54" s="1152"/>
      <c r="AB54" s="1152"/>
      <c r="AC54" s="1152"/>
      <c r="AD54" s="1152"/>
      <c r="AE54" s="1165"/>
      <c r="AN54" s="1183"/>
      <c r="AS54" s="1168"/>
    </row>
    <row r="55" spans="2:45" ht="15" customHeight="1">
      <c r="C55" s="1387" t="s">
        <v>1140</v>
      </c>
      <c r="D55" s="1388">
        <v>52197</v>
      </c>
      <c r="F55" s="1187"/>
      <c r="G55" s="1187"/>
      <c r="S55" s="1200"/>
      <c r="T55" s="1201"/>
      <c r="U55" s="1201"/>
      <c r="V55" s="1201"/>
      <c r="W55" s="1191"/>
      <c r="X55" s="1191"/>
      <c r="Y55" s="1191"/>
      <c r="Z55" s="1163"/>
      <c r="AA55" s="1152"/>
      <c r="AB55" s="1152"/>
      <c r="AC55" s="1152"/>
      <c r="AD55" s="1152"/>
      <c r="AE55" s="1165"/>
      <c r="AN55" s="1183"/>
      <c r="AS55" s="1168"/>
    </row>
    <row r="56" spans="2:45" ht="15" customHeight="1">
      <c r="C56" s="1389" t="s">
        <v>1141</v>
      </c>
      <c r="D56" s="1390">
        <v>33738</v>
      </c>
      <c r="F56" s="1187"/>
      <c r="G56" s="1187"/>
      <c r="S56" s="1200"/>
      <c r="T56" s="1201"/>
      <c r="U56" s="1201"/>
      <c r="V56" s="1201"/>
      <c r="W56" s="1191"/>
      <c r="X56" s="1191"/>
      <c r="Y56" s="1191"/>
      <c r="Z56" s="1163"/>
      <c r="AA56" s="1152"/>
      <c r="AB56" s="1152"/>
      <c r="AC56" s="1152"/>
      <c r="AD56" s="1152"/>
      <c r="AE56" s="1165"/>
      <c r="AN56" s="1183"/>
      <c r="AS56" s="1168"/>
    </row>
    <row r="57" spans="2:45" ht="15" customHeight="1">
      <c r="C57" s="1389" t="s">
        <v>1142</v>
      </c>
      <c r="D57" s="1390">
        <v>15087</v>
      </c>
      <c r="F57" s="1187"/>
      <c r="G57" s="1187"/>
      <c r="S57" s="1200"/>
      <c r="T57" s="1201"/>
      <c r="U57" s="1201"/>
      <c r="V57" s="1201"/>
      <c r="W57" s="1191"/>
      <c r="X57" s="1191"/>
      <c r="Y57" s="1191"/>
      <c r="Z57" s="1163"/>
      <c r="AA57" s="1152"/>
      <c r="AB57" s="1152"/>
      <c r="AC57" s="1152"/>
      <c r="AD57" s="1152"/>
      <c r="AE57" s="1165"/>
      <c r="AN57" s="1183"/>
      <c r="AS57" s="1168"/>
    </row>
    <row r="58" spans="2:45" ht="15" customHeight="1">
      <c r="B58" s="1152"/>
      <c r="C58" s="1389" t="s">
        <v>1143</v>
      </c>
      <c r="D58" s="1390">
        <v>18174</v>
      </c>
      <c r="E58" s="1185"/>
      <c r="F58" s="1218"/>
      <c r="G58" s="1218"/>
      <c r="R58" s="1152"/>
      <c r="S58" s="1200"/>
      <c r="T58" s="1201"/>
      <c r="U58" s="1201"/>
      <c r="V58" s="1201"/>
      <c r="W58" s="1191"/>
      <c r="X58" s="1191"/>
      <c r="Y58" s="1191"/>
      <c r="Z58" s="1163"/>
      <c r="AA58" s="1152"/>
      <c r="AB58" s="1152"/>
      <c r="AC58" s="1152"/>
      <c r="AD58" s="1152"/>
      <c r="AE58" s="1165"/>
      <c r="AN58" s="1183"/>
      <c r="AS58" s="1168"/>
    </row>
    <row r="59" spans="2:45" ht="15" customHeight="1">
      <c r="B59" s="1152"/>
      <c r="C59" s="1389" t="s">
        <v>1144</v>
      </c>
      <c r="D59" s="1390">
        <v>8127</v>
      </c>
      <c r="E59" s="1219"/>
      <c r="F59" s="1185"/>
      <c r="G59" s="1218"/>
      <c r="R59" s="1185"/>
      <c r="S59" s="1200"/>
      <c r="T59" s="1201"/>
      <c r="U59" s="1201"/>
      <c r="V59" s="1201"/>
      <c r="W59" s="1191"/>
      <c r="X59" s="1191"/>
      <c r="Y59" s="1191"/>
      <c r="Z59" s="1163"/>
      <c r="AA59" s="1152"/>
      <c r="AB59" s="1152"/>
      <c r="AC59" s="1152"/>
      <c r="AD59" s="1152"/>
      <c r="AE59" s="1165"/>
      <c r="AN59" s="1183"/>
      <c r="AS59" s="1168"/>
    </row>
    <row r="60" spans="2:45" ht="15" customHeight="1">
      <c r="B60" s="1152"/>
      <c r="C60" s="1389" t="s">
        <v>1145</v>
      </c>
      <c r="D60" s="1390">
        <v>4889252</v>
      </c>
      <c r="E60" s="1220"/>
      <c r="F60" s="1221"/>
      <c r="G60" s="1218"/>
      <c r="R60" s="1221"/>
      <c r="S60" s="1200"/>
      <c r="T60" s="1201"/>
      <c r="U60" s="1201"/>
      <c r="V60" s="1201"/>
      <c r="W60" s="1191"/>
      <c r="X60" s="1191"/>
      <c r="Y60" s="1191"/>
      <c r="Z60" s="1163"/>
      <c r="AA60" s="1152"/>
      <c r="AB60" s="1152"/>
      <c r="AC60" s="1152"/>
      <c r="AD60" s="1152"/>
      <c r="AE60" s="1165"/>
      <c r="AN60" s="1183"/>
      <c r="AS60" s="1168"/>
    </row>
    <row r="61" spans="2:45" ht="15" customHeight="1">
      <c r="B61" s="1152"/>
      <c r="C61" s="1391" t="s">
        <v>1146</v>
      </c>
      <c r="D61" s="1392">
        <v>2186340</v>
      </c>
      <c r="E61" s="1220"/>
      <c r="F61" s="1224"/>
      <c r="G61" s="1218"/>
      <c r="H61" s="1140"/>
      <c r="I61" s="1140"/>
      <c r="J61" s="1222"/>
      <c r="K61" s="1140"/>
      <c r="L61" s="1219"/>
      <c r="M61" s="1220"/>
      <c r="N61" s="1220"/>
      <c r="O61" s="1220"/>
      <c r="P61" s="1220"/>
      <c r="Q61" s="1220"/>
      <c r="R61" s="1224"/>
      <c r="S61" s="1200"/>
      <c r="T61" s="1201"/>
      <c r="U61" s="1201"/>
      <c r="V61" s="1201"/>
      <c r="W61" s="1191"/>
      <c r="X61" s="1191"/>
      <c r="Y61" s="1191"/>
      <c r="Z61" s="1163"/>
      <c r="AA61" s="1152"/>
      <c r="AB61" s="1152"/>
      <c r="AC61" s="1152"/>
      <c r="AD61" s="1152"/>
      <c r="AE61" s="1165"/>
      <c r="AN61" s="1183"/>
      <c r="AS61" s="1168"/>
    </row>
    <row r="62" spans="2:45" ht="15" customHeight="1">
      <c r="B62" s="1152"/>
      <c r="C62" s="1223"/>
      <c r="D62" s="1190"/>
      <c r="E62" s="1220"/>
      <c r="F62" s="1224"/>
      <c r="G62" s="1218"/>
      <c r="H62" s="1140"/>
      <c r="I62" s="1140"/>
      <c r="J62" s="1222"/>
      <c r="K62" s="1140"/>
      <c r="L62" s="1219"/>
      <c r="M62" s="1220"/>
      <c r="N62" s="1220"/>
      <c r="O62" s="1220"/>
      <c r="P62" s="1220"/>
      <c r="Q62" s="1220"/>
      <c r="R62" s="1224"/>
      <c r="S62" s="1200"/>
      <c r="T62" s="1201"/>
      <c r="U62" s="1201"/>
      <c r="V62" s="1201"/>
      <c r="W62" s="1191"/>
      <c r="X62" s="1191"/>
      <c r="Y62" s="1191"/>
      <c r="Z62" s="1163"/>
      <c r="AA62" s="1152"/>
      <c r="AB62" s="1152"/>
      <c r="AC62" s="1152"/>
      <c r="AD62" s="1152"/>
      <c r="AE62" s="1165"/>
      <c r="AN62" s="1183"/>
      <c r="AS62" s="1168"/>
    </row>
    <row r="63" spans="2:45" ht="15" customHeight="1">
      <c r="B63" s="1152"/>
      <c r="C63" s="1223"/>
      <c r="D63" s="1190"/>
      <c r="E63" s="1220"/>
      <c r="F63" s="1224"/>
      <c r="G63" s="1218"/>
      <c r="H63" s="1140"/>
      <c r="I63" s="1140"/>
      <c r="J63" s="1222"/>
      <c r="K63" s="1140"/>
      <c r="L63" s="1219"/>
      <c r="M63" s="1220"/>
      <c r="N63" s="1220"/>
      <c r="O63" s="1220"/>
      <c r="P63" s="1220"/>
      <c r="Q63" s="1220"/>
      <c r="R63" s="1224"/>
      <c r="S63" s="1200"/>
      <c r="T63" s="1201"/>
      <c r="U63" s="1201"/>
      <c r="V63" s="1201"/>
      <c r="W63" s="1191"/>
      <c r="X63" s="1191"/>
      <c r="Y63" s="1191"/>
      <c r="Z63" s="1163"/>
      <c r="AA63" s="1152"/>
      <c r="AB63" s="1152"/>
      <c r="AC63" s="1152"/>
      <c r="AD63" s="1152"/>
      <c r="AE63" s="1165"/>
      <c r="AN63" s="1183"/>
      <c r="AS63" s="1168"/>
    </row>
    <row r="64" spans="2:45" ht="15" customHeight="1">
      <c r="B64" s="1152"/>
      <c r="C64" s="1223"/>
      <c r="D64" s="1190"/>
      <c r="E64" s="1220"/>
      <c r="F64" s="1224"/>
      <c r="G64" s="1218"/>
      <c r="H64" s="1140"/>
      <c r="I64" s="1140"/>
      <c r="J64" s="1222"/>
      <c r="K64" s="1140"/>
      <c r="L64" s="1219"/>
      <c r="M64" s="1220"/>
      <c r="N64" s="1220"/>
      <c r="O64" s="1220"/>
      <c r="P64" s="1220"/>
      <c r="Q64" s="1220"/>
      <c r="R64" s="1224"/>
      <c r="S64" s="1200"/>
      <c r="T64" s="1201"/>
      <c r="U64" s="1201"/>
      <c r="V64" s="1201"/>
      <c r="W64" s="1191"/>
      <c r="X64" s="1191"/>
      <c r="Y64" s="1191"/>
      <c r="Z64" s="1163"/>
      <c r="AA64" s="1152"/>
      <c r="AB64" s="1152"/>
      <c r="AC64" s="1152"/>
      <c r="AD64" s="1152"/>
      <c r="AE64" s="1165"/>
      <c r="AN64" s="1183"/>
      <c r="AS64" s="1168"/>
    </row>
    <row r="65" spans="2:45" ht="15" customHeight="1">
      <c r="B65" s="1418" t="s">
        <v>1185</v>
      </c>
      <c r="C65" s="1127" t="s">
        <v>1251</v>
      </c>
      <c r="D65" s="1140"/>
      <c r="E65" s="1195"/>
      <c r="F65" s="1140"/>
      <c r="G65" s="1140"/>
      <c r="H65" s="1142"/>
      <c r="I65" s="1140"/>
      <c r="J65" s="1222"/>
      <c r="K65" s="1140"/>
      <c r="L65" s="1219"/>
      <c r="M65" s="1220"/>
      <c r="N65" s="1220"/>
      <c r="O65" s="1220"/>
      <c r="P65" s="1220"/>
      <c r="Q65" s="1220"/>
      <c r="R65" s="1224"/>
      <c r="S65" s="1200"/>
      <c r="T65" s="1201"/>
      <c r="U65" s="1201"/>
      <c r="V65" s="1201"/>
      <c r="W65" s="1191"/>
      <c r="X65" s="1191"/>
      <c r="Y65" s="1191"/>
      <c r="Z65" s="1163"/>
      <c r="AA65" s="1152"/>
      <c r="AB65" s="1152"/>
      <c r="AC65" s="1152"/>
      <c r="AD65" s="1152"/>
      <c r="AE65" s="1165"/>
      <c r="AN65" s="1183"/>
      <c r="AS65" s="1168"/>
    </row>
    <row r="66" spans="2:45" ht="15" customHeight="1">
      <c r="B66" s="1152"/>
      <c r="C66" s="1187"/>
      <c r="D66" s="1214">
        <v>2010</v>
      </c>
      <c r="E66" s="1195"/>
      <c r="F66" s="1140"/>
      <c r="G66" s="1140"/>
      <c r="H66" s="1142"/>
      <c r="I66" s="1140"/>
      <c r="J66" s="1222"/>
      <c r="K66" s="1140"/>
      <c r="L66" s="1219"/>
      <c r="M66" s="1220"/>
      <c r="N66" s="1220"/>
      <c r="O66" s="1220"/>
      <c r="P66" s="1220"/>
      <c r="Q66" s="1220"/>
      <c r="R66" s="1224"/>
      <c r="S66" s="1200"/>
      <c r="T66" s="1201"/>
      <c r="U66" s="1201"/>
      <c r="V66" s="1201"/>
      <c r="W66" s="1191"/>
      <c r="X66" s="1191"/>
      <c r="Y66" s="1191"/>
      <c r="Z66" s="1163"/>
      <c r="AA66" s="1152"/>
      <c r="AB66" s="1152"/>
      <c r="AC66" s="1152"/>
      <c r="AD66" s="1152"/>
      <c r="AE66" s="1165"/>
      <c r="AN66" s="1183"/>
      <c r="AS66" s="1168"/>
    </row>
    <row r="67" spans="2:45" ht="15" customHeight="1">
      <c r="B67" s="1152"/>
      <c r="C67" s="1385" t="s">
        <v>110</v>
      </c>
      <c r="D67" s="1393">
        <f>D42*0.7</f>
        <v>27813.8</v>
      </c>
      <c r="E67" s="1195"/>
      <c r="F67" s="1383">
        <f t="shared" ref="F67:F75" si="9">D67/$E$75</f>
        <v>95.015641741322256</v>
      </c>
      <c r="G67" s="1140"/>
      <c r="H67" s="1142"/>
      <c r="I67" s="1140"/>
      <c r="J67" s="1222"/>
      <c r="K67" s="1140"/>
      <c r="L67" s="1219"/>
      <c r="M67" s="1220"/>
      <c r="N67" s="1220"/>
      <c r="O67" s="1220"/>
      <c r="P67" s="1220"/>
      <c r="Q67" s="1220"/>
      <c r="R67" s="1224"/>
      <c r="S67" s="1200"/>
      <c r="T67" s="1201"/>
      <c r="U67" s="1201"/>
      <c r="V67" s="1201"/>
      <c r="W67" s="1191"/>
      <c r="X67" s="1191"/>
      <c r="Y67" s="1191"/>
      <c r="Z67" s="1163"/>
      <c r="AA67" s="1152"/>
      <c r="AB67" s="1152"/>
      <c r="AC67" s="1152"/>
      <c r="AD67" s="1152"/>
      <c r="AE67" s="1165"/>
      <c r="AN67" s="1183"/>
      <c r="AS67" s="1168"/>
    </row>
    <row r="68" spans="2:45" ht="15" customHeight="1">
      <c r="B68" s="1152"/>
      <c r="C68" s="1387" t="s">
        <v>1212</v>
      </c>
      <c r="D68" s="1394">
        <f t="shared" ref="D68:D74" si="10">D43</f>
        <v>0</v>
      </c>
      <c r="E68" s="1195"/>
      <c r="F68" s="1383">
        <f t="shared" si="9"/>
        <v>0</v>
      </c>
      <c r="G68" s="1140"/>
      <c r="H68" s="1142"/>
      <c r="I68" s="1140"/>
      <c r="J68" s="1222"/>
      <c r="K68" s="1140"/>
      <c r="L68" s="1219"/>
      <c r="M68" s="1220"/>
      <c r="N68" s="1220"/>
      <c r="O68" s="1220"/>
      <c r="P68" s="1220"/>
      <c r="Q68" s="1220"/>
      <c r="R68" s="1224"/>
      <c r="S68" s="1200"/>
      <c r="T68" s="1201"/>
      <c r="U68" s="1201"/>
      <c r="V68" s="1201"/>
      <c r="W68" s="1191"/>
      <c r="X68" s="1191"/>
      <c r="Y68" s="1191"/>
      <c r="Z68" s="1163"/>
      <c r="AA68" s="1152"/>
      <c r="AB68" s="1152"/>
      <c r="AC68" s="1152"/>
      <c r="AD68" s="1152"/>
      <c r="AE68" s="1165"/>
      <c r="AN68" s="1183"/>
      <c r="AS68" s="1168"/>
    </row>
    <row r="69" spans="2:45" ht="15" customHeight="1">
      <c r="B69" s="1152"/>
      <c r="C69" s="1387" t="s">
        <v>1213</v>
      </c>
      <c r="D69" s="1394">
        <f t="shared" si="10"/>
        <v>1561</v>
      </c>
      <c r="E69" s="1195"/>
      <c r="F69" s="1383">
        <f t="shared" si="9"/>
        <v>5.3325837087418488</v>
      </c>
      <c r="G69" s="1140"/>
      <c r="H69" s="1397" t="s">
        <v>1211</v>
      </c>
      <c r="I69" s="1398"/>
      <c r="J69" s="1398"/>
      <c r="K69" s="1399"/>
      <c r="L69" s="1399"/>
      <c r="M69" s="1399"/>
      <c r="N69" s="1399"/>
      <c r="O69" s="1399"/>
      <c r="P69" s="1399"/>
      <c r="Q69" s="1400"/>
      <c r="R69" s="1224"/>
      <c r="S69" s="1200"/>
      <c r="T69" s="1201"/>
      <c r="U69" s="1201"/>
      <c r="V69" s="1201"/>
      <c r="W69" s="1191"/>
      <c r="X69" s="1191"/>
      <c r="Y69" s="1191"/>
      <c r="Z69" s="1163"/>
      <c r="AA69" s="1152"/>
      <c r="AB69" s="1152"/>
      <c r="AC69" s="1152"/>
      <c r="AD69" s="1152"/>
      <c r="AE69" s="1165"/>
      <c r="AN69" s="1183"/>
      <c r="AS69" s="1168"/>
    </row>
    <row r="70" spans="2:45" ht="15" customHeight="1">
      <c r="B70" s="1152"/>
      <c r="C70" s="1387" t="s">
        <v>1214</v>
      </c>
      <c r="D70" s="1394">
        <f t="shared" si="10"/>
        <v>635</v>
      </c>
      <c r="E70" s="1195"/>
      <c r="F70" s="1383">
        <f t="shared" si="9"/>
        <v>2.1692444939468767</v>
      </c>
      <c r="G70" s="1140"/>
      <c r="H70" s="1401" t="s">
        <v>1249</v>
      </c>
      <c r="I70" s="1402"/>
      <c r="J70" s="1403"/>
      <c r="K70" s="1402"/>
      <c r="L70" s="1402"/>
      <c r="M70" s="1404"/>
      <c r="N70" s="1404"/>
      <c r="O70" s="1404"/>
      <c r="P70" s="1404"/>
      <c r="Q70" s="1405"/>
      <c r="R70" s="1224"/>
      <c r="S70" s="1200"/>
      <c r="T70" s="1201"/>
      <c r="U70" s="1201"/>
      <c r="V70" s="1201"/>
      <c r="W70" s="1191"/>
      <c r="X70" s="1191"/>
      <c r="Y70" s="1191"/>
      <c r="Z70" s="1163"/>
      <c r="AA70" s="1152"/>
      <c r="AB70" s="1152"/>
      <c r="AC70" s="1152"/>
      <c r="AD70" s="1152"/>
      <c r="AE70" s="1165"/>
      <c r="AN70" s="1183"/>
      <c r="AS70" s="1168"/>
    </row>
    <row r="71" spans="2:45" ht="15" customHeight="1">
      <c r="B71" s="1152"/>
      <c r="C71" s="1387" t="s">
        <v>1215</v>
      </c>
      <c r="D71" s="1394">
        <f t="shared" si="10"/>
        <v>97</v>
      </c>
      <c r="E71" s="1195"/>
      <c r="F71" s="1383">
        <f t="shared" si="9"/>
        <v>0.33136490694936538</v>
      </c>
      <c r="G71" s="1140"/>
      <c r="H71" s="1406"/>
      <c r="I71" s="1407">
        <v>2010</v>
      </c>
      <c r="J71" s="1403"/>
      <c r="K71" s="1402"/>
      <c r="L71" s="1402"/>
      <c r="M71" s="1404"/>
      <c r="N71" s="1404"/>
      <c r="O71" s="1404"/>
      <c r="P71" s="1404"/>
      <c r="Q71" s="1405"/>
      <c r="R71" s="1224"/>
      <c r="S71" s="1200"/>
      <c r="T71" s="1201"/>
      <c r="U71" s="1201"/>
      <c r="V71" s="1201"/>
      <c r="W71" s="1191"/>
      <c r="X71" s="1191"/>
      <c r="Y71" s="1191"/>
      <c r="Z71" s="1163"/>
      <c r="AA71" s="1152"/>
      <c r="AB71" s="1152"/>
      <c r="AC71" s="1152"/>
      <c r="AD71" s="1152"/>
      <c r="AE71" s="1165"/>
      <c r="AN71" s="1183"/>
      <c r="AS71" s="1168"/>
    </row>
    <row r="72" spans="2:45" ht="15" customHeight="1">
      <c r="B72" s="1152"/>
      <c r="C72" s="1387" t="s">
        <v>1216</v>
      </c>
      <c r="D72" s="1394">
        <f t="shared" si="10"/>
        <v>8361</v>
      </c>
      <c r="E72" s="1195"/>
      <c r="F72" s="1383">
        <f t="shared" si="9"/>
        <v>28.562288525810764</v>
      </c>
      <c r="G72" s="1140"/>
      <c r="H72" s="1408" t="s">
        <v>1182</v>
      </c>
      <c r="I72" s="1409">
        <f>'Statistics Norway - ENERGY USE'!E43</f>
        <v>182.33333333333334</v>
      </c>
      <c r="J72" s="1403"/>
      <c r="K72" s="1402"/>
      <c r="L72" s="1402"/>
      <c r="M72" s="1404"/>
      <c r="N72" s="1404"/>
      <c r="O72" s="1404"/>
      <c r="P72" s="1404"/>
      <c r="Q72" s="1405"/>
      <c r="R72" s="1224"/>
      <c r="S72" s="1200"/>
      <c r="T72" s="1201"/>
      <c r="U72" s="1201"/>
      <c r="V72" s="1201"/>
      <c r="W72" s="1191"/>
      <c r="X72" s="1191"/>
      <c r="Y72" s="1191"/>
      <c r="Z72" s="1163"/>
      <c r="AA72" s="1152"/>
      <c r="AB72" s="1152"/>
      <c r="AC72" s="1152"/>
      <c r="AD72" s="1152"/>
      <c r="AE72" s="1165"/>
      <c r="AN72" s="1183"/>
      <c r="AS72" s="1168"/>
    </row>
    <row r="73" spans="2:45" ht="15" customHeight="1">
      <c r="B73" s="1152"/>
      <c r="C73" s="1387" t="s">
        <v>111</v>
      </c>
      <c r="D73" s="1394">
        <f t="shared" si="10"/>
        <v>46</v>
      </c>
      <c r="E73" s="1195"/>
      <c r="F73" s="1383">
        <f t="shared" si="9"/>
        <v>0.15714212082134854</v>
      </c>
      <c r="G73" s="1140"/>
      <c r="H73" s="1408" t="s">
        <v>979</v>
      </c>
      <c r="I73" s="1409">
        <f>'Statistics Norway - ENERGY USE'!E44</f>
        <v>147</v>
      </c>
      <c r="J73" s="1403"/>
      <c r="K73" s="1402"/>
      <c r="L73" s="1402"/>
      <c r="M73" s="1404"/>
      <c r="N73" s="1404"/>
      <c r="O73" s="1404"/>
      <c r="P73" s="1404"/>
      <c r="Q73" s="1405"/>
      <c r="R73" s="1224"/>
      <c r="S73" s="1200"/>
      <c r="T73" s="1201"/>
      <c r="U73" s="1201"/>
      <c r="V73" s="1201"/>
      <c r="W73" s="1191"/>
      <c r="X73" s="1191"/>
      <c r="Y73" s="1191"/>
      <c r="Z73" s="1163"/>
      <c r="AA73" s="1152"/>
      <c r="AB73" s="1152"/>
      <c r="AC73" s="1152"/>
      <c r="AD73" s="1152"/>
      <c r="AE73" s="1165"/>
      <c r="AN73" s="1183"/>
      <c r="AS73" s="1168"/>
    </row>
    <row r="74" spans="2:45" ht="15" customHeight="1">
      <c r="B74" s="1152"/>
      <c r="C74" s="1387" t="s">
        <v>963</v>
      </c>
      <c r="D74" s="1394">
        <f t="shared" si="10"/>
        <v>1084</v>
      </c>
      <c r="E74" s="1195"/>
      <c r="F74" s="1383">
        <f t="shared" si="9"/>
        <v>3.7030882384856918</v>
      </c>
      <c r="G74" s="1140"/>
      <c r="H74" s="1408" t="s">
        <v>981</v>
      </c>
      <c r="I74" s="1409">
        <f>'Statistics Norway - ENERGY USE'!E45</f>
        <v>6.666666666666667</v>
      </c>
      <c r="J74" s="1403"/>
      <c r="K74" s="1402"/>
      <c r="L74" s="1402"/>
      <c r="M74" s="1410"/>
      <c r="N74" s="1410"/>
      <c r="O74" s="1410"/>
      <c r="P74" s="1410"/>
      <c r="Q74" s="1411"/>
      <c r="R74" s="1224"/>
      <c r="S74" s="1200"/>
      <c r="T74" s="1201"/>
      <c r="U74" s="1201"/>
      <c r="V74" s="1201"/>
      <c r="W74" s="1191"/>
      <c r="X74" s="1191"/>
      <c r="Y74" s="1191"/>
      <c r="Z74" s="1163"/>
      <c r="AA74" s="1152"/>
      <c r="AB74" s="1152"/>
      <c r="AC74" s="1152"/>
      <c r="AD74" s="1152"/>
      <c r="AE74" s="1165"/>
      <c r="AN74" s="1183"/>
      <c r="AS74" s="1168"/>
    </row>
    <row r="75" spans="2:45" ht="15" customHeight="1">
      <c r="B75" s="1152"/>
      <c r="C75" s="1395" t="s">
        <v>1217</v>
      </c>
      <c r="D75" s="1396">
        <f>SUM(D67:D74)</f>
        <v>39597.800000000003</v>
      </c>
      <c r="E75" s="1236">
        <f>Buildings_DR!I44</f>
        <v>292.72864436070836</v>
      </c>
      <c r="F75" s="1384">
        <f t="shared" si="9"/>
        <v>135.27135373607817</v>
      </c>
      <c r="G75" s="1140"/>
      <c r="H75" s="1412" t="s">
        <v>1183</v>
      </c>
      <c r="I75" s="1413">
        <f>'Statistics Norway - ENERGY USE'!E46</f>
        <v>27</v>
      </c>
      <c r="J75" s="1414"/>
      <c r="K75" s="1415"/>
      <c r="L75" s="1415"/>
      <c r="M75" s="1416"/>
      <c r="N75" s="1416"/>
      <c r="O75" s="1416"/>
      <c r="P75" s="1416"/>
      <c r="Q75" s="1417"/>
      <c r="R75" s="1224"/>
      <c r="S75" s="1200"/>
      <c r="T75" s="1201"/>
      <c r="U75" s="1201"/>
      <c r="V75" s="1201"/>
      <c r="W75" s="1191"/>
      <c r="X75" s="1191"/>
      <c r="Y75" s="1191"/>
      <c r="Z75" s="1163"/>
      <c r="AA75" s="1152"/>
      <c r="AB75" s="1152"/>
      <c r="AC75" s="1152"/>
      <c r="AD75" s="1152"/>
      <c r="AE75" s="1165"/>
      <c r="AN75" s="1183"/>
      <c r="AS75" s="1168"/>
    </row>
    <row r="76" spans="2:45" ht="15" customHeight="1">
      <c r="B76" s="1152"/>
      <c r="C76" s="1140"/>
      <c r="D76" s="1216" t="s">
        <v>1100</v>
      </c>
      <c r="E76" s="1217" t="s">
        <v>48</v>
      </c>
      <c r="F76" s="1217" t="s">
        <v>1184</v>
      </c>
      <c r="G76" s="1140"/>
      <c r="H76" s="1142"/>
      <c r="I76" s="1142"/>
      <c r="J76" s="1142"/>
      <c r="R76" s="1224"/>
      <c r="S76" s="1200"/>
      <c r="T76" s="1201"/>
      <c r="U76" s="1201"/>
      <c r="V76" s="1201"/>
      <c r="W76" s="1191"/>
      <c r="X76" s="1191"/>
      <c r="Y76" s="1191"/>
      <c r="Z76" s="1163"/>
      <c r="AA76" s="1152"/>
      <c r="AB76" s="1152"/>
      <c r="AC76" s="1152"/>
      <c r="AD76" s="1152"/>
      <c r="AE76" s="1165"/>
      <c r="AN76" s="1183"/>
      <c r="AS76" s="1168"/>
    </row>
    <row r="77" spans="2:45" ht="15" customHeight="1">
      <c r="B77" s="1152"/>
      <c r="C77" s="1223"/>
      <c r="D77" s="1190"/>
      <c r="E77" s="1220"/>
      <c r="F77" s="1224"/>
      <c r="G77" s="1218"/>
      <c r="H77" s="1140"/>
      <c r="I77" s="1140"/>
      <c r="J77" s="1222"/>
      <c r="K77" s="1140"/>
      <c r="L77" s="1219"/>
      <c r="M77" s="1220"/>
      <c r="N77" s="1220"/>
      <c r="O77" s="1220"/>
      <c r="P77" s="1220"/>
      <c r="Q77" s="1220"/>
      <c r="R77" s="1224"/>
      <c r="S77" s="1200"/>
      <c r="T77" s="1201"/>
      <c r="U77" s="1201"/>
      <c r="V77" s="1201"/>
      <c r="W77" s="1191"/>
      <c r="X77" s="1191"/>
      <c r="Y77" s="1191"/>
      <c r="Z77" s="1163"/>
      <c r="AA77" s="1152"/>
      <c r="AB77" s="1152"/>
      <c r="AC77" s="1152"/>
      <c r="AD77" s="1152"/>
      <c r="AE77" s="1165"/>
      <c r="AN77" s="1183"/>
      <c r="AS77" s="1168"/>
    </row>
    <row r="78" spans="2:45" ht="15" customHeight="1">
      <c r="B78" s="1152"/>
      <c r="C78" s="1223"/>
      <c r="D78" s="1190"/>
      <c r="E78" s="1220"/>
      <c r="F78" s="1224"/>
      <c r="G78" s="1218"/>
      <c r="H78" s="1140"/>
      <c r="I78" s="1140"/>
      <c r="J78" s="1222"/>
      <c r="K78" s="1140"/>
      <c r="L78" s="1219"/>
      <c r="M78" s="1220"/>
      <c r="N78" s="1220"/>
      <c r="O78" s="1220"/>
      <c r="P78" s="1220"/>
      <c r="Q78" s="1220"/>
      <c r="R78" s="1224"/>
      <c r="S78" s="1200"/>
      <c r="T78" s="1201"/>
      <c r="U78" s="1201"/>
      <c r="V78" s="1201"/>
      <c r="W78" s="1191"/>
      <c r="X78" s="1191"/>
      <c r="Y78" s="1191"/>
      <c r="Z78" s="1163"/>
      <c r="AA78" s="1152"/>
      <c r="AB78" s="1152"/>
      <c r="AC78" s="1152"/>
      <c r="AD78" s="1152"/>
      <c r="AE78" s="1165"/>
      <c r="AN78" s="1183"/>
      <c r="AS78" s="1168"/>
    </row>
    <row r="79" spans="2:45" ht="15" customHeight="1">
      <c r="B79" s="1152"/>
      <c r="C79" s="1223"/>
      <c r="D79" s="1190"/>
      <c r="E79" s="1220"/>
      <c r="F79" s="1224"/>
      <c r="G79" s="1218"/>
      <c r="H79" s="1140"/>
      <c r="I79" s="1140"/>
      <c r="J79" s="1222"/>
      <c r="K79" s="1140"/>
      <c r="L79" s="1219"/>
      <c r="M79" s="1220"/>
      <c r="N79" s="1220"/>
      <c r="O79" s="1220"/>
      <c r="P79" s="1220"/>
      <c r="Q79" s="1220"/>
      <c r="R79" s="1224"/>
      <c r="S79" s="1200"/>
      <c r="T79" s="1201"/>
      <c r="U79" s="1201"/>
      <c r="V79" s="1201"/>
      <c r="W79" s="1191"/>
      <c r="X79" s="1191"/>
      <c r="Y79" s="1191"/>
      <c r="Z79" s="1163"/>
      <c r="AA79" s="1152"/>
      <c r="AB79" s="1152"/>
      <c r="AC79" s="1152"/>
      <c r="AD79" s="1152"/>
      <c r="AE79" s="1165"/>
      <c r="AN79" s="1183"/>
      <c r="AS79" s="1168"/>
    </row>
    <row r="80" spans="2:45" ht="15" customHeight="1">
      <c r="B80" s="1152"/>
      <c r="C80" s="1223"/>
      <c r="D80" s="1190"/>
      <c r="E80" s="1220"/>
      <c r="F80" s="1224"/>
      <c r="G80" s="1218"/>
      <c r="H80" s="1140"/>
      <c r="I80" s="1140"/>
      <c r="J80" s="1222"/>
      <c r="K80" s="1140"/>
      <c r="L80" s="1219"/>
      <c r="M80" s="1220"/>
      <c r="N80" s="1220"/>
      <c r="O80" s="1220"/>
      <c r="P80" s="1220"/>
      <c r="Q80" s="1220"/>
      <c r="R80" s="1224"/>
      <c r="S80" s="1200"/>
      <c r="T80" s="1201"/>
      <c r="U80" s="1201"/>
      <c r="V80" s="1201"/>
      <c r="W80" s="1191"/>
      <c r="X80" s="1191"/>
      <c r="Y80" s="1191"/>
      <c r="Z80" s="1163"/>
      <c r="AA80" s="1152"/>
      <c r="AB80" s="1152"/>
      <c r="AC80" s="1152"/>
      <c r="AD80" s="1152"/>
      <c r="AE80" s="1165"/>
      <c r="AN80" s="1183"/>
      <c r="AS80" s="1168"/>
    </row>
    <row r="81" spans="2:45" ht="15" customHeight="1">
      <c r="B81" s="1152"/>
      <c r="C81" s="1223"/>
      <c r="D81" s="1190"/>
      <c r="E81" s="1220"/>
      <c r="F81" s="1224"/>
      <c r="G81" s="1218"/>
      <c r="H81" s="1140"/>
      <c r="I81" s="1140"/>
      <c r="J81" s="1222"/>
      <c r="K81" s="1140"/>
      <c r="L81" s="1219"/>
      <c r="M81" s="1220"/>
      <c r="N81" s="1220"/>
      <c r="O81" s="1220"/>
      <c r="P81" s="1220"/>
      <c r="Q81" s="1220"/>
      <c r="R81" s="1224"/>
      <c r="S81" s="1200"/>
      <c r="T81" s="1201"/>
      <c r="U81" s="1201"/>
      <c r="V81" s="1201"/>
      <c r="W81" s="1191"/>
      <c r="X81" s="1191"/>
      <c r="Y81" s="1191"/>
      <c r="Z81" s="1163"/>
      <c r="AA81" s="1152"/>
      <c r="AB81" s="1152"/>
      <c r="AC81" s="1152"/>
      <c r="AD81" s="1152"/>
      <c r="AE81" s="1165"/>
      <c r="AN81" s="1183"/>
      <c r="AS81" s="1168"/>
    </row>
    <row r="82" spans="2:45" ht="15" customHeight="1">
      <c r="B82" s="1418" t="s">
        <v>1187</v>
      </c>
      <c r="C82" s="1240" t="s">
        <v>1252</v>
      </c>
      <c r="D82" s="1240"/>
      <c r="E82" s="1240"/>
      <c r="F82" s="1240"/>
      <c r="G82" s="1240"/>
      <c r="H82" s="1240"/>
      <c r="I82" s="1240"/>
      <c r="J82" s="1240"/>
      <c r="K82" s="1240"/>
      <c r="L82" s="1240"/>
      <c r="M82" s="1240"/>
      <c r="N82" s="1240"/>
      <c r="O82" s="1240"/>
      <c r="P82" s="1240"/>
      <c r="Q82" s="1240"/>
      <c r="R82" s="1240"/>
      <c r="S82" s="1240"/>
      <c r="T82" s="1240"/>
      <c r="U82" s="1201"/>
      <c r="V82" s="1201"/>
      <c r="W82" s="1191"/>
      <c r="X82" s="1191"/>
      <c r="Y82" s="1191"/>
      <c r="Z82" s="1163"/>
      <c r="AA82" s="1152"/>
      <c r="AB82" s="1152"/>
      <c r="AC82" s="1152"/>
      <c r="AD82" s="1152"/>
      <c r="AE82" s="1165"/>
      <c r="AN82" s="1183"/>
      <c r="AS82" s="1168"/>
    </row>
    <row r="83" spans="2:45" ht="15" customHeight="1">
      <c r="C83" s="1261"/>
      <c r="D83" s="1262" t="s">
        <v>1219</v>
      </c>
      <c r="E83" s="1266" t="s">
        <v>1218</v>
      </c>
      <c r="F83" s="1263" t="s">
        <v>177</v>
      </c>
      <c r="G83" s="860"/>
      <c r="H83" s="860"/>
      <c r="I83" s="1347" t="s">
        <v>1256</v>
      </c>
      <c r="J83" s="744"/>
      <c r="K83" s="860"/>
      <c r="L83" s="860"/>
      <c r="M83" s="860"/>
      <c r="N83" s="860"/>
      <c r="O83" s="860"/>
      <c r="P83" s="860"/>
      <c r="Q83" s="860"/>
      <c r="R83" s="860"/>
      <c r="S83" s="860"/>
      <c r="T83" s="860"/>
      <c r="U83" s="1201"/>
      <c r="V83" s="1201"/>
      <c r="W83" s="1191"/>
      <c r="X83" s="1191"/>
      <c r="Y83" s="1191"/>
      <c r="Z83" s="1163"/>
      <c r="AA83" s="1152"/>
      <c r="AB83" s="1152"/>
      <c r="AC83" s="1152"/>
      <c r="AD83" s="1152"/>
      <c r="AE83" s="1165"/>
      <c r="AN83" s="1183"/>
      <c r="AS83" s="1168"/>
    </row>
    <row r="84" spans="2:45" ht="15" customHeight="1">
      <c r="B84" s="1237" t="s">
        <v>1102</v>
      </c>
      <c r="C84" s="1253" t="s">
        <v>1016</v>
      </c>
      <c r="D84" s="1241">
        <f>SUM(Service_Demand_2010!F111:H123)</f>
        <v>433163.79872176255</v>
      </c>
      <c r="E84" s="1241">
        <f>SUM(Service_Demand_2010!L111:N123)</f>
        <v>209952.62906876887</v>
      </c>
      <c r="F84" s="1254">
        <f>SUM(Service_Demand_2010!R111:T123)</f>
        <v>31512704.961736035</v>
      </c>
      <c r="G84" s="1375">
        <f>SUM(D84:F84,D86:F86)</f>
        <v>217485746.60319102</v>
      </c>
      <c r="H84" s="1371"/>
      <c r="I84" s="1369" t="s">
        <v>1016</v>
      </c>
      <c r="J84" s="1364">
        <f>'Statistics Norway - ENERGY USE'!F67</f>
        <v>179.44444444444443</v>
      </c>
      <c r="K84" s="1371">
        <f>(J84/AVERAGE(J84:J85))</f>
        <v>0.94045712621924582</v>
      </c>
      <c r="L84" s="1374"/>
      <c r="M84" s="1380">
        <f>J84/J85</f>
        <v>0.88760648529815867</v>
      </c>
      <c r="N84" s="1380"/>
      <c r="O84" s="1380"/>
      <c r="P84" s="1380"/>
      <c r="Q84" s="860"/>
      <c r="R84" s="860"/>
      <c r="S84" s="860"/>
      <c r="T84" s="860"/>
      <c r="U84" s="1201"/>
      <c r="V84" s="1201"/>
      <c r="W84" s="1191"/>
      <c r="X84" s="1191"/>
      <c r="Y84" s="1191"/>
      <c r="Z84" s="1163"/>
      <c r="AA84" s="1152"/>
      <c r="AB84" s="1152"/>
      <c r="AC84" s="1152"/>
      <c r="AD84" s="1152"/>
      <c r="AE84" s="1165"/>
      <c r="AN84" s="1183"/>
      <c r="AS84" s="1168"/>
    </row>
    <row r="85" spans="2:45" ht="15" customHeight="1">
      <c r="B85" s="1237"/>
      <c r="C85" s="1255" t="s">
        <v>1017</v>
      </c>
      <c r="D85" s="1242">
        <f>SUM(Service_Demand_2010!F124:H129)</f>
        <v>8596.8219177677056</v>
      </c>
      <c r="E85" s="1241">
        <f>SUM(Service_Demand_2010!L124:N129)</f>
        <v>116933.85275733679</v>
      </c>
      <c r="F85" s="1256">
        <f>SUM(Service_Demand_2010!R124:T129)</f>
        <v>6151003.0590801202</v>
      </c>
      <c r="G85" s="1375">
        <f>SUM(D85:F85,D87:F87)</f>
        <v>75242897.757517233</v>
      </c>
      <c r="H85" s="1371"/>
      <c r="I85" s="1370" t="s">
        <v>1017</v>
      </c>
      <c r="J85" s="1365">
        <f>'Statistics Norway - ENERGY USE'!F73</f>
        <v>202.16666666666669</v>
      </c>
      <c r="K85" s="1372">
        <f>J85/AVERAGE(J84:J85)</f>
        <v>1.0595428737807542</v>
      </c>
      <c r="L85" s="1374"/>
      <c r="M85" s="327"/>
      <c r="N85" s="327"/>
      <c r="O85" s="327"/>
      <c r="P85" s="327"/>
      <c r="Q85" s="327"/>
      <c r="R85" s="327"/>
      <c r="S85" s="327"/>
      <c r="T85" s="327"/>
      <c r="U85" s="1201"/>
      <c r="V85" s="1201"/>
      <c r="W85" s="1191"/>
      <c r="X85" s="1191"/>
      <c r="Y85" s="1191"/>
      <c r="Z85" s="1163"/>
      <c r="AA85" s="1152"/>
      <c r="AB85" s="1152"/>
      <c r="AC85" s="1152"/>
      <c r="AD85" s="1152"/>
      <c r="AE85" s="1165"/>
      <c r="AN85" s="1183"/>
      <c r="AS85" s="1168"/>
    </row>
    <row r="86" spans="2:45" ht="15" customHeight="1">
      <c r="B86" s="1237" t="s">
        <v>1101</v>
      </c>
      <c r="C86" s="1253" t="s">
        <v>1016</v>
      </c>
      <c r="D86" s="1243">
        <f>SUM(Service_Demand_2010!C111:E123)</f>
        <v>1162445.0174379621</v>
      </c>
      <c r="E86" s="1241">
        <f>SUM(Service_Demand_2010!I111:K123)</f>
        <v>2544153.4868353279</v>
      </c>
      <c r="F86" s="1257">
        <f>SUM(Service_Demand_2010!O111:Q123)</f>
        <v>181623326.70939118</v>
      </c>
      <c r="G86" s="1008"/>
      <c r="H86" s="1008"/>
      <c r="I86" s="1008"/>
      <c r="J86" s="1008"/>
      <c r="K86" s="1008"/>
      <c r="L86" s="1008"/>
      <c r="M86" s="1008"/>
      <c r="N86" s="1008"/>
      <c r="O86" s="1008"/>
      <c r="P86" s="1008"/>
      <c r="Q86" s="1008"/>
      <c r="R86" s="1008"/>
      <c r="S86" s="1008"/>
      <c r="T86" s="1008"/>
      <c r="U86" s="1201"/>
      <c r="V86" s="1201"/>
      <c r="W86" s="1191"/>
      <c r="X86" s="1191"/>
      <c r="Y86" s="1191"/>
      <c r="Z86" s="1163"/>
      <c r="AA86" s="1152"/>
      <c r="AB86" s="1152"/>
      <c r="AC86" s="1152"/>
      <c r="AD86" s="1152"/>
      <c r="AE86" s="1165"/>
      <c r="AN86" s="1183"/>
      <c r="AS86" s="1168"/>
    </row>
    <row r="87" spans="2:45" ht="15" customHeight="1">
      <c r="C87" s="1258" t="s">
        <v>1017</v>
      </c>
      <c r="D87" s="1259">
        <f>SUM(Service_Demand_2010!C124:E129)</f>
        <v>162273.14485005758</v>
      </c>
      <c r="E87" s="1265">
        <f>SUM(Service_Demand_2010!I124:K129)</f>
        <v>1217054.1356251829</v>
      </c>
      <c r="F87" s="1260">
        <f>SUM(Service_Demand_2010!O124:Q129)</f>
        <v>67587036.743286774</v>
      </c>
      <c r="G87" s="1008"/>
      <c r="H87" s="1373"/>
      <c r="I87" s="1008"/>
      <c r="J87" s="1008"/>
      <c r="K87" s="1008"/>
      <c r="L87" s="1008"/>
      <c r="M87" s="1008"/>
      <c r="N87" s="1008"/>
      <c r="O87" s="1008"/>
      <c r="P87" s="1008"/>
      <c r="Q87" s="1008"/>
      <c r="R87" s="1008"/>
      <c r="S87" s="1008"/>
      <c r="T87" s="1008"/>
      <c r="U87" s="1201"/>
      <c r="V87" s="1201"/>
      <c r="W87" s="1191"/>
      <c r="X87" s="1191"/>
      <c r="Y87" s="1191"/>
      <c r="Z87" s="1163"/>
      <c r="AA87" s="1152"/>
      <c r="AB87" s="1152"/>
      <c r="AC87" s="1152"/>
      <c r="AD87" s="1152"/>
      <c r="AE87" s="1165"/>
      <c r="AN87" s="1183"/>
      <c r="AS87" s="1168"/>
    </row>
    <row r="88" spans="2:45" ht="15" customHeight="1">
      <c r="C88" s="1239"/>
      <c r="D88" s="1243"/>
      <c r="E88" s="1241"/>
      <c r="F88" s="1243"/>
      <c r="G88" s="1008"/>
      <c r="H88" s="1373"/>
      <c r="I88" s="1008"/>
      <c r="J88" s="1008"/>
      <c r="K88" s="1008"/>
      <c r="L88" s="1008"/>
      <c r="M88" s="1008"/>
      <c r="N88" s="1008"/>
      <c r="O88" s="1008"/>
      <c r="P88" s="1008"/>
      <c r="Q88" s="1008"/>
      <c r="R88" s="1008"/>
      <c r="S88" s="1008"/>
      <c r="T88" s="1008"/>
      <c r="U88" s="1201"/>
      <c r="V88" s="1201"/>
      <c r="W88" s="1191"/>
      <c r="X88" s="1191"/>
      <c r="Y88" s="1191"/>
      <c r="Z88" s="1163"/>
      <c r="AA88" s="1152"/>
      <c r="AB88" s="1152"/>
      <c r="AC88" s="1152"/>
      <c r="AD88" s="1152"/>
      <c r="AE88" s="1165"/>
      <c r="AN88" s="1183"/>
      <c r="AS88" s="1168"/>
    </row>
    <row r="89" spans="2:45" ht="15" customHeight="1">
      <c r="C89" s="1239"/>
      <c r="D89" s="1243"/>
      <c r="E89" s="1241"/>
      <c r="F89" s="1243"/>
      <c r="G89" s="1008"/>
      <c r="H89" s="1373"/>
      <c r="I89" s="1008"/>
      <c r="J89" s="1008"/>
      <c r="K89" s="1008"/>
      <c r="L89" s="1008"/>
      <c r="M89" s="1008"/>
      <c r="N89" s="1008"/>
      <c r="O89" s="1008"/>
      <c r="P89" s="1008"/>
      <c r="Q89" s="1008"/>
      <c r="R89" s="1008"/>
      <c r="S89" s="1008"/>
      <c r="T89" s="1008"/>
      <c r="U89" s="1201"/>
      <c r="V89" s="1201"/>
      <c r="W89" s="1191"/>
      <c r="X89" s="1191"/>
      <c r="Y89" s="1191"/>
      <c r="Z89" s="1163"/>
      <c r="AA89" s="1152"/>
      <c r="AB89" s="1152"/>
      <c r="AC89" s="1152"/>
      <c r="AD89" s="1152"/>
      <c r="AE89" s="1165"/>
      <c r="AN89" s="1183"/>
      <c r="AS89" s="1168"/>
    </row>
    <row r="90" spans="2:45" ht="15" customHeight="1">
      <c r="C90" s="1239"/>
      <c r="D90" s="1243"/>
      <c r="E90" s="1241"/>
      <c r="F90" s="1243"/>
      <c r="G90" s="1008"/>
      <c r="H90" s="1008"/>
      <c r="I90" s="1008"/>
      <c r="J90" s="1008"/>
      <c r="K90" s="1008"/>
      <c r="L90" s="1008"/>
      <c r="M90" s="1008"/>
      <c r="N90" s="1008"/>
      <c r="O90" s="1008"/>
      <c r="P90" s="1008"/>
      <c r="Q90" s="1008"/>
      <c r="R90" s="1008"/>
      <c r="S90" s="1008"/>
      <c r="T90" s="1008"/>
      <c r="U90" s="1201"/>
      <c r="V90" s="1201"/>
      <c r="W90" s="1191"/>
      <c r="X90" s="1191"/>
      <c r="Y90" s="1191"/>
      <c r="Z90" s="1163"/>
      <c r="AA90" s="1152"/>
      <c r="AB90" s="1152"/>
      <c r="AC90" s="1152"/>
      <c r="AD90" s="1152"/>
      <c r="AE90" s="1165"/>
      <c r="AN90" s="1183"/>
      <c r="AS90" s="1168"/>
    </row>
    <row r="91" spans="2:45" ht="15" customHeight="1">
      <c r="B91" s="951"/>
      <c r="C91" s="1377" t="s">
        <v>928</v>
      </c>
      <c r="D91" s="1378">
        <v>1.0298</v>
      </c>
      <c r="E91" s="1008"/>
      <c r="F91" s="1008"/>
      <c r="G91" s="1008"/>
      <c r="H91" s="1008"/>
      <c r="I91" s="1008"/>
      <c r="J91" s="1008"/>
      <c r="K91" s="1008"/>
      <c r="L91" s="1008"/>
      <c r="M91" s="1008"/>
      <c r="N91" s="1008"/>
      <c r="O91" s="1008"/>
      <c r="P91" s="1008"/>
      <c r="Q91" s="1008"/>
      <c r="R91" s="1008"/>
      <c r="S91" s="1008"/>
      <c r="T91" s="1008"/>
      <c r="U91" s="1201"/>
      <c r="V91" s="1201"/>
      <c r="W91" s="1191"/>
      <c r="X91" s="1191"/>
      <c r="Y91" s="1191"/>
      <c r="Z91" s="1163"/>
      <c r="AA91" s="1152"/>
      <c r="AB91" s="1152"/>
      <c r="AC91" s="1152"/>
      <c r="AD91" s="1152"/>
      <c r="AE91" s="1165"/>
      <c r="AN91" s="1183"/>
      <c r="AS91" s="1168"/>
    </row>
    <row r="92" spans="2:45" ht="15" customHeight="1">
      <c r="B92" s="951"/>
      <c r="C92" s="1008"/>
      <c r="D92" s="1008"/>
      <c r="E92" s="1008"/>
      <c r="F92" s="1008"/>
      <c r="G92" s="1008"/>
      <c r="H92" s="1008"/>
      <c r="I92" s="1008"/>
      <c r="J92" s="1008"/>
      <c r="K92" s="1008"/>
      <c r="L92" s="1008"/>
      <c r="M92" s="1008"/>
      <c r="N92" s="1008"/>
      <c r="O92" s="1008"/>
      <c r="P92" s="1008"/>
      <c r="Q92" s="1008"/>
      <c r="R92" s="1008"/>
      <c r="S92" s="1008"/>
      <c r="T92" s="1008"/>
      <c r="U92" s="1201"/>
      <c r="V92" s="1201"/>
      <c r="W92" s="1191"/>
      <c r="X92" s="1191"/>
      <c r="Y92" s="1191"/>
      <c r="Z92" s="1163"/>
      <c r="AA92" s="1152"/>
      <c r="AB92" s="1152"/>
      <c r="AC92" s="1152"/>
      <c r="AD92" s="1152"/>
      <c r="AE92" s="1165"/>
      <c r="AN92" s="1183"/>
      <c r="AS92" s="1168"/>
    </row>
    <row r="93" spans="2:45" ht="15" customHeight="1">
      <c r="B93" s="951"/>
      <c r="C93" s="1008"/>
      <c r="D93" s="1008"/>
      <c r="E93" s="1008"/>
      <c r="F93" s="1008"/>
      <c r="G93" s="1008"/>
      <c r="H93" s="1008"/>
      <c r="I93" s="1008"/>
      <c r="J93" s="1008"/>
      <c r="K93" s="1008"/>
      <c r="L93" s="1008"/>
      <c r="M93" s="1008"/>
      <c r="N93" s="1008"/>
      <c r="O93" s="1008"/>
      <c r="P93" s="1008"/>
      <c r="Q93" s="1008"/>
      <c r="R93" s="1008"/>
      <c r="S93" s="1008"/>
      <c r="T93" s="1008"/>
      <c r="U93" s="1201"/>
      <c r="V93" s="1201"/>
      <c r="W93" s="1191"/>
      <c r="X93" s="1191"/>
      <c r="Y93" s="1191"/>
      <c r="Z93" s="1163"/>
      <c r="AA93" s="1152"/>
      <c r="AB93" s="1152"/>
      <c r="AC93" s="1152"/>
      <c r="AD93" s="1152"/>
      <c r="AE93" s="1165"/>
      <c r="AN93" s="1183"/>
      <c r="AS93" s="1168"/>
    </row>
    <row r="94" spans="2:45" ht="15" customHeight="1" thickBot="1">
      <c r="B94" s="1418" t="s">
        <v>1254</v>
      </c>
      <c r="C94" s="1240" t="s">
        <v>1253</v>
      </c>
      <c r="D94" s="1240"/>
      <c r="E94" s="1240"/>
      <c r="F94" s="1240"/>
      <c r="G94" s="1240"/>
      <c r="H94" s="1240"/>
      <c r="I94" s="1240"/>
      <c r="J94" s="1240"/>
      <c r="K94" s="1240"/>
      <c r="L94" s="1240"/>
      <c r="M94" s="1240"/>
      <c r="N94" s="1240"/>
      <c r="O94" s="1240"/>
      <c r="P94" s="1240"/>
      <c r="Q94" s="1240"/>
      <c r="R94" s="1240"/>
      <c r="S94" s="1240"/>
      <c r="T94" s="1240"/>
      <c r="U94" s="1142"/>
      <c r="V94" s="1240"/>
      <c r="W94" s="1240"/>
      <c r="X94" s="1240"/>
      <c r="Y94" s="1191"/>
      <c r="Z94" s="1163"/>
      <c r="AA94" s="1152"/>
      <c r="AB94" s="1152"/>
      <c r="AC94" s="1152"/>
      <c r="AD94" s="1152"/>
      <c r="AE94" s="1165"/>
      <c r="AN94" s="1183"/>
      <c r="AS94" s="1168"/>
    </row>
    <row r="95" spans="2:45" ht="15" customHeight="1" thickBot="1">
      <c r="C95" s="1267"/>
      <c r="D95" s="1269" t="s">
        <v>110</v>
      </c>
      <c r="E95" s="1248" t="s">
        <v>1212</v>
      </c>
      <c r="F95" s="1248" t="s">
        <v>1213</v>
      </c>
      <c r="G95" s="1248" t="s">
        <v>1214</v>
      </c>
      <c r="H95" s="1248" t="s">
        <v>1215</v>
      </c>
      <c r="I95" s="1248" t="s">
        <v>1216</v>
      </c>
      <c r="J95" s="1248" t="s">
        <v>111</v>
      </c>
      <c r="K95" s="1248" t="s">
        <v>1220</v>
      </c>
      <c r="L95" s="1249" t="s">
        <v>1221</v>
      </c>
      <c r="M95" s="1008"/>
      <c r="N95" s="1008"/>
      <c r="O95" s="1008"/>
      <c r="P95" s="1008"/>
      <c r="Q95" s="1008"/>
      <c r="R95" s="1008"/>
      <c r="S95" s="1008"/>
      <c r="T95" s="1008"/>
      <c r="U95" s="1142"/>
      <c r="V95" s="860"/>
      <c r="W95" s="860"/>
      <c r="X95" s="860"/>
      <c r="Y95" s="1191"/>
      <c r="Z95" s="1163"/>
      <c r="AA95" s="1152"/>
      <c r="AB95" s="1152"/>
      <c r="AC95" s="1152"/>
      <c r="AD95" s="1152"/>
      <c r="AE95" s="1165"/>
      <c r="AN95" s="1183"/>
      <c r="AS95" s="1168"/>
    </row>
    <row r="96" spans="2:45" ht="15" customHeight="1">
      <c r="B96" s="1237" t="s">
        <v>1102</v>
      </c>
      <c r="C96" s="1251" t="s">
        <v>1016</v>
      </c>
      <c r="D96" s="1270">
        <f>$D$67*F84/SUM($F$84:$F$87)*$K$84*$D$91</f>
        <v>2959.0111575209289</v>
      </c>
      <c r="E96" s="1238">
        <v>0</v>
      </c>
      <c r="F96" s="1238">
        <f>$D$69*$F84/SUM($F$84:$F$87)*$K$84*$D$91</f>
        <v>166.06923242743423</v>
      </c>
      <c r="G96" s="1238">
        <f>$D$70*$F84/SUM($F$84:$F$87)*$K$84*$D$91</f>
        <v>67.555389232172161</v>
      </c>
      <c r="H96" s="1238">
        <f>$D$71*$F84/SUM($F$84:$F$87)*$K$84*$D$91</f>
        <v>10.319484654363306</v>
      </c>
      <c r="I96" s="1238">
        <f>$D$72*$F84/SUM($F$84:$F$87)*$K$84*$D$91</f>
        <v>889.49702263022266</v>
      </c>
      <c r="J96" s="1238">
        <f>$D$73*$F84/SUM($F$84:$F$87)*$K$84*$D$91</f>
        <v>4.8937762278423929</v>
      </c>
      <c r="K96" s="1238">
        <f>$D$74*D84/SUM($D$84:$E$87)*$K$84*$D$91</f>
        <v>77.674435882420923</v>
      </c>
      <c r="L96" s="1245">
        <f>$D$74*E84/SUM($D$84:$E$87)*$K$84*$D$91</f>
        <v>37.648464791082425</v>
      </c>
      <c r="M96" s="1008"/>
      <c r="N96" s="1008"/>
      <c r="O96" s="1008"/>
      <c r="P96" s="1008"/>
      <c r="Q96" s="1381">
        <f>SUM(D96:L96,D98:L98)*1000000/G84</f>
        <v>131.00797247053282</v>
      </c>
      <c r="R96" s="1379">
        <f>Q96/Q97</f>
        <v>0.88760648529815878</v>
      </c>
      <c r="T96" s="1008"/>
      <c r="U96" s="1142"/>
      <c r="V96" s="860"/>
      <c r="W96" s="860"/>
      <c r="X96" s="860"/>
      <c r="Y96" s="1191"/>
      <c r="Z96" s="1163"/>
      <c r="AA96" s="1152"/>
      <c r="AB96" s="1152"/>
      <c r="AC96" s="1152"/>
      <c r="AD96" s="1152"/>
      <c r="AE96" s="1165"/>
      <c r="AN96" s="1183"/>
      <c r="AS96" s="1168"/>
    </row>
    <row r="97" spans="2:45" ht="15" customHeight="1">
      <c r="B97" s="1237"/>
      <c r="C97" s="1250" t="s">
        <v>1017</v>
      </c>
      <c r="D97" s="1270">
        <f>$D$67*F85/SUM($F$84:$F$87)*$K$85*$D$91</f>
        <v>650.70837385832851</v>
      </c>
      <c r="E97" s="1238">
        <v>0</v>
      </c>
      <c r="F97" s="1238">
        <f>$D$69*$F85/SUM($F$84:$F$87)*$K$85*$D$91</f>
        <v>36.519848837370326</v>
      </c>
      <c r="G97" s="1238">
        <f>$D$70*$F85/SUM($F$84:$F$87)*$K$85*$D$91</f>
        <v>14.855928258635592</v>
      </c>
      <c r="H97" s="1238">
        <f>$D$71*$F85/SUM($F$84:$F$87)*$K$85*$D$91</f>
        <v>2.2693307733663817</v>
      </c>
      <c r="I97" s="1238">
        <f>$D$72*$F85/SUM($F$84:$F$87)*$K$85*$D$91</f>
        <v>195.60695459913734</v>
      </c>
      <c r="J97" s="1238">
        <f>$D$73*$F85/SUM($F$84:$F$87)*$K$85*$D$91</f>
        <v>1.0761774801531296</v>
      </c>
      <c r="K97" s="1238">
        <f>$D$74*D85/SUM($D$84:$E$87)*$K$85*$D$91</f>
        <v>1.7367744354193664</v>
      </c>
      <c r="L97" s="1245">
        <f>$D$74*E85/SUM($D$84:$E$87)*$K$85*$D$91</f>
        <v>23.623581836015248</v>
      </c>
      <c r="M97" s="1008"/>
      <c r="N97" s="1008"/>
      <c r="O97" s="1008"/>
      <c r="P97" s="1008"/>
      <c r="Q97" s="1381">
        <f>SUM(D97:L97,D99:L99)*1000000/G85</f>
        <v>147.5969076842938</v>
      </c>
      <c r="R97" s="1376"/>
      <c r="T97" s="1008"/>
      <c r="U97" s="1142"/>
      <c r="V97" s="327"/>
      <c r="W97" s="327"/>
      <c r="X97" s="327"/>
      <c r="Y97" s="1191"/>
      <c r="Z97" s="1163"/>
      <c r="AA97" s="1152"/>
      <c r="AB97" s="1152"/>
      <c r="AC97" s="1152"/>
      <c r="AD97" s="1152"/>
      <c r="AE97" s="1165"/>
      <c r="AN97" s="1183"/>
      <c r="AS97" s="1168"/>
    </row>
    <row r="98" spans="2:45" ht="15" customHeight="1">
      <c r="B98" s="1237" t="s">
        <v>1101</v>
      </c>
      <c r="C98" s="1251" t="s">
        <v>1016</v>
      </c>
      <c r="D98" s="1270">
        <f>$D$67*F86/SUM($F$84:$F$87)*$K$84*$D$91</f>
        <v>17054.246877623504</v>
      </c>
      <c r="E98" s="1238">
        <v>0</v>
      </c>
      <c r="F98" s="1238">
        <f>$D$69*$F86/SUM($F$84:$F$87)*$K$84*$D$91</f>
        <v>957.13923936931621</v>
      </c>
      <c r="G98" s="1238">
        <f>$D$70*$F86/SUM($F$84:$F$87)*$K$84*$D$91</f>
        <v>389.35516784081727</v>
      </c>
      <c r="H98" s="1238">
        <f>$D$71*$F86/SUM($F$84:$F$87)*$K$84*$D$91</f>
        <v>59.476301229227211</v>
      </c>
      <c r="I98" s="1238">
        <f>$D$72*$F86/SUM($F$84:$F$87)*$K$84*$D$91</f>
        <v>5126.6119028615331</v>
      </c>
      <c r="J98" s="1238">
        <f>$D$73*$F86/SUM($F$84:$F$87)*$K$84*$D$91</f>
        <v>28.205256253035586</v>
      </c>
      <c r="K98" s="1238">
        <f>$D$74*D86/SUM($D$84:$E$87)*$K$84*$D$91</f>
        <v>208.44830810024081</v>
      </c>
      <c r="L98" s="1245">
        <f>$D$74*E86/SUM($D$84:$E$87)*$K$84*$D$91</f>
        <v>456.21468707998912</v>
      </c>
      <c r="M98" s="1008"/>
      <c r="N98" s="1008"/>
      <c r="O98" s="1008"/>
      <c r="P98" s="1008"/>
      <c r="Q98" s="1008"/>
      <c r="R98" s="1008"/>
      <c r="S98" s="1008"/>
      <c r="T98" s="1008"/>
      <c r="U98" s="1142"/>
      <c r="V98" s="1008"/>
      <c r="W98" s="1008"/>
      <c r="X98" s="1008"/>
      <c r="Y98" s="1191"/>
      <c r="Z98" s="1163"/>
      <c r="AA98" s="1152"/>
      <c r="AB98" s="1152"/>
      <c r="AC98" s="1152"/>
      <c r="AD98" s="1152"/>
      <c r="AE98" s="1165"/>
      <c r="AN98" s="1183"/>
      <c r="AS98" s="1168"/>
    </row>
    <row r="99" spans="2:45" ht="15" customHeight="1" thickBot="1">
      <c r="C99" s="1252" t="s">
        <v>1017</v>
      </c>
      <c r="D99" s="1271">
        <f>$D$67*F87/SUM($F$84:$F$87)*$K$85*$D$91</f>
        <v>7149.9640547576555</v>
      </c>
      <c r="E99" s="1246">
        <v>0</v>
      </c>
      <c r="F99" s="1246">
        <f>$D$69*$F87/SUM($F$84:$F$87)*$K$85*$D$91</f>
        <v>401.27900141212996</v>
      </c>
      <c r="G99" s="1246">
        <f>$D$70*$F87/SUM($F$84:$F$87)*$K$85*$D$91</f>
        <v>163.23649320736865</v>
      </c>
      <c r="H99" s="1246">
        <f>$D$71*$F87/SUM($F$84:$F$87)*$K$85*$D$91</f>
        <v>24.935338332464191</v>
      </c>
      <c r="I99" s="1246">
        <f>$D$72*$F87/SUM($F$84:$F$87)*$K$85*$D$91</f>
        <v>2149.3233381209598</v>
      </c>
      <c r="J99" s="1246">
        <f>$D$73*$F87/SUM($F$84:$F$87)*$K$85*$D$91</f>
        <v>11.825005807147969</v>
      </c>
      <c r="K99" s="1246">
        <f>$D$74*D87/SUM($D$84:$E$87)*$K$85*$D$91</f>
        <v>32.783260165969068</v>
      </c>
      <c r="L99" s="1247">
        <f>$D$74*E87/SUM($D$84:$E$87)*$K$85*$D$91</f>
        <v>245.87557233290914</v>
      </c>
      <c r="M99" s="1382">
        <f>SUM(D96:L99)</f>
        <v>39597.985737939154</v>
      </c>
      <c r="N99" s="1382"/>
      <c r="O99" s="1382"/>
      <c r="P99" s="1382"/>
      <c r="Q99" s="1185"/>
      <c r="R99" s="1200"/>
      <c r="S99" s="1201"/>
      <c r="T99" s="1201"/>
      <c r="U99" s="1142"/>
      <c r="V99" s="1008"/>
      <c r="W99" s="1008"/>
      <c r="X99" s="1008"/>
      <c r="Y99" s="1191"/>
      <c r="Z99" s="1163"/>
      <c r="AA99" s="1152"/>
      <c r="AB99" s="1152"/>
      <c r="AC99" s="1152"/>
      <c r="AD99" s="1152"/>
      <c r="AE99" s="1165"/>
      <c r="AN99" s="1183"/>
      <c r="AS99" s="1168"/>
    </row>
    <row r="100" spans="2:45" ht="15" customHeight="1">
      <c r="C100" s="1239"/>
      <c r="D100" s="1276">
        <f>SUM(D96:D99)/M99</f>
        <v>0.70240770951921583</v>
      </c>
      <c r="E100" s="1238"/>
      <c r="F100" s="1238"/>
      <c r="G100" s="1238"/>
      <c r="H100" s="1238"/>
      <c r="I100" s="1238"/>
      <c r="J100" s="1238"/>
      <c r="K100" s="1238"/>
      <c r="L100" s="1244"/>
      <c r="M100" s="1225"/>
      <c r="N100" s="1225"/>
      <c r="O100" s="1225"/>
      <c r="P100" s="1225"/>
      <c r="Q100" s="1185"/>
      <c r="R100" s="1200"/>
      <c r="S100" s="1201"/>
      <c r="T100" s="1201"/>
      <c r="U100" s="1142"/>
      <c r="V100" s="1008"/>
      <c r="W100" s="1008"/>
      <c r="X100" s="1008"/>
      <c r="Y100" s="1191"/>
      <c r="Z100" s="1163"/>
      <c r="AA100" s="1152"/>
      <c r="AB100" s="1152"/>
      <c r="AC100" s="1152"/>
      <c r="AD100" s="1152"/>
      <c r="AE100" s="1165"/>
      <c r="AN100" s="1183"/>
      <c r="AS100" s="1168"/>
    </row>
    <row r="101" spans="2:45" ht="15" customHeight="1">
      <c r="C101" s="1239"/>
      <c r="D101" s="1276"/>
      <c r="E101" s="1238"/>
      <c r="F101" s="1238"/>
      <c r="G101" s="1238"/>
      <c r="H101" s="1238"/>
      <c r="I101" s="1238"/>
      <c r="J101" s="1238"/>
      <c r="K101" s="1238"/>
      <c r="L101" s="1244"/>
      <c r="M101" s="1225"/>
      <c r="N101" s="1225"/>
      <c r="O101" s="1225"/>
      <c r="P101" s="1225"/>
      <c r="Q101" s="1185"/>
      <c r="R101" s="1200"/>
      <c r="S101" s="1201"/>
      <c r="T101" s="1201"/>
      <c r="U101" s="1142"/>
      <c r="V101" s="1008"/>
      <c r="W101" s="1008"/>
      <c r="X101" s="1008"/>
      <c r="Y101" s="1191"/>
      <c r="Z101" s="1163"/>
      <c r="AA101" s="1152"/>
      <c r="AB101" s="1152"/>
      <c r="AC101" s="1152"/>
      <c r="AD101" s="1152"/>
      <c r="AE101" s="1165"/>
      <c r="AN101" s="1183"/>
      <c r="AS101" s="1168"/>
    </row>
    <row r="102" spans="2:45" ht="15" customHeight="1">
      <c r="C102" s="1239"/>
      <c r="D102" s="1276"/>
      <c r="E102" s="1238"/>
      <c r="F102" s="1238"/>
      <c r="G102" s="1238"/>
      <c r="H102" s="1238"/>
      <c r="I102" s="1238"/>
      <c r="J102" s="1238"/>
      <c r="K102" s="1238"/>
      <c r="L102" s="1244"/>
      <c r="M102" s="1225"/>
      <c r="N102" s="1225"/>
      <c r="O102" s="1225"/>
      <c r="P102" s="1225"/>
      <c r="Q102" s="1185"/>
      <c r="R102" s="1200"/>
      <c r="S102" s="1201"/>
      <c r="T102" s="1201"/>
      <c r="U102" s="1142"/>
      <c r="V102" s="1008"/>
      <c r="W102" s="1008"/>
      <c r="X102" s="1008"/>
      <c r="Y102" s="1191"/>
      <c r="Z102" s="1163"/>
      <c r="AA102" s="1152"/>
      <c r="AB102" s="1152"/>
      <c r="AC102" s="1152"/>
      <c r="AD102" s="1152"/>
      <c r="AE102" s="1165"/>
      <c r="AN102" s="1183"/>
      <c r="AS102" s="1168"/>
    </row>
    <row r="103" spans="2:45" ht="15" customHeight="1">
      <c r="C103" s="1239"/>
      <c r="D103" s="1238"/>
      <c r="E103" s="1238"/>
      <c r="F103" s="1238"/>
      <c r="G103" s="1238"/>
      <c r="H103" s="1238"/>
      <c r="I103" s="1238"/>
      <c r="J103" s="1238"/>
      <c r="K103" s="1238"/>
      <c r="L103" s="1244"/>
      <c r="M103" s="1225"/>
      <c r="N103" s="1225"/>
      <c r="O103" s="1225"/>
      <c r="P103" s="1225"/>
      <c r="Q103" s="1185"/>
      <c r="R103" s="1200"/>
      <c r="S103" s="1201"/>
      <c r="T103" s="1201"/>
      <c r="U103" s="1142"/>
      <c r="V103" s="1008"/>
      <c r="W103" s="1008"/>
      <c r="X103" s="1008"/>
      <c r="Y103" s="1191"/>
      <c r="Z103" s="1163"/>
      <c r="AA103" s="1152"/>
      <c r="AB103" s="1152"/>
      <c r="AC103" s="1152"/>
      <c r="AD103" s="1152"/>
      <c r="AE103" s="1165"/>
      <c r="AN103" s="1183"/>
      <c r="AS103" s="1168"/>
    </row>
    <row r="104" spans="2:45" ht="15" customHeight="1">
      <c r="C104" s="1239"/>
      <c r="D104" s="1238"/>
      <c r="E104" s="1238"/>
      <c r="F104" s="1238"/>
      <c r="G104" s="1238"/>
      <c r="H104" s="1238"/>
      <c r="I104" s="1238"/>
      <c r="J104" s="1238"/>
      <c r="K104" s="1238"/>
      <c r="L104" s="1244"/>
      <c r="M104" s="1225"/>
      <c r="N104" s="1225"/>
      <c r="O104" s="1225"/>
      <c r="P104" s="1225"/>
      <c r="Q104" s="1185"/>
      <c r="R104" s="1200"/>
      <c r="S104" s="1201"/>
      <c r="T104" s="1201"/>
      <c r="U104" s="1142"/>
      <c r="V104" s="1008"/>
      <c r="W104" s="1008"/>
      <c r="X104" s="1008"/>
      <c r="Y104" s="1191"/>
      <c r="Z104" s="1163"/>
      <c r="AA104" s="1152"/>
      <c r="AB104" s="1152"/>
      <c r="AC104" s="1152"/>
      <c r="AD104" s="1152"/>
      <c r="AE104" s="1165"/>
      <c r="AN104" s="1183"/>
      <c r="AS104" s="1168"/>
    </row>
    <row r="105" spans="2:45" ht="20.25" customHeight="1">
      <c r="C105" s="1239"/>
      <c r="D105" s="1238"/>
      <c r="E105" s="1238"/>
      <c r="F105" s="1238"/>
      <c r="G105" s="1142"/>
      <c r="H105" s="1142"/>
      <c r="I105" s="1238"/>
      <c r="J105" s="1238"/>
      <c r="K105" s="1238"/>
      <c r="L105" s="1238"/>
      <c r="M105" s="1238"/>
      <c r="N105" s="1238"/>
      <c r="O105" s="1238"/>
      <c r="P105" s="1238"/>
      <c r="Q105" s="1244"/>
      <c r="R105" s="1185"/>
      <c r="S105" s="1201"/>
      <c r="T105" s="1201"/>
      <c r="U105" s="1142"/>
      <c r="V105" s="1240"/>
      <c r="W105" s="1240"/>
      <c r="X105" s="1240"/>
      <c r="Y105" s="1191"/>
      <c r="Z105" s="1163"/>
      <c r="AA105" s="1152"/>
      <c r="AB105" s="1152"/>
      <c r="AC105" s="1152"/>
      <c r="AD105" s="1152"/>
      <c r="AE105" s="1165"/>
      <c r="AN105" s="1183"/>
      <c r="AS105" s="1168"/>
    </row>
    <row r="106" spans="2:45" ht="15" customHeight="1">
      <c r="B106" s="1418" t="s">
        <v>1255</v>
      </c>
      <c r="C106" s="1277" t="s">
        <v>1229</v>
      </c>
      <c r="D106" s="1278"/>
      <c r="E106" s="1278"/>
      <c r="F106" s="1142"/>
      <c r="G106" s="1142"/>
      <c r="H106" s="1233" t="s">
        <v>1103</v>
      </c>
      <c r="I106" s="1232"/>
      <c r="K106" s="1147"/>
      <c r="M106" s="1244"/>
      <c r="N106" s="1244"/>
      <c r="O106" s="1244"/>
      <c r="P106" s="1244"/>
      <c r="R106" s="1185"/>
      <c r="S106" s="1201"/>
      <c r="T106" s="1201"/>
      <c r="U106" s="1142"/>
      <c r="V106" s="1008"/>
      <c r="W106" s="1008"/>
      <c r="X106" s="1008"/>
      <c r="Y106" s="1191"/>
      <c r="Z106" s="1163"/>
      <c r="AA106" s="1152"/>
      <c r="AB106" s="1152"/>
      <c r="AC106" s="1152"/>
      <c r="AD106" s="1152"/>
      <c r="AE106" s="1165"/>
      <c r="AN106" s="1183"/>
      <c r="AS106" s="1168"/>
    </row>
    <row r="107" spans="2:45" ht="15" customHeight="1">
      <c r="C107" s="1281" t="s">
        <v>1152</v>
      </c>
      <c r="D107" s="1264" t="s">
        <v>1153</v>
      </c>
      <c r="E107" s="1282" t="s">
        <v>1155</v>
      </c>
      <c r="F107" s="1142"/>
      <c r="G107" s="1142" t="s">
        <v>1222</v>
      </c>
      <c r="H107" s="1142"/>
      <c r="I107" s="1180"/>
      <c r="J107" s="1232"/>
      <c r="K107" s="1147"/>
      <c r="L107" s="1147"/>
      <c r="R107" s="1185"/>
      <c r="S107" s="1201"/>
      <c r="T107" s="1201"/>
      <c r="U107" s="1142"/>
      <c r="V107" s="1008"/>
      <c r="W107" s="1008"/>
      <c r="X107" s="1008"/>
      <c r="Y107" s="1191"/>
      <c r="Z107" s="1163"/>
      <c r="AA107" s="1152"/>
      <c r="AB107" s="1152"/>
      <c r="AC107" s="1152"/>
      <c r="AD107" s="1152"/>
      <c r="AE107" s="1165"/>
      <c r="AN107" s="1183"/>
      <c r="AS107" s="1168"/>
    </row>
    <row r="108" spans="2:45" ht="15" customHeight="1">
      <c r="B108" s="1279" t="s">
        <v>1154</v>
      </c>
      <c r="C108" s="1288">
        <f>Service_Demand_2010!F32</f>
        <v>2262219</v>
      </c>
      <c r="D108" s="1289">
        <f>C108*F108</f>
        <v>475065.99</v>
      </c>
      <c r="E108" s="1282"/>
      <c r="F108" s="1290">
        <v>0.21</v>
      </c>
      <c r="G108" s="1142" t="s">
        <v>1224</v>
      </c>
      <c r="H108" s="1142"/>
      <c r="I108" s="1180"/>
      <c r="J108" s="1232"/>
      <c r="K108" s="1147"/>
      <c r="L108" s="1147"/>
      <c r="R108" s="1185"/>
      <c r="S108" s="1201"/>
      <c r="T108" s="1201"/>
      <c r="U108" s="1142"/>
      <c r="V108" s="1008"/>
      <c r="W108" s="1008"/>
      <c r="X108" s="1008"/>
      <c r="Y108" s="1191"/>
      <c r="Z108" s="1163"/>
      <c r="AA108" s="1152"/>
      <c r="AB108" s="1152"/>
      <c r="AC108" s="1152"/>
      <c r="AD108" s="1152"/>
      <c r="AE108" s="1165"/>
      <c r="AN108" s="1183"/>
      <c r="AS108" s="1168"/>
    </row>
    <row r="109" spans="2:45" ht="15" customHeight="1">
      <c r="B109" s="1279" t="s">
        <v>1223</v>
      </c>
      <c r="C109" s="1283">
        <f>SUM(Service_Demand_2010!C9:N27)</f>
        <v>1219891</v>
      </c>
      <c r="D109" s="1234">
        <f>C109*F109</f>
        <v>445260.21499999997</v>
      </c>
      <c r="E109" s="1284">
        <f>D109/SUM(Service_Demand_2010!C39:E57)</f>
        <v>0.26211158191674666</v>
      </c>
      <c r="F109" s="1290">
        <v>0.36499999999999999</v>
      </c>
      <c r="G109" s="1280" t="s">
        <v>1225</v>
      </c>
      <c r="H109" s="1142"/>
      <c r="I109" s="1180"/>
      <c r="J109" s="1232"/>
      <c r="K109" s="1147"/>
      <c r="L109" s="1147"/>
      <c r="R109" s="1185"/>
      <c r="S109" s="1201"/>
      <c r="T109" s="1201"/>
      <c r="U109" s="1142"/>
      <c r="V109" s="1008"/>
      <c r="W109" s="1008"/>
      <c r="X109" s="1008"/>
      <c r="Y109" s="1191"/>
      <c r="Z109" s="1163"/>
      <c r="AA109" s="1152"/>
      <c r="AB109" s="1152"/>
      <c r="AC109" s="1152"/>
      <c r="AD109" s="1152"/>
      <c r="AE109" s="1165"/>
      <c r="AN109" s="1183"/>
      <c r="AS109" s="1168"/>
    </row>
    <row r="110" spans="2:45" ht="15" customHeight="1">
      <c r="B110" s="1279" t="s">
        <v>1102</v>
      </c>
      <c r="C110" s="1285">
        <f>SUM(Service_Demand_2010!F39:H57)</f>
        <v>563476</v>
      </c>
      <c r="D110" s="1286">
        <f>D108-D109</f>
        <v>29805.775000000023</v>
      </c>
      <c r="E110" s="1287">
        <f>D110/SUM(Service_Demand_2010!F39:H57)</f>
        <v>5.2896263549822929E-2</v>
      </c>
      <c r="F110" s="1142"/>
      <c r="G110" s="1142"/>
      <c r="H110" s="1142"/>
      <c r="I110" s="1180"/>
      <c r="J110" s="1232"/>
      <c r="K110" s="1147"/>
      <c r="L110" s="1147"/>
      <c r="R110" s="1185"/>
      <c r="S110" s="1201"/>
      <c r="T110" s="1201"/>
      <c r="U110" s="1142"/>
      <c r="V110" s="1201"/>
      <c r="W110" s="1191"/>
      <c r="X110" s="1191"/>
      <c r="Y110" s="1191"/>
      <c r="Z110" s="1163"/>
      <c r="AA110" s="1152"/>
      <c r="AB110" s="1152"/>
      <c r="AC110" s="1152"/>
      <c r="AD110" s="1152"/>
      <c r="AE110" s="1165"/>
      <c r="AN110" s="1183"/>
      <c r="AS110" s="1168"/>
    </row>
    <row r="111" spans="2:45" ht="15" customHeight="1">
      <c r="C111" s="1156"/>
      <c r="D111" s="1180"/>
      <c r="F111" s="1142"/>
      <c r="G111" s="1142"/>
      <c r="H111" s="1142"/>
      <c r="I111" s="1180"/>
      <c r="J111" s="1232"/>
      <c r="K111" s="1147"/>
      <c r="L111" s="1147"/>
      <c r="R111" s="1185"/>
      <c r="S111" s="1201"/>
      <c r="T111" s="1201"/>
      <c r="U111" s="1142"/>
      <c r="V111" s="1201"/>
      <c r="W111" s="1191"/>
      <c r="X111" s="1191"/>
      <c r="Y111" s="1191"/>
      <c r="Z111" s="1163"/>
      <c r="AA111" s="1152"/>
      <c r="AB111" s="1152"/>
      <c r="AC111" s="1152"/>
      <c r="AD111" s="1152"/>
      <c r="AE111" s="1165"/>
      <c r="AN111" s="1183"/>
      <c r="AS111" s="1168"/>
    </row>
    <row r="112" spans="2:45" ht="15" customHeight="1">
      <c r="C112" s="1156" t="s">
        <v>1226</v>
      </c>
      <c r="D112" s="1180"/>
      <c r="F112" s="1142"/>
      <c r="G112" s="1142"/>
      <c r="H112" s="1142"/>
      <c r="I112" s="1180"/>
      <c r="J112" s="1232"/>
      <c r="K112" s="1147"/>
      <c r="L112" s="1147"/>
      <c r="R112" s="1185"/>
      <c r="S112" s="1201"/>
      <c r="T112" s="1201"/>
      <c r="U112" s="1142"/>
      <c r="V112" s="1201"/>
      <c r="W112" s="1191"/>
      <c r="X112" s="1191"/>
      <c r="Y112" s="1191"/>
      <c r="Z112" s="1163"/>
      <c r="AA112" s="1152"/>
      <c r="AB112" s="1152"/>
      <c r="AC112" s="1152"/>
      <c r="AD112" s="1152"/>
      <c r="AE112" s="1165"/>
      <c r="AN112" s="1183"/>
      <c r="AS112" s="1168"/>
    </row>
    <row r="113" spans="3:45" ht="15" customHeight="1">
      <c r="C113" s="1156" t="s">
        <v>1227</v>
      </c>
      <c r="D113" s="1291">
        <f>E110</f>
        <v>5.2896263549822929E-2</v>
      </c>
      <c r="F113" s="1142"/>
      <c r="G113" s="1142"/>
      <c r="H113" s="1142"/>
      <c r="I113" s="1145"/>
      <c r="K113" s="1147"/>
      <c r="L113" s="1147"/>
      <c r="R113" s="1185"/>
      <c r="S113" s="1201"/>
      <c r="T113" s="1201"/>
      <c r="U113" s="1142"/>
      <c r="V113" s="1201"/>
      <c r="W113" s="1191"/>
      <c r="X113" s="1191"/>
      <c r="Y113" s="1191"/>
      <c r="Z113" s="1163"/>
      <c r="AA113" s="1152"/>
      <c r="AB113" s="1152"/>
      <c r="AC113" s="1152"/>
      <c r="AD113" s="1152"/>
      <c r="AE113" s="1165"/>
      <c r="AN113" s="1183"/>
      <c r="AS113" s="1168"/>
    </row>
    <row r="114" spans="3:45" ht="15" customHeight="1">
      <c r="C114" s="1235" t="s">
        <v>1228</v>
      </c>
      <c r="D114" s="1292">
        <f>E109</f>
        <v>0.26211158191674666</v>
      </c>
      <c r="F114" s="1142"/>
      <c r="G114" s="1142"/>
      <c r="H114" s="1142"/>
      <c r="I114" s="1145"/>
      <c r="K114" s="1147"/>
      <c r="L114" s="1147"/>
      <c r="R114" s="1185"/>
      <c r="S114" s="1201"/>
      <c r="T114" s="1201"/>
      <c r="U114" s="1142"/>
      <c r="V114" s="1201"/>
      <c r="W114" s="1191"/>
      <c r="X114" s="1191"/>
      <c r="Y114" s="1191"/>
      <c r="Z114" s="1163"/>
      <c r="AA114" s="1152"/>
      <c r="AB114" s="1152"/>
      <c r="AC114" s="1152"/>
      <c r="AD114" s="1152"/>
      <c r="AE114" s="1165"/>
      <c r="AN114" s="1183"/>
      <c r="AS114" s="1168"/>
    </row>
    <row r="115" spans="3:45" ht="15" customHeight="1">
      <c r="C115" s="1235"/>
      <c r="F115" s="1142"/>
      <c r="G115" s="1142"/>
      <c r="H115" s="1142"/>
      <c r="I115" s="1145"/>
      <c r="K115" s="1147"/>
      <c r="L115" s="1147"/>
      <c r="R115" s="1185"/>
      <c r="S115" s="1201"/>
      <c r="T115" s="1201"/>
      <c r="U115" s="1142"/>
      <c r="V115" s="1201"/>
      <c r="W115" s="1191"/>
      <c r="X115" s="1191"/>
      <c r="Y115" s="1191"/>
      <c r="Z115" s="1163"/>
      <c r="AA115" s="1152"/>
      <c r="AB115" s="1152"/>
      <c r="AC115" s="1152"/>
      <c r="AD115" s="1152"/>
      <c r="AE115" s="1165"/>
      <c r="AN115" s="1183"/>
      <c r="AS115" s="1168"/>
    </row>
    <row r="116" spans="3:45" ht="15" customHeight="1">
      <c r="C116" s="1235"/>
      <c r="F116" s="1142"/>
      <c r="G116" s="1142"/>
      <c r="H116" s="1142"/>
      <c r="I116" s="1145"/>
      <c r="K116" s="1147"/>
      <c r="L116" s="1147"/>
      <c r="R116" s="1185"/>
      <c r="S116" s="1201"/>
      <c r="T116" s="1201"/>
      <c r="U116" s="1142"/>
      <c r="V116" s="1201"/>
      <c r="W116" s="1191"/>
      <c r="X116" s="1191"/>
      <c r="Y116" s="1191"/>
      <c r="Z116" s="1163"/>
      <c r="AA116" s="1152"/>
      <c r="AB116" s="1152"/>
      <c r="AC116" s="1152"/>
      <c r="AD116" s="1152"/>
      <c r="AE116" s="1165"/>
      <c r="AN116" s="1183"/>
      <c r="AS116" s="1168"/>
    </row>
    <row r="117" spans="3:45" ht="15" customHeight="1">
      <c r="C117" s="1235"/>
      <c r="F117" s="1142"/>
      <c r="G117" s="1142"/>
      <c r="H117" s="1142"/>
      <c r="I117" s="1145"/>
      <c r="K117" s="1147"/>
      <c r="L117" s="1147"/>
      <c r="R117" s="1185"/>
      <c r="S117" s="1201"/>
      <c r="T117" s="1201"/>
      <c r="U117" s="1142"/>
      <c r="V117" s="1201"/>
      <c r="W117" s="1191"/>
      <c r="X117" s="1191"/>
      <c r="Y117" s="1191"/>
      <c r="Z117" s="1163"/>
      <c r="AA117" s="1152"/>
      <c r="AB117" s="1152"/>
      <c r="AC117" s="1152"/>
      <c r="AD117" s="1152"/>
      <c r="AE117" s="1165"/>
      <c r="AN117" s="1183"/>
      <c r="AS117" s="1168"/>
    </row>
    <row r="118" spans="3:45" ht="15" customHeight="1">
      <c r="C118" s="1235"/>
      <c r="F118" s="1142"/>
      <c r="G118" s="1142"/>
      <c r="H118" s="1142"/>
      <c r="I118" s="1145"/>
      <c r="K118" s="1147"/>
      <c r="L118" s="1147"/>
      <c r="R118" s="1185"/>
      <c r="S118" s="1201"/>
      <c r="T118" s="1201"/>
      <c r="U118" s="1142"/>
      <c r="V118" s="1201"/>
      <c r="W118" s="1191"/>
      <c r="X118" s="1191"/>
      <c r="Y118" s="1191"/>
      <c r="Z118" s="1163"/>
      <c r="AA118" s="1152"/>
      <c r="AB118" s="1152"/>
      <c r="AC118" s="1152"/>
      <c r="AD118" s="1152"/>
      <c r="AE118" s="1165"/>
      <c r="AN118" s="1183"/>
      <c r="AS118" s="1168"/>
    </row>
    <row r="119" spans="3:45" ht="15" customHeight="1">
      <c r="D119" s="1142"/>
      <c r="E119" s="1142"/>
      <c r="F119" s="1142"/>
      <c r="G119" s="1142"/>
      <c r="H119" s="1142"/>
      <c r="I119" s="1142"/>
      <c r="J119" s="1142"/>
      <c r="U119" s="1142"/>
      <c r="V119" s="1201"/>
      <c r="W119" s="1191"/>
      <c r="X119" s="1191"/>
      <c r="Y119" s="1191"/>
      <c r="Z119" s="1163"/>
      <c r="AA119" s="1152"/>
      <c r="AB119" s="1152"/>
      <c r="AC119" s="1152"/>
      <c r="AD119" s="1152"/>
      <c r="AE119" s="1165"/>
      <c r="AN119" s="1183"/>
      <c r="AS119" s="1168"/>
    </row>
    <row r="120" spans="3:45" ht="15" customHeight="1">
      <c r="D120" s="1142"/>
      <c r="E120" s="1142"/>
      <c r="F120" s="1142"/>
      <c r="G120" s="1142"/>
      <c r="H120" s="1142"/>
      <c r="I120" s="1142"/>
      <c r="J120" s="1142"/>
      <c r="U120" s="1142"/>
      <c r="V120" s="1201"/>
      <c r="W120" s="1191"/>
      <c r="X120" s="1191"/>
      <c r="Y120" s="1191"/>
      <c r="Z120" s="1163"/>
      <c r="AA120" s="1152"/>
      <c r="AB120" s="1152"/>
      <c r="AC120" s="1152"/>
      <c r="AD120" s="1152"/>
      <c r="AE120" s="1165"/>
      <c r="AN120" s="1183"/>
      <c r="AS120" s="1168"/>
    </row>
    <row r="121" spans="3:45" ht="15" customHeight="1">
      <c r="D121" s="1142"/>
      <c r="E121" s="1142"/>
      <c r="F121" s="1142"/>
      <c r="G121" s="1142"/>
      <c r="H121" s="1142"/>
      <c r="I121" s="1142"/>
      <c r="J121" s="1142"/>
      <c r="U121" s="1142"/>
      <c r="V121" s="1201"/>
      <c r="W121" s="1191"/>
      <c r="X121" s="1191"/>
      <c r="Y121" s="1191"/>
      <c r="Z121" s="1163"/>
      <c r="AA121" s="1152"/>
      <c r="AB121" s="1152"/>
      <c r="AC121" s="1152"/>
      <c r="AD121" s="1152"/>
      <c r="AE121" s="1165"/>
      <c r="AN121" s="1183"/>
      <c r="AS121" s="1168"/>
    </row>
    <row r="122" spans="3:45" ht="15" customHeight="1">
      <c r="D122" s="1142"/>
      <c r="E122" s="1142"/>
      <c r="F122" s="1142"/>
      <c r="G122" s="1142"/>
      <c r="H122" s="1142"/>
      <c r="I122" s="1142"/>
      <c r="J122" s="1142"/>
      <c r="U122" s="1142"/>
      <c r="V122" s="1201"/>
      <c r="W122" s="1191"/>
      <c r="X122" s="1191"/>
      <c r="Y122" s="1191"/>
      <c r="Z122" s="1163"/>
      <c r="AA122" s="1152"/>
      <c r="AB122" s="1152"/>
      <c r="AC122" s="1152"/>
      <c r="AD122" s="1152"/>
      <c r="AE122" s="1165"/>
      <c r="AN122" s="1183"/>
      <c r="AS122" s="1168"/>
    </row>
    <row r="123" spans="3:45" ht="15" customHeight="1">
      <c r="D123" s="1142"/>
      <c r="E123" s="1142"/>
      <c r="F123" s="1142"/>
      <c r="G123" s="1142"/>
      <c r="H123" s="1142"/>
      <c r="I123" s="1142"/>
      <c r="J123" s="1142"/>
      <c r="U123" s="1142"/>
      <c r="V123" s="1201"/>
      <c r="W123" s="1191"/>
      <c r="X123" s="1191"/>
      <c r="Y123" s="1191"/>
      <c r="Z123" s="1163"/>
      <c r="AA123" s="1152"/>
      <c r="AB123" s="1152"/>
      <c r="AC123" s="1152"/>
      <c r="AD123" s="1152"/>
      <c r="AE123" s="1165"/>
      <c r="AN123" s="1183"/>
      <c r="AS123" s="1168"/>
    </row>
    <row r="124" spans="3:45" ht="15" customHeight="1">
      <c r="C124" s="1142" t="s">
        <v>1308</v>
      </c>
      <c r="D124" s="1142"/>
      <c r="E124" s="1142"/>
      <c r="F124" s="1142"/>
      <c r="G124" s="1142"/>
      <c r="H124" s="1142"/>
      <c r="I124" s="1142"/>
      <c r="J124" s="1142"/>
      <c r="U124" s="1142"/>
      <c r="V124" s="1201"/>
      <c r="W124" s="1191"/>
      <c r="X124" s="1191"/>
      <c r="Y124" s="1191"/>
      <c r="Z124" s="1163"/>
      <c r="AA124" s="1152"/>
      <c r="AB124" s="1152"/>
      <c r="AC124" s="1152"/>
      <c r="AD124" s="1152"/>
      <c r="AE124" s="1165"/>
      <c r="AN124" s="1183"/>
      <c r="AS124" s="1168"/>
    </row>
    <row r="125" spans="3:45" ht="15" customHeight="1">
      <c r="D125" s="1142"/>
      <c r="E125" s="1142"/>
      <c r="F125" s="1142"/>
      <c r="G125" s="1142"/>
      <c r="H125" s="1142"/>
      <c r="I125" s="1142"/>
      <c r="J125" s="1142"/>
      <c r="U125" s="1142"/>
      <c r="V125" s="1201"/>
      <c r="W125" s="1191"/>
      <c r="X125" s="1191"/>
      <c r="Y125" s="1191"/>
      <c r="Z125" s="1163"/>
      <c r="AA125" s="1152"/>
      <c r="AB125" s="1152"/>
      <c r="AC125" s="1152"/>
      <c r="AD125" s="1152"/>
      <c r="AE125" s="1165"/>
      <c r="AN125" s="1183"/>
      <c r="AS125" s="1168"/>
    </row>
    <row r="126" spans="3:45" ht="15" customHeight="1">
      <c r="C126" s="1425" t="s">
        <v>1275</v>
      </c>
      <c r="D126"/>
      <c r="E126"/>
      <c r="F126" s="1142"/>
      <c r="G126" s="1142"/>
      <c r="H126" s="1142"/>
      <c r="I126" s="1142"/>
      <c r="J126" s="1142"/>
      <c r="U126" s="1142"/>
      <c r="V126" s="1201"/>
      <c r="W126" s="1191"/>
      <c r="X126" s="1191"/>
      <c r="Y126" s="1191"/>
      <c r="Z126" s="1163"/>
      <c r="AA126" s="1152"/>
      <c r="AB126" s="1152"/>
      <c r="AC126" s="1152"/>
      <c r="AD126" s="1152"/>
      <c r="AE126" s="1165"/>
      <c r="AN126" s="1183"/>
      <c r="AS126" s="1168"/>
    </row>
    <row r="127" spans="3:45" ht="15" customHeight="1">
      <c r="C127"/>
      <c r="D127"/>
      <c r="E127"/>
      <c r="F127" s="1142"/>
      <c r="G127" s="1142"/>
      <c r="H127" s="1142"/>
      <c r="I127" s="1142"/>
      <c r="J127" s="1142"/>
      <c r="U127" s="1142"/>
      <c r="V127" s="1201"/>
      <c r="W127" s="1191"/>
      <c r="X127" s="1191"/>
      <c r="Y127" s="1191"/>
      <c r="Z127" s="1163"/>
      <c r="AA127" s="1152"/>
      <c r="AB127" s="1152"/>
      <c r="AC127" s="1152"/>
      <c r="AD127" s="1152"/>
      <c r="AE127" s="1165"/>
      <c r="AN127" s="1183"/>
      <c r="AS127" s="1168"/>
    </row>
    <row r="128" spans="3:45" ht="15" customHeight="1">
      <c r="C128"/>
      <c r="D128"/>
      <c r="E128" s="187" t="s">
        <v>1276</v>
      </c>
      <c r="F128" s="1142"/>
      <c r="G128" s="1142"/>
      <c r="H128" s="1142"/>
      <c r="I128" s="1142"/>
      <c r="J128" s="1142"/>
      <c r="U128" s="1142"/>
      <c r="V128" s="1201"/>
      <c r="W128" s="1191"/>
      <c r="X128" s="1191"/>
      <c r="Y128" s="1191"/>
      <c r="Z128" s="1163"/>
      <c r="AA128" s="1152"/>
      <c r="AB128" s="1152"/>
      <c r="AC128" s="1152"/>
      <c r="AD128" s="1152"/>
      <c r="AE128" s="1165"/>
      <c r="AN128" s="1183"/>
      <c r="AS128" s="1168"/>
    </row>
    <row r="129" spans="2:46" ht="15" customHeight="1">
      <c r="C129"/>
      <c r="D129"/>
      <c r="E129" s="187" t="s">
        <v>1072</v>
      </c>
      <c r="F129" s="1142"/>
      <c r="G129" s="1142"/>
      <c r="H129" s="1142"/>
      <c r="I129" s="1142"/>
      <c r="J129" s="1142"/>
      <c r="U129" s="1142"/>
      <c r="V129" s="1201"/>
      <c r="W129" s="1191"/>
      <c r="X129" s="1191"/>
      <c r="Y129" s="1191"/>
      <c r="Z129" s="1163"/>
      <c r="AA129" s="1152"/>
      <c r="AB129" s="1152"/>
      <c r="AC129" s="1152"/>
      <c r="AD129" s="1152"/>
      <c r="AE129" s="1165"/>
      <c r="AN129" s="1183"/>
      <c r="AS129" s="1168"/>
    </row>
    <row r="130" spans="2:46" ht="15" customHeight="1">
      <c r="B130" s="1152"/>
      <c r="C130" s="187" t="s">
        <v>1277</v>
      </c>
      <c r="D130" s="187" t="s">
        <v>951</v>
      </c>
      <c r="E130" s="1426">
        <v>100</v>
      </c>
      <c r="G130" s="1142"/>
      <c r="H130" s="1142"/>
      <c r="I130" s="1142"/>
      <c r="J130" s="1142"/>
      <c r="S130" s="1185"/>
      <c r="T130" s="1201"/>
      <c r="U130" s="1201"/>
      <c r="V130" s="1201"/>
      <c r="W130" s="1191"/>
      <c r="X130" s="1191"/>
      <c r="Y130" s="1191"/>
      <c r="Z130" s="1163"/>
      <c r="AA130" s="1152"/>
      <c r="AB130" s="1152"/>
      <c r="AC130" s="1152"/>
      <c r="AD130" s="1152"/>
      <c r="AE130" s="1165"/>
      <c r="AN130" s="1183"/>
      <c r="AS130" s="1168"/>
    </row>
    <row r="131" spans="2:46" ht="15" customHeight="1">
      <c r="C131" s="187" t="s">
        <v>1278</v>
      </c>
      <c r="D131" s="187" t="s">
        <v>952</v>
      </c>
      <c r="E131" s="1426">
        <v>9</v>
      </c>
      <c r="S131" s="1200"/>
      <c r="T131" s="1226"/>
      <c r="U131" s="1227"/>
      <c r="V131" s="1160"/>
      <c r="W131" s="1228"/>
      <c r="X131" s="1229"/>
      <c r="Y131" s="1230"/>
      <c r="Z131" s="1163"/>
      <c r="AN131" s="1183"/>
      <c r="AS131" s="1168"/>
    </row>
    <row r="132" spans="2:46" ht="15" customHeight="1">
      <c r="C132" s="187" t="s">
        <v>1279</v>
      </c>
      <c r="D132" s="187" t="s">
        <v>953</v>
      </c>
      <c r="E132" s="1426">
        <v>44</v>
      </c>
      <c r="S132" s="1200"/>
      <c r="T132" s="1226"/>
      <c r="U132" s="1227"/>
      <c r="V132" s="1160"/>
      <c r="W132" s="1228"/>
      <c r="X132" s="1229"/>
      <c r="Y132" s="1230"/>
      <c r="Z132" s="1163"/>
      <c r="AN132" s="1183"/>
      <c r="AS132" s="1168"/>
    </row>
    <row r="133" spans="2:46" ht="14.4">
      <c r="C133" s="187" t="s">
        <v>1280</v>
      </c>
      <c r="D133" s="187" t="s">
        <v>954</v>
      </c>
      <c r="E133" s="1426">
        <v>21</v>
      </c>
      <c r="F133" s="1142"/>
      <c r="G133" s="1142"/>
      <c r="H133" s="1142"/>
      <c r="I133" s="1142"/>
      <c r="J133" s="1142"/>
      <c r="AN133" s="1231"/>
    </row>
    <row r="134" spans="2:46" ht="14.4">
      <c r="C134" s="187" t="s">
        <v>1281</v>
      </c>
      <c r="D134" s="187" t="s">
        <v>955</v>
      </c>
      <c r="E134" s="1426">
        <v>19</v>
      </c>
      <c r="F134" s="1142"/>
      <c r="G134" s="1142"/>
      <c r="H134" s="1142"/>
      <c r="I134" s="1142"/>
      <c r="J134" s="1142"/>
      <c r="AN134" s="1231"/>
    </row>
    <row r="135" spans="2:46" ht="14.4">
      <c r="B135" s="1235"/>
      <c r="C135" s="187" t="s">
        <v>1282</v>
      </c>
      <c r="D135" s="187" t="s">
        <v>956</v>
      </c>
      <c r="E135" s="1426">
        <v>2</v>
      </c>
      <c r="F135" s="1235"/>
      <c r="G135" s="1235"/>
      <c r="H135" s="1235"/>
      <c r="I135" s="1235"/>
      <c r="J135" s="1235"/>
      <c r="K135" s="1235"/>
      <c r="L135" s="1235"/>
      <c r="M135" s="1235"/>
      <c r="N135" s="1235"/>
      <c r="O135" s="1235"/>
      <c r="P135" s="1235"/>
      <c r="Q135" s="1235"/>
      <c r="R135" s="1235"/>
      <c r="S135" s="1235"/>
      <c r="T135" s="1235"/>
      <c r="U135" s="1235"/>
      <c r="V135" s="1235"/>
      <c r="W135" s="1235"/>
      <c r="X135" s="1235"/>
      <c r="Y135" s="1235"/>
      <c r="Z135" s="1235"/>
      <c r="AA135" s="1235"/>
      <c r="AB135" s="1235"/>
      <c r="AC135" s="1235"/>
      <c r="AD135" s="1235"/>
      <c r="AE135" s="1235"/>
      <c r="AF135" s="1235"/>
      <c r="AG135" s="1235"/>
      <c r="AH135" s="1235"/>
      <c r="AI135" s="1235"/>
      <c r="AJ135" s="1235"/>
      <c r="AK135" s="1235"/>
      <c r="AQ135" s="1235"/>
      <c r="AR135" s="1235"/>
      <c r="AS135" s="1235"/>
      <c r="AT135" s="1235"/>
    </row>
    <row r="136" spans="2:46" ht="14.4">
      <c r="B136" s="1235"/>
      <c r="C136" s="187" t="s">
        <v>1283</v>
      </c>
      <c r="D136" s="187" t="s">
        <v>957</v>
      </c>
      <c r="E136" s="1426">
        <v>1</v>
      </c>
      <c r="F136" s="1235"/>
      <c r="G136" s="1235"/>
      <c r="H136" s="1235"/>
      <c r="I136" s="1235"/>
      <c r="J136" s="1235"/>
      <c r="K136" s="1235"/>
      <c r="L136" s="1235"/>
      <c r="M136" s="1235"/>
      <c r="N136" s="1235"/>
      <c r="O136" s="1235"/>
      <c r="P136" s="1235"/>
      <c r="Q136" s="1235"/>
      <c r="R136" s="1235"/>
      <c r="S136" s="1235"/>
      <c r="T136" s="1235"/>
      <c r="U136" s="1235"/>
      <c r="V136" s="1235"/>
      <c r="W136" s="1235"/>
      <c r="X136" s="1235"/>
      <c r="Y136" s="1235"/>
      <c r="Z136" s="1235"/>
      <c r="AA136" s="1235"/>
      <c r="AB136" s="1235"/>
      <c r="AC136" s="1235"/>
      <c r="AD136" s="1235"/>
      <c r="AE136" s="1235"/>
      <c r="AF136" s="1235"/>
      <c r="AG136" s="1235"/>
      <c r="AH136" s="1235"/>
      <c r="AI136" s="1235"/>
      <c r="AJ136" s="1235"/>
      <c r="AK136" s="1235"/>
      <c r="AQ136" s="1235"/>
      <c r="AR136" s="1235"/>
      <c r="AS136" s="1235"/>
      <c r="AT136" s="1235"/>
    </row>
    <row r="137" spans="2:46" ht="14.4">
      <c r="B137" s="1235"/>
      <c r="C137" s="187" t="s">
        <v>1284</v>
      </c>
      <c r="D137" s="187" t="s">
        <v>958</v>
      </c>
      <c r="E137" s="1426">
        <v>12</v>
      </c>
      <c r="F137" s="1235"/>
      <c r="G137" s="1235"/>
      <c r="H137" s="1235"/>
      <c r="I137" s="1235"/>
      <c r="J137" s="1235"/>
      <c r="K137" s="1235"/>
      <c r="L137" s="1235"/>
      <c r="M137" s="1235"/>
      <c r="N137" s="1235"/>
      <c r="O137" s="1235"/>
      <c r="P137" s="1235"/>
      <c r="Q137" s="1235"/>
      <c r="R137" s="1235"/>
      <c r="S137" s="1235"/>
      <c r="T137" s="1235"/>
      <c r="U137" s="1235"/>
      <c r="V137" s="1235"/>
      <c r="W137" s="1235"/>
      <c r="X137" s="1235"/>
      <c r="Y137" s="1235"/>
      <c r="Z137" s="1235"/>
      <c r="AA137" s="1235"/>
      <c r="AB137" s="1235"/>
      <c r="AC137" s="1235"/>
      <c r="AD137" s="1235"/>
      <c r="AE137" s="1235"/>
      <c r="AF137" s="1235"/>
      <c r="AG137" s="1235"/>
      <c r="AH137" s="1235"/>
      <c r="AI137" s="1235"/>
      <c r="AJ137" s="1235"/>
      <c r="AK137" s="1235"/>
      <c r="AQ137" s="1235"/>
      <c r="AR137" s="1235"/>
      <c r="AS137" s="1235"/>
      <c r="AT137" s="1235"/>
    </row>
    <row r="138" spans="2:46" ht="14.4">
      <c r="B138" s="1235"/>
      <c r="C138" s="187" t="s">
        <v>1285</v>
      </c>
      <c r="D138" s="187" t="s">
        <v>959</v>
      </c>
      <c r="E138" s="1426">
        <v>1</v>
      </c>
      <c r="F138" s="1235"/>
      <c r="G138" s="1235"/>
      <c r="H138" s="1235"/>
      <c r="I138" s="1235"/>
      <c r="J138" s="1235"/>
      <c r="K138" s="1235"/>
      <c r="L138" s="1235"/>
      <c r="M138" s="1235"/>
      <c r="N138" s="1235"/>
      <c r="O138" s="1235"/>
      <c r="P138" s="1235"/>
      <c r="Q138" s="1235"/>
      <c r="R138" s="1235"/>
      <c r="S138" s="1235"/>
      <c r="T138" s="1235"/>
      <c r="U138" s="1235"/>
      <c r="V138" s="1235"/>
      <c r="W138" s="1235"/>
      <c r="X138" s="1235"/>
      <c r="Y138" s="1235"/>
      <c r="Z138" s="1235"/>
      <c r="AA138" s="1235"/>
      <c r="AB138" s="1235"/>
      <c r="AC138" s="1235"/>
      <c r="AD138" s="1235"/>
      <c r="AE138" s="1235"/>
      <c r="AF138" s="1235"/>
      <c r="AG138" s="1235"/>
      <c r="AH138" s="1235"/>
      <c r="AI138" s="1235"/>
      <c r="AJ138" s="1235"/>
      <c r="AK138" s="1235"/>
      <c r="AQ138" s="1235"/>
      <c r="AR138" s="1235"/>
      <c r="AS138" s="1235"/>
      <c r="AT138" s="1235"/>
    </row>
    <row r="139" spans="2:46" ht="14.4">
      <c r="B139" s="1235"/>
      <c r="C139" s="187" t="s">
        <v>1286</v>
      </c>
      <c r="D139" s="187" t="s">
        <v>960</v>
      </c>
      <c r="E139" s="1426">
        <v>0</v>
      </c>
      <c r="F139" s="1235"/>
      <c r="G139" s="1235"/>
      <c r="H139" s="1235"/>
      <c r="I139" s="1235"/>
      <c r="J139" s="1235"/>
      <c r="K139" s="1235"/>
      <c r="L139" s="1235"/>
      <c r="M139" s="1235"/>
      <c r="N139" s="1235"/>
      <c r="O139" s="1235"/>
      <c r="P139" s="1235"/>
      <c r="Q139" s="1235"/>
      <c r="R139" s="1235"/>
      <c r="S139" s="1235"/>
      <c r="T139" s="1235"/>
      <c r="U139" s="1235"/>
      <c r="V139" s="1235"/>
      <c r="W139" s="1235"/>
      <c r="X139" s="1235"/>
      <c r="Y139" s="1235"/>
      <c r="Z139" s="1235"/>
      <c r="AA139" s="1235"/>
      <c r="AB139" s="1235"/>
      <c r="AC139" s="1235"/>
      <c r="AD139" s="1235"/>
      <c r="AE139" s="1235"/>
      <c r="AF139" s="1235"/>
      <c r="AG139" s="1235"/>
      <c r="AH139" s="1235"/>
      <c r="AI139" s="1235"/>
      <c r="AJ139" s="1235"/>
      <c r="AK139" s="1235"/>
      <c r="AQ139" s="1235"/>
      <c r="AR139" s="1235"/>
      <c r="AS139" s="1235"/>
      <c r="AT139" s="1235"/>
    </row>
    <row r="140" spans="2:46" ht="14.4">
      <c r="B140" s="1235"/>
      <c r="C140" s="187" t="s">
        <v>1287</v>
      </c>
      <c r="D140" s="187" t="s">
        <v>961</v>
      </c>
      <c r="E140" s="1426">
        <v>0</v>
      </c>
      <c r="F140" s="1235"/>
      <c r="G140" s="1235"/>
      <c r="H140" s="1235"/>
      <c r="I140" s="1235"/>
      <c r="J140" s="1235"/>
      <c r="K140" s="1235"/>
      <c r="L140" s="1235"/>
      <c r="M140" s="1235"/>
      <c r="N140" s="1235"/>
      <c r="O140" s="1235"/>
      <c r="P140" s="1235"/>
      <c r="Q140" s="1235"/>
      <c r="R140" s="1235"/>
      <c r="S140" s="1235"/>
      <c r="T140" s="1235"/>
      <c r="U140" s="1235"/>
      <c r="V140" s="1235"/>
      <c r="W140" s="1235"/>
      <c r="X140" s="1235"/>
      <c r="Y140" s="1235"/>
      <c r="Z140" s="1235"/>
      <c r="AA140" s="1235"/>
      <c r="AB140" s="1235"/>
      <c r="AC140" s="1235"/>
      <c r="AD140" s="1235"/>
      <c r="AE140" s="1235"/>
      <c r="AF140" s="1235"/>
      <c r="AG140" s="1235"/>
      <c r="AH140" s="1235"/>
      <c r="AI140" s="1235"/>
      <c r="AJ140" s="1235"/>
      <c r="AK140" s="1235"/>
      <c r="AQ140" s="1235"/>
      <c r="AR140" s="1235"/>
      <c r="AS140" s="1235"/>
      <c r="AT140" s="1235"/>
    </row>
    <row r="141" spans="2:46" ht="14.4">
      <c r="B141" s="1235"/>
      <c r="C141" s="187" t="s">
        <v>1288</v>
      </c>
      <c r="D141" s="187" t="s">
        <v>962</v>
      </c>
      <c r="E141" s="1426">
        <v>2</v>
      </c>
      <c r="F141" s="1235"/>
      <c r="G141" s="1235"/>
      <c r="H141" s="1235"/>
      <c r="I141" s="1235"/>
      <c r="J141" s="1235"/>
      <c r="K141" s="1235"/>
      <c r="L141" s="1235"/>
      <c r="M141" s="1235"/>
      <c r="N141" s="1235"/>
      <c r="O141" s="1235"/>
      <c r="P141" s="1235"/>
      <c r="Q141" s="1235"/>
      <c r="R141" s="1235"/>
      <c r="S141" s="1235"/>
      <c r="T141" s="1235"/>
      <c r="U141" s="1235"/>
      <c r="V141" s="1235"/>
      <c r="W141" s="1235"/>
      <c r="X141" s="1235"/>
      <c r="Y141" s="1235"/>
      <c r="Z141" s="1235"/>
      <c r="AA141" s="1235"/>
      <c r="AB141" s="1235"/>
      <c r="AC141" s="1235"/>
      <c r="AD141" s="1235"/>
      <c r="AE141" s="1235"/>
      <c r="AF141" s="1235"/>
      <c r="AG141" s="1235"/>
      <c r="AH141" s="1235"/>
      <c r="AI141" s="1235"/>
      <c r="AJ141" s="1235"/>
      <c r="AK141" s="1235"/>
      <c r="AQ141" s="1235"/>
      <c r="AR141" s="1235"/>
      <c r="AS141" s="1235"/>
      <c r="AT141" s="1235"/>
    </row>
    <row r="142" spans="2:46" ht="14.4">
      <c r="B142" s="1235"/>
      <c r="C142" s="187" t="s">
        <v>1289</v>
      </c>
      <c r="D142" s="187" t="s">
        <v>963</v>
      </c>
      <c r="E142" s="1426">
        <v>3</v>
      </c>
      <c r="F142" s="1235"/>
      <c r="G142" s="1235"/>
      <c r="H142" s="1235"/>
      <c r="I142" s="1235"/>
      <c r="J142" s="1235"/>
      <c r="K142" s="1235"/>
      <c r="L142" s="1235"/>
      <c r="M142" s="1235"/>
      <c r="N142" s="1235"/>
      <c r="O142" s="1235"/>
      <c r="P142" s="1235"/>
      <c r="Q142" s="1235"/>
      <c r="R142" s="1235"/>
      <c r="S142" s="1235"/>
      <c r="T142" s="1235"/>
      <c r="U142" s="1235"/>
      <c r="V142" s="1235"/>
      <c r="W142" s="1235"/>
      <c r="X142" s="1235"/>
      <c r="Y142" s="1235"/>
      <c r="Z142" s="1235"/>
      <c r="AA142" s="1235"/>
      <c r="AB142" s="1235"/>
      <c r="AC142" s="1235"/>
      <c r="AD142" s="1235"/>
      <c r="AE142" s="1235"/>
      <c r="AF142" s="1235"/>
      <c r="AG142" s="1235"/>
      <c r="AH142" s="1235"/>
      <c r="AI142" s="1235"/>
      <c r="AJ142" s="1235"/>
      <c r="AK142" s="1235"/>
      <c r="AQ142" s="1235"/>
      <c r="AR142" s="1235"/>
      <c r="AS142" s="1235"/>
      <c r="AT142" s="1235"/>
    </row>
    <row r="143" spans="2:46" ht="14.4">
      <c r="B143" s="1235"/>
      <c r="C143" s="187" t="s">
        <v>1290</v>
      </c>
      <c r="D143" s="187" t="s">
        <v>964</v>
      </c>
      <c r="E143" s="1426">
        <v>6</v>
      </c>
      <c r="F143" s="1235"/>
      <c r="G143" s="1235"/>
      <c r="H143" s="1235"/>
      <c r="I143" s="1235"/>
      <c r="J143" s="1235"/>
      <c r="K143" s="1235"/>
      <c r="L143" s="1235"/>
      <c r="M143" s="1235"/>
      <c r="N143" s="1235"/>
      <c r="O143" s="1235"/>
      <c r="P143" s="1235"/>
      <c r="Q143" s="1235"/>
      <c r="R143" s="1235"/>
      <c r="S143" s="1235"/>
      <c r="T143" s="1235"/>
      <c r="U143" s="1235"/>
      <c r="V143" s="1235"/>
      <c r="W143" s="1235"/>
      <c r="X143" s="1235"/>
      <c r="Y143" s="1235"/>
      <c r="Z143" s="1235"/>
      <c r="AA143" s="1235"/>
      <c r="AB143" s="1235"/>
      <c r="AC143" s="1235"/>
      <c r="AD143" s="1235"/>
      <c r="AE143" s="1235"/>
      <c r="AF143" s="1235"/>
      <c r="AG143" s="1235"/>
      <c r="AH143" s="1235"/>
      <c r="AI143" s="1235"/>
      <c r="AJ143" s="1235"/>
      <c r="AK143" s="1235"/>
      <c r="AQ143" s="1235"/>
      <c r="AR143" s="1235"/>
      <c r="AS143" s="1235"/>
      <c r="AT143" s="1235"/>
    </row>
    <row r="144" spans="2:46" ht="14.4">
      <c r="B144" s="1235"/>
      <c r="C144" s="187" t="s">
        <v>1291</v>
      </c>
      <c r="D144" s="187" t="s">
        <v>965</v>
      </c>
      <c r="E144" s="1426">
        <v>4</v>
      </c>
      <c r="F144" s="1235"/>
      <c r="G144" s="1235"/>
      <c r="H144" s="1235"/>
      <c r="I144" s="1235"/>
      <c r="J144" s="1235"/>
      <c r="K144" s="1235"/>
      <c r="L144" s="1235"/>
      <c r="M144" s="1235"/>
      <c r="N144" s="1235"/>
      <c r="O144" s="1235"/>
      <c r="P144" s="1235"/>
      <c r="Q144" s="1235"/>
      <c r="R144" s="1235"/>
      <c r="S144" s="1235"/>
      <c r="T144" s="1235"/>
      <c r="U144" s="1235"/>
      <c r="V144" s="1235"/>
      <c r="W144" s="1235"/>
      <c r="X144" s="1235"/>
      <c r="Y144" s="1235"/>
      <c r="Z144" s="1235"/>
      <c r="AA144" s="1235"/>
      <c r="AB144" s="1235"/>
      <c r="AC144" s="1235"/>
      <c r="AD144" s="1235"/>
      <c r="AE144" s="1235"/>
      <c r="AF144" s="1235"/>
      <c r="AG144" s="1235"/>
      <c r="AH144" s="1235"/>
      <c r="AI144" s="1235"/>
      <c r="AJ144" s="1235"/>
      <c r="AK144" s="1235"/>
      <c r="AQ144" s="1235"/>
      <c r="AR144" s="1235"/>
      <c r="AS144" s="1235"/>
      <c r="AT144" s="1235"/>
    </row>
    <row r="145" spans="2:46" ht="14.4">
      <c r="B145" s="1235"/>
      <c r="C145" s="187" t="s">
        <v>1292</v>
      </c>
      <c r="D145" s="187" t="s">
        <v>966</v>
      </c>
      <c r="E145" s="1426">
        <v>3</v>
      </c>
      <c r="F145" s="1235"/>
      <c r="G145" s="1235"/>
      <c r="H145" s="1235"/>
      <c r="I145" s="1235"/>
      <c r="J145" s="1235"/>
      <c r="K145" s="1235"/>
      <c r="L145" s="1235"/>
      <c r="M145" s="1235"/>
      <c r="N145" s="1235"/>
      <c r="O145" s="1235"/>
      <c r="P145" s="1235"/>
      <c r="Q145" s="1235"/>
      <c r="R145" s="1235"/>
      <c r="S145" s="1235"/>
      <c r="T145" s="1235"/>
      <c r="U145" s="1235"/>
      <c r="V145" s="1235"/>
      <c r="W145" s="1235"/>
      <c r="X145" s="1235"/>
      <c r="Y145" s="1235"/>
      <c r="Z145" s="1235"/>
      <c r="AA145" s="1235"/>
      <c r="AB145" s="1235"/>
      <c r="AC145" s="1235"/>
      <c r="AD145" s="1235"/>
      <c r="AE145" s="1235"/>
      <c r="AF145" s="1235"/>
      <c r="AG145" s="1235"/>
      <c r="AH145" s="1235"/>
      <c r="AI145" s="1235"/>
      <c r="AJ145" s="1235"/>
      <c r="AK145" s="1235"/>
      <c r="AQ145" s="1235"/>
      <c r="AR145" s="1235"/>
      <c r="AS145" s="1235"/>
      <c r="AT145" s="1235"/>
    </row>
    <row r="146" spans="2:46" ht="14.4">
      <c r="B146" s="1235"/>
      <c r="C146" s="187" t="s">
        <v>1293</v>
      </c>
      <c r="D146" s="187" t="s">
        <v>967</v>
      </c>
      <c r="E146" s="1426">
        <v>2</v>
      </c>
      <c r="F146" s="1235"/>
      <c r="G146" s="1235"/>
      <c r="H146" s="1235"/>
      <c r="I146" s="1235"/>
      <c r="J146" s="1235"/>
      <c r="K146" s="1235"/>
      <c r="L146" s="1235"/>
      <c r="M146" s="1235"/>
      <c r="N146" s="1235"/>
      <c r="O146" s="1235"/>
      <c r="P146" s="1235"/>
      <c r="Q146" s="1235"/>
      <c r="R146" s="1235"/>
      <c r="S146" s="1235"/>
      <c r="T146" s="1235"/>
      <c r="U146" s="1235"/>
      <c r="V146" s="1235"/>
      <c r="W146" s="1235"/>
      <c r="X146" s="1235"/>
      <c r="Y146" s="1235"/>
      <c r="Z146" s="1235"/>
      <c r="AA146" s="1235"/>
      <c r="AB146" s="1235"/>
      <c r="AC146" s="1235"/>
      <c r="AD146" s="1235"/>
      <c r="AE146" s="1235"/>
      <c r="AF146" s="1235"/>
      <c r="AG146" s="1235"/>
      <c r="AH146" s="1235"/>
      <c r="AI146" s="1235"/>
      <c r="AJ146" s="1235"/>
      <c r="AK146" s="1235"/>
      <c r="AQ146" s="1235"/>
      <c r="AR146" s="1235"/>
      <c r="AS146" s="1235"/>
      <c r="AT146" s="1235"/>
    </row>
    <row r="147" spans="2:46" ht="14.4">
      <c r="B147" s="1235"/>
      <c r="C147" s="187" t="s">
        <v>1294</v>
      </c>
      <c r="D147" s="187" t="s">
        <v>968</v>
      </c>
      <c r="E147" s="1426">
        <v>2</v>
      </c>
      <c r="F147" s="1235"/>
      <c r="G147" s="1235"/>
      <c r="H147" s="1235"/>
      <c r="I147" s="1235"/>
      <c r="J147" s="1235"/>
      <c r="K147" s="1235"/>
      <c r="L147" s="1235"/>
      <c r="M147" s="1235"/>
      <c r="N147" s="1235"/>
      <c r="O147" s="1235"/>
      <c r="P147" s="1235"/>
      <c r="Q147" s="1235"/>
      <c r="R147" s="1235"/>
      <c r="S147" s="1235"/>
      <c r="T147" s="1235"/>
      <c r="U147" s="1235"/>
      <c r="V147" s="1235"/>
      <c r="W147" s="1235"/>
      <c r="X147" s="1235"/>
      <c r="Y147" s="1235"/>
      <c r="Z147" s="1235"/>
      <c r="AA147" s="1235"/>
      <c r="AB147" s="1235"/>
      <c r="AC147" s="1235"/>
      <c r="AD147" s="1235"/>
      <c r="AE147" s="1235"/>
      <c r="AF147" s="1235"/>
      <c r="AG147" s="1235"/>
      <c r="AH147" s="1235"/>
      <c r="AI147" s="1235"/>
      <c r="AJ147" s="1235"/>
      <c r="AK147" s="1235"/>
      <c r="AQ147" s="1235"/>
      <c r="AR147" s="1235"/>
      <c r="AS147" s="1235"/>
      <c r="AT147" s="1235"/>
    </row>
    <row r="148" spans="2:46" ht="14.4">
      <c r="B148" s="1235"/>
      <c r="C148" s="187" t="s">
        <v>1295</v>
      </c>
      <c r="D148" s="187" t="s">
        <v>969</v>
      </c>
      <c r="E148" s="1426">
        <v>0</v>
      </c>
      <c r="F148" s="1235"/>
      <c r="G148" s="1235"/>
      <c r="H148" s="1235"/>
      <c r="I148" s="1235"/>
      <c r="J148" s="1235"/>
      <c r="K148" s="1235"/>
      <c r="L148" s="1235"/>
      <c r="M148" s="1235"/>
      <c r="N148" s="1235"/>
      <c r="O148" s="1235"/>
      <c r="P148" s="1235"/>
      <c r="Q148" s="1235"/>
      <c r="R148" s="1235"/>
      <c r="S148" s="1235"/>
      <c r="T148" s="1235"/>
      <c r="U148" s="1235"/>
      <c r="V148" s="1235"/>
      <c r="W148" s="1235"/>
      <c r="X148" s="1235"/>
      <c r="Y148" s="1235"/>
      <c r="Z148" s="1235"/>
      <c r="AA148" s="1235"/>
      <c r="AB148" s="1235"/>
      <c r="AC148" s="1235"/>
      <c r="AD148" s="1235"/>
      <c r="AE148" s="1235"/>
      <c r="AF148" s="1235"/>
      <c r="AG148" s="1235"/>
      <c r="AH148" s="1235"/>
      <c r="AI148" s="1235"/>
      <c r="AJ148" s="1235"/>
      <c r="AK148" s="1235"/>
      <c r="AQ148" s="1235"/>
      <c r="AR148" s="1235"/>
      <c r="AS148" s="1235"/>
      <c r="AT148" s="1235"/>
    </row>
    <row r="149" spans="2:46" ht="14.4">
      <c r="B149" s="1235"/>
      <c r="C149" s="187" t="s">
        <v>1296</v>
      </c>
      <c r="D149" s="187" t="s">
        <v>970</v>
      </c>
      <c r="E149" s="1426">
        <v>1</v>
      </c>
      <c r="F149" s="1235"/>
      <c r="G149" s="1235"/>
      <c r="H149" s="1235"/>
      <c r="I149" s="1235"/>
      <c r="J149" s="1235"/>
      <c r="K149" s="1235"/>
      <c r="L149" s="1235"/>
      <c r="M149" s="1235"/>
      <c r="N149" s="1235"/>
      <c r="O149" s="1235"/>
      <c r="P149" s="1235"/>
      <c r="Q149" s="1235"/>
      <c r="R149" s="1235"/>
      <c r="S149" s="1235"/>
      <c r="T149" s="1235"/>
      <c r="U149" s="1235"/>
      <c r="V149" s="1235"/>
      <c r="W149" s="1235"/>
      <c r="X149" s="1235"/>
      <c r="Y149" s="1235"/>
      <c r="Z149" s="1235"/>
      <c r="AA149" s="1235"/>
      <c r="AB149" s="1235"/>
      <c r="AC149" s="1235"/>
      <c r="AD149" s="1235"/>
      <c r="AE149" s="1235"/>
      <c r="AF149" s="1235"/>
      <c r="AG149" s="1235"/>
      <c r="AH149" s="1235"/>
      <c r="AI149" s="1235"/>
      <c r="AJ149" s="1235"/>
      <c r="AK149" s="1235"/>
      <c r="AQ149" s="1235"/>
      <c r="AR149" s="1235"/>
      <c r="AS149" s="1235"/>
      <c r="AT149" s="1235"/>
    </row>
    <row r="150" spans="2:46" ht="14.4">
      <c r="B150" s="1235"/>
      <c r="C150" s="187" t="s">
        <v>1297</v>
      </c>
      <c r="D150" s="187" t="s">
        <v>971</v>
      </c>
      <c r="E150" s="1426">
        <v>1</v>
      </c>
      <c r="F150" s="1235"/>
      <c r="G150" s="1235"/>
      <c r="H150" s="1235"/>
      <c r="I150" s="1235"/>
      <c r="J150" s="1235"/>
      <c r="K150" s="1235"/>
      <c r="L150" s="1235"/>
      <c r="M150" s="1235"/>
      <c r="N150" s="1235"/>
      <c r="O150" s="1235"/>
      <c r="P150" s="1235"/>
      <c r="Q150" s="1235"/>
      <c r="R150" s="1235"/>
      <c r="S150" s="1235"/>
      <c r="T150" s="1235"/>
      <c r="U150" s="1235"/>
      <c r="V150" s="1235"/>
      <c r="W150" s="1235"/>
      <c r="X150" s="1235"/>
      <c r="Y150" s="1235"/>
      <c r="Z150" s="1235"/>
      <c r="AA150" s="1235"/>
      <c r="AB150" s="1235"/>
      <c r="AC150" s="1235"/>
      <c r="AD150" s="1235"/>
      <c r="AE150" s="1235"/>
      <c r="AF150" s="1235"/>
      <c r="AG150" s="1235"/>
      <c r="AH150" s="1235"/>
      <c r="AI150" s="1235"/>
      <c r="AJ150" s="1235"/>
      <c r="AK150" s="1235"/>
      <c r="AQ150" s="1235"/>
      <c r="AR150" s="1235"/>
      <c r="AS150" s="1235"/>
      <c r="AT150" s="1235"/>
    </row>
    <row r="151" spans="2:46" ht="14.4">
      <c r="B151" s="1235"/>
      <c r="C151" s="187" t="s">
        <v>1298</v>
      </c>
      <c r="D151" s="187" t="s">
        <v>972</v>
      </c>
      <c r="E151" s="1426">
        <v>0</v>
      </c>
      <c r="F151" s="1235"/>
      <c r="G151" s="1235"/>
      <c r="H151" s="1235"/>
      <c r="I151" s="1235"/>
      <c r="J151" s="1235"/>
      <c r="K151" s="1235"/>
      <c r="L151" s="1235"/>
      <c r="M151" s="1235"/>
      <c r="N151" s="1235"/>
      <c r="O151" s="1235"/>
      <c r="P151" s="1235"/>
      <c r="Q151" s="1235"/>
      <c r="R151" s="1235"/>
      <c r="S151" s="1235"/>
      <c r="T151" s="1235"/>
      <c r="U151" s="1235"/>
      <c r="V151" s="1235"/>
      <c r="W151" s="1235"/>
      <c r="X151" s="1235"/>
      <c r="Y151" s="1235"/>
      <c r="Z151" s="1235"/>
      <c r="AA151" s="1235"/>
      <c r="AB151" s="1235"/>
      <c r="AC151" s="1235"/>
      <c r="AD151" s="1235"/>
      <c r="AE151" s="1235"/>
      <c r="AF151" s="1235"/>
      <c r="AG151" s="1235"/>
      <c r="AH151" s="1235"/>
      <c r="AI151" s="1235"/>
      <c r="AJ151" s="1235"/>
      <c r="AK151" s="1235"/>
      <c r="AQ151" s="1235"/>
      <c r="AR151" s="1235"/>
      <c r="AS151" s="1235"/>
      <c r="AT151" s="1235"/>
    </row>
    <row r="152" spans="2:46" ht="14.4">
      <c r="B152" s="1235"/>
      <c r="C152" s="187" t="s">
        <v>1299</v>
      </c>
      <c r="D152" s="187" t="s">
        <v>973</v>
      </c>
      <c r="E152" s="1426">
        <v>0</v>
      </c>
      <c r="F152" s="1235"/>
      <c r="G152" s="1235"/>
      <c r="H152" s="1235"/>
      <c r="I152" s="1235"/>
      <c r="J152" s="1235"/>
      <c r="K152" s="1235"/>
      <c r="L152" s="1235"/>
      <c r="M152" s="1235"/>
      <c r="N152" s="1235"/>
      <c r="O152" s="1235"/>
      <c r="P152" s="1235"/>
      <c r="Q152" s="1235"/>
      <c r="R152" s="1235"/>
      <c r="S152" s="1235"/>
      <c r="T152" s="1235"/>
      <c r="U152" s="1235"/>
      <c r="V152" s="1235"/>
      <c r="W152" s="1235"/>
      <c r="X152" s="1235"/>
      <c r="Y152" s="1235"/>
      <c r="Z152" s="1235"/>
      <c r="AA152" s="1235"/>
      <c r="AB152" s="1235"/>
      <c r="AC152" s="1235"/>
      <c r="AD152" s="1235"/>
      <c r="AE152" s="1235"/>
      <c r="AF152" s="1235"/>
      <c r="AG152" s="1235"/>
      <c r="AH152" s="1235"/>
      <c r="AI152" s="1235"/>
      <c r="AJ152" s="1235"/>
      <c r="AK152" s="1235"/>
      <c r="AQ152" s="1235"/>
      <c r="AR152" s="1235"/>
      <c r="AS152" s="1235"/>
      <c r="AT152" s="1235"/>
    </row>
    <row r="153" spans="2:46">
      <c r="B153" s="1235"/>
      <c r="C153"/>
      <c r="D153"/>
      <c r="E153"/>
      <c r="F153" s="1235"/>
      <c r="G153" s="1235"/>
      <c r="H153" s="1235"/>
      <c r="I153" s="1235"/>
      <c r="J153" s="1235"/>
      <c r="K153" s="1235"/>
      <c r="L153" s="1235"/>
      <c r="M153" s="1235"/>
      <c r="N153" s="1235"/>
      <c r="O153" s="1235"/>
      <c r="P153" s="1235"/>
      <c r="Q153" s="1235"/>
      <c r="R153" s="1235"/>
      <c r="S153" s="1235"/>
      <c r="T153" s="1235"/>
      <c r="U153" s="1235"/>
      <c r="V153" s="1235"/>
      <c r="W153" s="1235"/>
      <c r="X153" s="1235"/>
      <c r="Y153" s="1235"/>
      <c r="Z153" s="1235"/>
      <c r="AA153" s="1235"/>
      <c r="AB153" s="1235"/>
      <c r="AC153" s="1235"/>
      <c r="AD153" s="1235"/>
      <c r="AE153" s="1235"/>
      <c r="AF153" s="1235"/>
      <c r="AG153" s="1235"/>
      <c r="AH153" s="1235"/>
      <c r="AI153" s="1235"/>
      <c r="AJ153" s="1235"/>
      <c r="AK153" s="1235"/>
      <c r="AQ153" s="1235"/>
      <c r="AR153" s="1235"/>
      <c r="AS153" s="1235"/>
      <c r="AT153" s="1235"/>
    </row>
    <row r="154" spans="2:46">
      <c r="B154" s="1235"/>
      <c r="C154"/>
      <c r="D154"/>
      <c r="E154"/>
      <c r="F154" s="1235"/>
      <c r="G154" s="1235"/>
      <c r="H154" s="1235"/>
      <c r="I154" s="1235"/>
      <c r="J154" s="1235"/>
      <c r="K154" s="1235"/>
      <c r="L154" s="1235"/>
      <c r="M154" s="1235"/>
      <c r="N154" s="1235"/>
      <c r="O154" s="1235"/>
      <c r="P154" s="1235"/>
      <c r="Q154" s="1235"/>
      <c r="R154" s="1235"/>
      <c r="S154" s="1235"/>
      <c r="T154" s="1235"/>
      <c r="U154" s="1235"/>
      <c r="V154" s="1235"/>
      <c r="W154" s="1235"/>
      <c r="X154" s="1235"/>
      <c r="Y154" s="1235"/>
      <c r="Z154" s="1235"/>
      <c r="AA154" s="1235"/>
      <c r="AB154" s="1235"/>
      <c r="AC154" s="1235"/>
      <c r="AD154" s="1235"/>
      <c r="AE154" s="1235"/>
      <c r="AF154" s="1235"/>
      <c r="AG154" s="1235"/>
      <c r="AH154" s="1235"/>
      <c r="AI154" s="1235"/>
      <c r="AJ154" s="1235"/>
      <c r="AK154" s="1235"/>
      <c r="AQ154" s="1235"/>
      <c r="AR154" s="1235"/>
      <c r="AS154" s="1235"/>
      <c r="AT154" s="1235"/>
    </row>
    <row r="155" spans="2:46">
      <c r="B155" s="1235"/>
      <c r="C155" t="s">
        <v>1300</v>
      </c>
      <c r="D155"/>
      <c r="E155"/>
      <c r="F155" s="1235"/>
      <c r="G155" s="1235"/>
      <c r="H155" s="1235"/>
      <c r="I155" s="1235"/>
      <c r="J155" s="1235"/>
      <c r="K155" s="1235"/>
      <c r="L155" s="1235"/>
      <c r="M155" s="1235"/>
      <c r="N155" s="1235"/>
      <c r="O155" s="1235"/>
      <c r="P155" s="1235"/>
      <c r="Q155" s="1235"/>
      <c r="R155" s="1235"/>
      <c r="S155" s="1235"/>
      <c r="T155" s="1235"/>
      <c r="U155" s="1235"/>
      <c r="V155" s="1235"/>
      <c r="W155" s="1235"/>
      <c r="X155" s="1235"/>
      <c r="Y155" s="1235"/>
      <c r="Z155" s="1235"/>
      <c r="AA155" s="1235"/>
      <c r="AB155" s="1235"/>
      <c r="AC155" s="1235"/>
      <c r="AD155" s="1235"/>
      <c r="AE155" s="1235"/>
      <c r="AF155" s="1235"/>
      <c r="AG155" s="1235"/>
      <c r="AH155" s="1235"/>
      <c r="AI155" s="1235"/>
      <c r="AJ155" s="1235"/>
      <c r="AK155" s="1235"/>
      <c r="AQ155" s="1235"/>
      <c r="AR155" s="1235"/>
      <c r="AS155" s="1235"/>
      <c r="AT155" s="1235"/>
    </row>
    <row r="156" spans="2:46">
      <c r="B156" s="1235"/>
      <c r="C156" t="s">
        <v>1301</v>
      </c>
      <c r="D156"/>
      <c r="E156"/>
      <c r="F156" s="1235"/>
      <c r="G156" s="1235"/>
      <c r="H156" s="1235"/>
      <c r="I156" s="1235"/>
      <c r="J156" s="1235"/>
      <c r="K156" s="1235"/>
      <c r="L156" s="1235"/>
      <c r="M156" s="1235"/>
      <c r="N156" s="1235"/>
      <c r="O156" s="1235"/>
      <c r="P156" s="1235"/>
      <c r="Q156" s="1235"/>
      <c r="R156" s="1235"/>
      <c r="S156" s="1235"/>
      <c r="T156" s="1235"/>
      <c r="U156" s="1235"/>
      <c r="V156" s="1235"/>
      <c r="W156" s="1235"/>
      <c r="X156" s="1235"/>
      <c r="Y156" s="1235"/>
      <c r="Z156" s="1235"/>
      <c r="AA156" s="1235"/>
      <c r="AB156" s="1235"/>
      <c r="AC156" s="1235"/>
      <c r="AD156" s="1235"/>
      <c r="AE156" s="1235"/>
      <c r="AF156" s="1235"/>
      <c r="AG156" s="1235"/>
      <c r="AH156" s="1235"/>
      <c r="AI156" s="1235"/>
      <c r="AJ156" s="1235"/>
      <c r="AK156" s="1235"/>
      <c r="AQ156" s="1235"/>
      <c r="AR156" s="1235"/>
      <c r="AS156" s="1235"/>
      <c r="AT156" s="1235"/>
    </row>
    <row r="157" spans="2:46">
      <c r="B157" s="1235"/>
      <c r="C157" t="s">
        <v>1302</v>
      </c>
      <c r="D157"/>
      <c r="E157"/>
      <c r="F157" s="1235"/>
      <c r="G157" s="1235"/>
      <c r="H157" s="1235"/>
      <c r="I157" s="1235"/>
      <c r="J157" s="1235"/>
      <c r="K157" s="1235"/>
      <c r="L157" s="1235"/>
      <c r="M157" s="1235"/>
      <c r="N157" s="1235"/>
      <c r="O157" s="1235"/>
      <c r="P157" s="1235"/>
      <c r="Q157" s="1235"/>
      <c r="R157" s="1235"/>
      <c r="S157" s="1235"/>
      <c r="T157" s="1235"/>
      <c r="U157" s="1235"/>
      <c r="V157" s="1235"/>
      <c r="W157" s="1235"/>
      <c r="X157" s="1235"/>
      <c r="Y157" s="1235"/>
      <c r="Z157" s="1235"/>
      <c r="AA157" s="1235"/>
      <c r="AB157" s="1235"/>
      <c r="AC157" s="1235"/>
      <c r="AD157" s="1235"/>
      <c r="AE157" s="1235"/>
      <c r="AF157" s="1235"/>
      <c r="AG157" s="1235"/>
      <c r="AH157" s="1235"/>
      <c r="AI157" s="1235"/>
      <c r="AJ157" s="1235"/>
      <c r="AK157" s="1235"/>
      <c r="AQ157" s="1235"/>
      <c r="AR157" s="1235"/>
      <c r="AS157" s="1235"/>
      <c r="AT157" s="1235"/>
    </row>
    <row r="158" spans="2:46">
      <c r="B158" s="1235"/>
      <c r="C158"/>
      <c r="D158"/>
      <c r="E158"/>
      <c r="F158" s="1235"/>
      <c r="G158" s="1235"/>
      <c r="H158" s="1235"/>
      <c r="I158" s="1235"/>
      <c r="J158" s="1235"/>
      <c r="K158" s="1235"/>
      <c r="L158" s="1235"/>
      <c r="M158" s="1235"/>
      <c r="N158" s="1235"/>
      <c r="O158" s="1235"/>
      <c r="P158" s="1235"/>
      <c r="Q158" s="1235"/>
      <c r="R158" s="1235"/>
      <c r="S158" s="1235"/>
      <c r="T158" s="1235"/>
      <c r="U158" s="1235"/>
      <c r="V158" s="1235"/>
      <c r="W158" s="1235"/>
      <c r="X158" s="1235"/>
      <c r="Y158" s="1235"/>
      <c r="Z158" s="1235"/>
      <c r="AA158" s="1235"/>
      <c r="AB158" s="1235"/>
      <c r="AC158" s="1235"/>
      <c r="AD158" s="1235"/>
      <c r="AE158" s="1235"/>
      <c r="AF158" s="1235"/>
      <c r="AG158" s="1235"/>
      <c r="AH158" s="1235"/>
      <c r="AI158" s="1235"/>
      <c r="AJ158" s="1235"/>
      <c r="AK158" s="1235"/>
      <c r="AQ158" s="1235"/>
      <c r="AR158" s="1235"/>
      <c r="AS158" s="1235"/>
      <c r="AT158" s="1235"/>
    </row>
    <row r="159" spans="2:46">
      <c r="B159" s="1235"/>
      <c r="C159" t="s">
        <v>1303</v>
      </c>
      <c r="D159"/>
      <c r="E159"/>
      <c r="F159" s="1235"/>
      <c r="G159" s="1235"/>
      <c r="H159" s="1235"/>
      <c r="I159" s="1235"/>
      <c r="J159" s="1235"/>
      <c r="K159" s="1235"/>
      <c r="L159" s="1235"/>
      <c r="M159" s="1235"/>
      <c r="N159" s="1235"/>
      <c r="O159" s="1235"/>
      <c r="P159" s="1235"/>
      <c r="Q159" s="1235"/>
      <c r="R159" s="1235"/>
      <c r="S159" s="1235"/>
      <c r="T159" s="1235"/>
      <c r="U159" s="1235"/>
      <c r="V159" s="1235"/>
      <c r="W159" s="1235"/>
      <c r="X159" s="1235"/>
      <c r="Y159" s="1235"/>
      <c r="Z159" s="1235"/>
      <c r="AA159" s="1235"/>
      <c r="AB159" s="1235"/>
      <c r="AC159" s="1235"/>
      <c r="AD159" s="1235"/>
      <c r="AE159" s="1235"/>
      <c r="AF159" s="1235"/>
      <c r="AG159" s="1235"/>
      <c r="AH159" s="1235"/>
      <c r="AI159" s="1235"/>
      <c r="AJ159" s="1235"/>
      <c r="AK159" s="1235"/>
      <c r="AQ159" s="1235"/>
      <c r="AR159" s="1235"/>
      <c r="AS159" s="1235"/>
      <c r="AT159" s="1235"/>
    </row>
    <row r="160" spans="2:46">
      <c r="B160" s="1235"/>
      <c r="C160" t="s">
        <v>358</v>
      </c>
      <c r="D160"/>
      <c r="E160"/>
      <c r="F160" s="1235"/>
      <c r="G160" s="1235"/>
      <c r="H160" s="1235"/>
      <c r="I160" s="1235"/>
      <c r="J160" s="1235"/>
      <c r="K160" s="1235"/>
      <c r="L160" s="1235"/>
      <c r="M160" s="1235"/>
      <c r="N160" s="1235"/>
      <c r="O160" s="1235"/>
      <c r="P160" s="1235"/>
      <c r="Q160" s="1235"/>
      <c r="R160" s="1235"/>
      <c r="S160" s="1235"/>
      <c r="T160" s="1235"/>
      <c r="U160" s="1235"/>
      <c r="V160" s="1235"/>
      <c r="W160" s="1235"/>
      <c r="X160" s="1235"/>
      <c r="Y160" s="1235"/>
      <c r="Z160" s="1235"/>
      <c r="AA160" s="1235"/>
      <c r="AB160" s="1235"/>
      <c r="AC160" s="1235"/>
      <c r="AD160" s="1235"/>
      <c r="AE160" s="1235"/>
      <c r="AF160" s="1235"/>
      <c r="AG160" s="1235"/>
      <c r="AH160" s="1235"/>
      <c r="AI160" s="1235"/>
      <c r="AJ160" s="1235"/>
      <c r="AK160" s="1235"/>
      <c r="AQ160" s="1235"/>
      <c r="AR160" s="1235"/>
      <c r="AS160" s="1235"/>
      <c r="AT160" s="1235"/>
    </row>
    <row r="161" spans="2:46">
      <c r="B161" s="1235"/>
      <c r="C161"/>
      <c r="D161"/>
      <c r="E161"/>
      <c r="F161" s="1235"/>
      <c r="G161" s="1235"/>
      <c r="H161" s="1235"/>
      <c r="I161" s="1235"/>
      <c r="J161" s="1235"/>
      <c r="K161" s="1235"/>
      <c r="L161" s="1235"/>
      <c r="M161" s="1235"/>
      <c r="N161" s="1235"/>
      <c r="O161" s="1235"/>
      <c r="P161" s="1235"/>
      <c r="Q161" s="1235"/>
      <c r="R161" s="1235"/>
      <c r="S161" s="1235"/>
      <c r="T161" s="1235"/>
      <c r="U161" s="1235"/>
      <c r="V161" s="1235"/>
      <c r="W161" s="1235"/>
      <c r="X161" s="1235"/>
      <c r="Y161" s="1235"/>
      <c r="Z161" s="1235"/>
      <c r="AA161" s="1235"/>
      <c r="AB161" s="1235"/>
      <c r="AC161" s="1235"/>
      <c r="AD161" s="1235"/>
      <c r="AE161" s="1235"/>
      <c r="AF161" s="1235"/>
      <c r="AG161" s="1235"/>
      <c r="AH161" s="1235"/>
      <c r="AI161" s="1235"/>
      <c r="AJ161" s="1235"/>
      <c r="AK161" s="1235"/>
      <c r="AQ161" s="1235"/>
      <c r="AR161" s="1235"/>
      <c r="AS161" s="1235"/>
      <c r="AT161" s="1235"/>
    </row>
    <row r="162" spans="2:46">
      <c r="B162" s="1235"/>
      <c r="C162" t="s">
        <v>1304</v>
      </c>
      <c r="D162"/>
      <c r="E162"/>
      <c r="F162" s="1235"/>
      <c r="G162" s="1235"/>
      <c r="H162" s="1235"/>
      <c r="I162" s="1235"/>
      <c r="J162" s="1235"/>
      <c r="K162" s="1235"/>
      <c r="L162" s="1235"/>
      <c r="M162" s="1235"/>
      <c r="N162" s="1235"/>
      <c r="O162" s="1235"/>
      <c r="P162" s="1235"/>
      <c r="Q162" s="1235"/>
      <c r="R162" s="1235"/>
      <c r="S162" s="1235"/>
      <c r="T162" s="1235"/>
      <c r="U162" s="1235"/>
      <c r="V162" s="1235"/>
      <c r="W162" s="1235"/>
      <c r="X162" s="1235"/>
      <c r="Y162" s="1235"/>
      <c r="Z162" s="1235"/>
      <c r="AA162" s="1235"/>
      <c r="AB162" s="1235"/>
      <c r="AC162" s="1235"/>
      <c r="AD162" s="1235"/>
      <c r="AE162" s="1235"/>
      <c r="AF162" s="1235"/>
      <c r="AG162" s="1235"/>
      <c r="AH162" s="1235"/>
      <c r="AI162" s="1235"/>
      <c r="AJ162" s="1235"/>
      <c r="AK162" s="1235"/>
      <c r="AQ162" s="1235"/>
      <c r="AR162" s="1235"/>
      <c r="AS162" s="1235"/>
      <c r="AT162" s="1235"/>
    </row>
    <row r="163" spans="2:46">
      <c r="B163" s="1235"/>
      <c r="C163" t="s">
        <v>1301</v>
      </c>
      <c r="D163"/>
      <c r="E163"/>
      <c r="F163" s="1235"/>
      <c r="G163" s="1235"/>
      <c r="H163" s="1235"/>
      <c r="I163" s="1235"/>
      <c r="J163" s="1235"/>
      <c r="K163" s="1235"/>
      <c r="L163" s="1235"/>
      <c r="M163" s="1235"/>
      <c r="N163" s="1235"/>
      <c r="O163" s="1235"/>
      <c r="P163" s="1235"/>
      <c r="Q163" s="1235"/>
      <c r="R163" s="1235"/>
      <c r="S163" s="1235"/>
      <c r="T163" s="1235"/>
      <c r="U163" s="1235"/>
      <c r="V163" s="1235"/>
      <c r="W163" s="1235"/>
      <c r="X163" s="1235"/>
      <c r="Y163" s="1235"/>
      <c r="Z163" s="1235"/>
      <c r="AA163" s="1235"/>
      <c r="AB163" s="1235"/>
      <c r="AC163" s="1235"/>
      <c r="AD163" s="1235"/>
      <c r="AE163" s="1235"/>
      <c r="AF163" s="1235"/>
      <c r="AG163" s="1235"/>
      <c r="AH163" s="1235"/>
      <c r="AI163" s="1235"/>
      <c r="AJ163" s="1235"/>
      <c r="AK163" s="1235"/>
      <c r="AQ163" s="1235"/>
      <c r="AR163" s="1235"/>
      <c r="AS163" s="1235"/>
      <c r="AT163" s="1235"/>
    </row>
    <row r="164" spans="2:46">
      <c r="B164" s="1235"/>
      <c r="C164" t="s">
        <v>1305</v>
      </c>
      <c r="D164"/>
      <c r="E164"/>
      <c r="F164" s="1235"/>
      <c r="G164" s="1235"/>
      <c r="H164" s="1235"/>
      <c r="I164" s="1235"/>
      <c r="J164" s="1235"/>
      <c r="K164" s="1235"/>
      <c r="L164" s="1235"/>
      <c r="M164" s="1235"/>
      <c r="N164" s="1235"/>
      <c r="O164" s="1235"/>
      <c r="P164" s="1235"/>
      <c r="Q164" s="1235"/>
      <c r="R164" s="1235"/>
      <c r="S164" s="1235"/>
      <c r="T164" s="1235"/>
      <c r="U164" s="1235"/>
      <c r="V164" s="1235"/>
      <c r="W164" s="1235"/>
      <c r="X164" s="1235"/>
      <c r="Y164" s="1235"/>
      <c r="Z164" s="1235"/>
      <c r="AA164" s="1235"/>
      <c r="AB164" s="1235"/>
      <c r="AC164" s="1235"/>
      <c r="AD164" s="1235"/>
      <c r="AE164" s="1235"/>
      <c r="AF164" s="1235"/>
      <c r="AG164" s="1235"/>
      <c r="AH164" s="1235"/>
      <c r="AI164" s="1235"/>
      <c r="AJ164" s="1235"/>
      <c r="AK164" s="1235"/>
      <c r="AQ164" s="1235"/>
      <c r="AR164" s="1235"/>
      <c r="AS164" s="1235"/>
      <c r="AT164" s="1235"/>
    </row>
    <row r="165" spans="2:46">
      <c r="B165" s="1235"/>
      <c r="C165" t="s">
        <v>1306</v>
      </c>
      <c r="D165"/>
      <c r="E165"/>
      <c r="F165" s="1235"/>
      <c r="G165" s="1235"/>
      <c r="H165" s="1235"/>
      <c r="I165" s="1235"/>
      <c r="J165" s="1235"/>
      <c r="K165" s="1235"/>
      <c r="L165" s="1235"/>
      <c r="M165" s="1235"/>
      <c r="N165" s="1235"/>
      <c r="O165" s="1235"/>
      <c r="P165" s="1235"/>
      <c r="Q165" s="1235"/>
      <c r="R165" s="1235"/>
      <c r="S165" s="1235"/>
      <c r="T165" s="1235"/>
      <c r="U165" s="1235"/>
      <c r="V165" s="1235"/>
      <c r="W165" s="1235"/>
      <c r="X165" s="1235"/>
      <c r="Y165" s="1235"/>
      <c r="Z165" s="1235"/>
      <c r="AA165" s="1235"/>
      <c r="AB165" s="1235"/>
      <c r="AC165" s="1235"/>
      <c r="AD165" s="1235"/>
      <c r="AE165" s="1235"/>
      <c r="AF165" s="1235"/>
      <c r="AG165" s="1235"/>
      <c r="AH165" s="1235"/>
      <c r="AI165" s="1235"/>
      <c r="AJ165" s="1235"/>
      <c r="AK165" s="1235"/>
      <c r="AQ165" s="1235"/>
      <c r="AR165" s="1235"/>
      <c r="AS165" s="1235"/>
      <c r="AT165" s="1235"/>
    </row>
    <row r="166" spans="2:46">
      <c r="B166" s="1235"/>
      <c r="C166" t="s">
        <v>1307</v>
      </c>
      <c r="D166"/>
      <c r="E166"/>
      <c r="F166" s="1235"/>
      <c r="G166" s="1235"/>
      <c r="H166" s="1235"/>
      <c r="I166" s="1235"/>
      <c r="J166" s="1235"/>
      <c r="K166" s="1235"/>
      <c r="L166" s="1235"/>
      <c r="M166" s="1235"/>
      <c r="N166" s="1235"/>
      <c r="O166" s="1235"/>
      <c r="P166" s="1235"/>
      <c r="Q166" s="1235"/>
      <c r="R166" s="1235"/>
      <c r="S166" s="1235"/>
      <c r="T166" s="1235"/>
      <c r="U166" s="1235"/>
      <c r="V166" s="1235"/>
      <c r="W166" s="1235"/>
      <c r="X166" s="1235"/>
      <c r="Y166" s="1235"/>
      <c r="Z166" s="1235"/>
      <c r="AA166" s="1235"/>
      <c r="AB166" s="1235"/>
      <c r="AC166" s="1235"/>
      <c r="AD166" s="1235"/>
      <c r="AE166" s="1235"/>
      <c r="AF166" s="1235"/>
      <c r="AG166" s="1235"/>
      <c r="AH166" s="1235"/>
      <c r="AI166" s="1235"/>
      <c r="AJ166" s="1235"/>
      <c r="AK166" s="1235"/>
      <c r="AQ166" s="1235"/>
      <c r="AR166" s="1235"/>
      <c r="AS166" s="1235"/>
      <c r="AT166" s="1235"/>
    </row>
    <row r="167" spans="2:46">
      <c r="B167" s="1235"/>
      <c r="C167" s="1235"/>
      <c r="D167" s="1235"/>
      <c r="E167" s="1235"/>
      <c r="F167" s="1235"/>
      <c r="G167" s="1235"/>
      <c r="H167" s="1235"/>
      <c r="I167" s="1235"/>
      <c r="J167" s="1235"/>
      <c r="K167" s="1235"/>
      <c r="L167" s="1235"/>
      <c r="M167" s="1235"/>
      <c r="N167" s="1235"/>
      <c r="O167" s="1235"/>
      <c r="P167" s="1235"/>
      <c r="Q167" s="1235"/>
      <c r="R167" s="1235"/>
      <c r="S167" s="1235"/>
      <c r="T167" s="1235"/>
      <c r="U167" s="1235"/>
      <c r="V167" s="1235"/>
      <c r="W167" s="1235"/>
      <c r="X167" s="1235"/>
      <c r="Y167" s="1235"/>
      <c r="Z167" s="1235"/>
      <c r="AA167" s="1235"/>
      <c r="AB167" s="1235"/>
      <c r="AC167" s="1235"/>
      <c r="AD167" s="1235"/>
      <c r="AE167" s="1235"/>
      <c r="AF167" s="1235"/>
      <c r="AG167" s="1235"/>
      <c r="AH167" s="1235"/>
      <c r="AI167" s="1235"/>
      <c r="AJ167" s="1235"/>
      <c r="AK167" s="1235"/>
      <c r="AQ167" s="1235"/>
      <c r="AR167" s="1235"/>
      <c r="AS167" s="1235"/>
      <c r="AT167" s="1235"/>
    </row>
    <row r="168" spans="2:46">
      <c r="B168" s="1235"/>
      <c r="C168" s="1235"/>
      <c r="D168" s="1235"/>
      <c r="E168" s="1235"/>
      <c r="F168" s="1235"/>
      <c r="G168" s="1235"/>
      <c r="H168" s="1235"/>
      <c r="I168" s="1235"/>
      <c r="J168" s="1235"/>
      <c r="K168" s="1235"/>
      <c r="L168" s="1235"/>
      <c r="M168" s="1235"/>
      <c r="N168" s="1235"/>
      <c r="O168" s="1235"/>
      <c r="P168" s="1235"/>
      <c r="Q168" s="1235"/>
      <c r="R168" s="1235"/>
      <c r="S168" s="1235"/>
      <c r="T168" s="1235"/>
      <c r="U168" s="1235"/>
      <c r="V168" s="1235"/>
      <c r="W168" s="1235"/>
      <c r="X168" s="1235"/>
      <c r="Y168" s="1235"/>
      <c r="Z168" s="1235"/>
      <c r="AA168" s="1235"/>
      <c r="AB168" s="1235"/>
      <c r="AC168" s="1235"/>
      <c r="AD168" s="1235"/>
      <c r="AE168" s="1235"/>
      <c r="AF168" s="1235"/>
      <c r="AG168" s="1235"/>
      <c r="AH168" s="1235"/>
      <c r="AI168" s="1235"/>
      <c r="AJ168" s="1235"/>
      <c r="AK168" s="1235"/>
      <c r="AQ168" s="1235"/>
      <c r="AR168" s="1235"/>
      <c r="AS168" s="1235"/>
      <c r="AT168" s="1235"/>
    </row>
    <row r="169" spans="2:46">
      <c r="B169" s="1235"/>
      <c r="C169" s="1235"/>
      <c r="D169" s="1235"/>
      <c r="E169" s="1235"/>
      <c r="F169" s="1235"/>
      <c r="G169" s="1235"/>
      <c r="H169" s="1235"/>
      <c r="I169" s="1235"/>
      <c r="J169" s="1235"/>
      <c r="K169" s="1235"/>
      <c r="L169" s="1235"/>
      <c r="M169" s="1235"/>
      <c r="N169" s="1235"/>
      <c r="O169" s="1235"/>
      <c r="P169" s="1235"/>
      <c r="Q169" s="1235"/>
      <c r="R169" s="1235"/>
      <c r="S169" s="1235"/>
      <c r="T169" s="1235"/>
      <c r="U169" s="1235"/>
      <c r="V169" s="1235"/>
      <c r="W169" s="1235"/>
      <c r="X169" s="1235"/>
      <c r="Y169" s="1235"/>
      <c r="Z169" s="1235"/>
      <c r="AA169" s="1235"/>
      <c r="AB169" s="1235"/>
      <c r="AC169" s="1235"/>
      <c r="AD169" s="1235"/>
      <c r="AE169" s="1235"/>
      <c r="AF169" s="1235"/>
      <c r="AG169" s="1235"/>
      <c r="AH169" s="1235"/>
      <c r="AI169" s="1235"/>
      <c r="AJ169" s="1235"/>
      <c r="AK169" s="1235"/>
      <c r="AQ169" s="1235"/>
      <c r="AR169" s="1235"/>
      <c r="AS169" s="1235"/>
      <c r="AT169" s="1235"/>
    </row>
    <row r="170" spans="2:46">
      <c r="B170" s="1235"/>
      <c r="C170" s="1235"/>
      <c r="D170" s="1235"/>
      <c r="E170" s="1235"/>
      <c r="F170" s="1235"/>
      <c r="G170" s="1235"/>
      <c r="H170" s="1235"/>
      <c r="I170" s="1235"/>
      <c r="J170" s="1235"/>
      <c r="K170" s="1235"/>
      <c r="L170" s="1235"/>
      <c r="M170" s="1235"/>
      <c r="N170" s="1235"/>
      <c r="O170" s="1235"/>
      <c r="P170" s="1235"/>
      <c r="Q170" s="1235"/>
      <c r="R170" s="1235"/>
      <c r="S170" s="1235"/>
      <c r="T170" s="1235"/>
      <c r="U170" s="1235"/>
      <c r="V170" s="1235"/>
      <c r="W170" s="1235"/>
      <c r="X170" s="1235"/>
      <c r="Y170" s="1235"/>
      <c r="Z170" s="1235"/>
      <c r="AA170" s="1235"/>
      <c r="AB170" s="1235"/>
      <c r="AC170" s="1235"/>
      <c r="AD170" s="1235"/>
      <c r="AE170" s="1235"/>
      <c r="AF170" s="1235"/>
      <c r="AG170" s="1235"/>
      <c r="AH170" s="1235"/>
      <c r="AI170" s="1235"/>
      <c r="AJ170" s="1235"/>
      <c r="AK170" s="1235"/>
      <c r="AQ170" s="1235"/>
      <c r="AR170" s="1235"/>
      <c r="AS170" s="1235"/>
      <c r="AT170" s="1235"/>
    </row>
    <row r="171" spans="2:46">
      <c r="B171" s="1235"/>
      <c r="C171" s="1235"/>
      <c r="D171" s="1235"/>
      <c r="E171" s="1235"/>
      <c r="F171" s="1235"/>
      <c r="G171" s="1235"/>
      <c r="H171" s="1235"/>
      <c r="I171" s="1235"/>
      <c r="J171" s="1235"/>
      <c r="K171" s="1235"/>
      <c r="L171" s="1235"/>
      <c r="M171" s="1235"/>
      <c r="N171" s="1235"/>
      <c r="O171" s="1235"/>
      <c r="P171" s="1235"/>
      <c r="Q171" s="1235"/>
      <c r="R171" s="1235"/>
      <c r="S171" s="1235"/>
      <c r="T171" s="1235"/>
      <c r="U171" s="1235"/>
      <c r="V171" s="1235"/>
      <c r="W171" s="1235"/>
      <c r="X171" s="1235"/>
      <c r="Y171" s="1235"/>
      <c r="Z171" s="1235"/>
      <c r="AA171" s="1235"/>
      <c r="AB171" s="1235"/>
      <c r="AC171" s="1235"/>
      <c r="AD171" s="1235"/>
      <c r="AE171" s="1235"/>
      <c r="AF171" s="1235"/>
      <c r="AG171" s="1235"/>
      <c r="AH171" s="1235"/>
      <c r="AI171" s="1235"/>
      <c r="AJ171" s="1235"/>
      <c r="AK171" s="1235"/>
      <c r="AQ171" s="1235"/>
      <c r="AR171" s="1235"/>
      <c r="AS171" s="1235"/>
      <c r="AT171" s="1235"/>
    </row>
    <row r="172" spans="2:46">
      <c r="B172" s="1235"/>
      <c r="C172" s="1235"/>
      <c r="D172" s="1235"/>
      <c r="E172" s="1235"/>
      <c r="F172" s="1235"/>
      <c r="G172" s="1235"/>
      <c r="H172" s="1235"/>
      <c r="I172" s="1235"/>
      <c r="J172" s="1235"/>
      <c r="K172" s="1235"/>
      <c r="L172" s="1235"/>
      <c r="M172" s="1235"/>
      <c r="N172" s="1235"/>
      <c r="O172" s="1235"/>
      <c r="P172" s="1235"/>
      <c r="Q172" s="1235"/>
      <c r="R172" s="1235"/>
      <c r="S172" s="1235"/>
      <c r="T172" s="1235"/>
      <c r="U172" s="1235"/>
      <c r="V172" s="1235"/>
      <c r="W172" s="1235"/>
      <c r="X172" s="1235"/>
      <c r="Y172" s="1235"/>
      <c r="Z172" s="1235"/>
      <c r="AA172" s="1235"/>
      <c r="AB172" s="1235"/>
      <c r="AC172" s="1235"/>
      <c r="AD172" s="1235"/>
      <c r="AE172" s="1235"/>
      <c r="AF172" s="1235"/>
      <c r="AG172" s="1235"/>
      <c r="AH172" s="1235"/>
      <c r="AI172" s="1235"/>
      <c r="AJ172" s="1235"/>
      <c r="AK172" s="1235"/>
      <c r="AQ172" s="1235"/>
      <c r="AR172" s="1235"/>
      <c r="AS172" s="1235"/>
      <c r="AT172" s="1235"/>
    </row>
    <row r="173" spans="2:46">
      <c r="B173" s="1235"/>
      <c r="C173" s="1235"/>
      <c r="D173" s="1235"/>
      <c r="E173" s="1235"/>
      <c r="F173" s="1235"/>
      <c r="G173" s="1235"/>
      <c r="H173" s="1235"/>
      <c r="I173" s="1235"/>
      <c r="J173" s="1235"/>
      <c r="K173" s="1235"/>
      <c r="L173" s="1235"/>
      <c r="M173" s="1235"/>
      <c r="N173" s="1235"/>
      <c r="O173" s="1235"/>
      <c r="P173" s="1235"/>
      <c r="Q173" s="1235"/>
      <c r="R173" s="1235"/>
      <c r="S173" s="1235"/>
      <c r="T173" s="1235"/>
      <c r="U173" s="1235"/>
      <c r="V173" s="1235"/>
      <c r="W173" s="1235"/>
      <c r="X173" s="1235"/>
      <c r="Y173" s="1235"/>
      <c r="Z173" s="1235"/>
      <c r="AA173" s="1235"/>
      <c r="AB173" s="1235"/>
      <c r="AC173" s="1235"/>
      <c r="AD173" s="1235"/>
      <c r="AE173" s="1235"/>
      <c r="AF173" s="1235"/>
      <c r="AG173" s="1235"/>
      <c r="AH173" s="1235"/>
      <c r="AI173" s="1235"/>
      <c r="AJ173" s="1235"/>
      <c r="AK173" s="1235"/>
      <c r="AQ173" s="1235"/>
      <c r="AR173" s="1235"/>
      <c r="AS173" s="1235"/>
      <c r="AT173" s="1235"/>
    </row>
    <row r="174" spans="2:46">
      <c r="B174" s="1235"/>
      <c r="C174" s="1235"/>
      <c r="D174" s="1235"/>
      <c r="E174" s="1235"/>
      <c r="F174" s="1235"/>
      <c r="G174" s="1235"/>
      <c r="H174" s="1235"/>
      <c r="I174" s="1235"/>
      <c r="J174" s="1235"/>
      <c r="K174" s="1235"/>
      <c r="L174" s="1235"/>
      <c r="M174" s="1235"/>
      <c r="N174" s="1235"/>
      <c r="O174" s="1235"/>
      <c r="P174" s="1235"/>
      <c r="Q174" s="1235"/>
      <c r="R174" s="1235"/>
      <c r="S174" s="1235"/>
      <c r="T174" s="1235"/>
      <c r="U174" s="1235"/>
      <c r="V174" s="1235"/>
      <c r="W174" s="1235"/>
      <c r="X174" s="1235"/>
      <c r="Y174" s="1235"/>
      <c r="Z174" s="1235"/>
      <c r="AA174" s="1235"/>
      <c r="AB174" s="1235"/>
      <c r="AC174" s="1235"/>
      <c r="AD174" s="1235"/>
      <c r="AE174" s="1235"/>
      <c r="AF174" s="1235"/>
      <c r="AG174" s="1235"/>
      <c r="AH174" s="1235"/>
      <c r="AI174" s="1235"/>
      <c r="AJ174" s="1235"/>
      <c r="AK174" s="1235"/>
      <c r="AQ174" s="1235"/>
      <c r="AR174" s="1235"/>
      <c r="AS174" s="1235"/>
      <c r="AT174" s="1235"/>
    </row>
    <row r="175" spans="2:46">
      <c r="B175" s="1235"/>
      <c r="C175" s="1235"/>
      <c r="D175" s="1235"/>
      <c r="E175" s="1235"/>
      <c r="F175" s="1235"/>
      <c r="G175" s="1235"/>
      <c r="H175" s="1235"/>
      <c r="I175" s="1235"/>
      <c r="J175" s="1235"/>
      <c r="K175" s="1235"/>
      <c r="L175" s="1235"/>
      <c r="M175" s="1235"/>
      <c r="N175" s="1235"/>
      <c r="O175" s="1235"/>
      <c r="P175" s="1235"/>
      <c r="Q175" s="1235"/>
      <c r="R175" s="1235"/>
      <c r="S175" s="1235"/>
      <c r="T175" s="1235"/>
      <c r="U175" s="1235"/>
      <c r="V175" s="1235"/>
      <c r="W175" s="1235"/>
      <c r="X175" s="1235"/>
      <c r="Y175" s="1235"/>
      <c r="Z175" s="1235"/>
      <c r="AA175" s="1235"/>
      <c r="AB175" s="1235"/>
      <c r="AC175" s="1235"/>
      <c r="AD175" s="1235"/>
      <c r="AE175" s="1235"/>
      <c r="AF175" s="1235"/>
      <c r="AG175" s="1235"/>
      <c r="AH175" s="1235"/>
      <c r="AI175" s="1235"/>
      <c r="AJ175" s="1235"/>
      <c r="AK175" s="1235"/>
      <c r="AQ175" s="1235"/>
      <c r="AR175" s="1235"/>
      <c r="AS175" s="1235"/>
      <c r="AT175" s="1235"/>
    </row>
    <row r="176" spans="2:46">
      <c r="B176" s="1235"/>
      <c r="C176" s="1235"/>
      <c r="D176" s="1235"/>
      <c r="E176" s="1235"/>
      <c r="F176" s="1235"/>
      <c r="G176" s="1235"/>
      <c r="H176" s="1235"/>
      <c r="I176" s="1235"/>
      <c r="J176" s="1235"/>
      <c r="K176" s="1235"/>
      <c r="L176" s="1235"/>
      <c r="M176" s="1235"/>
      <c r="N176" s="1235"/>
      <c r="O176" s="1235"/>
      <c r="P176" s="1235"/>
      <c r="Q176" s="1235"/>
      <c r="R176" s="1235"/>
      <c r="S176" s="1235"/>
      <c r="T176" s="1235"/>
      <c r="U176" s="1235"/>
      <c r="V176" s="1235"/>
      <c r="W176" s="1235"/>
      <c r="X176" s="1235"/>
      <c r="Y176" s="1235"/>
      <c r="Z176" s="1235"/>
      <c r="AA176" s="1235"/>
      <c r="AB176" s="1235"/>
      <c r="AC176" s="1235"/>
      <c r="AD176" s="1235"/>
      <c r="AE176" s="1235"/>
      <c r="AF176" s="1235"/>
      <c r="AG176" s="1235"/>
      <c r="AH176" s="1235"/>
      <c r="AI176" s="1235"/>
      <c r="AJ176" s="1235"/>
      <c r="AK176" s="1235"/>
      <c r="AQ176" s="1235"/>
      <c r="AR176" s="1235"/>
      <c r="AS176" s="1235"/>
      <c r="AT176" s="1235"/>
    </row>
    <row r="177" spans="2:46">
      <c r="B177" s="1235"/>
      <c r="C177" s="1235"/>
      <c r="D177" s="1235"/>
      <c r="E177" s="1235"/>
      <c r="F177" s="1235"/>
      <c r="G177" s="1235"/>
      <c r="H177" s="1235"/>
      <c r="I177" s="1235"/>
      <c r="J177" s="1235"/>
      <c r="K177" s="1235"/>
      <c r="L177" s="1235"/>
      <c r="M177" s="1235"/>
      <c r="N177" s="1235"/>
      <c r="O177" s="1235"/>
      <c r="P177" s="1235"/>
      <c r="Q177" s="1235"/>
      <c r="R177" s="1235"/>
      <c r="S177" s="1235"/>
      <c r="T177" s="1235"/>
      <c r="U177" s="1235"/>
      <c r="V177" s="1235"/>
      <c r="W177" s="1235"/>
      <c r="X177" s="1235"/>
      <c r="Y177" s="1235"/>
      <c r="Z177" s="1235"/>
      <c r="AA177" s="1235"/>
      <c r="AB177" s="1235"/>
      <c r="AC177" s="1235"/>
      <c r="AD177" s="1235"/>
      <c r="AE177" s="1235"/>
      <c r="AF177" s="1235"/>
      <c r="AG177" s="1235"/>
      <c r="AH177" s="1235"/>
      <c r="AI177" s="1235"/>
      <c r="AJ177" s="1235"/>
      <c r="AK177" s="1235"/>
      <c r="AQ177" s="1235"/>
      <c r="AR177" s="1235"/>
      <c r="AS177" s="1235"/>
      <c r="AT177" s="1235"/>
    </row>
    <row r="178" spans="2:46">
      <c r="B178" s="1235"/>
      <c r="C178" s="1235"/>
      <c r="D178" s="1235"/>
      <c r="E178" s="1235"/>
      <c r="F178" s="1235"/>
      <c r="G178" s="1235"/>
      <c r="H178" s="1235"/>
      <c r="I178" s="1235"/>
      <c r="J178" s="1235"/>
      <c r="K178" s="1235"/>
      <c r="L178" s="1235"/>
      <c r="M178" s="1235"/>
      <c r="N178" s="1235"/>
      <c r="O178" s="1235"/>
      <c r="P178" s="1235"/>
      <c r="Q178" s="1235"/>
      <c r="R178" s="1235"/>
      <c r="S178" s="1235"/>
      <c r="T178" s="1235"/>
      <c r="U178" s="1235"/>
      <c r="V178" s="1235"/>
      <c r="W178" s="1235"/>
      <c r="X178" s="1235"/>
      <c r="Y178" s="1235"/>
      <c r="Z178" s="1235"/>
      <c r="AA178" s="1235"/>
      <c r="AB178" s="1235"/>
      <c r="AC178" s="1235"/>
      <c r="AD178" s="1235"/>
      <c r="AE178" s="1235"/>
      <c r="AF178" s="1235"/>
      <c r="AG178" s="1235"/>
      <c r="AH178" s="1235"/>
      <c r="AI178" s="1235"/>
      <c r="AJ178" s="1235"/>
      <c r="AK178" s="1235"/>
      <c r="AQ178" s="1235"/>
      <c r="AR178" s="1235"/>
      <c r="AS178" s="1235"/>
      <c r="AT178" s="1235"/>
    </row>
    <row r="179" spans="2:46">
      <c r="B179" s="1156"/>
      <c r="C179" s="1235"/>
      <c r="D179" s="1235"/>
      <c r="E179" s="1235"/>
      <c r="F179" s="1235"/>
      <c r="G179" s="1235"/>
      <c r="H179" s="1235"/>
      <c r="I179" s="1235"/>
      <c r="J179" s="1235"/>
      <c r="K179" s="1235"/>
      <c r="L179" s="1235"/>
      <c r="M179" s="1235"/>
      <c r="N179" s="1235"/>
      <c r="O179" s="1235"/>
      <c r="P179" s="1235"/>
      <c r="Q179" s="1235"/>
      <c r="R179" s="1235"/>
      <c r="S179" s="1235"/>
      <c r="T179" s="1235"/>
      <c r="U179" s="1235"/>
      <c r="V179" s="1235"/>
      <c r="W179" s="1235"/>
      <c r="X179" s="1235"/>
      <c r="Y179" s="1235"/>
      <c r="Z179" s="1235"/>
      <c r="AA179" s="1235"/>
      <c r="AB179" s="1235"/>
      <c r="AC179" s="1235"/>
      <c r="AD179" s="1235"/>
      <c r="AE179" s="1235"/>
      <c r="AF179" s="1235"/>
      <c r="AG179" s="1235"/>
    </row>
    <row r="180" spans="2:46">
      <c r="B180" s="1156"/>
      <c r="C180" s="1235"/>
      <c r="D180" s="1235"/>
      <c r="E180" s="1235"/>
      <c r="F180" s="1235"/>
      <c r="G180" s="1235"/>
      <c r="H180" s="1235"/>
      <c r="I180" s="1235"/>
      <c r="J180" s="1235"/>
      <c r="K180" s="1235"/>
      <c r="L180" s="1235"/>
      <c r="M180" s="1235"/>
      <c r="N180" s="1235"/>
      <c r="O180" s="1235"/>
      <c r="P180" s="1235"/>
      <c r="Q180" s="1235"/>
      <c r="R180" s="1235"/>
      <c r="S180" s="1235"/>
      <c r="T180" s="1235"/>
      <c r="U180" s="1235"/>
      <c r="V180" s="1235"/>
      <c r="W180" s="1235"/>
      <c r="X180" s="1235"/>
      <c r="Y180" s="1235"/>
      <c r="Z180" s="1235"/>
      <c r="AA180" s="1235"/>
      <c r="AB180" s="1235"/>
      <c r="AC180" s="1235"/>
      <c r="AD180" s="1235"/>
      <c r="AE180" s="1235"/>
      <c r="AF180" s="1235"/>
      <c r="AG180" s="1235"/>
    </row>
    <row r="181" spans="2:46">
      <c r="B181" s="1156"/>
      <c r="C181" s="1235"/>
      <c r="D181" s="1235"/>
      <c r="E181" s="1235"/>
      <c r="F181" s="1235"/>
      <c r="G181" s="1235"/>
      <c r="H181" s="1235"/>
      <c r="I181" s="1235"/>
      <c r="J181" s="1235"/>
      <c r="K181" s="1235"/>
      <c r="L181" s="1235"/>
      <c r="M181" s="1235"/>
      <c r="N181" s="1235"/>
      <c r="O181" s="1235"/>
      <c r="P181" s="1235"/>
      <c r="Q181" s="1235"/>
      <c r="R181" s="1235"/>
      <c r="S181" s="1235"/>
      <c r="T181" s="1235"/>
      <c r="U181" s="1235"/>
      <c r="V181" s="1235"/>
      <c r="W181" s="1235"/>
      <c r="X181" s="1235"/>
      <c r="Y181" s="1235"/>
      <c r="Z181" s="1235"/>
      <c r="AA181" s="1235"/>
      <c r="AB181" s="1235"/>
      <c r="AC181" s="1235"/>
      <c r="AD181" s="1235"/>
      <c r="AE181" s="1235"/>
      <c r="AF181" s="1235"/>
      <c r="AG181" s="1235"/>
    </row>
    <row r="182" spans="2:46">
      <c r="B182" s="1156"/>
      <c r="C182" s="1235"/>
      <c r="D182" s="1235"/>
      <c r="E182" s="1235"/>
      <c r="F182" s="1235"/>
      <c r="G182" s="1235"/>
      <c r="H182" s="1235"/>
      <c r="I182" s="1235"/>
      <c r="J182" s="1235"/>
      <c r="K182" s="1235"/>
      <c r="L182" s="1235"/>
      <c r="M182" s="1235"/>
      <c r="N182" s="1235"/>
      <c r="O182" s="1235"/>
      <c r="P182" s="1235"/>
      <c r="Q182" s="1235"/>
      <c r="R182" s="1235"/>
      <c r="S182" s="1235"/>
      <c r="T182" s="1235"/>
      <c r="U182" s="1235"/>
      <c r="V182" s="1235"/>
      <c r="W182" s="1235"/>
      <c r="X182" s="1235"/>
      <c r="Y182" s="1235"/>
      <c r="Z182" s="1235"/>
      <c r="AA182" s="1235"/>
      <c r="AB182" s="1235"/>
      <c r="AC182" s="1235"/>
      <c r="AD182" s="1235"/>
      <c r="AE182" s="1235"/>
      <c r="AF182" s="1235"/>
      <c r="AG182" s="1235"/>
    </row>
    <row r="183" spans="2:46">
      <c r="B183" s="1156"/>
      <c r="C183" s="1235"/>
      <c r="D183" s="1235"/>
      <c r="E183" s="1235"/>
      <c r="F183" s="1235"/>
      <c r="G183" s="1235"/>
      <c r="H183" s="1235"/>
      <c r="I183" s="1235"/>
      <c r="J183" s="1235"/>
      <c r="K183" s="1235"/>
      <c r="L183" s="1235"/>
      <c r="M183" s="1235"/>
      <c r="N183" s="1235"/>
      <c r="O183" s="1235"/>
      <c r="P183" s="1235"/>
      <c r="Q183" s="1235"/>
      <c r="R183" s="1235"/>
      <c r="S183" s="1235"/>
      <c r="T183" s="1235"/>
      <c r="U183" s="1235"/>
      <c r="V183" s="1235"/>
      <c r="W183" s="1235"/>
      <c r="X183" s="1235"/>
      <c r="Y183" s="1235"/>
      <c r="Z183" s="1235"/>
      <c r="AA183" s="1235"/>
      <c r="AB183" s="1235"/>
      <c r="AC183" s="1235"/>
      <c r="AD183" s="1235"/>
      <c r="AE183" s="1235"/>
      <c r="AF183" s="1235"/>
      <c r="AG183" s="1235"/>
    </row>
    <row r="184" spans="2:46">
      <c r="B184" s="1156"/>
      <c r="C184" s="1235"/>
      <c r="D184" s="1235"/>
      <c r="E184" s="1235"/>
      <c r="F184" s="1235"/>
      <c r="G184" s="1235"/>
      <c r="H184" s="1235"/>
      <c r="I184" s="1235"/>
      <c r="J184" s="1235"/>
      <c r="K184" s="1235"/>
      <c r="L184" s="1235"/>
      <c r="M184" s="1235"/>
      <c r="N184" s="1235"/>
      <c r="O184" s="1235"/>
      <c r="P184" s="1235"/>
      <c r="Q184" s="1235"/>
      <c r="R184" s="1235"/>
      <c r="S184" s="1235"/>
      <c r="T184" s="1235"/>
      <c r="U184" s="1235"/>
      <c r="V184" s="1235"/>
      <c r="W184" s="1235"/>
      <c r="X184" s="1235"/>
      <c r="Y184" s="1235"/>
      <c r="Z184" s="1235"/>
      <c r="AA184" s="1235"/>
      <c r="AB184" s="1235"/>
      <c r="AC184" s="1235"/>
      <c r="AD184" s="1235"/>
      <c r="AE184" s="1235"/>
      <c r="AF184" s="1235"/>
      <c r="AG184" s="1235"/>
    </row>
    <row r="185" spans="2:46">
      <c r="B185" s="1156"/>
      <c r="C185" s="1235"/>
      <c r="D185" s="1235"/>
      <c r="E185" s="1235"/>
      <c r="F185" s="1235"/>
      <c r="G185" s="1235"/>
      <c r="H185" s="1235"/>
      <c r="I185" s="1235"/>
      <c r="J185" s="1235"/>
      <c r="K185" s="1235"/>
      <c r="L185" s="1235"/>
      <c r="M185" s="1235"/>
      <c r="N185" s="1235"/>
      <c r="O185" s="1235"/>
      <c r="P185" s="1235"/>
      <c r="Q185" s="1235"/>
      <c r="R185" s="1235"/>
      <c r="S185" s="1235"/>
      <c r="T185" s="1235"/>
      <c r="U185" s="1235"/>
      <c r="V185" s="1235"/>
      <c r="W185" s="1235"/>
      <c r="X185" s="1235"/>
      <c r="Y185" s="1235"/>
      <c r="Z185" s="1235"/>
      <c r="AA185" s="1235"/>
      <c r="AB185" s="1235"/>
      <c r="AC185" s="1235"/>
      <c r="AD185" s="1235"/>
      <c r="AE185" s="1235"/>
      <c r="AF185" s="1235"/>
      <c r="AG185" s="1235"/>
    </row>
    <row r="186" spans="2:46">
      <c r="B186" s="1156"/>
      <c r="C186" s="1235"/>
      <c r="D186" s="1235"/>
      <c r="E186" s="1235"/>
      <c r="F186" s="1235"/>
      <c r="G186" s="1235"/>
      <c r="H186" s="1235"/>
      <c r="I186" s="1235"/>
      <c r="J186" s="1235"/>
      <c r="K186" s="1235"/>
      <c r="L186" s="1235"/>
      <c r="M186" s="1235"/>
      <c r="N186" s="1235"/>
      <c r="O186" s="1235"/>
      <c r="P186" s="1235"/>
      <c r="Q186" s="1235"/>
      <c r="R186" s="1235"/>
      <c r="S186" s="1235"/>
      <c r="T186" s="1235"/>
      <c r="U186" s="1235"/>
      <c r="V186" s="1235"/>
      <c r="W186" s="1235"/>
      <c r="X186" s="1235"/>
      <c r="Y186" s="1235"/>
      <c r="Z186" s="1235"/>
      <c r="AA186" s="1235"/>
      <c r="AB186" s="1235"/>
      <c r="AC186" s="1235"/>
      <c r="AD186" s="1235"/>
      <c r="AE186" s="1235"/>
      <c r="AF186" s="1235"/>
      <c r="AG186" s="1235"/>
    </row>
    <row r="187" spans="2:46">
      <c r="B187" s="1156"/>
      <c r="C187" s="1235"/>
      <c r="D187" s="1235"/>
      <c r="E187" s="1235"/>
      <c r="F187" s="1235"/>
      <c r="G187" s="1235"/>
      <c r="H187" s="1235"/>
      <c r="I187" s="1235"/>
      <c r="J187" s="1235"/>
      <c r="K187" s="1235"/>
      <c r="L187" s="1235"/>
      <c r="M187" s="1235"/>
      <c r="N187" s="1235"/>
      <c r="O187" s="1235"/>
      <c r="P187" s="1235"/>
      <c r="Q187" s="1235"/>
      <c r="R187" s="1235"/>
      <c r="S187" s="1235"/>
      <c r="T187" s="1235"/>
      <c r="U187" s="1235"/>
      <c r="V187" s="1235"/>
      <c r="W187" s="1235"/>
      <c r="X187" s="1235"/>
      <c r="Y187" s="1235"/>
      <c r="Z187" s="1235"/>
      <c r="AA187" s="1235"/>
      <c r="AB187" s="1235"/>
      <c r="AC187" s="1235"/>
      <c r="AD187" s="1235"/>
      <c r="AE187" s="1235"/>
      <c r="AF187" s="1235"/>
      <c r="AG187" s="1235"/>
    </row>
    <row r="188" spans="2:46">
      <c r="B188" s="1156"/>
      <c r="C188" s="1235"/>
      <c r="D188" s="1235"/>
      <c r="E188" s="1235"/>
      <c r="F188" s="1235"/>
      <c r="G188" s="1235"/>
      <c r="H188" s="1235"/>
      <c r="I188" s="1235"/>
      <c r="J188" s="1235"/>
      <c r="K188" s="1235"/>
      <c r="L188" s="1235"/>
      <c r="M188" s="1235"/>
      <c r="N188" s="1235"/>
      <c r="O188" s="1235"/>
      <c r="P188" s="1235"/>
      <c r="Q188" s="1235"/>
      <c r="R188" s="1235"/>
      <c r="S188" s="1235"/>
      <c r="T188" s="1235"/>
      <c r="U188" s="1235"/>
      <c r="V188" s="1235"/>
      <c r="W188" s="1235"/>
      <c r="X188" s="1235"/>
      <c r="Y188" s="1235"/>
      <c r="Z188" s="1235"/>
      <c r="AA188" s="1235"/>
      <c r="AB188" s="1235"/>
      <c r="AC188" s="1235"/>
      <c r="AD188" s="1235"/>
      <c r="AE188" s="1235"/>
      <c r="AF188" s="1235"/>
      <c r="AG188" s="1235"/>
    </row>
    <row r="189" spans="2:46">
      <c r="B189" s="1156"/>
      <c r="C189" s="1235"/>
      <c r="D189" s="1235"/>
      <c r="E189" s="1235"/>
      <c r="F189" s="1235"/>
      <c r="G189" s="1235"/>
      <c r="H189" s="1235"/>
      <c r="I189" s="1235"/>
      <c r="J189" s="1235"/>
      <c r="K189" s="1235"/>
      <c r="L189" s="1235"/>
      <c r="M189" s="1235"/>
      <c r="N189" s="1235"/>
      <c r="O189" s="1235"/>
      <c r="P189" s="1235"/>
      <c r="Q189" s="1235"/>
      <c r="R189" s="1235"/>
      <c r="S189" s="1235"/>
      <c r="T189" s="1235"/>
      <c r="U189" s="1235"/>
      <c r="V189" s="1235"/>
      <c r="W189" s="1235"/>
      <c r="X189" s="1235"/>
      <c r="Y189" s="1235"/>
      <c r="Z189" s="1235"/>
      <c r="AA189" s="1235"/>
      <c r="AB189" s="1235"/>
      <c r="AC189" s="1235"/>
      <c r="AD189" s="1235"/>
      <c r="AE189" s="1235"/>
      <c r="AF189" s="1235"/>
      <c r="AG189" s="1235"/>
    </row>
    <row r="190" spans="2:46">
      <c r="B190" s="1156"/>
      <c r="C190" s="1235"/>
      <c r="D190" s="1235"/>
      <c r="E190" s="1235"/>
      <c r="F190" s="1235"/>
      <c r="G190" s="1235"/>
      <c r="H190" s="1235"/>
      <c r="I190" s="1235"/>
      <c r="J190" s="1235"/>
      <c r="K190" s="1235"/>
      <c r="L190" s="1235"/>
      <c r="M190" s="1235"/>
      <c r="N190" s="1235"/>
      <c r="O190" s="1235"/>
      <c r="P190" s="1235"/>
      <c r="Q190" s="1235"/>
      <c r="R190" s="1235"/>
      <c r="S190" s="1235"/>
      <c r="T190" s="1235"/>
      <c r="U190" s="1235"/>
      <c r="V190" s="1235"/>
      <c r="W190" s="1235"/>
      <c r="X190" s="1235"/>
      <c r="Y190" s="1235"/>
      <c r="Z190" s="1235"/>
      <c r="AA190" s="1235"/>
      <c r="AB190" s="1235"/>
      <c r="AC190" s="1235"/>
      <c r="AD190" s="1235"/>
      <c r="AE190" s="1235"/>
      <c r="AF190" s="1235"/>
      <c r="AG190" s="1235"/>
    </row>
    <row r="191" spans="2:46">
      <c r="B191" s="1156"/>
      <c r="C191" s="1235"/>
      <c r="D191" s="1235"/>
      <c r="E191" s="1235"/>
      <c r="F191" s="1235"/>
      <c r="G191" s="1235"/>
      <c r="H191" s="1235"/>
      <c r="I191" s="1235"/>
      <c r="J191" s="1235"/>
      <c r="K191" s="1235"/>
      <c r="L191" s="1235"/>
      <c r="M191" s="1235"/>
      <c r="N191" s="1235"/>
      <c r="O191" s="1235"/>
      <c r="P191" s="1235"/>
      <c r="Q191" s="1235"/>
      <c r="R191" s="1235"/>
      <c r="S191" s="1235"/>
      <c r="T191" s="1235"/>
      <c r="U191" s="1235"/>
      <c r="V191" s="1235"/>
      <c r="W191" s="1235"/>
      <c r="X191" s="1235"/>
      <c r="Y191" s="1235"/>
      <c r="Z191" s="1235"/>
      <c r="AA191" s="1235"/>
      <c r="AB191" s="1235"/>
      <c r="AC191" s="1235"/>
      <c r="AD191" s="1235"/>
      <c r="AE191" s="1235"/>
      <c r="AF191" s="1235"/>
      <c r="AG191" s="1235"/>
    </row>
    <row r="192" spans="2:46">
      <c r="B192" s="1156"/>
      <c r="C192" s="1235"/>
      <c r="D192" s="1235"/>
      <c r="E192" s="1235"/>
      <c r="F192" s="1235"/>
      <c r="G192" s="1235"/>
      <c r="H192" s="1235"/>
      <c r="I192" s="1235"/>
      <c r="J192" s="1235"/>
      <c r="K192" s="1235"/>
      <c r="L192" s="1235"/>
      <c r="M192" s="1235"/>
      <c r="N192" s="1235"/>
      <c r="O192" s="1235"/>
      <c r="P192" s="1235"/>
      <c r="Q192" s="1235"/>
      <c r="R192" s="1235"/>
      <c r="S192" s="1235"/>
      <c r="T192" s="1235"/>
      <c r="U192" s="1235"/>
      <c r="V192" s="1235"/>
      <c r="W192" s="1235"/>
      <c r="X192" s="1235"/>
      <c r="Y192" s="1235"/>
      <c r="Z192" s="1235"/>
      <c r="AA192" s="1235"/>
      <c r="AB192" s="1235"/>
      <c r="AC192" s="1235"/>
      <c r="AD192" s="1235"/>
      <c r="AE192" s="1235"/>
      <c r="AF192" s="1235"/>
      <c r="AG192" s="1235"/>
    </row>
    <row r="193" spans="2:33">
      <c r="B193" s="1156"/>
      <c r="C193" s="1235"/>
      <c r="D193" s="1235"/>
      <c r="E193" s="1235"/>
      <c r="F193" s="1235"/>
      <c r="G193" s="1235"/>
      <c r="H193" s="1235"/>
      <c r="I193" s="1235"/>
      <c r="J193" s="1235"/>
      <c r="K193" s="1235"/>
      <c r="L193" s="1235"/>
      <c r="M193" s="1235"/>
      <c r="N193" s="1235"/>
      <c r="O193" s="1235"/>
      <c r="P193" s="1235"/>
      <c r="Q193" s="1235"/>
      <c r="R193" s="1235"/>
      <c r="S193" s="1235"/>
      <c r="T193" s="1235"/>
      <c r="U193" s="1235"/>
      <c r="V193" s="1235"/>
      <c r="W193" s="1235"/>
      <c r="X193" s="1235"/>
      <c r="Y193" s="1235"/>
      <c r="Z193" s="1235"/>
      <c r="AA193" s="1235"/>
      <c r="AB193" s="1235"/>
      <c r="AC193" s="1235"/>
      <c r="AD193" s="1235"/>
      <c r="AE193" s="1235"/>
      <c r="AF193" s="1235"/>
      <c r="AG193" s="1235"/>
    </row>
    <row r="194" spans="2:33">
      <c r="B194" s="1156"/>
      <c r="C194" s="1235"/>
      <c r="D194" s="1235"/>
      <c r="E194" s="1235"/>
      <c r="F194" s="1235"/>
      <c r="G194" s="1235"/>
      <c r="H194" s="1235"/>
      <c r="I194" s="1235"/>
      <c r="J194" s="1235"/>
      <c r="K194" s="1235"/>
      <c r="L194" s="1235"/>
      <c r="M194" s="1235"/>
      <c r="N194" s="1235"/>
      <c r="O194" s="1235"/>
      <c r="P194" s="1235"/>
      <c r="Q194" s="1235"/>
      <c r="R194" s="1235"/>
      <c r="S194" s="1235"/>
      <c r="T194" s="1235"/>
      <c r="U194" s="1235"/>
      <c r="V194" s="1235"/>
      <c r="W194" s="1235"/>
      <c r="X194" s="1235"/>
      <c r="Y194" s="1235"/>
      <c r="Z194" s="1235"/>
      <c r="AA194" s="1235"/>
      <c r="AB194" s="1235"/>
      <c r="AC194" s="1235"/>
      <c r="AD194" s="1235"/>
      <c r="AE194" s="1235"/>
      <c r="AF194" s="1235"/>
      <c r="AG194" s="1235"/>
    </row>
    <row r="195" spans="2:33">
      <c r="B195" s="1156"/>
      <c r="C195" s="1235"/>
      <c r="D195" s="1235"/>
      <c r="E195" s="1235"/>
      <c r="F195" s="1235"/>
      <c r="G195" s="1235"/>
      <c r="H195" s="1235"/>
      <c r="I195" s="1235"/>
      <c r="J195" s="1235"/>
      <c r="K195" s="1235"/>
      <c r="L195" s="1235"/>
      <c r="M195" s="1235"/>
      <c r="N195" s="1235"/>
      <c r="O195" s="1235"/>
      <c r="P195" s="1235"/>
      <c r="Q195" s="1235"/>
      <c r="R195" s="1235"/>
      <c r="S195" s="1235"/>
      <c r="T195" s="1235"/>
      <c r="U195" s="1235"/>
      <c r="V195" s="1235"/>
      <c r="W195" s="1235"/>
      <c r="X195" s="1235"/>
      <c r="Y195" s="1235"/>
      <c r="Z195" s="1235"/>
      <c r="AA195" s="1235"/>
      <c r="AB195" s="1235"/>
      <c r="AC195" s="1235"/>
      <c r="AD195" s="1235"/>
      <c r="AE195" s="1235"/>
      <c r="AF195" s="1235"/>
      <c r="AG195" s="1235"/>
    </row>
    <row r="196" spans="2:33">
      <c r="B196" s="1156"/>
      <c r="C196" s="1235"/>
      <c r="D196" s="1235"/>
      <c r="E196" s="1235"/>
      <c r="F196" s="1235"/>
      <c r="G196" s="1235"/>
      <c r="H196" s="1235"/>
      <c r="I196" s="1235"/>
      <c r="J196" s="1235"/>
      <c r="K196" s="1235"/>
      <c r="L196" s="1235"/>
      <c r="M196" s="1235"/>
      <c r="N196" s="1235"/>
      <c r="O196" s="1235"/>
      <c r="P196" s="1235"/>
      <c r="Q196" s="1235"/>
      <c r="R196" s="1235"/>
      <c r="S196" s="1235"/>
      <c r="T196" s="1235"/>
      <c r="U196" s="1235"/>
      <c r="V196" s="1235"/>
      <c r="W196" s="1235"/>
      <c r="X196" s="1235"/>
      <c r="Y196" s="1235"/>
      <c r="Z196" s="1235"/>
      <c r="AA196" s="1235"/>
      <c r="AB196" s="1235"/>
      <c r="AC196" s="1235"/>
      <c r="AD196" s="1235"/>
      <c r="AE196" s="1235"/>
      <c r="AF196" s="1235"/>
      <c r="AG196" s="1235"/>
    </row>
    <row r="197" spans="2:33">
      <c r="B197" s="1156"/>
      <c r="C197" s="1235"/>
      <c r="D197" s="1235"/>
      <c r="E197" s="1235"/>
      <c r="F197" s="1235"/>
      <c r="G197" s="1235"/>
      <c r="H197" s="1235"/>
      <c r="I197" s="1235"/>
      <c r="J197" s="1235"/>
      <c r="K197" s="1235"/>
      <c r="L197" s="1235"/>
      <c r="M197" s="1235"/>
      <c r="N197" s="1235"/>
      <c r="O197" s="1235"/>
      <c r="P197" s="1235"/>
      <c r="Q197" s="1235"/>
      <c r="R197" s="1235"/>
      <c r="S197" s="1235"/>
      <c r="T197" s="1235"/>
      <c r="U197" s="1235"/>
      <c r="V197" s="1235"/>
      <c r="W197" s="1235"/>
      <c r="X197" s="1235"/>
      <c r="Y197" s="1235"/>
      <c r="Z197" s="1235"/>
      <c r="AA197" s="1235"/>
      <c r="AB197" s="1235"/>
      <c r="AC197" s="1235"/>
      <c r="AD197" s="1235"/>
      <c r="AE197" s="1235"/>
      <c r="AF197" s="1235"/>
      <c r="AG197" s="1235"/>
    </row>
    <row r="198" spans="2:33">
      <c r="B198" s="1156"/>
      <c r="C198" s="1235"/>
      <c r="D198" s="1235"/>
      <c r="E198" s="1235"/>
      <c r="F198" s="1235"/>
      <c r="G198" s="1235"/>
      <c r="H198" s="1235"/>
      <c r="I198" s="1235"/>
      <c r="J198" s="1235"/>
      <c r="K198" s="1235"/>
      <c r="L198" s="1235"/>
      <c r="M198" s="1235"/>
      <c r="N198" s="1235"/>
      <c r="O198" s="1235"/>
      <c r="P198" s="1235"/>
      <c r="Q198" s="1235"/>
      <c r="R198" s="1235"/>
      <c r="S198" s="1235"/>
      <c r="T198" s="1235"/>
      <c r="U198" s="1235"/>
      <c r="V198" s="1235"/>
      <c r="W198" s="1235"/>
      <c r="X198" s="1235"/>
      <c r="Y198" s="1235"/>
      <c r="Z198" s="1235"/>
      <c r="AA198" s="1235"/>
      <c r="AB198" s="1235"/>
      <c r="AC198" s="1235"/>
      <c r="AD198" s="1235"/>
      <c r="AE198" s="1235"/>
      <c r="AF198" s="1235"/>
      <c r="AG198" s="1235"/>
    </row>
    <row r="199" spans="2:33">
      <c r="B199" s="1156"/>
      <c r="C199" s="1235"/>
      <c r="D199" s="1235"/>
      <c r="E199" s="1235"/>
      <c r="F199" s="1235"/>
      <c r="G199" s="1235"/>
      <c r="H199" s="1235"/>
      <c r="I199" s="1235"/>
      <c r="J199" s="1235"/>
      <c r="K199" s="1235"/>
      <c r="L199" s="1235"/>
      <c r="M199" s="1235"/>
      <c r="N199" s="1235"/>
      <c r="O199" s="1235"/>
      <c r="P199" s="1235"/>
      <c r="Q199" s="1235"/>
      <c r="R199" s="1235"/>
      <c r="S199" s="1235"/>
      <c r="T199" s="1235"/>
      <c r="U199" s="1235"/>
      <c r="V199" s="1235"/>
      <c r="W199" s="1235"/>
      <c r="X199" s="1235"/>
      <c r="Y199" s="1235"/>
      <c r="Z199" s="1235"/>
      <c r="AA199" s="1235"/>
      <c r="AB199" s="1235"/>
      <c r="AC199" s="1235"/>
      <c r="AD199" s="1235"/>
      <c r="AE199" s="1235"/>
      <c r="AF199" s="1235"/>
      <c r="AG199" s="1235"/>
    </row>
    <row r="200" spans="2:33">
      <c r="B200" s="1156"/>
      <c r="C200" s="1235"/>
      <c r="D200" s="1235"/>
      <c r="E200" s="1235"/>
      <c r="F200" s="1235"/>
      <c r="G200" s="1235"/>
      <c r="H200" s="1235"/>
      <c r="I200" s="1235"/>
      <c r="J200" s="1235"/>
      <c r="K200" s="1235"/>
      <c r="L200" s="1235"/>
      <c r="M200" s="1235"/>
      <c r="N200" s="1235"/>
      <c r="O200" s="1235"/>
      <c r="P200" s="1235"/>
      <c r="Q200" s="1235"/>
      <c r="R200" s="1235"/>
      <c r="S200" s="1235"/>
      <c r="T200" s="1235"/>
      <c r="U200" s="1235"/>
      <c r="V200" s="1235"/>
      <c r="W200" s="1235"/>
      <c r="X200" s="1235"/>
      <c r="Y200" s="1235"/>
      <c r="Z200" s="1235"/>
      <c r="AA200" s="1235"/>
      <c r="AB200" s="1235"/>
      <c r="AC200" s="1235"/>
      <c r="AD200" s="1235"/>
      <c r="AE200" s="1235"/>
      <c r="AF200" s="1235"/>
      <c r="AG200" s="1235"/>
    </row>
    <row r="201" spans="2:33">
      <c r="B201" s="1156"/>
      <c r="C201" s="1235"/>
      <c r="D201" s="1235"/>
      <c r="E201" s="1235"/>
      <c r="F201" s="1235"/>
      <c r="G201" s="1235"/>
      <c r="H201" s="1235"/>
      <c r="I201" s="1235"/>
      <c r="J201" s="1235"/>
      <c r="K201" s="1235"/>
      <c r="L201" s="1235"/>
      <c r="M201" s="1235"/>
      <c r="N201" s="1235"/>
      <c r="O201" s="1235"/>
      <c r="P201" s="1235"/>
      <c r="Q201" s="1235"/>
      <c r="R201" s="1235"/>
      <c r="S201" s="1235"/>
      <c r="T201" s="1235"/>
      <c r="U201" s="1235"/>
      <c r="V201" s="1235"/>
      <c r="W201" s="1235"/>
      <c r="X201" s="1235"/>
      <c r="Y201" s="1235"/>
      <c r="Z201" s="1235"/>
      <c r="AA201" s="1235"/>
      <c r="AB201" s="1235"/>
      <c r="AC201" s="1235"/>
      <c r="AD201" s="1235"/>
      <c r="AE201" s="1235"/>
      <c r="AF201" s="1235"/>
      <c r="AG201" s="1235"/>
    </row>
    <row r="202" spans="2:33">
      <c r="B202" s="1156"/>
      <c r="C202" s="1235"/>
      <c r="D202" s="1235"/>
      <c r="E202" s="1235"/>
      <c r="F202" s="1235"/>
      <c r="G202" s="1235"/>
      <c r="H202" s="1235"/>
      <c r="I202" s="1235"/>
      <c r="J202" s="1235"/>
      <c r="K202" s="1235"/>
      <c r="L202" s="1235"/>
      <c r="M202" s="1235"/>
      <c r="N202" s="1235"/>
      <c r="O202" s="1235"/>
      <c r="P202" s="1235"/>
      <c r="Q202" s="1235"/>
      <c r="R202" s="1235"/>
      <c r="S202" s="1235"/>
      <c r="T202" s="1235"/>
      <c r="U202" s="1235"/>
      <c r="V202" s="1235"/>
      <c r="W202" s="1235"/>
      <c r="X202" s="1235"/>
      <c r="Y202" s="1235"/>
      <c r="Z202" s="1235"/>
      <c r="AA202" s="1235"/>
      <c r="AB202" s="1235"/>
      <c r="AC202" s="1235"/>
      <c r="AD202" s="1235"/>
      <c r="AE202" s="1235"/>
      <c r="AF202" s="1235"/>
      <c r="AG202" s="1235"/>
    </row>
    <row r="203" spans="2:33">
      <c r="B203" s="1156"/>
      <c r="C203" s="1235"/>
      <c r="D203" s="1235"/>
      <c r="E203" s="1235"/>
      <c r="F203" s="1235"/>
      <c r="G203" s="1235"/>
      <c r="H203" s="1235"/>
      <c r="I203" s="1235"/>
      <c r="J203" s="1235"/>
      <c r="K203" s="1235"/>
      <c r="L203" s="1235"/>
      <c r="M203" s="1235"/>
      <c r="N203" s="1235"/>
      <c r="O203" s="1235"/>
      <c r="P203" s="1235"/>
      <c r="Q203" s="1235"/>
      <c r="R203" s="1235"/>
      <c r="S203" s="1235"/>
      <c r="T203" s="1235"/>
      <c r="U203" s="1235"/>
      <c r="V203" s="1235"/>
      <c r="W203" s="1235"/>
      <c r="X203" s="1235"/>
      <c r="Y203" s="1235"/>
      <c r="Z203" s="1235"/>
      <c r="AA203" s="1235"/>
      <c r="AB203" s="1235"/>
      <c r="AC203" s="1235"/>
      <c r="AD203" s="1235"/>
      <c r="AE203" s="1235"/>
      <c r="AF203" s="1235"/>
      <c r="AG203" s="1235"/>
    </row>
    <row r="204" spans="2:33">
      <c r="B204" s="1156"/>
      <c r="C204" s="1235"/>
      <c r="D204" s="1235"/>
      <c r="E204" s="1235"/>
      <c r="F204" s="1235"/>
      <c r="G204" s="1235"/>
      <c r="H204" s="1235"/>
      <c r="I204" s="1235"/>
      <c r="J204" s="1235"/>
      <c r="K204" s="1235"/>
      <c r="L204" s="1235"/>
      <c r="M204" s="1235"/>
      <c r="N204" s="1235"/>
      <c r="O204" s="1235"/>
      <c r="P204" s="1235"/>
      <c r="Q204" s="1235"/>
      <c r="R204" s="1235"/>
      <c r="S204" s="1235"/>
      <c r="T204" s="1235"/>
      <c r="U204" s="1235"/>
      <c r="V204" s="1235"/>
      <c r="W204" s="1235"/>
      <c r="X204" s="1235"/>
      <c r="Y204" s="1235"/>
      <c r="Z204" s="1235"/>
      <c r="AA204" s="1235"/>
      <c r="AB204" s="1235"/>
      <c r="AC204" s="1235"/>
      <c r="AD204" s="1235"/>
      <c r="AE204" s="1235"/>
      <c r="AF204" s="1235"/>
      <c r="AG204" s="1235"/>
    </row>
    <row r="205" spans="2:33">
      <c r="B205" s="1156"/>
      <c r="C205" s="1235"/>
      <c r="D205" s="1235"/>
      <c r="E205" s="1235"/>
      <c r="F205" s="1235"/>
      <c r="G205" s="1235"/>
      <c r="H205" s="1235"/>
      <c r="I205" s="1235"/>
      <c r="J205" s="1235"/>
      <c r="K205" s="1235"/>
      <c r="L205" s="1235"/>
      <c r="M205" s="1235"/>
      <c r="N205" s="1235"/>
      <c r="O205" s="1235"/>
      <c r="P205" s="1235"/>
      <c r="Q205" s="1235"/>
      <c r="R205" s="1235"/>
      <c r="S205" s="1235"/>
      <c r="T205" s="1235"/>
      <c r="U205" s="1235"/>
      <c r="V205" s="1235"/>
      <c r="W205" s="1235"/>
      <c r="X205" s="1235"/>
      <c r="Y205" s="1235"/>
      <c r="Z205" s="1235"/>
      <c r="AA205" s="1235"/>
      <c r="AB205" s="1235"/>
      <c r="AC205" s="1235"/>
      <c r="AD205" s="1235"/>
      <c r="AE205" s="1235"/>
      <c r="AF205" s="1235"/>
      <c r="AG205" s="1235"/>
    </row>
    <row r="206" spans="2:33">
      <c r="B206" s="1156"/>
      <c r="C206" s="1235"/>
      <c r="D206" s="1235"/>
      <c r="E206" s="1235"/>
      <c r="F206" s="1235"/>
      <c r="G206" s="1235"/>
      <c r="H206" s="1235"/>
      <c r="I206" s="1235"/>
      <c r="J206" s="1235"/>
      <c r="K206" s="1235"/>
      <c r="L206" s="1235"/>
      <c r="M206" s="1235"/>
      <c r="N206" s="1235"/>
      <c r="O206" s="1235"/>
      <c r="P206" s="1235"/>
      <c r="Q206" s="1235"/>
      <c r="R206" s="1235"/>
      <c r="S206" s="1235"/>
      <c r="T206" s="1235"/>
      <c r="U206" s="1235"/>
      <c r="V206" s="1235"/>
      <c r="W206" s="1235"/>
      <c r="X206" s="1235"/>
      <c r="Y206" s="1235"/>
      <c r="Z206" s="1235"/>
      <c r="AA206" s="1235"/>
      <c r="AB206" s="1235"/>
      <c r="AC206" s="1235"/>
      <c r="AD206" s="1235"/>
      <c r="AE206" s="1235"/>
      <c r="AF206" s="1235"/>
      <c r="AG206" s="1235"/>
    </row>
    <row r="207" spans="2:33">
      <c r="B207" s="1156"/>
      <c r="C207" s="1235"/>
      <c r="D207" s="1235"/>
      <c r="E207" s="1235"/>
      <c r="F207" s="1235"/>
      <c r="G207" s="1235"/>
      <c r="H207" s="1235"/>
      <c r="I207" s="1235"/>
      <c r="J207" s="1235"/>
      <c r="K207" s="1235"/>
      <c r="L207" s="1235"/>
      <c r="M207" s="1235"/>
      <c r="N207" s="1235"/>
      <c r="O207" s="1235"/>
      <c r="P207" s="1235"/>
      <c r="Q207" s="1235"/>
      <c r="R207" s="1235"/>
      <c r="S207" s="1235"/>
      <c r="T207" s="1235"/>
      <c r="U207" s="1235"/>
      <c r="V207" s="1235"/>
      <c r="W207" s="1235"/>
      <c r="X207" s="1235"/>
      <c r="Y207" s="1235"/>
      <c r="Z207" s="1235"/>
      <c r="AA207" s="1235"/>
      <c r="AB207" s="1235"/>
      <c r="AC207" s="1235"/>
      <c r="AD207" s="1235"/>
      <c r="AE207" s="1235"/>
      <c r="AF207" s="1235"/>
      <c r="AG207" s="1235"/>
    </row>
    <row r="208" spans="2:33">
      <c r="B208" s="1156"/>
      <c r="C208" s="1235"/>
      <c r="D208" s="1235"/>
      <c r="E208" s="1235"/>
      <c r="F208" s="1235"/>
      <c r="G208" s="1235"/>
      <c r="H208" s="1235"/>
      <c r="I208" s="1235"/>
      <c r="J208" s="1235"/>
      <c r="K208" s="1235"/>
      <c r="L208" s="1235"/>
      <c r="M208" s="1235"/>
      <c r="N208" s="1235"/>
      <c r="O208" s="1235"/>
      <c r="P208" s="1235"/>
      <c r="Q208" s="1235"/>
      <c r="R208" s="1235"/>
      <c r="S208" s="1235"/>
      <c r="T208" s="1235"/>
      <c r="U208" s="1235"/>
      <c r="V208" s="1235"/>
      <c r="W208" s="1235"/>
      <c r="X208" s="1235"/>
      <c r="Y208" s="1235"/>
      <c r="Z208" s="1235"/>
      <c r="AA208" s="1235"/>
      <c r="AB208" s="1235"/>
      <c r="AC208" s="1235"/>
      <c r="AD208" s="1235"/>
      <c r="AE208" s="1235"/>
      <c r="AF208" s="1235"/>
      <c r="AG208" s="1235"/>
    </row>
    <row r="209" spans="2:33">
      <c r="B209" s="1156"/>
      <c r="C209" s="1235"/>
      <c r="D209" s="1235"/>
      <c r="E209" s="1235"/>
      <c r="F209" s="1235"/>
      <c r="G209" s="1235"/>
      <c r="H209" s="1235"/>
      <c r="I209" s="1235"/>
      <c r="J209" s="1235"/>
      <c r="K209" s="1235"/>
      <c r="L209" s="1235"/>
      <c r="M209" s="1235"/>
      <c r="N209" s="1235"/>
      <c r="O209" s="1235"/>
      <c r="P209" s="1235"/>
      <c r="Q209" s="1235"/>
      <c r="R209" s="1235"/>
      <c r="S209" s="1235"/>
      <c r="T209" s="1235"/>
      <c r="U209" s="1235"/>
      <c r="V209" s="1235"/>
      <c r="W209" s="1235"/>
      <c r="X209" s="1235"/>
      <c r="Y209" s="1235"/>
      <c r="Z209" s="1235"/>
      <c r="AA209" s="1235"/>
      <c r="AB209" s="1235"/>
      <c r="AC209" s="1235"/>
      <c r="AD209" s="1235"/>
      <c r="AE209" s="1235"/>
      <c r="AF209" s="1235"/>
      <c r="AG209" s="1235"/>
    </row>
    <row r="210" spans="2:33">
      <c r="B210" s="1156"/>
      <c r="C210" s="1235"/>
      <c r="D210" s="1235"/>
      <c r="E210" s="1235"/>
      <c r="F210" s="1235"/>
      <c r="G210" s="1235"/>
      <c r="H210" s="1235"/>
      <c r="I210" s="1235"/>
      <c r="J210" s="1235"/>
      <c r="K210" s="1235"/>
      <c r="L210" s="1235"/>
      <c r="M210" s="1235"/>
      <c r="N210" s="1235"/>
      <c r="O210" s="1235"/>
      <c r="P210" s="1235"/>
      <c r="Q210" s="1235"/>
      <c r="R210" s="1235"/>
      <c r="S210" s="1235"/>
      <c r="T210" s="1235"/>
      <c r="U210" s="1235"/>
      <c r="V210" s="1235"/>
      <c r="W210" s="1235"/>
      <c r="X210" s="1235"/>
      <c r="Y210" s="1235"/>
      <c r="Z210" s="1235"/>
      <c r="AA210" s="1235"/>
      <c r="AB210" s="1235"/>
      <c r="AC210" s="1235"/>
      <c r="AD210" s="1235"/>
      <c r="AE210" s="1235"/>
      <c r="AF210" s="1235"/>
      <c r="AG210" s="1235"/>
    </row>
    <row r="211" spans="2:33">
      <c r="B211" s="1156"/>
      <c r="C211" s="1156"/>
      <c r="D211" s="1180"/>
      <c r="E211" s="1180"/>
      <c r="F211" s="1180"/>
      <c r="G211" s="1180"/>
      <c r="H211" s="1180"/>
      <c r="I211" s="1150"/>
      <c r="J211" s="1150"/>
      <c r="K211" s="1150"/>
      <c r="U211" s="1142"/>
      <c r="V211" s="1148"/>
    </row>
    <row r="212" spans="2:33">
      <c r="B212" s="1156"/>
      <c r="C212" s="1156"/>
      <c r="D212" s="1180"/>
      <c r="E212" s="1180"/>
      <c r="F212" s="1180"/>
      <c r="G212" s="1180"/>
      <c r="H212" s="1180"/>
      <c r="I212" s="1150"/>
      <c r="J212" s="1150"/>
      <c r="K212" s="1150"/>
      <c r="U212" s="1142"/>
      <c r="V212" s="1148"/>
    </row>
    <row r="213" spans="2:33">
      <c r="B213" s="1156"/>
      <c r="C213" s="1156"/>
      <c r="D213" s="1180"/>
      <c r="E213" s="1180"/>
      <c r="F213" s="1180"/>
      <c r="G213" s="1180"/>
      <c r="H213" s="1180"/>
      <c r="I213" s="1150"/>
      <c r="J213" s="1150"/>
      <c r="K213" s="1150"/>
      <c r="U213" s="1142"/>
      <c r="V213" s="1148"/>
    </row>
    <row r="214" spans="2:33">
      <c r="B214" s="1156"/>
      <c r="C214" s="1156"/>
      <c r="D214" s="1180"/>
      <c r="E214" s="1180"/>
      <c r="F214" s="1180"/>
      <c r="G214" s="1180"/>
      <c r="H214" s="1180"/>
      <c r="I214" s="1150"/>
      <c r="J214" s="1150"/>
      <c r="K214" s="1150"/>
      <c r="U214" s="1142"/>
      <c r="V214" s="1148"/>
    </row>
    <row r="215" spans="2:33">
      <c r="B215" s="1156"/>
      <c r="C215" s="1156"/>
      <c r="D215" s="1180"/>
      <c r="E215" s="1180"/>
      <c r="F215" s="1180"/>
      <c r="G215" s="1180"/>
      <c r="H215" s="1180"/>
      <c r="I215" s="1150"/>
      <c r="J215" s="1150"/>
      <c r="K215" s="1150"/>
      <c r="U215" s="1142"/>
      <c r="V215" s="1148"/>
    </row>
    <row r="216" spans="2:33">
      <c r="B216" s="1156"/>
      <c r="C216" s="1156"/>
      <c r="D216" s="1180"/>
      <c r="E216" s="1180"/>
      <c r="F216" s="1180"/>
      <c r="G216" s="1180"/>
      <c r="H216" s="1180"/>
      <c r="I216" s="1150"/>
      <c r="J216" s="1150"/>
      <c r="K216" s="1150"/>
      <c r="U216" s="1142"/>
      <c r="V216" s="1148"/>
    </row>
    <row r="217" spans="2:33">
      <c r="B217" s="1156"/>
      <c r="C217" s="1156"/>
      <c r="D217" s="1180"/>
      <c r="E217" s="1180"/>
      <c r="F217" s="1180"/>
      <c r="G217" s="1180"/>
      <c r="H217" s="1180"/>
      <c r="I217" s="1150"/>
      <c r="J217" s="1150"/>
      <c r="K217" s="1150"/>
      <c r="U217" s="1142"/>
      <c r="V217" s="1148"/>
    </row>
    <row r="218" spans="2:33">
      <c r="B218" s="1156"/>
      <c r="C218" s="1156"/>
      <c r="D218" s="1180"/>
      <c r="E218" s="1180"/>
      <c r="F218" s="1180"/>
      <c r="G218" s="1180"/>
      <c r="H218" s="1180"/>
      <c r="I218" s="1150"/>
      <c r="J218" s="1150"/>
      <c r="K218" s="1150"/>
      <c r="U218" s="1142"/>
      <c r="V218" s="1148"/>
    </row>
    <row r="219" spans="2:33">
      <c r="B219" s="1156"/>
      <c r="C219" s="1156"/>
      <c r="D219" s="1180"/>
      <c r="E219" s="1180"/>
      <c r="F219" s="1180"/>
      <c r="G219" s="1180"/>
      <c r="H219" s="1180"/>
      <c r="I219" s="1150"/>
      <c r="J219" s="1150"/>
      <c r="K219" s="1150"/>
      <c r="U219" s="1142"/>
      <c r="V219" s="1148"/>
    </row>
    <row r="220" spans="2:33">
      <c r="B220" s="1156"/>
      <c r="C220" s="1156"/>
      <c r="D220" s="1180"/>
      <c r="E220" s="1180"/>
      <c r="F220" s="1180"/>
      <c r="G220" s="1180"/>
      <c r="H220" s="1180"/>
      <c r="I220" s="1150"/>
      <c r="J220" s="1150"/>
      <c r="K220" s="1150"/>
      <c r="U220" s="1142"/>
      <c r="V220" s="1148"/>
    </row>
    <row r="221" spans="2:33">
      <c r="B221" s="1156"/>
      <c r="C221" s="1156"/>
      <c r="D221" s="1180"/>
      <c r="E221" s="1180"/>
      <c r="F221" s="1180"/>
      <c r="G221" s="1180"/>
      <c r="H221" s="1180"/>
      <c r="I221" s="1150"/>
      <c r="J221" s="1150"/>
      <c r="K221" s="1150"/>
      <c r="U221" s="1142"/>
      <c r="V221" s="1148"/>
    </row>
    <row r="222" spans="2:33">
      <c r="B222" s="1156"/>
      <c r="C222" s="1156"/>
      <c r="D222" s="1180"/>
      <c r="E222" s="1180"/>
      <c r="F222" s="1180"/>
      <c r="G222" s="1180"/>
      <c r="H222" s="1180"/>
      <c r="I222" s="1150"/>
      <c r="J222" s="1150"/>
      <c r="K222" s="1150"/>
      <c r="U222" s="1142"/>
      <c r="V222" s="1148"/>
    </row>
    <row r="223" spans="2:33">
      <c r="B223" s="1156"/>
      <c r="C223" s="1156"/>
      <c r="D223" s="1180"/>
      <c r="E223" s="1180"/>
      <c r="F223" s="1180"/>
      <c r="G223" s="1180"/>
      <c r="H223" s="1180"/>
      <c r="I223" s="1150"/>
      <c r="J223" s="1150"/>
      <c r="K223" s="1150"/>
      <c r="U223" s="1142"/>
      <c r="V223" s="1148"/>
    </row>
    <row r="224" spans="2:33">
      <c r="B224" s="1156"/>
      <c r="C224" s="1156"/>
      <c r="D224" s="1180"/>
      <c r="E224" s="1180"/>
      <c r="F224" s="1180"/>
      <c r="G224" s="1180"/>
      <c r="H224" s="1180"/>
      <c r="I224" s="1150"/>
      <c r="J224" s="1150"/>
      <c r="K224" s="1150"/>
      <c r="U224" s="1142"/>
      <c r="V224" s="1148"/>
    </row>
    <row r="225" spans="2:22">
      <c r="B225" s="1156"/>
      <c r="C225" s="1156"/>
      <c r="D225" s="1180"/>
      <c r="E225" s="1180"/>
      <c r="F225" s="1180"/>
      <c r="G225" s="1180"/>
      <c r="H225" s="1180"/>
      <c r="I225" s="1150"/>
      <c r="J225" s="1150"/>
      <c r="K225" s="1150"/>
      <c r="U225" s="1142"/>
      <c r="V225" s="1148"/>
    </row>
    <row r="226" spans="2:22">
      <c r="B226" s="1156"/>
      <c r="C226" s="1156"/>
      <c r="D226" s="1180"/>
      <c r="E226" s="1180"/>
      <c r="F226" s="1180"/>
      <c r="G226" s="1180"/>
      <c r="H226" s="1180"/>
      <c r="I226" s="1150"/>
      <c r="J226" s="1150"/>
      <c r="K226" s="1150"/>
      <c r="U226" s="1142"/>
      <c r="V226" s="1148"/>
    </row>
    <row r="227" spans="2:22">
      <c r="B227" s="1156"/>
      <c r="C227" s="1156"/>
      <c r="D227" s="1180"/>
      <c r="E227" s="1180"/>
      <c r="F227" s="1180"/>
      <c r="G227" s="1180"/>
      <c r="H227" s="1180"/>
      <c r="I227" s="1150"/>
      <c r="J227" s="1150"/>
      <c r="K227" s="1150"/>
      <c r="U227" s="1142"/>
      <c r="V227" s="1148"/>
    </row>
    <row r="228" spans="2:22">
      <c r="B228" s="1156"/>
      <c r="C228" s="1156"/>
      <c r="D228" s="1180"/>
      <c r="E228" s="1180"/>
      <c r="F228" s="1180"/>
      <c r="G228" s="1180"/>
      <c r="H228" s="1180"/>
      <c r="I228" s="1150"/>
      <c r="J228" s="1150"/>
      <c r="K228" s="1150"/>
      <c r="U228" s="1142"/>
      <c r="V228" s="1148"/>
    </row>
    <row r="229" spans="2:22">
      <c r="B229" s="1156"/>
      <c r="C229" s="1156"/>
      <c r="D229" s="1180"/>
      <c r="E229" s="1180"/>
      <c r="F229" s="1180"/>
      <c r="G229" s="1180"/>
      <c r="H229" s="1180"/>
      <c r="I229" s="1150"/>
      <c r="J229" s="1150"/>
      <c r="K229" s="1150"/>
      <c r="U229" s="1142"/>
      <c r="V229" s="1148"/>
    </row>
    <row r="230" spans="2:22">
      <c r="B230" s="1156"/>
      <c r="C230" s="1156"/>
      <c r="D230" s="1180"/>
      <c r="E230" s="1180"/>
      <c r="F230" s="1180"/>
      <c r="G230" s="1180"/>
      <c r="H230" s="1180"/>
      <c r="I230" s="1150"/>
      <c r="J230" s="1150"/>
      <c r="K230" s="1150"/>
      <c r="U230" s="1142"/>
      <c r="V230" s="1148"/>
    </row>
    <row r="231" spans="2:22">
      <c r="B231" s="1156"/>
      <c r="C231" s="1156"/>
      <c r="D231" s="1180"/>
      <c r="E231" s="1180"/>
      <c r="F231" s="1180"/>
      <c r="G231" s="1180"/>
      <c r="H231" s="1180"/>
      <c r="I231" s="1150"/>
      <c r="J231" s="1150"/>
      <c r="K231" s="1150"/>
      <c r="U231" s="1142"/>
      <c r="V231" s="1148"/>
    </row>
    <row r="232" spans="2:22">
      <c r="B232" s="1156"/>
      <c r="C232" s="1156"/>
      <c r="D232" s="1180"/>
      <c r="E232" s="1180"/>
      <c r="F232" s="1180"/>
      <c r="G232" s="1180"/>
      <c r="H232" s="1180"/>
      <c r="I232" s="1150"/>
      <c r="J232" s="1150"/>
      <c r="K232" s="1150"/>
      <c r="U232" s="1142"/>
      <c r="V232" s="1148"/>
    </row>
    <row r="233" spans="2:22">
      <c r="B233" s="1156"/>
      <c r="C233" s="1156"/>
      <c r="D233" s="1180"/>
      <c r="E233" s="1180"/>
      <c r="F233" s="1180"/>
      <c r="G233" s="1180"/>
      <c r="H233" s="1180"/>
      <c r="I233" s="1150"/>
      <c r="J233" s="1150"/>
      <c r="K233" s="1150"/>
      <c r="U233" s="1142"/>
      <c r="V233" s="1148"/>
    </row>
    <row r="234" spans="2:22">
      <c r="B234" s="1156"/>
      <c r="C234" s="1156"/>
      <c r="D234" s="1180"/>
      <c r="E234" s="1180"/>
      <c r="F234" s="1180"/>
      <c r="G234" s="1180"/>
      <c r="H234" s="1180"/>
      <c r="I234" s="1150"/>
      <c r="J234" s="1150"/>
      <c r="K234" s="1150"/>
      <c r="U234" s="1142"/>
      <c r="V234" s="1148"/>
    </row>
    <row r="235" spans="2:22">
      <c r="B235" s="1156"/>
      <c r="C235" s="1156"/>
      <c r="D235" s="1180"/>
      <c r="E235" s="1180"/>
      <c r="F235" s="1180"/>
      <c r="G235" s="1180"/>
      <c r="H235" s="1150"/>
      <c r="I235" s="1150"/>
      <c r="J235" s="1150"/>
    </row>
    <row r="236" spans="2:22">
      <c r="B236" s="1156"/>
      <c r="C236" s="1156"/>
      <c r="D236" s="1180"/>
      <c r="E236" s="1180"/>
      <c r="F236" s="1180"/>
      <c r="G236" s="1180"/>
      <c r="H236" s="1150"/>
      <c r="I236" s="1150"/>
      <c r="J236" s="1150"/>
    </row>
    <row r="237" spans="2:22">
      <c r="B237" s="1156"/>
      <c r="C237" s="1156"/>
      <c r="D237" s="1180"/>
      <c r="E237" s="1180"/>
      <c r="F237" s="1180"/>
      <c r="G237" s="1180"/>
      <c r="H237" s="1150"/>
      <c r="I237" s="1150"/>
      <c r="J237" s="1150"/>
    </row>
    <row r="238" spans="2:22">
      <c r="B238" s="1156"/>
      <c r="C238" s="1156"/>
      <c r="D238" s="1180"/>
      <c r="E238" s="1180"/>
      <c r="F238" s="1180"/>
      <c r="G238" s="1180"/>
      <c r="H238" s="1150"/>
      <c r="I238" s="1150"/>
      <c r="J238" s="1150"/>
    </row>
    <row r="239" spans="2:22">
      <c r="B239" s="1156"/>
      <c r="C239" s="1156"/>
      <c r="D239" s="1180"/>
      <c r="E239" s="1180"/>
      <c r="F239" s="1180"/>
      <c r="G239" s="1180"/>
      <c r="H239" s="1150"/>
      <c r="I239" s="1150"/>
      <c r="J239" s="1150"/>
    </row>
    <row r="240" spans="2:22">
      <c r="B240" s="1156"/>
      <c r="C240" s="1156"/>
      <c r="D240" s="1180"/>
      <c r="E240" s="1180"/>
      <c r="F240" s="1180"/>
      <c r="G240" s="1180"/>
      <c r="H240" s="1150"/>
      <c r="I240" s="1150"/>
      <c r="J240" s="1150"/>
    </row>
    <row r="241" spans="2:10">
      <c r="B241" s="1156"/>
      <c r="C241" s="1156"/>
      <c r="D241" s="1180"/>
      <c r="E241" s="1180"/>
      <c r="F241" s="1180"/>
      <c r="G241" s="1180"/>
      <c r="H241" s="1150"/>
      <c r="I241" s="1150"/>
      <c r="J241" s="1150"/>
    </row>
    <row r="242" spans="2:10">
      <c r="B242" s="1156"/>
      <c r="C242" s="1156"/>
      <c r="D242" s="1180"/>
      <c r="E242" s="1180"/>
      <c r="F242" s="1180"/>
      <c r="G242" s="1180"/>
      <c r="H242" s="1150"/>
      <c r="I242" s="1150"/>
      <c r="J242" s="1150"/>
    </row>
    <row r="243" spans="2:10">
      <c r="B243" s="1156"/>
      <c r="C243" s="1156"/>
      <c r="D243" s="1180"/>
      <c r="E243" s="1180"/>
      <c r="F243" s="1180"/>
      <c r="G243" s="1180"/>
      <c r="H243" s="1150"/>
      <c r="I243" s="1150"/>
      <c r="J243" s="1150"/>
    </row>
    <row r="244" spans="2:10">
      <c r="B244" s="1156"/>
      <c r="C244" s="1156"/>
      <c r="D244" s="1180"/>
      <c r="E244" s="1180"/>
      <c r="F244" s="1180"/>
      <c r="G244" s="1180"/>
      <c r="H244" s="1150"/>
      <c r="I244" s="1150"/>
      <c r="J244" s="1150"/>
    </row>
    <row r="245" spans="2:10">
      <c r="B245" s="1156"/>
      <c r="C245" s="1156"/>
      <c r="D245" s="1180"/>
      <c r="E245" s="1180"/>
      <c r="F245" s="1180"/>
      <c r="G245" s="1180"/>
      <c r="H245" s="1150"/>
      <c r="I245" s="1150"/>
      <c r="J245" s="1150"/>
    </row>
    <row r="246" spans="2:10">
      <c r="B246" s="1156"/>
      <c r="C246" s="1156"/>
      <c r="D246" s="1180"/>
      <c r="E246" s="1180"/>
      <c r="F246" s="1180"/>
      <c r="G246" s="1180"/>
      <c r="H246" s="1150"/>
      <c r="I246" s="1150"/>
      <c r="J246" s="1150"/>
    </row>
    <row r="247" spans="2:10">
      <c r="B247" s="1156"/>
      <c r="C247" s="1156"/>
      <c r="D247" s="1180"/>
      <c r="E247" s="1180"/>
      <c r="F247" s="1180"/>
      <c r="G247" s="1180"/>
      <c r="H247" s="1150"/>
      <c r="I247" s="1150"/>
      <c r="J247" s="1150"/>
    </row>
    <row r="248" spans="2:10">
      <c r="B248" s="1156"/>
      <c r="C248" s="1156"/>
      <c r="D248" s="1180"/>
      <c r="E248" s="1180"/>
      <c r="F248" s="1180"/>
      <c r="G248" s="1180"/>
      <c r="H248" s="1150"/>
      <c r="I248" s="1150"/>
      <c r="J248" s="1150"/>
    </row>
    <row r="249" spans="2:10">
      <c r="B249" s="1156"/>
      <c r="C249" s="1156"/>
      <c r="D249" s="1180"/>
      <c r="E249" s="1180"/>
      <c r="F249" s="1180"/>
      <c r="G249" s="1180"/>
      <c r="H249" s="1150"/>
      <c r="I249" s="1150"/>
      <c r="J249" s="1150"/>
    </row>
    <row r="250" spans="2:10">
      <c r="B250" s="1156"/>
      <c r="C250" s="1156"/>
      <c r="D250" s="1180"/>
      <c r="E250" s="1180"/>
      <c r="F250" s="1180"/>
      <c r="G250" s="1180"/>
      <c r="H250" s="1150"/>
      <c r="I250" s="1150"/>
      <c r="J250" s="1150"/>
    </row>
    <row r="251" spans="2:10">
      <c r="B251" s="1156"/>
      <c r="C251" s="1156"/>
      <c r="D251" s="1180"/>
      <c r="E251" s="1180"/>
      <c r="F251" s="1180"/>
      <c r="G251" s="1180"/>
      <c r="H251" s="1150"/>
      <c r="I251" s="1150"/>
      <c r="J251" s="1150"/>
    </row>
    <row r="252" spans="2:10">
      <c r="B252" s="1156"/>
      <c r="C252" s="1156"/>
      <c r="D252" s="1180"/>
      <c r="E252" s="1180"/>
      <c r="F252" s="1180"/>
      <c r="G252" s="1180"/>
      <c r="H252" s="1150"/>
      <c r="I252" s="1150"/>
      <c r="J252" s="1150"/>
    </row>
    <row r="253" spans="2:10">
      <c r="B253" s="1156"/>
      <c r="C253" s="1156"/>
      <c r="D253" s="1180"/>
      <c r="E253" s="1180"/>
      <c r="F253" s="1180"/>
      <c r="G253" s="1180"/>
      <c r="H253" s="1150"/>
      <c r="I253" s="1150"/>
      <c r="J253" s="1150"/>
    </row>
    <row r="254" spans="2:10">
      <c r="B254" s="1156"/>
      <c r="C254" s="1156"/>
      <c r="D254" s="1180"/>
      <c r="E254" s="1180"/>
      <c r="F254" s="1180"/>
      <c r="G254" s="1180"/>
      <c r="H254" s="1150"/>
      <c r="I254" s="1150"/>
      <c r="J254" s="1150"/>
    </row>
    <row r="255" spans="2:10">
      <c r="B255" s="1156"/>
      <c r="C255" s="1156"/>
      <c r="D255" s="1180"/>
      <c r="E255" s="1180"/>
      <c r="F255" s="1180"/>
      <c r="G255" s="1180"/>
      <c r="H255" s="1150"/>
      <c r="I255" s="1150"/>
      <c r="J255" s="1150"/>
    </row>
    <row r="256" spans="2:10">
      <c r="B256" s="1156"/>
      <c r="C256" s="1156"/>
      <c r="D256" s="1180"/>
      <c r="E256" s="1180"/>
      <c r="F256" s="1180"/>
      <c r="G256" s="1180"/>
      <c r="H256" s="1150"/>
      <c r="I256" s="1150"/>
      <c r="J256" s="1150"/>
    </row>
    <row r="257" spans="2:10">
      <c r="B257" s="1156"/>
      <c r="C257" s="1156"/>
      <c r="D257" s="1180"/>
      <c r="E257" s="1180"/>
      <c r="F257" s="1180"/>
      <c r="G257" s="1180"/>
      <c r="H257" s="1150"/>
      <c r="I257" s="1150"/>
      <c r="J257" s="1150"/>
    </row>
    <row r="258" spans="2:10">
      <c r="B258" s="1156"/>
      <c r="C258" s="1156"/>
      <c r="D258" s="1180"/>
      <c r="E258" s="1180"/>
      <c r="F258" s="1180"/>
      <c r="G258" s="1180"/>
      <c r="H258" s="1150"/>
      <c r="I258" s="1150"/>
      <c r="J258" s="1150"/>
    </row>
    <row r="259" spans="2:10">
      <c r="B259" s="1156"/>
      <c r="C259" s="1156"/>
      <c r="D259" s="1180"/>
      <c r="E259" s="1180"/>
      <c r="F259" s="1180"/>
      <c r="G259" s="1180"/>
      <c r="H259" s="1150"/>
      <c r="I259" s="1150"/>
      <c r="J259" s="1150"/>
    </row>
    <row r="260" spans="2:10">
      <c r="B260" s="1156"/>
      <c r="C260" s="1156"/>
      <c r="D260" s="1180"/>
      <c r="E260" s="1180"/>
      <c r="F260" s="1180"/>
      <c r="G260" s="1180"/>
      <c r="H260" s="1150"/>
      <c r="I260" s="1150"/>
      <c r="J260" s="1150"/>
    </row>
    <row r="261" spans="2:10">
      <c r="B261" s="1156"/>
      <c r="C261" s="1156"/>
      <c r="D261" s="1180"/>
      <c r="E261" s="1180"/>
      <c r="F261" s="1180"/>
      <c r="G261" s="1180"/>
      <c r="H261" s="1150"/>
      <c r="I261" s="1150"/>
      <c r="J261" s="1150"/>
    </row>
    <row r="262" spans="2:10">
      <c r="B262" s="1156"/>
      <c r="C262" s="1156"/>
      <c r="D262" s="1180"/>
      <c r="E262" s="1180"/>
      <c r="F262" s="1180"/>
      <c r="G262" s="1180"/>
      <c r="H262" s="1150"/>
      <c r="I262" s="1150"/>
      <c r="J262" s="1150"/>
    </row>
    <row r="263" spans="2:10">
      <c r="B263" s="1156"/>
      <c r="C263" s="1156"/>
      <c r="D263" s="1180"/>
      <c r="E263" s="1180"/>
      <c r="F263" s="1180"/>
      <c r="G263" s="1180"/>
      <c r="H263" s="1150"/>
      <c r="I263" s="1150"/>
      <c r="J263" s="1150"/>
    </row>
    <row r="264" spans="2:10">
      <c r="B264" s="1156"/>
      <c r="C264" s="1156"/>
      <c r="D264" s="1180"/>
      <c r="E264" s="1180"/>
      <c r="F264" s="1180"/>
      <c r="G264" s="1180"/>
      <c r="H264" s="1150"/>
      <c r="I264" s="1150"/>
      <c r="J264" s="1150"/>
    </row>
    <row r="265" spans="2:10">
      <c r="B265" s="1156"/>
      <c r="C265" s="1156"/>
      <c r="D265" s="1180"/>
      <c r="E265" s="1180"/>
      <c r="F265" s="1180"/>
      <c r="G265" s="1180"/>
      <c r="H265" s="1150"/>
      <c r="I265" s="1150"/>
      <c r="J265" s="1150"/>
    </row>
    <row r="266" spans="2:10">
      <c r="B266" s="1156"/>
      <c r="C266" s="1156"/>
      <c r="D266" s="1180"/>
      <c r="E266" s="1180"/>
      <c r="F266" s="1180"/>
      <c r="G266" s="1180"/>
      <c r="H266" s="1150"/>
      <c r="I266" s="1150"/>
      <c r="J266" s="1150"/>
    </row>
    <row r="267" spans="2:10">
      <c r="B267" s="1156"/>
      <c r="C267" s="1156"/>
      <c r="D267" s="1180"/>
      <c r="E267" s="1180"/>
      <c r="F267" s="1180"/>
      <c r="G267" s="1180"/>
      <c r="H267" s="1150"/>
      <c r="I267" s="1150"/>
      <c r="J267" s="1150"/>
    </row>
    <row r="268" spans="2:10">
      <c r="B268" s="1156"/>
      <c r="C268" s="1156"/>
      <c r="D268" s="1180"/>
      <c r="E268" s="1180"/>
      <c r="F268" s="1180"/>
      <c r="G268" s="1180"/>
      <c r="H268" s="1150"/>
      <c r="I268" s="1150"/>
      <c r="J268" s="1150"/>
    </row>
    <row r="269" spans="2:10">
      <c r="B269" s="1156"/>
      <c r="C269" s="1156"/>
      <c r="D269" s="1180"/>
      <c r="E269" s="1180"/>
      <c r="F269" s="1180"/>
      <c r="G269" s="1180"/>
      <c r="H269" s="1150"/>
      <c r="I269" s="1150"/>
      <c r="J269" s="1150"/>
    </row>
    <row r="270" spans="2:10">
      <c r="B270" s="1156"/>
      <c r="C270" s="1156"/>
      <c r="D270" s="1180"/>
      <c r="E270" s="1180"/>
      <c r="F270" s="1180"/>
      <c r="G270" s="1180"/>
      <c r="H270" s="1150"/>
      <c r="I270" s="1150"/>
      <c r="J270" s="1150"/>
    </row>
    <row r="271" spans="2:10">
      <c r="B271" s="1156"/>
      <c r="C271" s="1156"/>
      <c r="D271" s="1180"/>
      <c r="E271" s="1180"/>
      <c r="F271" s="1180"/>
      <c r="G271" s="1180"/>
      <c r="H271" s="1150"/>
      <c r="I271" s="1150"/>
      <c r="J271" s="1150"/>
    </row>
    <row r="272" spans="2:10">
      <c r="B272" s="1156"/>
      <c r="C272" s="1156"/>
      <c r="D272" s="1180"/>
      <c r="E272" s="1180"/>
      <c r="F272" s="1180"/>
      <c r="G272" s="1180"/>
      <c r="H272" s="1150"/>
      <c r="I272" s="1150"/>
      <c r="J272" s="1150"/>
    </row>
    <row r="273" spans="2:10">
      <c r="B273" s="1156"/>
      <c r="C273" s="1156"/>
      <c r="D273" s="1180"/>
      <c r="E273" s="1180"/>
      <c r="F273" s="1180"/>
      <c r="G273" s="1180"/>
      <c r="H273" s="1150"/>
      <c r="I273" s="1150"/>
      <c r="J273" s="1150"/>
    </row>
    <row r="274" spans="2:10">
      <c r="B274" s="1156"/>
      <c r="C274" s="1156"/>
      <c r="D274" s="1180"/>
      <c r="E274" s="1180"/>
      <c r="F274" s="1180"/>
      <c r="G274" s="1180"/>
      <c r="H274" s="1150"/>
      <c r="I274" s="1150"/>
      <c r="J274" s="1150"/>
    </row>
    <row r="275" spans="2:10">
      <c r="B275" s="1156"/>
      <c r="C275" s="1156"/>
      <c r="D275" s="1180"/>
      <c r="E275" s="1180"/>
      <c r="F275" s="1180"/>
      <c r="G275" s="1180"/>
      <c r="H275" s="1150"/>
      <c r="I275" s="1150"/>
      <c r="J275" s="1150"/>
    </row>
    <row r="276" spans="2:10">
      <c r="B276" s="1156"/>
      <c r="C276" s="1156"/>
      <c r="D276" s="1180"/>
      <c r="E276" s="1180"/>
      <c r="F276" s="1180"/>
      <c r="G276" s="1180"/>
      <c r="H276" s="1150"/>
      <c r="I276" s="1150"/>
      <c r="J276" s="1150"/>
    </row>
    <row r="277" spans="2:10">
      <c r="B277" s="1156"/>
      <c r="C277" s="1156"/>
      <c r="D277" s="1180"/>
      <c r="E277" s="1180"/>
      <c r="F277" s="1180"/>
      <c r="G277" s="1180"/>
      <c r="H277" s="1150"/>
      <c r="I277" s="1150"/>
      <c r="J277" s="1150"/>
    </row>
    <row r="278" spans="2:10">
      <c r="B278" s="1156"/>
      <c r="C278" s="1156"/>
      <c r="D278" s="1180"/>
      <c r="E278" s="1180"/>
      <c r="F278" s="1180"/>
      <c r="G278" s="1180"/>
      <c r="H278" s="1150"/>
      <c r="I278" s="1150"/>
      <c r="J278" s="1150"/>
    </row>
    <row r="279" spans="2:10">
      <c r="B279" s="1156"/>
      <c r="C279" s="1156"/>
      <c r="D279" s="1180"/>
      <c r="E279" s="1180"/>
      <c r="F279" s="1180"/>
      <c r="G279" s="1180"/>
      <c r="H279" s="1150"/>
      <c r="I279" s="1150"/>
      <c r="J279" s="1150"/>
    </row>
    <row r="280" spans="2:10">
      <c r="B280" s="1156"/>
      <c r="C280" s="1156"/>
      <c r="D280" s="1180"/>
      <c r="E280" s="1180"/>
      <c r="F280" s="1180"/>
      <c r="G280" s="1180"/>
      <c r="H280" s="1150"/>
      <c r="I280" s="1150"/>
      <c r="J280" s="1150"/>
    </row>
    <row r="281" spans="2:10">
      <c r="B281" s="1156"/>
      <c r="C281" s="1156"/>
      <c r="D281" s="1180"/>
      <c r="E281" s="1180"/>
      <c r="F281" s="1180"/>
      <c r="G281" s="1180"/>
      <c r="H281" s="1150"/>
      <c r="I281" s="1150"/>
      <c r="J281" s="1150"/>
    </row>
    <row r="282" spans="2:10">
      <c r="B282" s="1156"/>
      <c r="C282" s="1156"/>
      <c r="D282" s="1180"/>
      <c r="E282" s="1180"/>
      <c r="F282" s="1180"/>
      <c r="G282" s="1180"/>
      <c r="H282" s="1150"/>
      <c r="I282" s="1150"/>
      <c r="J282" s="1150"/>
    </row>
    <row r="283" spans="2:10">
      <c r="B283" s="1156"/>
      <c r="C283" s="1156"/>
      <c r="D283" s="1180"/>
      <c r="E283" s="1180"/>
      <c r="F283" s="1180"/>
      <c r="G283" s="1180"/>
      <c r="H283" s="1150"/>
      <c r="I283" s="1150"/>
      <c r="J283" s="1150"/>
    </row>
    <row r="284" spans="2:10">
      <c r="B284" s="1156"/>
      <c r="C284" s="1156"/>
      <c r="D284" s="1180"/>
      <c r="E284" s="1180"/>
      <c r="F284" s="1180"/>
      <c r="G284" s="1180"/>
      <c r="H284" s="1150"/>
      <c r="I284" s="1150"/>
      <c r="J284" s="1150"/>
    </row>
    <row r="285" spans="2:10">
      <c r="B285" s="1156"/>
      <c r="C285" s="1156"/>
      <c r="D285" s="1180"/>
      <c r="E285" s="1180"/>
      <c r="F285" s="1180"/>
      <c r="G285" s="1180"/>
      <c r="H285" s="1150"/>
      <c r="I285" s="1150"/>
      <c r="J285" s="1150"/>
    </row>
    <row r="286" spans="2:10">
      <c r="B286" s="1156"/>
      <c r="C286" s="1156"/>
      <c r="D286" s="1180"/>
      <c r="E286" s="1180"/>
      <c r="F286" s="1180"/>
      <c r="G286" s="1180"/>
      <c r="H286" s="1150"/>
      <c r="I286" s="1150"/>
      <c r="J286" s="1150"/>
    </row>
    <row r="287" spans="2:10">
      <c r="B287" s="1156"/>
      <c r="C287" s="1156"/>
      <c r="D287" s="1180"/>
      <c r="E287" s="1180"/>
      <c r="F287" s="1180"/>
      <c r="G287" s="1180"/>
      <c r="H287" s="1150"/>
      <c r="I287" s="1150"/>
      <c r="J287" s="1150"/>
    </row>
    <row r="288" spans="2:10">
      <c r="B288" s="1156"/>
      <c r="C288" s="1156"/>
      <c r="D288" s="1180"/>
      <c r="E288" s="1180"/>
      <c r="F288" s="1180"/>
      <c r="G288" s="1180"/>
      <c r="H288" s="1150"/>
      <c r="I288" s="1150"/>
      <c r="J288" s="1150"/>
    </row>
    <row r="289" spans="2:10">
      <c r="B289" s="1156"/>
      <c r="C289" s="1156"/>
      <c r="D289" s="1180"/>
      <c r="E289" s="1180"/>
      <c r="F289" s="1180"/>
      <c r="G289" s="1180"/>
      <c r="H289" s="1150"/>
      <c r="I289" s="1150"/>
      <c r="J289" s="1150"/>
    </row>
    <row r="290" spans="2:10">
      <c r="B290" s="1156"/>
      <c r="C290" s="1156"/>
      <c r="D290" s="1180"/>
      <c r="E290" s="1180"/>
      <c r="F290" s="1180"/>
      <c r="G290" s="1180"/>
      <c r="H290" s="1150"/>
      <c r="I290" s="1150"/>
      <c r="J290" s="1150"/>
    </row>
    <row r="291" spans="2:10">
      <c r="B291" s="1156"/>
      <c r="C291" s="1156"/>
      <c r="D291" s="1180"/>
      <c r="E291" s="1180"/>
      <c r="F291" s="1180"/>
      <c r="G291" s="1180"/>
      <c r="H291" s="1150"/>
      <c r="I291" s="1150"/>
      <c r="J291" s="1150"/>
    </row>
    <row r="292" spans="2:10">
      <c r="B292" s="1156"/>
      <c r="C292" s="1156"/>
      <c r="D292" s="1180"/>
      <c r="E292" s="1180"/>
      <c r="F292" s="1180"/>
      <c r="G292" s="1180"/>
      <c r="H292" s="1150"/>
      <c r="I292" s="1150"/>
      <c r="J292" s="1150"/>
    </row>
    <row r="293" spans="2:10">
      <c r="B293" s="1156"/>
      <c r="C293" s="1156"/>
      <c r="D293" s="1180"/>
      <c r="E293" s="1180"/>
      <c r="F293" s="1180"/>
      <c r="G293" s="1180"/>
      <c r="H293" s="1150"/>
      <c r="I293" s="1150"/>
      <c r="J293" s="1150"/>
    </row>
    <row r="294" spans="2:10">
      <c r="B294" s="1156"/>
      <c r="C294" s="1156"/>
      <c r="D294" s="1180"/>
      <c r="E294" s="1180"/>
      <c r="F294" s="1180"/>
      <c r="G294" s="1180"/>
      <c r="H294" s="1150"/>
      <c r="I294" s="1150"/>
      <c r="J294" s="1150"/>
    </row>
    <row r="295" spans="2:10">
      <c r="B295" s="1156"/>
      <c r="C295" s="1156"/>
      <c r="D295" s="1180"/>
      <c r="E295" s="1180"/>
      <c r="F295" s="1180"/>
      <c r="G295" s="1180"/>
      <c r="H295" s="1150"/>
      <c r="I295" s="1150"/>
      <c r="J295" s="1150"/>
    </row>
    <row r="296" spans="2:10">
      <c r="B296" s="1156"/>
      <c r="C296" s="1156"/>
      <c r="D296" s="1180"/>
      <c r="E296" s="1180"/>
      <c r="F296" s="1180"/>
      <c r="G296" s="1180"/>
      <c r="H296" s="1150"/>
      <c r="I296" s="1150"/>
      <c r="J296" s="1150"/>
    </row>
    <row r="297" spans="2:10">
      <c r="B297" s="1156"/>
      <c r="C297" s="1156"/>
      <c r="D297" s="1180"/>
      <c r="E297" s="1180"/>
      <c r="F297" s="1180"/>
      <c r="G297" s="1180"/>
      <c r="H297" s="1150"/>
      <c r="I297" s="1150"/>
      <c r="J297" s="1150"/>
    </row>
    <row r="298" spans="2:10">
      <c r="B298" s="1156"/>
      <c r="C298" s="1156"/>
      <c r="D298" s="1180"/>
      <c r="E298" s="1180"/>
      <c r="F298" s="1180"/>
      <c r="G298" s="1180"/>
      <c r="H298" s="1150"/>
      <c r="I298" s="1150"/>
      <c r="J298" s="1150"/>
    </row>
    <row r="299" spans="2:10">
      <c r="B299" s="1156"/>
      <c r="C299" s="1156"/>
      <c r="D299" s="1180"/>
      <c r="E299" s="1180"/>
      <c r="F299" s="1180"/>
      <c r="G299" s="1180"/>
      <c r="H299" s="1150"/>
      <c r="I299" s="1150"/>
      <c r="J299" s="1150"/>
    </row>
    <row r="300" spans="2:10">
      <c r="B300" s="1156"/>
      <c r="C300" s="1156"/>
      <c r="D300" s="1180"/>
      <c r="E300" s="1180"/>
      <c r="F300" s="1180"/>
      <c r="G300" s="1180"/>
      <c r="H300" s="1150"/>
      <c r="I300" s="1150"/>
      <c r="J300" s="1150"/>
    </row>
    <row r="301" spans="2:10">
      <c r="B301" s="1156"/>
      <c r="C301" s="1156"/>
      <c r="D301" s="1180"/>
      <c r="E301" s="1180"/>
      <c r="F301" s="1180"/>
      <c r="G301" s="1180"/>
      <c r="H301" s="1150"/>
      <c r="I301" s="1150"/>
      <c r="J301" s="1150"/>
    </row>
    <row r="302" spans="2:10">
      <c r="B302" s="1156"/>
      <c r="C302" s="1156"/>
      <c r="D302" s="1180"/>
      <c r="E302" s="1180"/>
      <c r="F302" s="1180"/>
      <c r="G302" s="1180"/>
      <c r="H302" s="1150"/>
      <c r="I302" s="1150"/>
      <c r="J302" s="1150"/>
    </row>
    <row r="303" spans="2:10">
      <c r="B303" s="1156"/>
      <c r="C303" s="1156"/>
      <c r="D303" s="1180"/>
      <c r="E303" s="1180"/>
      <c r="F303" s="1180"/>
      <c r="G303" s="1180"/>
      <c r="H303" s="1150"/>
      <c r="I303" s="1150"/>
      <c r="J303" s="1150"/>
    </row>
    <row r="304" spans="2:10">
      <c r="B304" s="1156"/>
      <c r="C304" s="1156"/>
      <c r="D304" s="1180"/>
      <c r="E304" s="1180"/>
      <c r="F304" s="1180"/>
      <c r="G304" s="1180"/>
      <c r="H304" s="1150"/>
      <c r="I304" s="1150"/>
      <c r="J304" s="1150"/>
    </row>
    <row r="305" spans="2:10">
      <c r="B305" s="1156"/>
      <c r="C305" s="1156"/>
      <c r="D305" s="1180"/>
      <c r="E305" s="1180"/>
      <c r="F305" s="1180"/>
      <c r="G305" s="1180"/>
      <c r="H305" s="1150"/>
      <c r="I305" s="1150"/>
      <c r="J305" s="1150"/>
    </row>
    <row r="306" spans="2:10">
      <c r="B306" s="1156"/>
      <c r="C306" s="1156"/>
      <c r="D306" s="1180"/>
      <c r="E306" s="1180"/>
      <c r="F306" s="1180"/>
      <c r="G306" s="1180"/>
      <c r="H306" s="1150"/>
      <c r="I306" s="1150"/>
      <c r="J306" s="1150"/>
    </row>
    <row r="307" spans="2:10">
      <c r="B307" s="1156"/>
      <c r="C307" s="1156"/>
      <c r="D307" s="1180"/>
      <c r="E307" s="1180"/>
      <c r="F307" s="1180"/>
      <c r="G307" s="1180"/>
      <c r="H307" s="1150"/>
      <c r="I307" s="1150"/>
      <c r="J307" s="1150"/>
    </row>
    <row r="308" spans="2:10">
      <c r="B308" s="1156"/>
      <c r="C308" s="1156"/>
      <c r="D308" s="1180"/>
      <c r="E308" s="1180"/>
      <c r="F308" s="1180"/>
      <c r="G308" s="1180"/>
      <c r="H308" s="1150"/>
      <c r="I308" s="1150"/>
      <c r="J308" s="1150"/>
    </row>
    <row r="309" spans="2:10">
      <c r="B309" s="1156"/>
      <c r="C309" s="1156"/>
      <c r="D309" s="1180"/>
      <c r="E309" s="1180"/>
      <c r="F309" s="1180"/>
      <c r="G309" s="1180"/>
      <c r="H309" s="1150"/>
      <c r="I309" s="1150"/>
      <c r="J309" s="1150"/>
    </row>
    <row r="310" spans="2:10">
      <c r="B310" s="1156"/>
      <c r="C310" s="1156"/>
      <c r="D310" s="1180"/>
      <c r="E310" s="1180"/>
      <c r="F310" s="1180"/>
      <c r="G310" s="1180"/>
      <c r="H310" s="1150"/>
      <c r="I310" s="1150"/>
      <c r="J310" s="1150"/>
    </row>
    <row r="311" spans="2:10">
      <c r="B311" s="1156"/>
      <c r="C311" s="1156"/>
      <c r="D311" s="1180"/>
      <c r="E311" s="1180"/>
      <c r="F311" s="1180"/>
      <c r="G311" s="1180"/>
      <c r="H311" s="1150"/>
      <c r="I311" s="1150"/>
      <c r="J311" s="1150"/>
    </row>
    <row r="312" spans="2:10">
      <c r="B312" s="1156"/>
      <c r="C312" s="1156"/>
      <c r="D312" s="1180"/>
      <c r="E312" s="1180"/>
      <c r="F312" s="1180"/>
      <c r="G312" s="1180"/>
      <c r="H312" s="1150"/>
      <c r="I312" s="1150"/>
      <c r="J312" s="1150"/>
    </row>
    <row r="313" spans="2:10">
      <c r="B313" s="1156"/>
      <c r="C313" s="1156"/>
      <c r="D313" s="1180"/>
      <c r="E313" s="1180"/>
      <c r="F313" s="1180"/>
      <c r="G313" s="1180"/>
      <c r="H313" s="1150"/>
      <c r="I313" s="1150"/>
      <c r="J313" s="1150"/>
    </row>
    <row r="314" spans="2:10">
      <c r="B314" s="1156"/>
      <c r="C314" s="1156"/>
      <c r="D314" s="1180"/>
      <c r="E314" s="1180"/>
      <c r="F314" s="1180"/>
      <c r="G314" s="1180"/>
      <c r="H314" s="1150"/>
      <c r="I314" s="1150"/>
      <c r="J314" s="1150"/>
    </row>
    <row r="315" spans="2:10">
      <c r="B315" s="1156"/>
      <c r="C315" s="1156"/>
      <c r="D315" s="1180"/>
      <c r="E315" s="1180"/>
      <c r="F315" s="1180"/>
      <c r="G315" s="1180"/>
      <c r="H315" s="1150"/>
      <c r="I315" s="1150"/>
      <c r="J315" s="1150"/>
    </row>
    <row r="316" spans="2:10">
      <c r="B316" s="1156"/>
      <c r="C316" s="1156"/>
      <c r="D316" s="1180"/>
      <c r="E316" s="1180"/>
      <c r="F316" s="1180"/>
      <c r="G316" s="1180"/>
      <c r="H316" s="1150"/>
      <c r="I316" s="1150"/>
      <c r="J316" s="1150"/>
    </row>
    <row r="317" spans="2:10">
      <c r="B317" s="1156"/>
      <c r="C317" s="1156"/>
      <c r="D317" s="1180"/>
      <c r="E317" s="1180"/>
      <c r="F317" s="1180"/>
      <c r="G317" s="1180"/>
      <c r="H317" s="1150"/>
      <c r="I317" s="1150"/>
      <c r="J317" s="1150"/>
    </row>
    <row r="318" spans="2:10">
      <c r="B318" s="1156"/>
      <c r="C318" s="1156"/>
      <c r="D318" s="1180"/>
      <c r="E318" s="1180"/>
      <c r="F318" s="1180"/>
      <c r="G318" s="1180"/>
      <c r="H318" s="1150"/>
      <c r="I318" s="1150"/>
      <c r="J318" s="1150"/>
    </row>
    <row r="319" spans="2:10">
      <c r="B319" s="1156"/>
      <c r="C319" s="1156"/>
      <c r="D319" s="1180"/>
      <c r="E319" s="1180"/>
      <c r="F319" s="1180"/>
      <c r="G319" s="1180"/>
      <c r="H319" s="1150"/>
      <c r="I319" s="1150"/>
      <c r="J319" s="1150"/>
    </row>
    <row r="320" spans="2:10">
      <c r="B320" s="1156"/>
      <c r="C320" s="1156"/>
      <c r="D320" s="1180"/>
      <c r="E320" s="1180"/>
      <c r="F320" s="1180"/>
      <c r="G320" s="1180"/>
      <c r="H320" s="1150"/>
      <c r="I320" s="1150"/>
      <c r="J320" s="1150"/>
    </row>
    <row r="321" spans="2:10">
      <c r="B321" s="1156"/>
      <c r="C321" s="1156"/>
      <c r="D321" s="1180"/>
      <c r="E321" s="1180"/>
      <c r="F321" s="1180"/>
      <c r="G321" s="1180"/>
      <c r="H321" s="1150"/>
      <c r="I321" s="1150"/>
      <c r="J321" s="1150"/>
    </row>
    <row r="322" spans="2:10">
      <c r="B322" s="1156"/>
      <c r="C322" s="1156"/>
      <c r="D322" s="1180"/>
      <c r="E322" s="1180"/>
      <c r="F322" s="1180"/>
      <c r="G322" s="1180"/>
      <c r="H322" s="1150"/>
      <c r="I322" s="1150"/>
      <c r="J322" s="1150"/>
    </row>
    <row r="323" spans="2:10">
      <c r="B323" s="1156"/>
      <c r="C323" s="1156"/>
      <c r="D323" s="1180"/>
      <c r="E323" s="1180"/>
      <c r="F323" s="1180"/>
      <c r="G323" s="1180"/>
      <c r="H323" s="1150"/>
      <c r="I323" s="1150"/>
      <c r="J323" s="1150"/>
    </row>
    <row r="324" spans="2:10">
      <c r="B324" s="1156"/>
      <c r="C324" s="1156"/>
      <c r="D324" s="1180"/>
      <c r="E324" s="1180"/>
      <c r="F324" s="1180"/>
      <c r="G324" s="1180"/>
      <c r="H324" s="1150"/>
      <c r="I324" s="1150"/>
      <c r="J324" s="1150"/>
    </row>
    <row r="325" spans="2:10">
      <c r="B325" s="1156"/>
      <c r="C325" s="1156"/>
      <c r="D325" s="1180"/>
      <c r="E325" s="1180"/>
      <c r="F325" s="1180"/>
      <c r="G325" s="1180"/>
      <c r="H325" s="1150"/>
      <c r="I325" s="1150"/>
      <c r="J325" s="1150"/>
    </row>
    <row r="326" spans="2:10">
      <c r="B326" s="1156"/>
      <c r="C326" s="1156"/>
      <c r="D326" s="1180"/>
      <c r="E326" s="1180"/>
      <c r="F326" s="1180"/>
      <c r="G326" s="1180"/>
      <c r="H326" s="1150"/>
      <c r="I326" s="1150"/>
      <c r="J326" s="1150"/>
    </row>
    <row r="327" spans="2:10">
      <c r="B327" s="1156"/>
      <c r="C327" s="1156"/>
      <c r="D327" s="1180"/>
      <c r="E327" s="1180"/>
      <c r="F327" s="1180"/>
      <c r="G327" s="1180"/>
      <c r="H327" s="1150"/>
      <c r="I327" s="1150"/>
      <c r="J327" s="1150"/>
    </row>
    <row r="328" spans="2:10">
      <c r="B328" s="1156"/>
      <c r="C328" s="1156"/>
      <c r="D328" s="1180"/>
      <c r="E328" s="1180"/>
      <c r="F328" s="1180"/>
      <c r="G328" s="1180"/>
      <c r="H328" s="1150"/>
      <c r="I328" s="1150"/>
      <c r="J328" s="1150"/>
    </row>
    <row r="329" spans="2:10">
      <c r="B329" s="1156"/>
      <c r="C329" s="1156"/>
      <c r="D329" s="1180"/>
      <c r="E329" s="1180"/>
      <c r="F329" s="1180"/>
      <c r="G329" s="1180"/>
      <c r="H329" s="1150"/>
      <c r="I329" s="1150"/>
      <c r="J329" s="1150"/>
    </row>
    <row r="330" spans="2:10">
      <c r="B330" s="1156"/>
      <c r="C330" s="1156"/>
      <c r="D330" s="1180"/>
      <c r="E330" s="1180"/>
      <c r="F330" s="1180"/>
      <c r="G330" s="1180"/>
      <c r="H330" s="1150"/>
      <c r="I330" s="1150"/>
      <c r="J330" s="1150"/>
    </row>
    <row r="331" spans="2:10">
      <c r="B331" s="1156"/>
      <c r="C331" s="1156"/>
      <c r="D331" s="1180"/>
      <c r="E331" s="1180"/>
      <c r="F331" s="1180"/>
      <c r="G331" s="1180"/>
      <c r="H331" s="1150"/>
      <c r="I331" s="1150"/>
      <c r="J331" s="1150"/>
    </row>
    <row r="332" spans="2:10">
      <c r="B332" s="1156"/>
      <c r="C332" s="1156"/>
      <c r="D332" s="1180"/>
      <c r="E332" s="1180"/>
      <c r="F332" s="1180"/>
      <c r="G332" s="1180"/>
      <c r="H332" s="1150"/>
      <c r="I332" s="1150"/>
      <c r="J332" s="1150"/>
    </row>
    <row r="333" spans="2:10">
      <c r="B333" s="1156"/>
      <c r="C333" s="1156"/>
      <c r="D333" s="1180"/>
      <c r="E333" s="1180"/>
      <c r="F333" s="1180"/>
      <c r="G333" s="1180"/>
      <c r="H333" s="1150"/>
      <c r="I333" s="1150"/>
      <c r="J333" s="1150"/>
    </row>
    <row r="334" spans="2:10">
      <c r="B334" s="1156"/>
      <c r="C334" s="1156"/>
      <c r="D334" s="1180"/>
      <c r="E334" s="1180"/>
      <c r="F334" s="1180"/>
      <c r="G334" s="1180"/>
      <c r="H334" s="1150"/>
      <c r="I334" s="1150"/>
      <c r="J334" s="1150"/>
    </row>
    <row r="335" spans="2:10">
      <c r="B335" s="1156"/>
      <c r="C335" s="1156"/>
      <c r="D335" s="1180"/>
      <c r="E335" s="1180"/>
      <c r="F335" s="1180"/>
      <c r="G335" s="1180"/>
      <c r="H335" s="1150"/>
      <c r="I335" s="1150"/>
      <c r="J335" s="1150"/>
    </row>
    <row r="336" spans="2:10">
      <c r="B336" s="1156"/>
      <c r="C336" s="1156"/>
      <c r="D336" s="1180"/>
      <c r="E336" s="1180"/>
      <c r="F336" s="1180"/>
      <c r="G336" s="1180"/>
      <c r="H336" s="1150"/>
      <c r="I336" s="1150"/>
      <c r="J336" s="1150"/>
    </row>
    <row r="337" spans="2:10">
      <c r="B337" s="1156"/>
      <c r="C337" s="1156"/>
      <c r="D337" s="1180"/>
      <c r="E337" s="1180"/>
      <c r="F337" s="1180"/>
      <c r="G337" s="1180"/>
      <c r="H337" s="1150"/>
      <c r="I337" s="1150"/>
      <c r="J337" s="1150"/>
    </row>
    <row r="338" spans="2:10">
      <c r="B338" s="1156"/>
      <c r="C338" s="1156"/>
      <c r="D338" s="1180"/>
      <c r="E338" s="1180"/>
      <c r="F338" s="1180"/>
      <c r="G338" s="1180"/>
      <c r="H338" s="1150"/>
      <c r="I338" s="1150"/>
      <c r="J338" s="1150"/>
    </row>
    <row r="339" spans="2:10">
      <c r="B339" s="1156"/>
      <c r="C339" s="1156"/>
      <c r="D339" s="1180"/>
      <c r="E339" s="1180"/>
      <c r="F339" s="1180"/>
      <c r="G339" s="1180"/>
      <c r="H339" s="1150"/>
      <c r="I339" s="1150"/>
      <c r="J339" s="1150"/>
    </row>
    <row r="340" spans="2:10">
      <c r="B340" s="1156"/>
      <c r="C340" s="1156"/>
      <c r="D340" s="1180"/>
      <c r="E340" s="1180"/>
      <c r="F340" s="1180"/>
      <c r="G340" s="1180"/>
      <c r="H340" s="1150"/>
      <c r="I340" s="1150"/>
      <c r="J340" s="1150"/>
    </row>
    <row r="341" spans="2:10">
      <c r="B341" s="1156"/>
      <c r="C341" s="1156"/>
      <c r="D341" s="1180"/>
      <c r="E341" s="1180"/>
      <c r="F341" s="1180"/>
      <c r="G341" s="1180"/>
      <c r="H341" s="1150"/>
      <c r="I341" s="1150"/>
      <c r="J341" s="1150"/>
    </row>
    <row r="342" spans="2:10">
      <c r="B342" s="1156"/>
      <c r="C342" s="1156"/>
      <c r="D342" s="1180"/>
      <c r="E342" s="1180"/>
      <c r="F342" s="1180"/>
      <c r="G342" s="1180"/>
      <c r="H342" s="1150"/>
      <c r="I342" s="1150"/>
      <c r="J342" s="1150"/>
    </row>
    <row r="343" spans="2:10">
      <c r="B343" s="1156"/>
      <c r="C343" s="1156"/>
      <c r="D343" s="1180"/>
      <c r="E343" s="1180"/>
      <c r="F343" s="1180"/>
      <c r="G343" s="1180"/>
      <c r="H343" s="1150"/>
      <c r="I343" s="1150"/>
      <c r="J343" s="1150"/>
    </row>
    <row r="344" spans="2:10">
      <c r="B344" s="1156"/>
      <c r="C344" s="1156"/>
      <c r="D344" s="1180"/>
      <c r="E344" s="1180"/>
      <c r="F344" s="1180"/>
      <c r="G344" s="1180"/>
      <c r="H344" s="1150"/>
      <c r="I344" s="1150"/>
      <c r="J344" s="1150"/>
    </row>
    <row r="345" spans="2:10">
      <c r="B345" s="1156"/>
      <c r="C345" s="1156"/>
      <c r="D345" s="1180"/>
      <c r="E345" s="1180"/>
      <c r="F345" s="1180"/>
      <c r="G345" s="1180"/>
      <c r="H345" s="1150"/>
      <c r="I345" s="1150"/>
      <c r="J345" s="1150"/>
    </row>
    <row r="346" spans="2:10">
      <c r="B346" s="1156"/>
      <c r="C346" s="1156"/>
      <c r="D346" s="1180"/>
      <c r="E346" s="1180"/>
      <c r="F346" s="1180"/>
      <c r="G346" s="1180"/>
      <c r="H346" s="1150"/>
      <c r="I346" s="1150"/>
      <c r="J346" s="1150"/>
    </row>
    <row r="347" spans="2:10">
      <c r="B347" s="1156"/>
      <c r="C347" s="1156"/>
      <c r="D347" s="1180"/>
      <c r="E347" s="1180"/>
      <c r="F347" s="1180"/>
      <c r="G347" s="1180"/>
      <c r="H347" s="1150"/>
      <c r="I347" s="1150"/>
      <c r="J347" s="1150"/>
    </row>
    <row r="348" spans="2:10">
      <c r="B348" s="1156"/>
      <c r="C348" s="1156"/>
      <c r="D348" s="1180"/>
      <c r="E348" s="1180"/>
      <c r="F348" s="1180"/>
      <c r="G348" s="1180"/>
      <c r="H348" s="1150"/>
      <c r="I348" s="1150"/>
      <c r="J348" s="1150"/>
    </row>
    <row r="349" spans="2:10">
      <c r="B349" s="1156"/>
      <c r="C349" s="1156"/>
      <c r="D349" s="1180"/>
      <c r="E349" s="1180"/>
      <c r="F349" s="1180"/>
      <c r="G349" s="1180"/>
      <c r="H349" s="1150"/>
      <c r="I349" s="1150"/>
      <c r="J349" s="1150"/>
    </row>
    <row r="350" spans="2:10">
      <c r="B350" s="1156"/>
      <c r="C350" s="1156"/>
      <c r="D350" s="1180"/>
      <c r="E350" s="1180"/>
      <c r="F350" s="1180"/>
      <c r="G350" s="1180"/>
      <c r="H350" s="1150"/>
      <c r="I350" s="1150"/>
      <c r="J350" s="1150"/>
    </row>
    <row r="351" spans="2:10">
      <c r="B351" s="1156"/>
      <c r="C351" s="1156"/>
      <c r="D351" s="1180"/>
      <c r="E351" s="1180"/>
      <c r="F351" s="1180"/>
      <c r="G351" s="1180"/>
      <c r="H351" s="1150"/>
      <c r="I351" s="1150"/>
      <c r="J351" s="1150"/>
    </row>
    <row r="352" spans="2:10">
      <c r="B352" s="1156"/>
      <c r="C352" s="1156"/>
      <c r="D352" s="1180"/>
      <c r="E352" s="1180"/>
      <c r="F352" s="1180"/>
      <c r="G352" s="1180"/>
      <c r="H352" s="1150"/>
      <c r="I352" s="1150"/>
      <c r="J352" s="1150"/>
    </row>
    <row r="353" spans="2:10">
      <c r="B353" s="1156"/>
      <c r="C353" s="1156"/>
      <c r="D353" s="1180"/>
      <c r="E353" s="1180"/>
      <c r="F353" s="1180"/>
      <c r="G353" s="1180"/>
      <c r="H353" s="1150"/>
      <c r="I353" s="1150"/>
      <c r="J353" s="1150"/>
    </row>
    <row r="354" spans="2:10">
      <c r="B354" s="1156"/>
      <c r="C354" s="1156"/>
      <c r="D354" s="1180"/>
      <c r="E354" s="1180"/>
      <c r="F354" s="1180"/>
      <c r="G354" s="1180"/>
      <c r="H354" s="1150"/>
      <c r="I354" s="1150"/>
      <c r="J354" s="1150"/>
    </row>
    <row r="355" spans="2:10">
      <c r="B355" s="1156"/>
      <c r="C355" s="1156"/>
      <c r="D355" s="1180"/>
      <c r="E355" s="1180"/>
      <c r="F355" s="1180"/>
      <c r="G355" s="1180"/>
      <c r="H355" s="1150"/>
      <c r="I355" s="1150"/>
      <c r="J355" s="1150"/>
    </row>
    <row r="356" spans="2:10">
      <c r="B356" s="1156"/>
      <c r="C356" s="1156"/>
      <c r="D356" s="1180"/>
      <c r="E356" s="1180"/>
      <c r="F356" s="1180"/>
      <c r="G356" s="1180"/>
      <c r="H356" s="1150"/>
      <c r="I356" s="1150"/>
      <c r="J356" s="1150"/>
    </row>
    <row r="357" spans="2:10">
      <c r="B357" s="1156"/>
      <c r="C357" s="1156"/>
      <c r="D357" s="1180"/>
      <c r="E357" s="1180"/>
      <c r="F357" s="1180"/>
      <c r="G357" s="1180"/>
      <c r="H357" s="1150"/>
      <c r="I357" s="1150"/>
      <c r="J357" s="1150"/>
    </row>
    <row r="358" spans="2:10">
      <c r="B358" s="1156"/>
      <c r="C358" s="1156"/>
      <c r="D358" s="1180"/>
      <c r="E358" s="1180"/>
      <c r="F358" s="1180"/>
      <c r="G358" s="1180"/>
      <c r="H358" s="1150"/>
      <c r="I358" s="1150"/>
      <c r="J358" s="1150"/>
    </row>
    <row r="359" spans="2:10">
      <c r="B359" s="1156"/>
      <c r="C359" s="1156"/>
      <c r="D359" s="1180"/>
      <c r="E359" s="1180"/>
      <c r="F359" s="1180"/>
      <c r="G359" s="1180"/>
      <c r="H359" s="1150"/>
      <c r="I359" s="1150"/>
      <c r="J359" s="1150"/>
    </row>
    <row r="360" spans="2:10">
      <c r="B360" s="1156"/>
      <c r="C360" s="1156"/>
      <c r="D360" s="1180"/>
      <c r="E360" s="1180"/>
      <c r="F360" s="1180"/>
      <c r="G360" s="1180"/>
      <c r="H360" s="1150"/>
      <c r="I360" s="1150"/>
      <c r="J360" s="1150"/>
    </row>
    <row r="361" spans="2:10">
      <c r="B361" s="1156"/>
      <c r="C361" s="1156"/>
      <c r="D361" s="1180"/>
      <c r="E361" s="1180"/>
      <c r="F361" s="1180"/>
      <c r="G361" s="1180"/>
      <c r="H361" s="1150"/>
      <c r="I361" s="1150"/>
      <c r="J361" s="1150"/>
    </row>
    <row r="362" spans="2:10">
      <c r="B362" s="1156"/>
      <c r="C362" s="1156"/>
      <c r="D362" s="1180"/>
      <c r="E362" s="1180"/>
      <c r="F362" s="1180"/>
      <c r="G362" s="1180"/>
      <c r="H362" s="1150"/>
      <c r="I362" s="1150"/>
      <c r="J362" s="1150"/>
    </row>
    <row r="363" spans="2:10">
      <c r="B363" s="1156"/>
      <c r="C363" s="1156"/>
      <c r="D363" s="1180"/>
      <c r="E363" s="1180"/>
      <c r="F363" s="1180"/>
      <c r="G363" s="1180"/>
      <c r="H363" s="1150"/>
      <c r="I363" s="1150"/>
      <c r="J363" s="1150"/>
    </row>
    <row r="364" spans="2:10">
      <c r="B364" s="1156"/>
      <c r="C364" s="1156"/>
      <c r="D364" s="1180"/>
      <c r="E364" s="1180"/>
      <c r="F364" s="1180"/>
      <c r="G364" s="1180"/>
      <c r="H364" s="1150"/>
      <c r="I364" s="1150"/>
      <c r="J364" s="1150"/>
    </row>
    <row r="365" spans="2:10">
      <c r="B365" s="1156"/>
      <c r="C365" s="1156"/>
      <c r="D365" s="1180"/>
      <c r="E365" s="1180"/>
      <c r="F365" s="1180"/>
      <c r="G365" s="1180"/>
      <c r="H365" s="1150"/>
      <c r="I365" s="1150"/>
      <c r="J365" s="1150"/>
    </row>
    <row r="366" spans="2:10">
      <c r="B366" s="1156"/>
      <c r="C366" s="1156"/>
      <c r="D366" s="1180"/>
      <c r="E366" s="1180"/>
      <c r="F366" s="1180"/>
      <c r="G366" s="1180"/>
      <c r="H366" s="1150"/>
      <c r="I366" s="1150"/>
      <c r="J366" s="1150"/>
    </row>
    <row r="367" spans="2:10">
      <c r="B367" s="1156"/>
      <c r="C367" s="1156"/>
      <c r="D367" s="1180"/>
      <c r="E367" s="1180"/>
      <c r="F367" s="1180"/>
      <c r="G367" s="1180"/>
      <c r="H367" s="1150"/>
      <c r="I367" s="1150"/>
      <c r="J367" s="1150"/>
    </row>
    <row r="368" spans="2:10">
      <c r="B368" s="1156"/>
      <c r="C368" s="1156"/>
      <c r="D368" s="1180"/>
      <c r="E368" s="1180"/>
      <c r="F368" s="1180"/>
      <c r="G368" s="1180"/>
      <c r="H368" s="1150"/>
      <c r="I368" s="1150"/>
      <c r="J368" s="1150"/>
    </row>
    <row r="369" spans="2:10">
      <c r="B369" s="1156"/>
      <c r="C369" s="1156"/>
      <c r="D369" s="1180"/>
      <c r="E369" s="1180"/>
      <c r="F369" s="1180"/>
      <c r="G369" s="1180"/>
      <c r="H369" s="1150"/>
      <c r="I369" s="1150"/>
      <c r="J369" s="1150"/>
    </row>
    <row r="370" spans="2:10">
      <c r="B370" s="1156"/>
      <c r="C370" s="1156"/>
      <c r="D370" s="1180"/>
      <c r="E370" s="1180"/>
      <c r="F370" s="1180"/>
      <c r="G370" s="1180"/>
      <c r="H370" s="1150"/>
      <c r="I370" s="1150"/>
      <c r="J370" s="1150"/>
    </row>
    <row r="371" spans="2:10">
      <c r="B371" s="1156"/>
      <c r="C371" s="1156"/>
      <c r="D371" s="1180"/>
      <c r="E371" s="1180"/>
      <c r="F371" s="1180"/>
      <c r="G371" s="1180"/>
      <c r="H371" s="1150"/>
      <c r="I371" s="1150"/>
      <c r="J371" s="1150"/>
    </row>
    <row r="372" spans="2:10">
      <c r="B372" s="1156"/>
      <c r="C372" s="1156"/>
      <c r="D372" s="1180"/>
      <c r="E372" s="1180"/>
      <c r="F372" s="1180"/>
      <c r="G372" s="1180"/>
      <c r="H372" s="1150"/>
      <c r="I372" s="1150"/>
      <c r="J372" s="1150"/>
    </row>
    <row r="373" spans="2:10">
      <c r="B373" s="1156"/>
      <c r="C373" s="1156"/>
      <c r="D373" s="1180"/>
      <c r="E373" s="1180"/>
      <c r="F373" s="1180"/>
      <c r="G373" s="1180"/>
      <c r="H373" s="1150"/>
      <c r="I373" s="1150"/>
      <c r="J373" s="1150"/>
    </row>
    <row r="374" spans="2:10">
      <c r="B374" s="1156"/>
      <c r="C374" s="1156"/>
      <c r="D374" s="1180"/>
      <c r="E374" s="1180"/>
      <c r="F374" s="1180"/>
      <c r="G374" s="1180"/>
      <c r="H374" s="1150"/>
      <c r="I374" s="1150"/>
      <c r="J374" s="1150"/>
    </row>
    <row r="375" spans="2:10">
      <c r="B375" s="1156"/>
      <c r="C375" s="1156"/>
      <c r="D375" s="1180"/>
      <c r="E375" s="1180"/>
      <c r="F375" s="1180"/>
      <c r="G375" s="1180"/>
      <c r="H375" s="1150"/>
      <c r="I375" s="1150"/>
      <c r="J375" s="1150"/>
    </row>
    <row r="376" spans="2:10">
      <c r="B376" s="1156"/>
      <c r="C376" s="1156"/>
      <c r="D376" s="1180"/>
      <c r="E376" s="1180"/>
      <c r="F376" s="1180"/>
      <c r="G376" s="1180"/>
      <c r="H376" s="1150"/>
      <c r="I376" s="1150"/>
      <c r="J376" s="1150"/>
    </row>
    <row r="377" spans="2:10">
      <c r="B377" s="1156"/>
      <c r="C377" s="1156"/>
      <c r="D377" s="1180"/>
      <c r="E377" s="1180"/>
      <c r="F377" s="1180"/>
      <c r="G377" s="1180"/>
      <c r="H377" s="1150"/>
      <c r="I377" s="1150"/>
      <c r="J377" s="1150"/>
    </row>
    <row r="378" spans="2:10">
      <c r="B378" s="1156"/>
      <c r="C378" s="1156"/>
      <c r="D378" s="1180"/>
      <c r="E378" s="1180"/>
      <c r="F378" s="1180"/>
      <c r="G378" s="1180"/>
      <c r="H378" s="1150"/>
      <c r="I378" s="1150"/>
      <c r="J378" s="1150"/>
    </row>
    <row r="379" spans="2:10">
      <c r="B379" s="1156"/>
      <c r="C379" s="1156"/>
      <c r="D379" s="1180"/>
      <c r="E379" s="1180"/>
      <c r="F379" s="1180"/>
      <c r="G379" s="1180"/>
      <c r="H379" s="1150"/>
      <c r="I379" s="1150"/>
      <c r="J379" s="1150"/>
    </row>
    <row r="380" spans="2:10">
      <c r="B380" s="1156"/>
      <c r="C380" s="1156"/>
      <c r="D380" s="1180"/>
      <c r="E380" s="1180"/>
      <c r="F380" s="1180"/>
      <c r="G380" s="1180"/>
      <c r="H380" s="1150"/>
      <c r="I380" s="1150"/>
      <c r="J380" s="1150"/>
    </row>
    <row r="381" spans="2:10">
      <c r="B381" s="1156"/>
      <c r="C381" s="1156"/>
      <c r="D381" s="1180"/>
      <c r="E381" s="1180"/>
      <c r="F381" s="1180"/>
      <c r="G381" s="1180"/>
      <c r="H381" s="1150"/>
      <c r="I381" s="1150"/>
      <c r="J381" s="1150"/>
    </row>
    <row r="382" spans="2:10">
      <c r="B382" s="1156"/>
      <c r="C382" s="1156"/>
      <c r="D382" s="1180"/>
      <c r="E382" s="1180"/>
      <c r="F382" s="1180"/>
      <c r="G382" s="1180"/>
      <c r="H382" s="1150"/>
      <c r="I382" s="1150"/>
      <c r="J382" s="1150"/>
    </row>
    <row r="383" spans="2:10">
      <c r="B383" s="1156"/>
      <c r="C383" s="1156"/>
      <c r="D383" s="1180"/>
      <c r="E383" s="1180"/>
      <c r="F383" s="1180"/>
      <c r="G383" s="1180"/>
      <c r="H383" s="1150"/>
      <c r="I383" s="1150"/>
      <c r="J383" s="1150"/>
    </row>
    <row r="384" spans="2:10">
      <c r="B384" s="1156"/>
      <c r="C384" s="1156"/>
      <c r="D384" s="1180"/>
      <c r="E384" s="1180"/>
      <c r="F384" s="1180"/>
      <c r="G384" s="1180"/>
      <c r="H384" s="1150"/>
      <c r="I384" s="1150"/>
      <c r="J384" s="1150"/>
    </row>
    <row r="385" spans="2:10">
      <c r="B385" s="1156"/>
      <c r="C385" s="1156"/>
      <c r="D385" s="1180"/>
      <c r="E385" s="1180"/>
      <c r="F385" s="1180"/>
      <c r="G385" s="1180"/>
      <c r="H385" s="1150"/>
      <c r="I385" s="1150"/>
      <c r="J385" s="1150"/>
    </row>
    <row r="386" spans="2:10">
      <c r="B386" s="1156"/>
      <c r="C386" s="1156"/>
      <c r="D386" s="1180"/>
      <c r="E386" s="1180"/>
      <c r="F386" s="1180"/>
      <c r="G386" s="1180"/>
      <c r="H386" s="1150"/>
      <c r="I386" s="1150"/>
      <c r="J386" s="1150"/>
    </row>
    <row r="387" spans="2:10">
      <c r="B387" s="1156"/>
      <c r="C387" s="1156"/>
      <c r="D387" s="1180"/>
      <c r="E387" s="1180"/>
      <c r="F387" s="1180"/>
      <c r="G387" s="1180"/>
      <c r="H387" s="1150"/>
      <c r="I387" s="1150"/>
      <c r="J387" s="1150"/>
    </row>
    <row r="388" spans="2:10">
      <c r="B388" s="1156"/>
      <c r="C388" s="1156"/>
      <c r="D388" s="1180"/>
      <c r="E388" s="1180"/>
      <c r="F388" s="1180"/>
      <c r="G388" s="1180"/>
      <c r="H388" s="1150"/>
      <c r="I388" s="1150"/>
      <c r="J388" s="1150"/>
    </row>
    <row r="389" spans="2:10">
      <c r="B389" s="1156"/>
      <c r="C389" s="1156"/>
      <c r="D389" s="1180"/>
      <c r="E389" s="1180"/>
      <c r="F389" s="1180"/>
      <c r="G389" s="1180"/>
      <c r="H389" s="1150"/>
      <c r="I389" s="1150"/>
      <c r="J389" s="1150"/>
    </row>
    <row r="390" spans="2:10">
      <c r="B390" s="1156"/>
      <c r="C390" s="1156"/>
      <c r="D390" s="1180"/>
      <c r="E390" s="1180"/>
      <c r="F390" s="1180"/>
      <c r="G390" s="1180"/>
      <c r="H390" s="1150"/>
      <c r="I390" s="1150"/>
      <c r="J390" s="1150"/>
    </row>
    <row r="391" spans="2:10">
      <c r="B391" s="1156"/>
      <c r="C391" s="1156"/>
      <c r="D391" s="1180"/>
      <c r="E391" s="1180"/>
      <c r="F391" s="1180"/>
      <c r="G391" s="1180"/>
      <c r="H391" s="1150"/>
      <c r="I391" s="1150"/>
      <c r="J391" s="1150"/>
    </row>
    <row r="392" spans="2:10">
      <c r="B392" s="1156"/>
      <c r="C392" s="1156"/>
      <c r="D392" s="1180"/>
      <c r="E392" s="1180"/>
      <c r="F392" s="1180"/>
      <c r="G392" s="1180"/>
      <c r="H392" s="1150"/>
      <c r="I392" s="1150"/>
      <c r="J392" s="1150"/>
    </row>
    <row r="393" spans="2:10">
      <c r="B393" s="1156"/>
      <c r="C393" s="1156"/>
      <c r="D393" s="1180"/>
      <c r="E393" s="1180"/>
      <c r="F393" s="1180"/>
      <c r="G393" s="1180"/>
      <c r="H393" s="1150"/>
      <c r="I393" s="1150"/>
      <c r="J393" s="1150"/>
    </row>
    <row r="394" spans="2:10">
      <c r="B394" s="1156"/>
      <c r="C394" s="1156"/>
      <c r="D394" s="1180"/>
      <c r="E394" s="1180"/>
      <c r="F394" s="1180"/>
      <c r="G394" s="1180"/>
      <c r="H394" s="1150"/>
      <c r="I394" s="1150"/>
      <c r="J394" s="1150"/>
    </row>
    <row r="395" spans="2:10">
      <c r="B395" s="1156"/>
      <c r="C395" s="1156"/>
      <c r="D395" s="1180"/>
      <c r="E395" s="1180"/>
      <c r="F395" s="1180"/>
      <c r="G395" s="1180"/>
      <c r="H395" s="1150"/>
      <c r="I395" s="1150"/>
      <c r="J395" s="1150"/>
    </row>
    <row r="396" spans="2:10">
      <c r="B396" s="1156"/>
      <c r="C396" s="1156"/>
      <c r="D396" s="1180"/>
      <c r="E396" s="1180"/>
      <c r="F396" s="1180"/>
      <c r="G396" s="1180"/>
      <c r="H396" s="1150"/>
      <c r="I396" s="1150"/>
      <c r="J396" s="1150"/>
    </row>
    <row r="397" spans="2:10">
      <c r="B397" s="1156"/>
      <c r="C397" s="1156"/>
      <c r="D397" s="1180"/>
      <c r="E397" s="1180"/>
      <c r="F397" s="1180"/>
      <c r="G397" s="1180"/>
      <c r="H397" s="1150"/>
      <c r="I397" s="1150"/>
      <c r="J397" s="1150"/>
    </row>
    <row r="398" spans="2:10">
      <c r="B398" s="1156"/>
      <c r="C398" s="1156"/>
      <c r="D398" s="1180"/>
      <c r="E398" s="1180"/>
      <c r="F398" s="1180"/>
      <c r="G398" s="1180"/>
      <c r="H398" s="1150"/>
      <c r="I398" s="1150"/>
      <c r="J398" s="1150"/>
    </row>
    <row r="399" spans="2:10">
      <c r="B399" s="1156"/>
      <c r="C399" s="1156"/>
      <c r="D399" s="1180"/>
      <c r="E399" s="1180"/>
      <c r="F399" s="1180"/>
      <c r="G399" s="1180"/>
      <c r="H399" s="1150"/>
      <c r="I399" s="1150"/>
      <c r="J399" s="1150"/>
    </row>
    <row r="400" spans="2:10">
      <c r="B400" s="1156"/>
      <c r="C400" s="1156"/>
      <c r="D400" s="1180"/>
      <c r="E400" s="1180"/>
      <c r="F400" s="1180"/>
      <c r="G400" s="1180"/>
      <c r="H400" s="1150"/>
      <c r="I400" s="1150"/>
      <c r="J400" s="1150"/>
    </row>
    <row r="401" spans="2:10">
      <c r="B401" s="1156"/>
      <c r="C401" s="1156"/>
      <c r="D401" s="1180"/>
      <c r="E401" s="1180"/>
      <c r="F401" s="1180"/>
      <c r="G401" s="1180"/>
      <c r="H401" s="1150"/>
      <c r="I401" s="1150"/>
      <c r="J401" s="1150"/>
    </row>
    <row r="402" spans="2:10">
      <c r="B402" s="1156"/>
      <c r="C402" s="1156"/>
      <c r="D402" s="1180"/>
      <c r="E402" s="1180"/>
      <c r="F402" s="1180"/>
      <c r="G402" s="1180"/>
      <c r="H402" s="1150"/>
      <c r="I402" s="1150"/>
      <c r="J402" s="1150"/>
    </row>
    <row r="403" spans="2:10">
      <c r="B403" s="1156"/>
      <c r="C403" s="1156"/>
      <c r="D403" s="1180"/>
      <c r="E403" s="1180"/>
      <c r="F403" s="1180"/>
      <c r="G403" s="1180"/>
      <c r="H403" s="1150"/>
      <c r="I403" s="1150"/>
      <c r="J403" s="1150"/>
    </row>
    <row r="404" spans="2:10">
      <c r="B404" s="1156"/>
      <c r="C404" s="1156"/>
      <c r="D404" s="1180"/>
      <c r="E404" s="1180"/>
      <c r="F404" s="1180"/>
      <c r="G404" s="1180"/>
      <c r="H404" s="1150"/>
      <c r="I404" s="1150"/>
      <c r="J404" s="1150"/>
    </row>
    <row r="405" spans="2:10">
      <c r="B405" s="1156"/>
      <c r="C405" s="1156"/>
      <c r="D405" s="1180"/>
      <c r="E405" s="1180"/>
      <c r="F405" s="1180"/>
      <c r="G405" s="1180"/>
      <c r="H405" s="1150"/>
      <c r="I405" s="1150"/>
      <c r="J405" s="1150"/>
    </row>
    <row r="406" spans="2:10">
      <c r="B406" s="1156"/>
      <c r="C406" s="1156"/>
      <c r="D406" s="1180"/>
      <c r="E406" s="1180"/>
      <c r="F406" s="1180"/>
      <c r="G406" s="1180"/>
      <c r="H406" s="1150"/>
      <c r="I406" s="1150"/>
      <c r="J406" s="1150"/>
    </row>
    <row r="407" spans="2:10">
      <c r="B407" s="1156"/>
      <c r="C407" s="1156"/>
      <c r="D407" s="1180"/>
      <c r="E407" s="1180"/>
      <c r="F407" s="1180"/>
      <c r="G407" s="1180"/>
      <c r="H407" s="1150"/>
      <c r="I407" s="1150"/>
      <c r="J407" s="1150"/>
    </row>
    <row r="408" spans="2:10">
      <c r="B408" s="1156"/>
      <c r="C408" s="1156"/>
      <c r="D408" s="1180"/>
      <c r="E408" s="1180"/>
      <c r="F408" s="1180"/>
      <c r="G408" s="1180"/>
      <c r="H408" s="1150"/>
      <c r="I408" s="1150"/>
      <c r="J408" s="1150"/>
    </row>
    <row r="409" spans="2:10">
      <c r="B409" s="1156"/>
      <c r="C409" s="1156"/>
      <c r="D409" s="1180"/>
      <c r="E409" s="1180"/>
      <c r="F409" s="1180"/>
      <c r="G409" s="1180"/>
      <c r="H409" s="1150"/>
      <c r="I409" s="1150"/>
      <c r="J409" s="1150"/>
    </row>
    <row r="410" spans="2:10">
      <c r="B410" s="1156"/>
      <c r="C410" s="1156"/>
      <c r="D410" s="1180"/>
      <c r="E410" s="1180"/>
      <c r="F410" s="1180"/>
      <c r="G410" s="1180"/>
      <c r="H410" s="1150"/>
      <c r="I410" s="1150"/>
      <c r="J410" s="1150"/>
    </row>
    <row r="411" spans="2:10">
      <c r="B411" s="1156"/>
      <c r="C411" s="1156"/>
      <c r="D411" s="1180"/>
      <c r="E411" s="1180"/>
      <c r="F411" s="1180"/>
      <c r="G411" s="1180"/>
      <c r="H411" s="1150"/>
      <c r="I411" s="1150"/>
      <c r="J411" s="1150"/>
    </row>
    <row r="412" spans="2:10">
      <c r="B412" s="1156"/>
      <c r="C412" s="1156"/>
      <c r="D412" s="1180"/>
      <c r="E412" s="1180"/>
      <c r="F412" s="1180"/>
      <c r="G412" s="1180"/>
      <c r="H412" s="1150"/>
      <c r="I412" s="1150"/>
      <c r="J412" s="1150"/>
    </row>
    <row r="413" spans="2:10">
      <c r="B413" s="1156"/>
      <c r="C413" s="1156"/>
      <c r="D413" s="1180"/>
      <c r="E413" s="1180"/>
      <c r="F413" s="1180"/>
      <c r="G413" s="1180"/>
      <c r="H413" s="1150"/>
      <c r="I413" s="1150"/>
      <c r="J413" s="1150"/>
    </row>
    <row r="414" spans="2:10">
      <c r="B414" s="1156"/>
      <c r="C414" s="1156"/>
      <c r="D414" s="1180"/>
      <c r="E414" s="1180"/>
      <c r="F414" s="1180"/>
      <c r="G414" s="1180"/>
      <c r="H414" s="1150"/>
      <c r="I414" s="1150"/>
      <c r="J414" s="1150"/>
    </row>
    <row r="415" spans="2:10">
      <c r="B415" s="1156"/>
      <c r="C415" s="1156"/>
      <c r="D415" s="1180"/>
      <c r="E415" s="1180"/>
      <c r="F415" s="1180"/>
      <c r="G415" s="1180"/>
      <c r="H415" s="1150"/>
      <c r="I415" s="1150"/>
      <c r="J415" s="1150"/>
    </row>
    <row r="416" spans="2:10">
      <c r="B416" s="1156"/>
      <c r="C416" s="1156"/>
      <c r="D416" s="1180"/>
      <c r="E416" s="1180"/>
      <c r="F416" s="1180"/>
      <c r="G416" s="1180"/>
      <c r="H416" s="1150"/>
      <c r="I416" s="1150"/>
      <c r="J416" s="1150"/>
    </row>
    <row r="417" spans="2:10">
      <c r="B417" s="1156"/>
      <c r="C417" s="1156"/>
      <c r="D417" s="1180"/>
      <c r="E417" s="1180"/>
      <c r="F417" s="1180"/>
      <c r="G417" s="1180"/>
      <c r="H417" s="1150"/>
      <c r="I417" s="1150"/>
      <c r="J417" s="1150"/>
    </row>
    <row r="418" spans="2:10">
      <c r="B418" s="1156"/>
      <c r="C418" s="1156"/>
      <c r="D418" s="1180"/>
      <c r="E418" s="1180"/>
      <c r="F418" s="1180"/>
      <c r="G418" s="1180"/>
      <c r="H418" s="1150"/>
      <c r="I418" s="1150"/>
      <c r="J418" s="1150"/>
    </row>
    <row r="419" spans="2:10">
      <c r="B419" s="1156"/>
      <c r="C419" s="1156"/>
      <c r="D419" s="1180"/>
      <c r="E419" s="1180"/>
      <c r="F419" s="1180"/>
      <c r="G419" s="1180"/>
      <c r="H419" s="1150"/>
      <c r="I419" s="1150"/>
      <c r="J419" s="1150"/>
    </row>
    <row r="420" spans="2:10">
      <c r="B420" s="1156"/>
      <c r="C420" s="1156"/>
      <c r="D420" s="1180"/>
      <c r="E420" s="1180"/>
      <c r="F420" s="1180"/>
      <c r="G420" s="1180"/>
      <c r="H420" s="1150"/>
      <c r="I420" s="1150"/>
      <c r="J420" s="1150"/>
    </row>
    <row r="421" spans="2:10">
      <c r="B421" s="1156"/>
      <c r="C421" s="1156"/>
      <c r="D421" s="1180"/>
      <c r="E421" s="1180"/>
      <c r="F421" s="1180"/>
      <c r="G421" s="1180"/>
      <c r="H421" s="1150"/>
      <c r="I421" s="1150"/>
      <c r="J421" s="1150"/>
    </row>
    <row r="422" spans="2:10">
      <c r="B422" s="1156"/>
      <c r="C422" s="1156"/>
      <c r="D422" s="1180"/>
      <c r="E422" s="1180"/>
      <c r="F422" s="1180"/>
      <c r="G422" s="1180"/>
      <c r="H422" s="1150"/>
      <c r="I422" s="1150"/>
      <c r="J422" s="1150"/>
    </row>
    <row r="423" spans="2:10">
      <c r="B423" s="1156"/>
      <c r="C423" s="1156"/>
      <c r="D423" s="1180"/>
      <c r="E423" s="1180"/>
      <c r="F423" s="1180"/>
      <c r="G423" s="1180"/>
      <c r="H423" s="1150"/>
      <c r="I423" s="1150"/>
      <c r="J423" s="1150"/>
    </row>
    <row r="424" spans="2:10">
      <c r="B424" s="1156"/>
      <c r="C424" s="1156"/>
      <c r="D424" s="1180"/>
      <c r="E424" s="1180"/>
      <c r="F424" s="1180"/>
      <c r="G424" s="1180"/>
      <c r="H424" s="1150"/>
      <c r="I424" s="1150"/>
      <c r="J424" s="1150"/>
    </row>
    <row r="425" spans="2:10">
      <c r="B425" s="1156"/>
      <c r="C425" s="1156"/>
      <c r="D425" s="1180"/>
      <c r="E425" s="1180"/>
      <c r="F425" s="1180"/>
      <c r="G425" s="1180"/>
      <c r="H425" s="1150"/>
      <c r="I425" s="1150"/>
      <c r="J425" s="1150"/>
    </row>
    <row r="426" spans="2:10">
      <c r="B426" s="1156"/>
      <c r="C426" s="1156"/>
      <c r="D426" s="1180"/>
      <c r="E426" s="1180"/>
      <c r="F426" s="1180"/>
      <c r="G426" s="1180"/>
      <c r="H426" s="1150"/>
      <c r="I426" s="1150"/>
      <c r="J426" s="1150"/>
    </row>
    <row r="427" spans="2:10">
      <c r="B427" s="1156"/>
      <c r="C427" s="1156"/>
      <c r="D427" s="1180"/>
      <c r="E427" s="1180"/>
      <c r="F427" s="1180"/>
      <c r="G427" s="1180"/>
      <c r="H427" s="1150"/>
      <c r="I427" s="1150"/>
      <c r="J427" s="1150"/>
    </row>
    <row r="428" spans="2:10">
      <c r="B428" s="1156"/>
      <c r="C428" s="1156"/>
      <c r="D428" s="1180"/>
      <c r="E428" s="1180"/>
      <c r="F428" s="1180"/>
      <c r="G428" s="1180"/>
      <c r="H428" s="1150"/>
      <c r="I428" s="1150"/>
      <c r="J428" s="1150"/>
    </row>
    <row r="429" spans="2:10">
      <c r="B429" s="1156"/>
      <c r="C429" s="1156"/>
      <c r="D429" s="1180"/>
      <c r="E429" s="1180"/>
      <c r="F429" s="1180"/>
      <c r="G429" s="1180"/>
      <c r="H429" s="1150"/>
      <c r="I429" s="1150"/>
      <c r="J429" s="1150"/>
    </row>
    <row r="430" spans="2:10">
      <c r="B430" s="1156"/>
      <c r="C430" s="1156"/>
      <c r="D430" s="1180"/>
      <c r="E430" s="1180"/>
      <c r="F430" s="1180"/>
      <c r="G430" s="1180"/>
      <c r="H430" s="1150"/>
      <c r="I430" s="1150"/>
      <c r="J430" s="1150"/>
    </row>
    <row r="431" spans="2:10">
      <c r="B431" s="1156"/>
      <c r="C431" s="1156"/>
      <c r="D431" s="1180"/>
      <c r="E431" s="1180"/>
      <c r="F431" s="1180"/>
      <c r="G431" s="1180"/>
      <c r="H431" s="1150"/>
      <c r="I431" s="1150"/>
      <c r="J431" s="1150"/>
    </row>
    <row r="432" spans="2:10">
      <c r="B432" s="1156"/>
      <c r="C432" s="1156"/>
      <c r="D432" s="1180"/>
      <c r="E432" s="1180"/>
      <c r="F432" s="1180"/>
      <c r="G432" s="1180"/>
      <c r="H432" s="1150"/>
      <c r="I432" s="1150"/>
      <c r="J432" s="1150"/>
    </row>
    <row r="433" spans="2:10">
      <c r="B433" s="1156"/>
      <c r="C433" s="1156"/>
      <c r="D433" s="1180"/>
      <c r="E433" s="1180"/>
      <c r="F433" s="1180"/>
      <c r="G433" s="1180"/>
      <c r="H433" s="1150"/>
      <c r="I433" s="1150"/>
      <c r="J433" s="1150"/>
    </row>
    <row r="434" spans="2:10">
      <c r="B434" s="1156"/>
      <c r="C434" s="1156"/>
      <c r="D434" s="1180"/>
      <c r="E434" s="1180"/>
      <c r="F434" s="1180"/>
      <c r="G434" s="1180"/>
      <c r="H434" s="1150"/>
      <c r="I434" s="1150"/>
      <c r="J434" s="1150"/>
    </row>
    <row r="435" spans="2:10">
      <c r="B435" s="1156"/>
      <c r="C435" s="1156"/>
      <c r="D435" s="1180"/>
      <c r="E435" s="1180"/>
      <c r="F435" s="1180"/>
      <c r="G435" s="1180"/>
      <c r="H435" s="1150"/>
      <c r="I435" s="1150"/>
      <c r="J435" s="1150"/>
    </row>
    <row r="436" spans="2:10">
      <c r="B436" s="1156"/>
      <c r="C436" s="1156"/>
      <c r="D436" s="1180"/>
      <c r="E436" s="1180"/>
      <c r="F436" s="1180"/>
      <c r="G436" s="1180"/>
      <c r="H436" s="1150"/>
      <c r="I436" s="1150"/>
      <c r="J436" s="1150"/>
    </row>
    <row r="437" spans="2:10">
      <c r="B437" s="1156"/>
      <c r="C437" s="1156"/>
      <c r="D437" s="1180"/>
      <c r="E437" s="1180"/>
      <c r="F437" s="1180"/>
      <c r="G437" s="1180"/>
      <c r="H437" s="1150"/>
      <c r="I437" s="1150"/>
      <c r="J437" s="1150"/>
    </row>
    <row r="438" spans="2:10">
      <c r="B438" s="1156"/>
      <c r="C438" s="1156"/>
      <c r="D438" s="1180"/>
      <c r="E438" s="1180"/>
      <c r="F438" s="1180"/>
      <c r="G438" s="1180"/>
      <c r="H438" s="1150"/>
      <c r="I438" s="1150"/>
      <c r="J438" s="1150"/>
    </row>
    <row r="439" spans="2:10">
      <c r="B439" s="1156"/>
      <c r="C439" s="1156"/>
      <c r="D439" s="1180"/>
      <c r="E439" s="1180"/>
      <c r="F439" s="1180"/>
      <c r="G439" s="1180"/>
      <c r="H439" s="1150"/>
      <c r="I439" s="1150"/>
      <c r="J439" s="1150"/>
    </row>
    <row r="440" spans="2:10">
      <c r="B440" s="1156"/>
      <c r="C440" s="1156"/>
      <c r="D440" s="1180"/>
      <c r="E440" s="1180"/>
      <c r="F440" s="1180"/>
      <c r="G440" s="1180"/>
      <c r="H440" s="1150"/>
      <c r="I440" s="1150"/>
      <c r="J440" s="1150"/>
    </row>
    <row r="441" spans="2:10">
      <c r="B441" s="1156"/>
      <c r="C441" s="1156"/>
      <c r="D441" s="1180"/>
      <c r="E441" s="1180"/>
      <c r="F441" s="1180"/>
      <c r="G441" s="1180"/>
      <c r="H441" s="1150"/>
      <c r="I441" s="1150"/>
      <c r="J441" s="1150"/>
    </row>
    <row r="442" spans="2:10">
      <c r="B442" s="1156"/>
      <c r="C442" s="1156"/>
      <c r="D442" s="1180"/>
      <c r="E442" s="1180"/>
      <c r="F442" s="1180"/>
      <c r="G442" s="1180"/>
      <c r="H442" s="1150"/>
      <c r="I442" s="1150"/>
      <c r="J442" s="1150"/>
    </row>
    <row r="443" spans="2:10">
      <c r="B443" s="1156"/>
      <c r="C443" s="1156"/>
      <c r="D443" s="1180"/>
      <c r="E443" s="1180"/>
      <c r="F443" s="1180"/>
      <c r="G443" s="1180"/>
      <c r="H443" s="1150"/>
      <c r="I443" s="1150"/>
      <c r="J443" s="1150"/>
    </row>
    <row r="444" spans="2:10">
      <c r="B444" s="1156"/>
      <c r="C444" s="1156"/>
      <c r="D444" s="1180"/>
      <c r="E444" s="1180"/>
      <c r="F444" s="1180"/>
      <c r="G444" s="1180"/>
      <c r="H444" s="1150"/>
      <c r="I444" s="1150"/>
      <c r="J444" s="1150"/>
    </row>
    <row r="445" spans="2:10">
      <c r="B445" s="1156"/>
      <c r="C445" s="1156"/>
      <c r="D445" s="1180"/>
      <c r="E445" s="1180"/>
      <c r="F445" s="1180"/>
      <c r="G445" s="1180"/>
      <c r="H445" s="1150"/>
      <c r="I445" s="1150"/>
      <c r="J445" s="1150"/>
    </row>
    <row r="446" spans="2:10">
      <c r="B446" s="1156"/>
      <c r="C446" s="1156"/>
      <c r="D446" s="1180"/>
      <c r="E446" s="1180"/>
      <c r="F446" s="1180"/>
      <c r="G446" s="1180"/>
      <c r="H446" s="1150"/>
      <c r="I446" s="1150"/>
      <c r="J446" s="1150"/>
    </row>
    <row r="447" spans="2:10">
      <c r="B447" s="1156"/>
      <c r="C447" s="1156"/>
      <c r="D447" s="1180"/>
      <c r="E447" s="1180"/>
      <c r="F447" s="1180"/>
      <c r="G447" s="1180"/>
      <c r="H447" s="1150"/>
      <c r="I447" s="1150"/>
      <c r="J447" s="1150"/>
    </row>
    <row r="448" spans="2:10">
      <c r="B448" s="1156"/>
      <c r="C448" s="1156"/>
      <c r="D448" s="1180"/>
      <c r="E448" s="1180"/>
      <c r="F448" s="1180"/>
      <c r="G448" s="1180"/>
      <c r="H448" s="1150"/>
      <c r="I448" s="1150"/>
      <c r="J448" s="1150"/>
    </row>
    <row r="449" spans="2:10">
      <c r="B449" s="1156"/>
      <c r="C449" s="1156"/>
      <c r="D449" s="1180"/>
      <c r="E449" s="1180"/>
      <c r="F449" s="1180"/>
      <c r="G449" s="1180"/>
      <c r="H449" s="1150"/>
      <c r="I449" s="1150"/>
      <c r="J449" s="1150"/>
    </row>
    <row r="450" spans="2:10">
      <c r="B450" s="1156"/>
      <c r="C450" s="1156"/>
      <c r="D450" s="1180"/>
      <c r="E450" s="1180"/>
      <c r="F450" s="1180"/>
      <c r="G450" s="1180"/>
      <c r="H450" s="1150"/>
      <c r="I450" s="1150"/>
      <c r="J450" s="1150"/>
    </row>
    <row r="451" spans="2:10">
      <c r="B451" s="1156"/>
      <c r="C451" s="1156"/>
      <c r="D451" s="1180"/>
      <c r="E451" s="1180"/>
      <c r="F451" s="1180"/>
      <c r="G451" s="1180"/>
      <c r="H451" s="1150"/>
      <c r="I451" s="1150"/>
      <c r="J451" s="1150"/>
    </row>
    <row r="452" spans="2:10">
      <c r="B452" s="1156"/>
      <c r="C452" s="1156"/>
      <c r="D452" s="1180"/>
      <c r="E452" s="1180"/>
      <c r="F452" s="1180"/>
      <c r="G452" s="1180"/>
      <c r="H452" s="1150"/>
      <c r="I452" s="1150"/>
      <c r="J452" s="1150"/>
    </row>
    <row r="453" spans="2:10">
      <c r="B453" s="1156"/>
      <c r="C453" s="1156"/>
      <c r="D453" s="1180"/>
      <c r="E453" s="1180"/>
      <c r="F453" s="1180"/>
      <c r="G453" s="1180"/>
      <c r="H453" s="1150"/>
      <c r="I453" s="1150"/>
      <c r="J453" s="1150"/>
    </row>
    <row r="454" spans="2:10">
      <c r="B454" s="1156"/>
      <c r="C454" s="1156"/>
      <c r="D454" s="1180"/>
      <c r="E454" s="1180"/>
      <c r="F454" s="1180"/>
      <c r="G454" s="1180"/>
      <c r="H454" s="1150"/>
      <c r="I454" s="1150"/>
      <c r="J454" s="1150"/>
    </row>
    <row r="455" spans="2:10">
      <c r="B455" s="1156"/>
      <c r="C455" s="1156"/>
      <c r="D455" s="1180"/>
      <c r="E455" s="1180"/>
      <c r="F455" s="1180"/>
      <c r="G455" s="1180"/>
      <c r="H455" s="1150"/>
      <c r="I455" s="1150"/>
      <c r="J455" s="1150"/>
    </row>
    <row r="456" spans="2:10">
      <c r="B456" s="1156"/>
      <c r="C456" s="1156"/>
      <c r="D456" s="1180"/>
      <c r="E456" s="1180"/>
      <c r="F456" s="1180"/>
      <c r="G456" s="1180"/>
      <c r="H456" s="1150"/>
      <c r="I456" s="1150"/>
      <c r="J456" s="1150"/>
    </row>
    <row r="457" spans="2:10">
      <c r="B457" s="1156"/>
      <c r="C457" s="1156"/>
      <c r="D457" s="1180"/>
      <c r="E457" s="1180"/>
      <c r="F457" s="1180"/>
      <c r="G457" s="1180"/>
      <c r="H457" s="1150"/>
      <c r="I457" s="1150"/>
      <c r="J457" s="1150"/>
    </row>
    <row r="458" spans="2:10">
      <c r="B458" s="1156"/>
      <c r="C458" s="1156"/>
      <c r="D458" s="1180"/>
      <c r="E458" s="1180"/>
      <c r="F458" s="1180"/>
      <c r="G458" s="1180"/>
      <c r="H458" s="1150"/>
      <c r="I458" s="1150"/>
      <c r="J458" s="1150"/>
    </row>
    <row r="459" spans="2:10">
      <c r="B459" s="1156"/>
      <c r="C459" s="1156"/>
      <c r="D459" s="1180"/>
      <c r="E459" s="1180"/>
      <c r="F459" s="1180"/>
      <c r="G459" s="1180"/>
      <c r="H459" s="1150"/>
      <c r="I459" s="1150"/>
      <c r="J459" s="1150"/>
    </row>
    <row r="460" spans="2:10">
      <c r="B460" s="1156"/>
      <c r="C460" s="1156"/>
      <c r="D460" s="1180"/>
      <c r="E460" s="1180"/>
      <c r="F460" s="1180"/>
      <c r="G460" s="1180"/>
      <c r="H460" s="1150"/>
      <c r="I460" s="1150"/>
      <c r="J460" s="1150"/>
    </row>
    <row r="461" spans="2:10">
      <c r="B461" s="1156"/>
      <c r="C461" s="1156"/>
      <c r="D461" s="1180"/>
      <c r="E461" s="1180"/>
      <c r="F461" s="1180"/>
      <c r="G461" s="1180"/>
      <c r="H461" s="1150"/>
      <c r="I461" s="1150"/>
      <c r="J461" s="1150"/>
    </row>
    <row r="462" spans="2:10">
      <c r="B462" s="1156"/>
      <c r="C462" s="1156"/>
      <c r="D462" s="1180"/>
      <c r="E462" s="1180"/>
      <c r="F462" s="1180"/>
      <c r="G462" s="1180"/>
      <c r="H462" s="1150"/>
      <c r="I462" s="1150"/>
      <c r="J462" s="1150"/>
    </row>
    <row r="463" spans="2:10">
      <c r="B463" s="1156"/>
      <c r="C463" s="1156"/>
      <c r="D463" s="1180"/>
      <c r="E463" s="1180"/>
      <c r="F463" s="1180"/>
      <c r="G463" s="1180"/>
      <c r="H463" s="1150"/>
      <c r="I463" s="1150"/>
      <c r="J463" s="1150"/>
    </row>
    <row r="464" spans="2:10">
      <c r="B464" s="1156"/>
      <c r="C464" s="1156"/>
      <c r="D464" s="1180"/>
      <c r="E464" s="1180"/>
      <c r="F464" s="1180"/>
      <c r="G464" s="1180"/>
      <c r="H464" s="1150"/>
      <c r="I464" s="1150"/>
      <c r="J464" s="1150"/>
    </row>
    <row r="465" spans="2:10">
      <c r="B465" s="1156"/>
      <c r="C465" s="1156"/>
      <c r="D465" s="1180"/>
      <c r="E465" s="1180"/>
      <c r="F465" s="1180"/>
      <c r="G465" s="1180"/>
      <c r="H465" s="1150"/>
      <c r="I465" s="1150"/>
      <c r="J465" s="1150"/>
    </row>
    <row r="466" spans="2:10">
      <c r="B466" s="1156"/>
      <c r="C466" s="1156"/>
      <c r="D466" s="1180"/>
      <c r="E466" s="1180"/>
      <c r="F466" s="1180"/>
      <c r="G466" s="1180"/>
      <c r="H466" s="1150"/>
      <c r="I466" s="1150"/>
      <c r="J466" s="1150"/>
    </row>
    <row r="467" spans="2:10">
      <c r="B467" s="1156"/>
      <c r="C467" s="1156"/>
      <c r="D467" s="1180"/>
      <c r="E467" s="1180"/>
      <c r="F467" s="1180"/>
      <c r="G467" s="1180"/>
      <c r="H467" s="1150"/>
      <c r="I467" s="1150"/>
      <c r="J467" s="1150"/>
    </row>
    <row r="468" spans="2:10">
      <c r="B468" s="1156"/>
      <c r="C468" s="1156"/>
      <c r="D468" s="1180"/>
      <c r="E468" s="1180"/>
      <c r="F468" s="1180"/>
      <c r="G468" s="1180"/>
      <c r="H468" s="1150"/>
      <c r="I468" s="1150"/>
      <c r="J468" s="1150"/>
    </row>
    <row r="469" spans="2:10">
      <c r="B469" s="1156"/>
      <c r="C469" s="1156"/>
      <c r="D469" s="1180"/>
      <c r="E469" s="1180"/>
      <c r="F469" s="1180"/>
      <c r="G469" s="1180"/>
      <c r="H469" s="1150"/>
      <c r="I469" s="1150"/>
      <c r="J469" s="1150"/>
    </row>
    <row r="470" spans="2:10">
      <c r="B470" s="1156"/>
      <c r="C470" s="1156"/>
      <c r="D470" s="1180"/>
      <c r="E470" s="1180"/>
      <c r="F470" s="1180"/>
      <c r="G470" s="1180"/>
      <c r="H470" s="1150"/>
      <c r="I470" s="1150"/>
      <c r="J470" s="1150"/>
    </row>
    <row r="471" spans="2:10">
      <c r="B471" s="1156"/>
      <c r="C471" s="1156"/>
      <c r="D471" s="1180"/>
      <c r="E471" s="1180"/>
      <c r="F471" s="1180"/>
      <c r="G471" s="1180"/>
      <c r="H471" s="1150"/>
      <c r="I471" s="1150"/>
      <c r="J471" s="1150"/>
    </row>
    <row r="472" spans="2:10">
      <c r="B472" s="1156"/>
      <c r="C472" s="1156"/>
      <c r="D472" s="1180"/>
      <c r="E472" s="1180"/>
      <c r="F472" s="1180"/>
      <c r="G472" s="1180"/>
      <c r="H472" s="1150"/>
      <c r="I472" s="1150"/>
      <c r="J472" s="1150"/>
    </row>
    <row r="473" spans="2:10">
      <c r="B473" s="1156"/>
      <c r="C473" s="1156"/>
      <c r="D473" s="1180"/>
      <c r="E473" s="1180"/>
      <c r="F473" s="1180"/>
      <c r="G473" s="1180"/>
      <c r="H473" s="1150"/>
      <c r="I473" s="1150"/>
      <c r="J473" s="1150"/>
    </row>
    <row r="474" spans="2:10">
      <c r="B474" s="1156"/>
      <c r="C474" s="1156"/>
      <c r="D474" s="1180"/>
      <c r="E474" s="1180"/>
      <c r="F474" s="1180"/>
      <c r="G474" s="1180"/>
      <c r="H474" s="1150"/>
      <c r="I474" s="1150"/>
      <c r="J474" s="1150"/>
    </row>
    <row r="475" spans="2:10">
      <c r="B475" s="1156"/>
      <c r="C475" s="1156"/>
      <c r="D475" s="1180"/>
      <c r="E475" s="1180"/>
      <c r="F475" s="1180"/>
      <c r="G475" s="1180"/>
      <c r="H475" s="1150"/>
      <c r="I475" s="1150"/>
      <c r="J475" s="1150"/>
    </row>
    <row r="476" spans="2:10">
      <c r="B476" s="1156"/>
      <c r="C476" s="1156"/>
      <c r="D476" s="1180"/>
      <c r="E476" s="1180"/>
      <c r="F476" s="1180"/>
      <c r="G476" s="1180"/>
      <c r="H476" s="1150"/>
      <c r="I476" s="1150"/>
      <c r="J476" s="1150"/>
    </row>
    <row r="477" spans="2:10">
      <c r="B477" s="1156"/>
      <c r="C477" s="1156"/>
      <c r="D477" s="1180"/>
      <c r="E477" s="1180"/>
      <c r="F477" s="1180"/>
      <c r="G477" s="1180"/>
      <c r="H477" s="1150"/>
      <c r="I477" s="1150"/>
      <c r="J477" s="1150"/>
    </row>
    <row r="478" spans="2:10">
      <c r="B478" s="1156"/>
      <c r="C478" s="1156"/>
      <c r="D478" s="1180"/>
      <c r="E478" s="1180"/>
      <c r="F478" s="1180"/>
      <c r="G478" s="1180"/>
      <c r="H478" s="1150"/>
      <c r="I478" s="1150"/>
      <c r="J478" s="1150"/>
    </row>
    <row r="479" spans="2:10">
      <c r="B479" s="1156"/>
      <c r="C479" s="1156"/>
      <c r="D479" s="1180"/>
      <c r="E479" s="1180"/>
      <c r="F479" s="1180"/>
      <c r="G479" s="1180"/>
      <c r="H479" s="1150"/>
      <c r="I479" s="1150"/>
      <c r="J479" s="1150"/>
    </row>
    <row r="480" spans="2:10">
      <c r="B480" s="1156"/>
      <c r="C480" s="1156"/>
      <c r="D480" s="1180"/>
      <c r="E480" s="1180"/>
      <c r="F480" s="1180"/>
      <c r="G480" s="1180"/>
      <c r="H480" s="1150"/>
      <c r="I480" s="1150"/>
      <c r="J480" s="1150"/>
    </row>
    <row r="481" spans="2:10">
      <c r="B481" s="1156"/>
      <c r="C481" s="1156"/>
      <c r="D481" s="1180"/>
      <c r="E481" s="1180"/>
      <c r="F481" s="1180"/>
      <c r="G481" s="1180"/>
      <c r="H481" s="1150"/>
      <c r="I481" s="1150"/>
      <c r="J481" s="1150"/>
    </row>
    <row r="482" spans="2:10">
      <c r="B482" s="1156"/>
      <c r="C482" s="1156"/>
      <c r="D482" s="1180"/>
      <c r="E482" s="1180"/>
      <c r="F482" s="1180"/>
      <c r="G482" s="1180"/>
      <c r="H482" s="1150"/>
      <c r="I482" s="1150"/>
      <c r="J482" s="1150"/>
    </row>
    <row r="483" spans="2:10">
      <c r="B483" s="1156"/>
      <c r="C483" s="1156"/>
      <c r="D483" s="1180"/>
      <c r="E483" s="1180"/>
      <c r="F483" s="1180"/>
      <c r="G483" s="1180"/>
      <c r="H483" s="1150"/>
      <c r="I483" s="1150"/>
      <c r="J483" s="1150"/>
    </row>
    <row r="484" spans="2:10">
      <c r="B484" s="1156"/>
      <c r="C484" s="1156"/>
      <c r="D484" s="1180"/>
      <c r="E484" s="1180"/>
      <c r="F484" s="1180"/>
      <c r="G484" s="1180"/>
      <c r="H484" s="1150"/>
      <c r="I484" s="1150"/>
      <c r="J484" s="1150"/>
    </row>
    <row r="485" spans="2:10">
      <c r="B485" s="1156"/>
      <c r="C485" s="1156"/>
      <c r="D485" s="1180"/>
      <c r="E485" s="1180"/>
      <c r="F485" s="1180"/>
      <c r="G485" s="1180"/>
      <c r="H485" s="1150"/>
      <c r="I485" s="1150"/>
      <c r="J485" s="1150"/>
    </row>
    <row r="486" spans="2:10">
      <c r="B486" s="1156"/>
      <c r="C486" s="1156"/>
      <c r="D486" s="1180"/>
      <c r="E486" s="1180"/>
      <c r="F486" s="1180"/>
      <c r="G486" s="1180"/>
      <c r="H486" s="1150"/>
      <c r="I486" s="1150"/>
      <c r="J486" s="1150"/>
    </row>
    <row r="487" spans="2:10">
      <c r="B487" s="1156"/>
      <c r="C487" s="1156"/>
      <c r="D487" s="1180"/>
      <c r="E487" s="1180"/>
      <c r="F487" s="1180"/>
      <c r="G487" s="1180"/>
      <c r="H487" s="1150"/>
      <c r="I487" s="1150"/>
      <c r="J487" s="1150"/>
    </row>
    <row r="488" spans="2:10">
      <c r="B488" s="1156"/>
      <c r="C488" s="1156"/>
      <c r="D488" s="1180"/>
      <c r="E488" s="1180"/>
      <c r="F488" s="1180"/>
      <c r="G488" s="1180"/>
      <c r="H488" s="1150"/>
      <c r="I488" s="1150"/>
      <c r="J488" s="1150"/>
    </row>
    <row r="489" spans="2:10">
      <c r="B489" s="1156"/>
      <c r="C489" s="1156"/>
      <c r="D489" s="1180"/>
      <c r="E489" s="1180"/>
      <c r="F489" s="1180"/>
      <c r="G489" s="1180"/>
      <c r="H489" s="1150"/>
      <c r="I489" s="1150"/>
      <c r="J489" s="1150"/>
    </row>
    <row r="490" spans="2:10">
      <c r="B490" s="1156"/>
      <c r="C490" s="1156"/>
      <c r="D490" s="1180"/>
      <c r="E490" s="1180"/>
      <c r="F490" s="1180"/>
      <c r="G490" s="1180"/>
      <c r="H490" s="1150"/>
      <c r="I490" s="1150"/>
      <c r="J490" s="1150"/>
    </row>
    <row r="491" spans="2:10">
      <c r="B491" s="1156"/>
      <c r="C491" s="1156"/>
      <c r="D491" s="1180"/>
      <c r="E491" s="1180"/>
      <c r="F491" s="1180"/>
      <c r="G491" s="1180"/>
      <c r="H491" s="1150"/>
      <c r="I491" s="1150"/>
      <c r="J491" s="1150"/>
    </row>
    <row r="492" spans="2:10">
      <c r="B492" s="1156"/>
      <c r="C492" s="1156"/>
      <c r="D492" s="1180"/>
      <c r="E492" s="1180"/>
      <c r="F492" s="1180"/>
      <c r="G492" s="1180"/>
      <c r="H492" s="1150"/>
      <c r="I492" s="1150"/>
      <c r="J492" s="1150"/>
    </row>
    <row r="493" spans="2:10">
      <c r="B493" s="1156"/>
      <c r="C493" s="1156"/>
      <c r="D493" s="1180"/>
      <c r="E493" s="1180"/>
      <c r="F493" s="1180"/>
      <c r="G493" s="1180"/>
      <c r="H493" s="1150"/>
      <c r="I493" s="1150"/>
      <c r="J493" s="1150"/>
    </row>
    <row r="494" spans="2:10">
      <c r="B494" s="1156"/>
      <c r="C494" s="1156"/>
      <c r="D494" s="1180"/>
      <c r="E494" s="1180"/>
      <c r="F494" s="1180"/>
      <c r="G494" s="1180"/>
      <c r="H494" s="1150"/>
      <c r="I494" s="1150"/>
      <c r="J494" s="1150"/>
    </row>
    <row r="495" spans="2:10">
      <c r="B495" s="1156"/>
      <c r="C495" s="1156"/>
      <c r="D495" s="1180"/>
      <c r="E495" s="1180"/>
      <c r="F495" s="1180"/>
      <c r="G495" s="1180"/>
      <c r="H495" s="1150"/>
      <c r="I495" s="1150"/>
      <c r="J495" s="1150"/>
    </row>
    <row r="496" spans="2:10">
      <c r="B496" s="1156"/>
      <c r="C496" s="1156"/>
      <c r="D496" s="1180"/>
      <c r="E496" s="1180"/>
      <c r="F496" s="1180"/>
      <c r="G496" s="1180"/>
      <c r="H496" s="1150"/>
      <c r="I496" s="1150"/>
      <c r="J496" s="1150"/>
    </row>
    <row r="497" spans="2:10">
      <c r="B497" s="1156"/>
      <c r="C497" s="1156"/>
      <c r="D497" s="1180"/>
      <c r="E497" s="1180"/>
      <c r="F497" s="1180"/>
      <c r="G497" s="1180"/>
      <c r="H497" s="1150"/>
      <c r="I497" s="1150"/>
      <c r="J497" s="1150"/>
    </row>
    <row r="498" spans="2:10">
      <c r="B498" s="1156"/>
      <c r="C498" s="1156"/>
      <c r="D498" s="1180"/>
      <c r="E498" s="1180"/>
      <c r="F498" s="1180"/>
      <c r="G498" s="1180"/>
      <c r="H498" s="1150"/>
      <c r="I498" s="1150"/>
      <c r="J498" s="1150"/>
    </row>
    <row r="499" spans="2:10">
      <c r="B499" s="1156"/>
      <c r="C499" s="1156"/>
      <c r="D499" s="1180"/>
      <c r="E499" s="1180"/>
      <c r="F499" s="1180"/>
      <c r="G499" s="1180"/>
      <c r="H499" s="1150"/>
      <c r="I499" s="1150"/>
      <c r="J499" s="1150"/>
    </row>
    <row r="500" spans="2:10">
      <c r="B500" s="1156"/>
      <c r="C500" s="1156"/>
      <c r="D500" s="1180"/>
      <c r="E500" s="1180"/>
      <c r="F500" s="1180"/>
      <c r="G500" s="1180"/>
      <c r="H500" s="1150"/>
      <c r="I500" s="1150"/>
      <c r="J500" s="1150"/>
    </row>
    <row r="501" spans="2:10">
      <c r="B501" s="1156"/>
      <c r="C501" s="1156"/>
      <c r="D501" s="1180"/>
      <c r="E501" s="1180"/>
      <c r="F501" s="1180"/>
      <c r="G501" s="1180"/>
      <c r="H501" s="1150"/>
      <c r="I501" s="1150"/>
      <c r="J501" s="1150"/>
    </row>
    <row r="502" spans="2:10">
      <c r="B502" s="1156"/>
      <c r="C502" s="1156"/>
      <c r="D502" s="1180"/>
      <c r="E502" s="1180"/>
      <c r="F502" s="1180"/>
      <c r="G502" s="1180"/>
      <c r="H502" s="1150"/>
      <c r="I502" s="1150"/>
      <c r="J502" s="1150"/>
    </row>
    <row r="503" spans="2:10">
      <c r="B503" s="1156"/>
      <c r="C503" s="1156"/>
      <c r="D503" s="1180"/>
      <c r="E503" s="1180"/>
      <c r="F503" s="1180"/>
      <c r="G503" s="1180"/>
      <c r="H503" s="1150"/>
      <c r="I503" s="1150"/>
      <c r="J503" s="1150"/>
    </row>
    <row r="504" spans="2:10">
      <c r="B504" s="1156"/>
      <c r="C504" s="1156"/>
      <c r="D504" s="1180"/>
      <c r="E504" s="1180"/>
      <c r="F504" s="1180"/>
      <c r="G504" s="1180"/>
      <c r="H504" s="1150"/>
      <c r="I504" s="1150"/>
      <c r="J504" s="1150"/>
    </row>
    <row r="505" spans="2:10">
      <c r="B505" s="1156"/>
      <c r="C505" s="1156"/>
      <c r="D505" s="1180"/>
      <c r="E505" s="1180"/>
      <c r="F505" s="1180"/>
      <c r="G505" s="1180"/>
      <c r="H505" s="1150"/>
      <c r="I505" s="1150"/>
      <c r="J505" s="1150"/>
    </row>
    <row r="506" spans="2:10">
      <c r="B506" s="1156"/>
      <c r="C506" s="1156"/>
      <c r="D506" s="1180"/>
      <c r="E506" s="1180"/>
      <c r="F506" s="1180"/>
      <c r="G506" s="1180"/>
      <c r="H506" s="1150"/>
      <c r="I506" s="1150"/>
      <c r="J506" s="1150"/>
    </row>
    <row r="507" spans="2:10">
      <c r="B507" s="1156"/>
      <c r="C507" s="1156"/>
      <c r="D507" s="1180"/>
      <c r="E507" s="1180"/>
      <c r="F507" s="1180"/>
      <c r="G507" s="1180"/>
      <c r="H507" s="1150"/>
      <c r="I507" s="1150"/>
      <c r="J507" s="1150"/>
    </row>
    <row r="508" spans="2:10">
      <c r="B508" s="1156"/>
      <c r="C508" s="1156"/>
      <c r="D508" s="1180"/>
      <c r="E508" s="1180"/>
      <c r="F508" s="1180"/>
      <c r="G508" s="1180"/>
      <c r="H508" s="1150"/>
      <c r="I508" s="1150"/>
      <c r="J508" s="1150"/>
    </row>
    <row r="509" spans="2:10">
      <c r="B509" s="1156"/>
      <c r="C509" s="1156"/>
      <c r="D509" s="1180"/>
      <c r="E509" s="1180"/>
      <c r="F509" s="1180"/>
      <c r="G509" s="1180"/>
      <c r="H509" s="1150"/>
      <c r="I509" s="1150"/>
      <c r="J509" s="1150"/>
    </row>
    <row r="510" spans="2:10">
      <c r="B510" s="1156"/>
      <c r="C510" s="1156"/>
      <c r="D510" s="1180"/>
      <c r="E510" s="1180"/>
      <c r="F510" s="1180"/>
      <c r="G510" s="1180"/>
      <c r="H510" s="1150"/>
      <c r="I510" s="1150"/>
      <c r="J510" s="1150"/>
    </row>
    <row r="511" spans="2:10">
      <c r="B511" s="1156"/>
      <c r="C511" s="1156"/>
      <c r="D511" s="1180"/>
      <c r="E511" s="1180"/>
      <c r="F511" s="1180"/>
      <c r="G511" s="1180"/>
      <c r="H511" s="1150"/>
      <c r="I511" s="1150"/>
      <c r="J511" s="1150"/>
    </row>
    <row r="512" spans="2:10">
      <c r="B512" s="1156"/>
      <c r="C512" s="1156"/>
      <c r="D512" s="1180"/>
      <c r="E512" s="1180"/>
      <c r="F512" s="1180"/>
      <c r="G512" s="1180"/>
      <c r="H512" s="1150"/>
      <c r="I512" s="1150"/>
      <c r="J512" s="1150"/>
    </row>
    <row r="513" spans="2:10">
      <c r="B513" s="1156"/>
      <c r="C513" s="1156"/>
      <c r="D513" s="1180"/>
      <c r="E513" s="1180"/>
      <c r="F513" s="1180"/>
      <c r="G513" s="1180"/>
      <c r="H513" s="1150"/>
      <c r="I513" s="1150"/>
      <c r="J513" s="1150"/>
    </row>
    <row r="514" spans="2:10">
      <c r="B514" s="1156"/>
      <c r="C514" s="1156"/>
      <c r="D514" s="1180"/>
      <c r="E514" s="1180"/>
      <c r="F514" s="1180"/>
      <c r="G514" s="1180"/>
      <c r="H514" s="1150"/>
      <c r="I514" s="1150"/>
      <c r="J514" s="1150"/>
    </row>
    <row r="515" spans="2:10">
      <c r="B515" s="1156"/>
      <c r="C515" s="1156"/>
      <c r="D515" s="1180"/>
      <c r="E515" s="1180"/>
      <c r="F515" s="1180"/>
      <c r="G515" s="1180"/>
      <c r="H515" s="1150"/>
      <c r="I515" s="1150"/>
      <c r="J515" s="1150"/>
    </row>
    <row r="516" spans="2:10">
      <c r="B516" s="1156"/>
      <c r="C516" s="1156"/>
      <c r="D516" s="1180"/>
      <c r="E516" s="1180"/>
      <c r="F516" s="1180"/>
      <c r="G516" s="1180"/>
      <c r="H516" s="1150"/>
      <c r="I516" s="1150"/>
      <c r="J516" s="1150"/>
    </row>
    <row r="517" spans="2:10">
      <c r="B517" s="1156"/>
      <c r="C517" s="1156"/>
      <c r="D517" s="1180"/>
      <c r="E517" s="1180"/>
      <c r="F517" s="1180"/>
      <c r="G517" s="1180"/>
      <c r="H517" s="1150"/>
      <c r="I517" s="1150"/>
      <c r="J517" s="1150"/>
    </row>
    <row r="518" spans="2:10">
      <c r="B518" s="1156"/>
      <c r="C518" s="1156"/>
      <c r="D518" s="1180"/>
      <c r="E518" s="1180"/>
      <c r="F518" s="1180"/>
      <c r="G518" s="1180"/>
      <c r="H518" s="1150"/>
      <c r="I518" s="1150"/>
      <c r="J518" s="1150"/>
    </row>
    <row r="519" spans="2:10">
      <c r="B519" s="1156"/>
      <c r="C519" s="1156"/>
      <c r="D519" s="1180"/>
      <c r="E519" s="1180"/>
      <c r="F519" s="1180"/>
      <c r="G519" s="1180"/>
      <c r="H519" s="1150"/>
      <c r="I519" s="1150"/>
      <c r="J519" s="1150"/>
    </row>
    <row r="520" spans="2:10">
      <c r="B520" s="1156"/>
      <c r="C520" s="1156"/>
      <c r="D520" s="1180"/>
      <c r="E520" s="1180"/>
      <c r="F520" s="1180"/>
      <c r="G520" s="1180"/>
      <c r="H520" s="1150"/>
      <c r="I520" s="1150"/>
      <c r="J520" s="1150"/>
    </row>
    <row r="521" spans="2:10">
      <c r="B521" s="1156"/>
      <c r="C521" s="1156"/>
      <c r="D521" s="1180"/>
      <c r="E521" s="1180"/>
      <c r="F521" s="1180"/>
      <c r="G521" s="1180"/>
      <c r="H521" s="1150"/>
      <c r="I521" s="1150"/>
      <c r="J521" s="1150"/>
    </row>
    <row r="522" spans="2:10">
      <c r="B522" s="1156"/>
      <c r="C522" s="1156"/>
      <c r="D522" s="1180"/>
      <c r="E522" s="1180"/>
      <c r="F522" s="1180"/>
      <c r="G522" s="1180"/>
      <c r="H522" s="1150"/>
      <c r="I522" s="1150"/>
      <c r="J522" s="1150"/>
    </row>
    <row r="523" spans="2:10">
      <c r="B523" s="1156"/>
      <c r="C523" s="1156"/>
      <c r="D523" s="1180"/>
      <c r="E523" s="1180"/>
      <c r="F523" s="1180"/>
      <c r="G523" s="1180"/>
      <c r="H523" s="1150"/>
      <c r="I523" s="1150"/>
      <c r="J523" s="1150"/>
    </row>
    <row r="524" spans="2:10">
      <c r="B524" s="1156"/>
      <c r="C524" s="1156"/>
      <c r="D524" s="1180"/>
      <c r="E524" s="1180"/>
      <c r="F524" s="1180"/>
      <c r="G524" s="1180"/>
      <c r="H524" s="1150"/>
      <c r="I524" s="1150"/>
      <c r="J524" s="1150"/>
    </row>
    <row r="525" spans="2:10">
      <c r="B525" s="1156"/>
      <c r="C525" s="1156"/>
      <c r="D525" s="1180"/>
      <c r="E525" s="1180"/>
      <c r="F525" s="1180"/>
      <c r="G525" s="1180"/>
      <c r="H525" s="1150"/>
      <c r="I525" s="1150"/>
      <c r="J525" s="1150"/>
    </row>
    <row r="526" spans="2:10">
      <c r="B526" s="1156"/>
      <c r="C526" s="1156"/>
      <c r="D526" s="1180"/>
      <c r="E526" s="1180"/>
      <c r="F526" s="1180"/>
      <c r="G526" s="1180"/>
      <c r="H526" s="1150"/>
      <c r="I526" s="1150"/>
      <c r="J526" s="1150"/>
    </row>
    <row r="527" spans="2:10">
      <c r="B527" s="1156"/>
      <c r="C527" s="1156"/>
      <c r="D527" s="1180"/>
      <c r="E527" s="1180"/>
      <c r="F527" s="1180"/>
      <c r="G527" s="1180"/>
      <c r="H527" s="1150"/>
      <c r="I527" s="1150"/>
      <c r="J527" s="1150"/>
    </row>
    <row r="528" spans="2:10">
      <c r="B528" s="1156"/>
      <c r="C528" s="1156"/>
      <c r="D528" s="1180"/>
      <c r="E528" s="1180"/>
      <c r="F528" s="1180"/>
      <c r="G528" s="1180"/>
      <c r="H528" s="1150"/>
      <c r="I528" s="1150"/>
      <c r="J528" s="1150"/>
    </row>
    <row r="529" spans="2:10">
      <c r="B529" s="1156"/>
      <c r="C529" s="1156"/>
      <c r="D529" s="1180"/>
      <c r="E529" s="1180"/>
      <c r="F529" s="1180"/>
      <c r="G529" s="1180"/>
      <c r="H529" s="1150"/>
      <c r="I529" s="1150"/>
      <c r="J529" s="1150"/>
    </row>
    <row r="530" spans="2:10">
      <c r="B530" s="1156"/>
      <c r="C530" s="1156"/>
      <c r="D530" s="1180"/>
      <c r="E530" s="1180"/>
      <c r="F530" s="1180"/>
      <c r="G530" s="1180"/>
      <c r="H530" s="1150"/>
      <c r="I530" s="1150"/>
      <c r="J530" s="1150"/>
    </row>
    <row r="531" spans="2:10">
      <c r="B531" s="1156"/>
      <c r="C531" s="1156"/>
      <c r="D531" s="1180"/>
      <c r="E531" s="1180"/>
      <c r="F531" s="1180"/>
      <c r="G531" s="1180"/>
      <c r="H531" s="1150"/>
      <c r="I531" s="1150"/>
      <c r="J531" s="1150"/>
    </row>
    <row r="532" spans="2:10">
      <c r="B532" s="1156"/>
      <c r="C532" s="1156"/>
      <c r="D532" s="1180"/>
      <c r="E532" s="1180"/>
      <c r="F532" s="1180"/>
      <c r="G532" s="1180"/>
      <c r="H532" s="1150"/>
      <c r="I532" s="1150"/>
      <c r="J532" s="1150"/>
    </row>
    <row r="533" spans="2:10">
      <c r="B533" s="1156"/>
      <c r="C533" s="1156"/>
      <c r="D533" s="1180"/>
      <c r="E533" s="1180"/>
      <c r="F533" s="1180"/>
      <c r="G533" s="1180"/>
      <c r="H533" s="1150"/>
      <c r="I533" s="1150"/>
      <c r="J533" s="1150"/>
    </row>
    <row r="534" spans="2:10">
      <c r="B534" s="1156"/>
      <c r="C534" s="1156"/>
      <c r="D534" s="1180"/>
      <c r="E534" s="1180"/>
      <c r="F534" s="1180"/>
      <c r="G534" s="1180"/>
      <c r="H534" s="1150"/>
      <c r="I534" s="1150"/>
      <c r="J534" s="1150"/>
    </row>
    <row r="535" spans="2:10">
      <c r="B535" s="1156"/>
      <c r="C535" s="1156"/>
      <c r="D535" s="1180"/>
      <c r="E535" s="1180"/>
      <c r="F535" s="1180"/>
      <c r="G535" s="1180"/>
      <c r="H535" s="1150"/>
      <c r="I535" s="1150"/>
      <c r="J535" s="1150"/>
    </row>
    <row r="536" spans="2:10">
      <c r="B536" s="1156"/>
      <c r="C536" s="1156"/>
      <c r="D536" s="1180"/>
      <c r="E536" s="1180"/>
      <c r="F536" s="1180"/>
      <c r="G536" s="1180"/>
      <c r="H536" s="1150"/>
      <c r="I536" s="1150"/>
      <c r="J536" s="1150"/>
    </row>
    <row r="537" spans="2:10">
      <c r="B537" s="1156"/>
      <c r="C537" s="1156"/>
      <c r="D537" s="1180"/>
      <c r="E537" s="1180"/>
      <c r="F537" s="1180"/>
      <c r="G537" s="1180"/>
      <c r="H537" s="1150"/>
      <c r="I537" s="1150"/>
      <c r="J537" s="1150"/>
    </row>
    <row r="538" spans="2:10">
      <c r="B538" s="1156"/>
      <c r="C538" s="1156"/>
      <c r="D538" s="1180"/>
      <c r="E538" s="1180"/>
      <c r="F538" s="1180"/>
      <c r="G538" s="1180"/>
      <c r="H538" s="1150"/>
      <c r="I538" s="1150"/>
      <c r="J538" s="1150"/>
    </row>
    <row r="539" spans="2:10">
      <c r="B539" s="1156"/>
      <c r="C539" s="1156"/>
      <c r="D539" s="1180"/>
      <c r="E539" s="1180"/>
      <c r="F539" s="1180"/>
      <c r="G539" s="1180"/>
      <c r="H539" s="1150"/>
      <c r="I539" s="1150"/>
      <c r="J539" s="1150"/>
    </row>
    <row r="540" spans="2:10">
      <c r="B540" s="1156"/>
      <c r="C540" s="1156"/>
      <c r="D540" s="1180"/>
      <c r="E540" s="1180"/>
      <c r="F540" s="1180"/>
      <c r="G540" s="1180"/>
      <c r="H540" s="1150"/>
      <c r="I540" s="1150"/>
      <c r="J540" s="1150"/>
    </row>
    <row r="541" spans="2:10">
      <c r="B541" s="1156"/>
      <c r="C541" s="1156"/>
      <c r="D541" s="1180"/>
      <c r="E541" s="1180"/>
      <c r="F541" s="1180"/>
      <c r="G541" s="1180"/>
      <c r="H541" s="1150"/>
      <c r="I541" s="1150"/>
      <c r="J541" s="1150"/>
    </row>
    <row r="542" spans="2:10">
      <c r="B542" s="1156"/>
      <c r="C542" s="1156"/>
      <c r="D542" s="1180"/>
      <c r="E542" s="1180"/>
      <c r="F542" s="1180"/>
      <c r="G542" s="1180"/>
      <c r="H542" s="1150"/>
      <c r="I542" s="1150"/>
      <c r="J542" s="1150"/>
    </row>
    <row r="543" spans="2:10">
      <c r="B543" s="1156"/>
      <c r="C543" s="1156"/>
      <c r="D543" s="1180"/>
      <c r="E543" s="1180"/>
      <c r="F543" s="1180"/>
      <c r="G543" s="1180"/>
      <c r="H543" s="1150"/>
      <c r="I543" s="1150"/>
      <c r="J543" s="1150"/>
    </row>
    <row r="544" spans="2:10">
      <c r="B544" s="1156"/>
      <c r="C544" s="1156"/>
      <c r="D544" s="1180"/>
      <c r="E544" s="1180"/>
      <c r="F544" s="1180"/>
      <c r="G544" s="1180"/>
      <c r="H544" s="1150"/>
      <c r="I544" s="1150"/>
      <c r="J544" s="1150"/>
    </row>
    <row r="545" spans="2:10">
      <c r="B545" s="1156"/>
      <c r="C545" s="1156"/>
      <c r="D545" s="1180"/>
      <c r="E545" s="1180"/>
      <c r="F545" s="1180"/>
      <c r="G545" s="1180"/>
      <c r="H545" s="1150"/>
      <c r="I545" s="1150"/>
      <c r="J545" s="1150"/>
    </row>
    <row r="546" spans="2:10">
      <c r="B546" s="1156"/>
      <c r="C546" s="1156"/>
      <c r="D546" s="1180"/>
      <c r="E546" s="1180"/>
      <c r="F546" s="1180"/>
      <c r="G546" s="1180"/>
      <c r="H546" s="1150"/>
      <c r="I546" s="1150"/>
      <c r="J546" s="1150"/>
    </row>
    <row r="547" spans="2:10">
      <c r="B547" s="1156"/>
      <c r="C547" s="1156"/>
      <c r="D547" s="1180"/>
      <c r="E547" s="1180"/>
      <c r="F547" s="1180"/>
      <c r="G547" s="1180"/>
      <c r="H547" s="1150"/>
      <c r="I547" s="1150"/>
      <c r="J547" s="1150"/>
    </row>
    <row r="548" spans="2:10">
      <c r="B548" s="1156"/>
      <c r="C548" s="1156"/>
      <c r="D548" s="1180"/>
      <c r="E548" s="1180"/>
      <c r="F548" s="1180"/>
      <c r="G548" s="1180"/>
      <c r="H548" s="1150"/>
      <c r="I548" s="1150"/>
      <c r="J548" s="1150"/>
    </row>
    <row r="549" spans="2:10">
      <c r="B549" s="1156"/>
      <c r="C549" s="1156"/>
      <c r="D549" s="1180"/>
      <c r="E549" s="1180"/>
      <c r="F549" s="1180"/>
      <c r="G549" s="1180"/>
      <c r="H549" s="1150"/>
      <c r="I549" s="1150"/>
      <c r="J549" s="1150"/>
    </row>
    <row r="550" spans="2:10">
      <c r="B550" s="1156"/>
      <c r="C550" s="1156"/>
      <c r="D550" s="1180"/>
      <c r="E550" s="1180"/>
      <c r="F550" s="1180"/>
      <c r="G550" s="1180"/>
      <c r="H550" s="1150"/>
      <c r="I550" s="1150"/>
      <c r="J550" s="1150"/>
    </row>
    <row r="551" spans="2:10">
      <c r="B551" s="1156"/>
      <c r="C551" s="1156"/>
      <c r="D551" s="1180"/>
      <c r="E551" s="1180"/>
      <c r="F551" s="1180"/>
      <c r="G551" s="1180"/>
      <c r="H551" s="1150"/>
      <c r="I551" s="1150"/>
      <c r="J551" s="1150"/>
    </row>
    <row r="552" spans="2:10">
      <c r="B552" s="1156"/>
      <c r="C552" s="1156"/>
      <c r="D552" s="1180"/>
      <c r="E552" s="1180"/>
      <c r="F552" s="1180"/>
      <c r="G552" s="1180"/>
      <c r="H552" s="1150"/>
      <c r="I552" s="1150"/>
      <c r="J552" s="1150"/>
    </row>
    <row r="553" spans="2:10">
      <c r="B553" s="1156"/>
      <c r="C553" s="1156"/>
      <c r="D553" s="1180"/>
      <c r="E553" s="1180"/>
      <c r="F553" s="1180"/>
      <c r="G553" s="1180"/>
      <c r="H553" s="1150"/>
      <c r="I553" s="1150"/>
      <c r="J553" s="1150"/>
    </row>
    <row r="554" spans="2:10">
      <c r="B554" s="1156"/>
      <c r="C554" s="1156"/>
      <c r="D554" s="1180"/>
      <c r="E554" s="1180"/>
      <c r="F554" s="1180"/>
      <c r="G554" s="1180"/>
      <c r="H554" s="1150"/>
      <c r="I554" s="1150"/>
      <c r="J554" s="1150"/>
    </row>
    <row r="555" spans="2:10">
      <c r="B555" s="1156"/>
      <c r="C555" s="1156"/>
      <c r="D555" s="1180"/>
      <c r="E555" s="1180"/>
      <c r="F555" s="1180"/>
      <c r="G555" s="1180"/>
      <c r="H555" s="1150"/>
      <c r="I555" s="1150"/>
      <c r="J555" s="1150"/>
    </row>
    <row r="556" spans="2:10">
      <c r="B556" s="1156"/>
      <c r="C556" s="1156"/>
      <c r="D556" s="1180"/>
      <c r="E556" s="1180"/>
      <c r="F556" s="1180"/>
      <c r="G556" s="1180"/>
      <c r="H556" s="1150"/>
      <c r="I556" s="1150"/>
      <c r="J556" s="1150"/>
    </row>
    <row r="557" spans="2:10">
      <c r="B557" s="1156"/>
      <c r="C557" s="1156"/>
      <c r="D557" s="1180"/>
      <c r="E557" s="1180"/>
      <c r="F557" s="1180"/>
      <c r="G557" s="1180"/>
      <c r="H557" s="1150"/>
      <c r="I557" s="1150"/>
      <c r="J557" s="1150"/>
    </row>
    <row r="558" spans="2:10">
      <c r="B558" s="1156"/>
      <c r="C558" s="1156"/>
      <c r="D558" s="1180"/>
      <c r="E558" s="1180"/>
      <c r="F558" s="1180"/>
      <c r="G558" s="1180"/>
      <c r="H558" s="1150"/>
      <c r="I558" s="1150"/>
      <c r="J558" s="1150"/>
    </row>
    <row r="559" spans="2:10">
      <c r="B559" s="1156"/>
      <c r="C559" s="1156"/>
      <c r="D559" s="1180"/>
      <c r="E559" s="1180"/>
      <c r="F559" s="1180"/>
      <c r="G559" s="1180"/>
      <c r="H559" s="1150"/>
      <c r="I559" s="1150"/>
      <c r="J559" s="1150"/>
    </row>
    <row r="560" spans="2:10">
      <c r="B560" s="1156"/>
      <c r="C560" s="1156"/>
      <c r="D560" s="1180"/>
      <c r="E560" s="1180"/>
      <c r="F560" s="1180"/>
      <c r="G560" s="1180"/>
      <c r="H560" s="1150"/>
      <c r="I560" s="1150"/>
      <c r="J560" s="1150"/>
    </row>
    <row r="561" spans="2:10">
      <c r="B561" s="1156"/>
      <c r="C561" s="1156"/>
      <c r="D561" s="1180"/>
      <c r="E561" s="1180"/>
      <c r="F561" s="1180"/>
      <c r="G561" s="1180"/>
      <c r="H561" s="1150"/>
      <c r="I561" s="1150"/>
      <c r="J561" s="1150"/>
    </row>
    <row r="562" spans="2:10">
      <c r="B562" s="1156"/>
      <c r="C562" s="1156"/>
      <c r="D562" s="1180"/>
      <c r="E562" s="1180"/>
      <c r="F562" s="1180"/>
      <c r="G562" s="1180"/>
      <c r="H562" s="1150"/>
      <c r="I562" s="1150"/>
      <c r="J562" s="1150"/>
    </row>
    <row r="563" spans="2:10">
      <c r="B563" s="1156"/>
      <c r="C563" s="1156"/>
      <c r="D563" s="1180"/>
      <c r="E563" s="1180"/>
      <c r="F563" s="1180"/>
      <c r="G563" s="1180"/>
      <c r="H563" s="1150"/>
      <c r="I563" s="1150"/>
      <c r="J563" s="1150"/>
    </row>
    <row r="564" spans="2:10">
      <c r="B564" s="1156"/>
      <c r="C564" s="1156"/>
      <c r="D564" s="1180"/>
      <c r="E564" s="1180"/>
      <c r="F564" s="1180"/>
      <c r="G564" s="1180"/>
      <c r="H564" s="1150"/>
      <c r="I564" s="1150"/>
      <c r="J564" s="1150"/>
    </row>
    <row r="565" spans="2:10">
      <c r="B565" s="1156"/>
      <c r="C565" s="1156"/>
      <c r="D565" s="1180"/>
      <c r="E565" s="1180"/>
      <c r="F565" s="1180"/>
      <c r="G565" s="1180"/>
      <c r="H565" s="1150"/>
      <c r="I565" s="1150"/>
      <c r="J565" s="1150"/>
    </row>
    <row r="566" spans="2:10">
      <c r="B566" s="1156"/>
      <c r="C566" s="1156"/>
      <c r="D566" s="1180"/>
      <c r="E566" s="1180"/>
      <c r="F566" s="1180"/>
      <c r="G566" s="1180"/>
      <c r="H566" s="1150"/>
      <c r="I566" s="1150"/>
      <c r="J566" s="1150"/>
    </row>
    <row r="567" spans="2:10">
      <c r="B567" s="1156"/>
      <c r="C567" s="1156"/>
      <c r="D567" s="1180"/>
      <c r="E567" s="1180"/>
      <c r="F567" s="1180"/>
      <c r="G567" s="1180"/>
      <c r="H567" s="1150"/>
      <c r="I567" s="1150"/>
      <c r="J567" s="1150"/>
    </row>
    <row r="568" spans="2:10">
      <c r="B568" s="1156"/>
      <c r="C568" s="1156"/>
      <c r="D568" s="1180"/>
      <c r="E568" s="1180"/>
      <c r="F568" s="1180"/>
      <c r="G568" s="1180"/>
      <c r="H568" s="1150"/>
      <c r="I568" s="1150"/>
      <c r="J568" s="1150"/>
    </row>
    <row r="569" spans="2:10">
      <c r="B569" s="1156"/>
      <c r="C569" s="1156"/>
      <c r="D569" s="1180"/>
      <c r="E569" s="1180"/>
      <c r="F569" s="1180"/>
      <c r="G569" s="1180"/>
      <c r="H569" s="1150"/>
      <c r="I569" s="1150"/>
      <c r="J569" s="1150"/>
    </row>
    <row r="570" spans="2:10">
      <c r="B570" s="1156"/>
      <c r="C570" s="1156"/>
      <c r="D570" s="1180"/>
      <c r="E570" s="1180"/>
      <c r="F570" s="1180"/>
      <c r="G570" s="1180"/>
      <c r="H570" s="1150"/>
      <c r="I570" s="1150"/>
      <c r="J570" s="1150"/>
    </row>
    <row r="571" spans="2:10">
      <c r="B571" s="1156"/>
      <c r="C571" s="1156"/>
      <c r="D571" s="1180"/>
      <c r="E571" s="1180"/>
      <c r="F571" s="1180"/>
      <c r="G571" s="1180"/>
      <c r="H571" s="1150"/>
      <c r="I571" s="1150"/>
      <c r="J571" s="1150"/>
    </row>
    <row r="572" spans="2:10">
      <c r="B572" s="1156"/>
      <c r="C572" s="1156"/>
      <c r="D572" s="1180"/>
      <c r="E572" s="1180"/>
      <c r="F572" s="1180"/>
      <c r="G572" s="1180"/>
      <c r="H572" s="1150"/>
      <c r="I572" s="1150"/>
      <c r="J572" s="1150"/>
    </row>
    <row r="573" spans="2:10">
      <c r="B573" s="1156"/>
      <c r="C573" s="1156"/>
      <c r="D573" s="1180"/>
      <c r="E573" s="1180"/>
      <c r="F573" s="1180"/>
      <c r="G573" s="1180"/>
      <c r="H573" s="1150"/>
      <c r="I573" s="1150"/>
      <c r="J573" s="1150"/>
    </row>
    <row r="574" spans="2:10">
      <c r="B574" s="1156"/>
      <c r="C574" s="1156"/>
      <c r="D574" s="1180"/>
      <c r="E574" s="1180"/>
      <c r="F574" s="1180"/>
      <c r="G574" s="1180"/>
      <c r="H574" s="1150"/>
      <c r="I574" s="1150"/>
      <c r="J574" s="1150"/>
    </row>
    <row r="575" spans="2:10">
      <c r="B575" s="1156"/>
      <c r="C575" s="1156"/>
      <c r="D575" s="1180"/>
      <c r="E575" s="1180"/>
      <c r="F575" s="1180"/>
      <c r="G575" s="1180"/>
      <c r="H575" s="1150"/>
      <c r="I575" s="1150"/>
      <c r="J575" s="1150"/>
    </row>
    <row r="576" spans="2:10">
      <c r="B576" s="1156"/>
      <c r="C576" s="1156"/>
      <c r="D576" s="1180"/>
      <c r="E576" s="1180"/>
      <c r="F576" s="1180"/>
      <c r="G576" s="1180"/>
      <c r="H576" s="1150"/>
      <c r="I576" s="1150"/>
      <c r="J576" s="1150"/>
    </row>
    <row r="577" spans="2:10">
      <c r="B577" s="1156"/>
      <c r="C577" s="1156"/>
      <c r="D577" s="1180"/>
      <c r="E577" s="1180"/>
      <c r="F577" s="1180"/>
      <c r="G577" s="1180"/>
      <c r="H577" s="1150"/>
      <c r="I577" s="1150"/>
      <c r="J577" s="1150"/>
    </row>
    <row r="578" spans="2:10">
      <c r="B578" s="1156"/>
      <c r="C578" s="1156"/>
      <c r="D578" s="1180"/>
      <c r="E578" s="1180"/>
      <c r="F578" s="1180"/>
      <c r="G578" s="1180"/>
      <c r="H578" s="1150"/>
      <c r="I578" s="1150"/>
      <c r="J578" s="1150"/>
    </row>
    <row r="579" spans="2:10">
      <c r="B579" s="1156"/>
      <c r="C579" s="1156"/>
      <c r="D579" s="1180"/>
      <c r="E579" s="1180"/>
      <c r="F579" s="1180"/>
      <c r="G579" s="1180"/>
      <c r="H579" s="1150"/>
      <c r="I579" s="1150"/>
      <c r="J579" s="1150"/>
    </row>
    <row r="580" spans="2:10">
      <c r="B580" s="1156"/>
      <c r="C580" s="1156"/>
      <c r="D580" s="1180"/>
      <c r="E580" s="1180"/>
      <c r="F580" s="1180"/>
      <c r="G580" s="1180"/>
      <c r="H580" s="1150"/>
      <c r="I580" s="1150"/>
      <c r="J580" s="1150"/>
    </row>
    <row r="581" spans="2:10">
      <c r="B581" s="1156"/>
      <c r="C581" s="1156"/>
      <c r="D581" s="1180"/>
      <c r="E581" s="1180"/>
      <c r="F581" s="1180"/>
      <c r="G581" s="1180"/>
      <c r="H581" s="1150"/>
      <c r="I581" s="1150"/>
      <c r="J581" s="1150"/>
    </row>
    <row r="582" spans="2:10">
      <c r="B582" s="1156"/>
      <c r="C582" s="1156"/>
      <c r="D582" s="1180"/>
      <c r="E582" s="1180"/>
      <c r="F582" s="1180"/>
      <c r="G582" s="1180"/>
      <c r="H582" s="1150"/>
      <c r="I582" s="1150"/>
      <c r="J582" s="1150"/>
    </row>
    <row r="583" spans="2:10">
      <c r="B583" s="1156"/>
      <c r="C583" s="1156"/>
      <c r="D583" s="1180"/>
      <c r="E583" s="1180"/>
      <c r="F583" s="1180"/>
      <c r="G583" s="1180"/>
      <c r="H583" s="1150"/>
      <c r="I583" s="1150"/>
      <c r="J583" s="1150"/>
    </row>
    <row r="584" spans="2:10">
      <c r="B584" s="1156"/>
      <c r="C584" s="1156"/>
      <c r="D584" s="1180"/>
      <c r="E584" s="1180"/>
      <c r="F584" s="1180"/>
      <c r="G584" s="1180"/>
      <c r="H584" s="1150"/>
      <c r="I584" s="1150"/>
      <c r="J584" s="1150"/>
    </row>
    <row r="585" spans="2:10">
      <c r="B585" s="1156"/>
      <c r="C585" s="1156"/>
      <c r="D585" s="1180"/>
      <c r="E585" s="1180"/>
      <c r="F585" s="1180"/>
      <c r="G585" s="1180"/>
      <c r="H585" s="1150"/>
      <c r="I585" s="1150"/>
      <c r="J585" s="1150"/>
    </row>
    <row r="586" spans="2:10">
      <c r="B586" s="1156"/>
      <c r="C586" s="1156"/>
      <c r="D586" s="1180"/>
      <c r="E586" s="1180"/>
      <c r="F586" s="1180"/>
      <c r="G586" s="1180"/>
      <c r="H586" s="1150"/>
      <c r="I586" s="1150"/>
      <c r="J586" s="1150"/>
    </row>
    <row r="587" spans="2:10">
      <c r="B587" s="1156"/>
      <c r="C587" s="1156"/>
      <c r="D587" s="1180"/>
      <c r="E587" s="1180"/>
      <c r="F587" s="1180"/>
      <c r="G587" s="1180"/>
      <c r="H587" s="1150"/>
      <c r="I587" s="1150"/>
      <c r="J587" s="1150"/>
    </row>
    <row r="588" spans="2:10">
      <c r="B588" s="1156"/>
      <c r="C588" s="1156"/>
      <c r="D588" s="1180"/>
      <c r="E588" s="1180"/>
      <c r="F588" s="1180"/>
      <c r="G588" s="1180"/>
      <c r="H588" s="1150"/>
      <c r="I588" s="1150"/>
      <c r="J588" s="1150"/>
    </row>
    <row r="589" spans="2:10">
      <c r="B589" s="1156"/>
      <c r="C589" s="1156"/>
      <c r="D589" s="1180"/>
      <c r="E589" s="1180"/>
      <c r="F589" s="1180"/>
      <c r="G589" s="1180"/>
      <c r="H589" s="1150"/>
      <c r="I589" s="1150"/>
      <c r="J589" s="1150"/>
    </row>
    <row r="590" spans="2:10">
      <c r="B590" s="1156"/>
      <c r="C590" s="1156"/>
      <c r="D590" s="1180"/>
      <c r="E590" s="1180"/>
      <c r="F590" s="1180"/>
      <c r="G590" s="1180"/>
      <c r="H590" s="1150"/>
      <c r="I590" s="1150"/>
      <c r="J590" s="1150"/>
    </row>
    <row r="591" spans="2:10">
      <c r="B591" s="1156"/>
      <c r="C591" s="1156"/>
      <c r="D591" s="1180"/>
      <c r="E591" s="1180"/>
      <c r="F591" s="1180"/>
      <c r="G591" s="1180"/>
      <c r="H591" s="1150"/>
      <c r="I591" s="1150"/>
      <c r="J591" s="1150"/>
    </row>
    <row r="592" spans="2:10">
      <c r="B592" s="1156"/>
      <c r="C592" s="1156"/>
      <c r="D592" s="1180"/>
      <c r="E592" s="1180"/>
      <c r="F592" s="1180"/>
      <c r="G592" s="1180"/>
      <c r="H592" s="1150"/>
      <c r="I592" s="1150"/>
      <c r="J592" s="1150"/>
    </row>
    <row r="593" spans="2:10">
      <c r="B593" s="1156"/>
      <c r="C593" s="1156"/>
      <c r="D593" s="1180"/>
      <c r="E593" s="1180"/>
      <c r="F593" s="1180"/>
      <c r="G593" s="1180"/>
      <c r="H593" s="1150"/>
      <c r="I593" s="1150"/>
      <c r="J593" s="1150"/>
    </row>
    <row r="594" spans="2:10">
      <c r="B594" s="1156"/>
      <c r="C594" s="1156"/>
      <c r="D594" s="1180"/>
      <c r="E594" s="1180"/>
      <c r="F594" s="1180"/>
      <c r="G594" s="1180"/>
      <c r="H594" s="1150"/>
      <c r="I594" s="1150"/>
      <c r="J594" s="1150"/>
    </row>
    <row r="595" spans="2:10">
      <c r="B595" s="1156"/>
      <c r="C595" s="1156"/>
      <c r="D595" s="1180"/>
      <c r="E595" s="1180"/>
      <c r="F595" s="1180"/>
      <c r="G595" s="1180"/>
      <c r="H595" s="1150"/>
      <c r="I595" s="1150"/>
      <c r="J595" s="1150"/>
    </row>
    <row r="596" spans="2:10">
      <c r="B596" s="1156"/>
      <c r="C596" s="1156"/>
      <c r="D596" s="1180"/>
      <c r="E596" s="1180"/>
      <c r="F596" s="1180"/>
      <c r="G596" s="1180"/>
      <c r="H596" s="1150"/>
      <c r="I596" s="1150"/>
      <c r="J596" s="1150"/>
    </row>
    <row r="597" spans="2:10">
      <c r="B597" s="1156"/>
      <c r="C597" s="1156"/>
      <c r="D597" s="1180"/>
      <c r="E597" s="1180"/>
      <c r="F597" s="1180"/>
      <c r="G597" s="1180"/>
      <c r="H597" s="1150"/>
      <c r="I597" s="1150"/>
      <c r="J597" s="1150"/>
    </row>
    <row r="598" spans="2:10">
      <c r="B598" s="1156"/>
      <c r="C598" s="1156"/>
      <c r="D598" s="1180"/>
      <c r="E598" s="1180"/>
      <c r="F598" s="1180"/>
      <c r="G598" s="1180"/>
      <c r="H598" s="1150"/>
      <c r="I598" s="1150"/>
      <c r="J598" s="1150"/>
    </row>
    <row r="599" spans="2:10">
      <c r="B599" s="1156"/>
      <c r="C599" s="1156"/>
      <c r="D599" s="1180"/>
      <c r="E599" s="1180"/>
      <c r="F599" s="1180"/>
      <c r="G599" s="1180"/>
      <c r="H599" s="1150"/>
      <c r="I599" s="1150"/>
      <c r="J599" s="1150"/>
    </row>
    <row r="600" spans="2:10">
      <c r="B600" s="1156"/>
      <c r="C600" s="1156"/>
      <c r="D600" s="1180"/>
      <c r="E600" s="1180"/>
      <c r="F600" s="1180"/>
      <c r="G600" s="1180"/>
      <c r="H600" s="1150"/>
      <c r="I600" s="1150"/>
      <c r="J600" s="1150"/>
    </row>
    <row r="601" spans="2:10">
      <c r="B601" s="1156"/>
      <c r="C601" s="1156"/>
      <c r="D601" s="1180"/>
      <c r="E601" s="1180"/>
      <c r="F601" s="1180"/>
      <c r="G601" s="1180"/>
      <c r="H601" s="1150"/>
      <c r="I601" s="1150"/>
      <c r="J601" s="1150"/>
    </row>
    <row r="602" spans="2:10">
      <c r="B602" s="1156"/>
      <c r="C602" s="1156"/>
      <c r="D602" s="1180"/>
      <c r="E602" s="1180"/>
      <c r="F602" s="1180"/>
      <c r="G602" s="1180"/>
      <c r="H602" s="1150"/>
      <c r="I602" s="1150"/>
      <c r="J602" s="1150"/>
    </row>
    <row r="603" spans="2:10">
      <c r="B603" s="1156"/>
      <c r="C603" s="1156"/>
      <c r="D603" s="1180"/>
      <c r="E603" s="1180"/>
      <c r="F603" s="1180"/>
      <c r="G603" s="1180"/>
      <c r="H603" s="1150"/>
      <c r="I603" s="1150"/>
      <c r="J603" s="1150"/>
    </row>
    <row r="604" spans="2:10">
      <c r="B604" s="1156"/>
      <c r="C604" s="1156"/>
      <c r="D604" s="1180"/>
      <c r="E604" s="1180"/>
      <c r="F604" s="1180"/>
      <c r="G604" s="1180"/>
      <c r="H604" s="1150"/>
      <c r="I604" s="1150"/>
      <c r="J604" s="1150"/>
    </row>
    <row r="605" spans="2:10">
      <c r="B605" s="1156"/>
      <c r="C605" s="1156"/>
      <c r="D605" s="1180"/>
      <c r="E605" s="1180"/>
      <c r="F605" s="1180"/>
      <c r="G605" s="1180"/>
      <c r="H605" s="1150"/>
      <c r="I605" s="1150"/>
      <c r="J605" s="1150"/>
    </row>
    <row r="606" spans="2:10">
      <c r="B606" s="1156"/>
      <c r="C606" s="1156"/>
      <c r="D606" s="1180"/>
      <c r="E606" s="1180"/>
      <c r="F606" s="1180"/>
      <c r="G606" s="1180"/>
      <c r="H606" s="1150"/>
      <c r="I606" s="1150"/>
      <c r="J606" s="1150"/>
    </row>
    <row r="607" spans="2:10">
      <c r="B607" s="1156"/>
      <c r="C607" s="1156"/>
      <c r="D607" s="1180"/>
      <c r="E607" s="1180"/>
      <c r="F607" s="1180"/>
      <c r="G607" s="1180"/>
      <c r="H607" s="1150"/>
      <c r="I607" s="1150"/>
      <c r="J607" s="1150"/>
    </row>
    <row r="608" spans="2:10">
      <c r="B608" s="1156"/>
      <c r="C608" s="1156"/>
      <c r="D608" s="1180"/>
      <c r="E608" s="1180"/>
      <c r="F608" s="1180"/>
      <c r="G608" s="1180"/>
      <c r="H608" s="1150"/>
      <c r="I608" s="1150"/>
      <c r="J608" s="1150"/>
    </row>
    <row r="609" spans="2:10">
      <c r="B609" s="1156"/>
      <c r="C609" s="1156"/>
      <c r="D609" s="1180"/>
      <c r="E609" s="1180"/>
      <c r="F609" s="1180"/>
      <c r="G609" s="1180"/>
      <c r="H609" s="1150"/>
      <c r="I609" s="1150"/>
      <c r="J609" s="1150"/>
    </row>
    <row r="610" spans="2:10">
      <c r="B610" s="1156"/>
      <c r="C610" s="1156"/>
      <c r="D610" s="1180"/>
      <c r="E610" s="1180"/>
      <c r="F610" s="1180"/>
      <c r="G610" s="1180"/>
      <c r="H610" s="1150"/>
      <c r="I610" s="1150"/>
      <c r="J610" s="1150"/>
    </row>
    <row r="611" spans="2:10">
      <c r="B611" s="1156"/>
      <c r="C611" s="1156"/>
      <c r="D611" s="1180"/>
      <c r="E611" s="1180"/>
      <c r="F611" s="1180"/>
      <c r="G611" s="1180"/>
      <c r="H611" s="1150"/>
      <c r="I611" s="1150"/>
      <c r="J611" s="1150"/>
    </row>
    <row r="612" spans="2:10">
      <c r="B612" s="1156"/>
      <c r="C612" s="1156"/>
      <c r="D612" s="1180"/>
      <c r="E612" s="1180"/>
      <c r="F612" s="1180"/>
      <c r="G612" s="1180"/>
      <c r="H612" s="1150"/>
      <c r="I612" s="1150"/>
      <c r="J612" s="1150"/>
    </row>
    <row r="613" spans="2:10">
      <c r="B613" s="1156"/>
      <c r="C613" s="1156"/>
      <c r="D613" s="1180"/>
      <c r="E613" s="1180"/>
      <c r="F613" s="1180"/>
      <c r="G613" s="1180"/>
      <c r="H613" s="1150"/>
      <c r="I613" s="1150"/>
      <c r="J613" s="1150"/>
    </row>
    <row r="614" spans="2:10">
      <c r="B614" s="1156"/>
      <c r="C614" s="1156"/>
      <c r="D614" s="1180"/>
      <c r="E614" s="1180"/>
      <c r="F614" s="1180"/>
      <c r="G614" s="1180"/>
      <c r="H614" s="1150"/>
      <c r="I614" s="1150"/>
      <c r="J614" s="1150"/>
    </row>
    <row r="615" spans="2:10">
      <c r="B615" s="1156"/>
      <c r="C615" s="1156"/>
      <c r="D615" s="1180"/>
      <c r="E615" s="1180"/>
      <c r="F615" s="1180"/>
      <c r="G615" s="1180"/>
      <c r="H615" s="1150"/>
      <c r="I615" s="1150"/>
      <c r="J615" s="1150"/>
    </row>
    <row r="616" spans="2:10">
      <c r="B616" s="1156"/>
      <c r="C616" s="1156"/>
      <c r="D616" s="1180"/>
      <c r="E616" s="1180"/>
      <c r="F616" s="1180"/>
      <c r="G616" s="1180"/>
      <c r="H616" s="1150"/>
      <c r="I616" s="1150"/>
      <c r="J616" s="1150"/>
    </row>
    <row r="617" spans="2:10">
      <c r="B617" s="1156"/>
      <c r="C617" s="1156"/>
      <c r="D617" s="1180"/>
      <c r="E617" s="1180"/>
      <c r="F617" s="1180"/>
      <c r="G617" s="1180"/>
      <c r="H617" s="1150"/>
      <c r="I617" s="1150"/>
      <c r="J617" s="1150"/>
    </row>
    <row r="618" spans="2:10">
      <c r="B618" s="1156"/>
      <c r="C618" s="1156"/>
      <c r="D618" s="1180"/>
      <c r="E618" s="1180"/>
      <c r="F618" s="1180"/>
      <c r="G618" s="1180"/>
      <c r="H618" s="1150"/>
      <c r="I618" s="1150"/>
      <c r="J618" s="1150"/>
    </row>
    <row r="619" spans="2:10">
      <c r="B619" s="1156"/>
      <c r="C619" s="1156"/>
      <c r="D619" s="1180"/>
      <c r="E619" s="1180"/>
      <c r="F619" s="1180"/>
      <c r="G619" s="1180"/>
      <c r="H619" s="1150"/>
      <c r="I619" s="1150"/>
      <c r="J619" s="1150"/>
    </row>
    <row r="620" spans="2:10">
      <c r="B620" s="1156"/>
      <c r="C620" s="1156"/>
      <c r="D620" s="1180"/>
      <c r="E620" s="1180"/>
      <c r="F620" s="1180"/>
      <c r="G620" s="1180"/>
      <c r="H620" s="1150"/>
      <c r="I620" s="1150"/>
      <c r="J620" s="1150"/>
    </row>
    <row r="621" spans="2:10">
      <c r="B621" s="1156"/>
      <c r="C621" s="1156"/>
      <c r="D621" s="1180"/>
      <c r="E621" s="1180"/>
      <c r="F621" s="1180"/>
      <c r="G621" s="1180"/>
      <c r="H621" s="1150"/>
      <c r="I621" s="1150"/>
      <c r="J621" s="1150"/>
    </row>
    <row r="622" spans="2:10">
      <c r="B622" s="1156"/>
      <c r="C622" s="1156"/>
      <c r="D622" s="1180"/>
      <c r="E622" s="1180"/>
      <c r="F622" s="1180"/>
      <c r="G622" s="1180"/>
      <c r="H622" s="1150"/>
      <c r="I622" s="1150"/>
      <c r="J622" s="1150"/>
    </row>
    <row r="623" spans="2:10">
      <c r="B623" s="1156"/>
      <c r="C623" s="1156"/>
      <c r="D623" s="1180"/>
      <c r="E623" s="1180"/>
      <c r="F623" s="1180"/>
      <c r="G623" s="1180"/>
      <c r="H623" s="1150"/>
      <c r="I623" s="1150"/>
      <c r="J623" s="1150"/>
    </row>
    <row r="624" spans="2:10">
      <c r="B624" s="1156"/>
      <c r="C624" s="1156"/>
      <c r="D624" s="1180"/>
      <c r="E624" s="1180"/>
      <c r="F624" s="1180"/>
      <c r="G624" s="1180"/>
      <c r="H624" s="1150"/>
      <c r="I624" s="1150"/>
      <c r="J624" s="1150"/>
    </row>
    <row r="625" spans="2:10">
      <c r="B625" s="1156"/>
      <c r="C625" s="1156"/>
      <c r="D625" s="1180"/>
      <c r="E625" s="1180"/>
      <c r="F625" s="1180"/>
      <c r="G625" s="1180"/>
      <c r="H625" s="1150"/>
      <c r="I625" s="1150"/>
      <c r="J625" s="1150"/>
    </row>
    <row r="626" spans="2:10">
      <c r="B626" s="1156"/>
      <c r="C626" s="1156"/>
      <c r="D626" s="1180"/>
      <c r="E626" s="1180"/>
      <c r="F626" s="1180"/>
      <c r="G626" s="1180"/>
      <c r="H626" s="1150"/>
      <c r="I626" s="1150"/>
      <c r="J626" s="1150"/>
    </row>
    <row r="627" spans="2:10">
      <c r="B627" s="1156"/>
      <c r="C627" s="1156"/>
      <c r="D627" s="1180"/>
      <c r="E627" s="1180"/>
      <c r="F627" s="1180"/>
      <c r="G627" s="1180"/>
      <c r="H627" s="1150"/>
      <c r="I627" s="1150"/>
      <c r="J627" s="1150"/>
    </row>
    <row r="628" spans="2:10">
      <c r="B628" s="1156"/>
      <c r="C628" s="1156"/>
      <c r="D628" s="1180"/>
      <c r="E628" s="1180"/>
      <c r="F628" s="1180"/>
      <c r="G628" s="1180"/>
      <c r="H628" s="1150"/>
      <c r="I628" s="1150"/>
      <c r="J628" s="1150"/>
    </row>
    <row r="629" spans="2:10">
      <c r="B629" s="1156"/>
      <c r="C629" s="1156"/>
      <c r="D629" s="1180"/>
      <c r="E629" s="1180"/>
      <c r="F629" s="1180"/>
      <c r="G629" s="1180"/>
      <c r="H629" s="1150"/>
      <c r="I629" s="1150"/>
      <c r="J629" s="1150"/>
    </row>
    <row r="630" spans="2:10">
      <c r="B630" s="1156"/>
      <c r="C630" s="1156"/>
      <c r="D630" s="1180"/>
      <c r="E630" s="1180"/>
      <c r="F630" s="1180"/>
      <c r="G630" s="1180"/>
      <c r="H630" s="1150"/>
      <c r="I630" s="1150"/>
      <c r="J630" s="1150"/>
    </row>
    <row r="631" spans="2:10">
      <c r="B631" s="1156"/>
      <c r="C631" s="1156"/>
      <c r="D631" s="1180"/>
      <c r="E631" s="1180"/>
      <c r="F631" s="1180"/>
      <c r="G631" s="1180"/>
      <c r="H631" s="1150"/>
      <c r="I631" s="1150"/>
      <c r="J631" s="1150"/>
    </row>
    <row r="632" spans="2:10">
      <c r="B632" s="1156"/>
      <c r="C632" s="1156"/>
      <c r="D632" s="1180"/>
      <c r="E632" s="1180"/>
      <c r="F632" s="1180"/>
      <c r="G632" s="1180"/>
      <c r="H632" s="1150"/>
      <c r="I632" s="1150"/>
      <c r="J632" s="1150"/>
    </row>
    <row r="633" spans="2:10">
      <c r="B633" s="1156"/>
      <c r="C633" s="1156"/>
      <c r="D633" s="1180"/>
      <c r="E633" s="1180"/>
      <c r="F633" s="1180"/>
      <c r="G633" s="1180"/>
      <c r="H633" s="1150"/>
      <c r="I633" s="1150"/>
      <c r="J633" s="1150"/>
    </row>
    <row r="634" spans="2:10">
      <c r="B634" s="1156"/>
      <c r="C634" s="1156"/>
      <c r="D634" s="1180"/>
      <c r="E634" s="1180"/>
      <c r="F634" s="1180"/>
      <c r="G634" s="1180"/>
      <c r="H634" s="1150"/>
      <c r="I634" s="1150"/>
      <c r="J634" s="1150"/>
    </row>
    <row r="635" spans="2:10">
      <c r="B635" s="1156"/>
      <c r="C635" s="1156"/>
      <c r="D635" s="1180"/>
      <c r="E635" s="1180"/>
      <c r="F635" s="1180"/>
      <c r="G635" s="1180"/>
      <c r="H635" s="1150"/>
      <c r="I635" s="1150"/>
      <c r="J635" s="1150"/>
    </row>
    <row r="636" spans="2:10">
      <c r="B636" s="1156"/>
      <c r="C636" s="1156"/>
      <c r="D636" s="1180"/>
      <c r="E636" s="1180"/>
      <c r="F636" s="1180"/>
      <c r="G636" s="1180"/>
      <c r="H636" s="1150"/>
      <c r="I636" s="1150"/>
      <c r="J636" s="1150"/>
    </row>
    <row r="637" spans="2:10">
      <c r="B637" s="1156"/>
      <c r="C637" s="1156"/>
      <c r="D637" s="1180"/>
      <c r="E637" s="1180"/>
      <c r="F637" s="1180"/>
      <c r="G637" s="1180"/>
      <c r="H637" s="1150"/>
      <c r="I637" s="1150"/>
      <c r="J637" s="1150"/>
    </row>
    <row r="638" spans="2:10">
      <c r="B638" s="1156"/>
      <c r="C638" s="1156"/>
      <c r="D638" s="1180"/>
      <c r="E638" s="1180"/>
      <c r="F638" s="1180"/>
      <c r="G638" s="1180"/>
      <c r="H638" s="1150"/>
      <c r="I638" s="1150"/>
      <c r="J638" s="1150"/>
    </row>
    <row r="639" spans="2:10">
      <c r="B639" s="1156"/>
      <c r="C639" s="1156"/>
      <c r="D639" s="1180"/>
      <c r="E639" s="1180"/>
      <c r="F639" s="1180"/>
      <c r="G639" s="1180"/>
      <c r="H639" s="1150"/>
      <c r="I639" s="1150"/>
      <c r="J639" s="1150"/>
    </row>
    <row r="640" spans="2:10">
      <c r="B640" s="1156"/>
      <c r="C640" s="1156"/>
      <c r="D640" s="1180"/>
      <c r="E640" s="1180"/>
      <c r="F640" s="1180"/>
      <c r="G640" s="1180"/>
      <c r="H640" s="1150"/>
      <c r="I640" s="1150"/>
      <c r="J640" s="1150"/>
    </row>
    <row r="641" spans="2:10">
      <c r="B641" s="1156"/>
      <c r="C641" s="1156"/>
      <c r="D641" s="1180"/>
      <c r="E641" s="1180"/>
      <c r="F641" s="1180"/>
      <c r="G641" s="1180"/>
      <c r="H641" s="1150"/>
      <c r="I641" s="1150"/>
      <c r="J641" s="1150"/>
    </row>
    <row r="642" spans="2:10">
      <c r="B642" s="1156"/>
      <c r="C642" s="1156"/>
      <c r="D642" s="1180"/>
      <c r="E642" s="1180"/>
      <c r="F642" s="1180"/>
      <c r="G642" s="1180"/>
      <c r="H642" s="1150"/>
      <c r="I642" s="1150"/>
      <c r="J642" s="1150"/>
    </row>
    <row r="643" spans="2:10">
      <c r="B643" s="1156"/>
      <c r="C643" s="1156"/>
      <c r="D643" s="1180"/>
      <c r="E643" s="1180"/>
      <c r="F643" s="1180"/>
      <c r="G643" s="1180"/>
      <c r="H643" s="1150"/>
      <c r="I643" s="1150"/>
      <c r="J643" s="1150"/>
    </row>
    <row r="644" spans="2:10">
      <c r="B644" s="1156"/>
      <c r="C644" s="1156"/>
      <c r="D644" s="1180"/>
      <c r="E644" s="1180"/>
      <c r="F644" s="1180"/>
      <c r="G644" s="1180"/>
      <c r="H644" s="1150"/>
      <c r="I644" s="1150"/>
      <c r="J644" s="1150"/>
    </row>
    <row r="645" spans="2:10">
      <c r="B645" s="1156"/>
      <c r="C645" s="1156"/>
      <c r="D645" s="1180"/>
      <c r="E645" s="1180"/>
      <c r="F645" s="1180"/>
      <c r="G645" s="1180"/>
      <c r="H645" s="1150"/>
      <c r="I645" s="1150"/>
      <c r="J645" s="1150"/>
    </row>
    <row r="646" spans="2:10">
      <c r="B646" s="1156"/>
      <c r="C646" s="1156"/>
      <c r="D646" s="1180"/>
      <c r="E646" s="1180"/>
      <c r="F646" s="1180"/>
      <c r="G646" s="1180"/>
      <c r="H646" s="1150"/>
      <c r="I646" s="1150"/>
      <c r="J646" s="1150"/>
    </row>
    <row r="647" spans="2:10">
      <c r="B647" s="1156"/>
      <c r="C647" s="1156"/>
      <c r="D647" s="1180"/>
      <c r="E647" s="1180"/>
      <c r="F647" s="1180"/>
      <c r="G647" s="1180"/>
      <c r="H647" s="1150"/>
      <c r="I647" s="1150"/>
      <c r="J647" s="1150"/>
    </row>
    <row r="648" spans="2:10">
      <c r="B648" s="1156"/>
      <c r="C648" s="1156"/>
      <c r="D648" s="1180"/>
      <c r="E648" s="1180"/>
      <c r="F648" s="1180"/>
      <c r="G648" s="1180"/>
      <c r="H648" s="1150"/>
      <c r="I648" s="1150"/>
      <c r="J648" s="1150"/>
    </row>
    <row r="649" spans="2:10">
      <c r="B649" s="1156"/>
      <c r="C649" s="1156"/>
      <c r="D649" s="1180"/>
      <c r="E649" s="1180"/>
      <c r="F649" s="1180"/>
      <c r="G649" s="1180"/>
      <c r="H649" s="1150"/>
      <c r="I649" s="1150"/>
      <c r="J649" s="1150"/>
    </row>
    <row r="650" spans="2:10">
      <c r="B650" s="1156"/>
      <c r="C650" s="1156"/>
      <c r="D650" s="1180"/>
      <c r="E650" s="1180"/>
      <c r="F650" s="1180"/>
      <c r="G650" s="1180"/>
      <c r="H650" s="1150"/>
      <c r="I650" s="1150"/>
      <c r="J650" s="1150"/>
    </row>
    <row r="651" spans="2:10">
      <c r="B651" s="1156"/>
      <c r="C651" s="1156"/>
      <c r="D651" s="1180"/>
      <c r="E651" s="1180"/>
      <c r="F651" s="1180"/>
      <c r="G651" s="1180"/>
      <c r="H651" s="1150"/>
      <c r="I651" s="1150"/>
      <c r="J651" s="1150"/>
    </row>
    <row r="652" spans="2:10">
      <c r="B652" s="1156"/>
      <c r="C652" s="1156"/>
      <c r="D652" s="1180"/>
      <c r="E652" s="1180"/>
      <c r="F652" s="1180"/>
      <c r="G652" s="1180"/>
      <c r="H652" s="1150"/>
      <c r="I652" s="1150"/>
      <c r="J652" s="1150"/>
    </row>
    <row r="653" spans="2:10">
      <c r="B653" s="1156"/>
      <c r="C653" s="1156"/>
      <c r="D653" s="1180"/>
      <c r="E653" s="1180"/>
      <c r="F653" s="1180"/>
      <c r="G653" s="1180"/>
      <c r="H653" s="1150"/>
      <c r="I653" s="1150"/>
      <c r="J653" s="1150"/>
    </row>
    <row r="654" spans="2:10">
      <c r="B654" s="1156"/>
      <c r="C654" s="1156"/>
      <c r="D654" s="1180"/>
      <c r="E654" s="1180"/>
      <c r="F654" s="1180"/>
      <c r="G654" s="1180"/>
      <c r="H654" s="1150"/>
      <c r="I654" s="1150"/>
      <c r="J654" s="1150"/>
    </row>
    <row r="655" spans="2:10">
      <c r="B655" s="1156"/>
      <c r="C655" s="1156"/>
      <c r="D655" s="1180"/>
      <c r="E655" s="1180"/>
      <c r="F655" s="1180"/>
      <c r="G655" s="1180"/>
      <c r="H655" s="1150"/>
      <c r="I655" s="1150"/>
      <c r="J655" s="1150"/>
    </row>
    <row r="656" spans="2:10">
      <c r="B656" s="1156"/>
      <c r="C656" s="1156"/>
      <c r="D656" s="1180"/>
      <c r="E656" s="1180"/>
      <c r="F656" s="1180"/>
      <c r="G656" s="1180"/>
      <c r="H656" s="1150"/>
      <c r="I656" s="1150"/>
      <c r="J656" s="1150"/>
    </row>
    <row r="657" spans="2:10">
      <c r="B657" s="1156"/>
      <c r="C657" s="1156"/>
      <c r="D657" s="1180"/>
      <c r="E657" s="1180"/>
      <c r="F657" s="1180"/>
      <c r="G657" s="1180"/>
      <c r="H657" s="1150"/>
      <c r="I657" s="1150"/>
      <c r="J657" s="1150"/>
    </row>
    <row r="658" spans="2:10">
      <c r="B658" s="1156"/>
      <c r="C658" s="1156"/>
      <c r="D658" s="1180"/>
      <c r="E658" s="1180"/>
      <c r="F658" s="1180"/>
      <c r="G658" s="1180"/>
      <c r="H658" s="1150"/>
      <c r="I658" s="1150"/>
      <c r="J658" s="1150"/>
    </row>
    <row r="659" spans="2:10">
      <c r="B659" s="1156"/>
      <c r="C659" s="1156"/>
      <c r="D659" s="1180"/>
      <c r="E659" s="1180"/>
      <c r="F659" s="1180"/>
      <c r="G659" s="1180"/>
      <c r="H659" s="1150"/>
      <c r="I659" s="1150"/>
      <c r="J659" s="1150"/>
    </row>
    <row r="660" spans="2:10">
      <c r="B660" s="1156"/>
      <c r="C660" s="1156"/>
      <c r="D660" s="1180"/>
      <c r="E660" s="1180"/>
      <c r="F660" s="1180"/>
      <c r="G660" s="1180"/>
      <c r="H660" s="1150"/>
      <c r="I660" s="1150"/>
      <c r="J660" s="1150"/>
    </row>
    <row r="661" spans="2:10">
      <c r="B661" s="1156"/>
      <c r="C661" s="1156"/>
      <c r="D661" s="1180"/>
      <c r="E661" s="1180"/>
      <c r="F661" s="1180"/>
      <c r="G661" s="1180"/>
      <c r="H661" s="1150"/>
      <c r="I661" s="1150"/>
      <c r="J661" s="1150"/>
    </row>
    <row r="662" spans="2:10">
      <c r="B662" s="1156"/>
      <c r="C662" s="1156"/>
      <c r="D662" s="1180"/>
      <c r="E662" s="1180"/>
      <c r="F662" s="1180"/>
      <c r="G662" s="1180"/>
      <c r="H662" s="1150"/>
      <c r="I662" s="1150"/>
      <c r="J662" s="1150"/>
    </row>
    <row r="663" spans="2:10">
      <c r="B663" s="1156"/>
      <c r="C663" s="1156"/>
      <c r="D663" s="1180"/>
      <c r="E663" s="1180"/>
      <c r="F663" s="1180"/>
      <c r="G663" s="1180"/>
      <c r="H663" s="1150"/>
      <c r="I663" s="1150"/>
      <c r="J663" s="1150"/>
    </row>
    <row r="664" spans="2:10">
      <c r="B664" s="1156"/>
      <c r="C664" s="1156"/>
      <c r="D664" s="1180"/>
      <c r="E664" s="1180"/>
      <c r="F664" s="1180"/>
      <c r="G664" s="1180"/>
      <c r="H664" s="1150"/>
      <c r="I664" s="1150"/>
      <c r="J664" s="1150"/>
    </row>
    <row r="665" spans="2:10">
      <c r="B665" s="1156"/>
      <c r="C665" s="1156"/>
      <c r="D665" s="1180"/>
      <c r="E665" s="1180"/>
      <c r="F665" s="1180"/>
      <c r="G665" s="1180"/>
      <c r="H665" s="1150"/>
      <c r="I665" s="1150"/>
      <c r="J665" s="1150"/>
    </row>
    <row r="666" spans="2:10">
      <c r="B666" s="1156"/>
      <c r="C666" s="1156"/>
      <c r="D666" s="1180"/>
      <c r="E666" s="1180"/>
      <c r="F666" s="1180"/>
      <c r="G666" s="1180"/>
      <c r="H666" s="1150"/>
      <c r="I666" s="1150"/>
      <c r="J666" s="1150"/>
    </row>
    <row r="667" spans="2:10">
      <c r="B667" s="1156"/>
      <c r="C667" s="1156"/>
      <c r="D667" s="1180"/>
      <c r="E667" s="1180"/>
      <c r="F667" s="1180"/>
      <c r="G667" s="1180"/>
      <c r="H667" s="1150"/>
      <c r="I667" s="1150"/>
      <c r="J667" s="1150"/>
    </row>
    <row r="668" spans="2:10">
      <c r="B668" s="1156"/>
      <c r="C668" s="1156"/>
      <c r="D668" s="1180"/>
      <c r="E668" s="1180"/>
      <c r="F668" s="1180"/>
      <c r="G668" s="1180"/>
      <c r="H668" s="1150"/>
      <c r="I668" s="1150"/>
      <c r="J668" s="1150"/>
    </row>
    <row r="669" spans="2:10">
      <c r="B669" s="1156"/>
      <c r="C669" s="1156"/>
      <c r="D669" s="1180"/>
      <c r="E669" s="1180"/>
      <c r="F669" s="1180"/>
      <c r="G669" s="1180"/>
      <c r="H669" s="1150"/>
      <c r="I669" s="1150"/>
      <c r="J669" s="1150"/>
    </row>
    <row r="670" spans="2:10">
      <c r="B670" s="1156"/>
      <c r="C670" s="1156"/>
      <c r="D670" s="1180"/>
      <c r="E670" s="1180"/>
      <c r="F670" s="1180"/>
      <c r="G670" s="1180"/>
      <c r="H670" s="1150"/>
      <c r="I670" s="1150"/>
      <c r="J670" s="1150"/>
    </row>
    <row r="671" spans="2:10">
      <c r="B671" s="1156"/>
      <c r="C671" s="1156"/>
      <c r="D671" s="1180"/>
      <c r="E671" s="1180"/>
      <c r="F671" s="1180"/>
      <c r="G671" s="1180"/>
      <c r="H671" s="1150"/>
      <c r="I671" s="1150"/>
      <c r="J671" s="1150"/>
    </row>
    <row r="672" spans="2:10">
      <c r="B672" s="1156"/>
      <c r="C672" s="1156"/>
      <c r="D672" s="1180"/>
      <c r="E672" s="1180"/>
      <c r="F672" s="1180"/>
      <c r="G672" s="1180"/>
      <c r="H672" s="1150"/>
      <c r="I672" s="1150"/>
      <c r="J672" s="1150"/>
    </row>
    <row r="673" spans="2:10">
      <c r="B673" s="1156"/>
      <c r="C673" s="1156"/>
      <c r="D673" s="1180"/>
      <c r="E673" s="1180"/>
      <c r="F673" s="1180"/>
      <c r="G673" s="1180"/>
      <c r="H673" s="1150"/>
      <c r="I673" s="1150"/>
      <c r="J673" s="1150"/>
    </row>
    <row r="674" spans="2:10">
      <c r="B674" s="1156"/>
      <c r="C674" s="1156"/>
      <c r="D674" s="1180"/>
      <c r="E674" s="1180"/>
      <c r="F674" s="1180"/>
      <c r="G674" s="1180"/>
      <c r="H674" s="1150"/>
      <c r="I674" s="1150"/>
      <c r="J674" s="1150"/>
    </row>
    <row r="675" spans="2:10">
      <c r="B675" s="1156"/>
      <c r="C675" s="1156"/>
      <c r="D675" s="1180"/>
      <c r="E675" s="1180"/>
      <c r="F675" s="1180"/>
      <c r="G675" s="1180"/>
      <c r="H675" s="1150"/>
      <c r="I675" s="1150"/>
      <c r="J675" s="1150"/>
    </row>
    <row r="676" spans="2:10">
      <c r="B676" s="1156"/>
      <c r="C676" s="1156"/>
      <c r="D676" s="1180"/>
      <c r="E676" s="1180"/>
      <c r="F676" s="1180"/>
      <c r="G676" s="1180"/>
      <c r="H676" s="1150"/>
      <c r="I676" s="1150"/>
      <c r="J676" s="1150"/>
    </row>
    <row r="677" spans="2:10">
      <c r="B677" s="1156"/>
      <c r="C677" s="1156"/>
      <c r="D677" s="1180"/>
      <c r="E677" s="1180"/>
      <c r="F677" s="1180"/>
      <c r="G677" s="1180"/>
      <c r="H677" s="1150"/>
      <c r="I677" s="1150"/>
      <c r="J677" s="1150"/>
    </row>
    <row r="678" spans="2:10">
      <c r="B678" s="1156"/>
      <c r="C678" s="1156"/>
      <c r="D678" s="1180"/>
      <c r="E678" s="1180"/>
      <c r="F678" s="1180"/>
      <c r="G678" s="1180"/>
      <c r="H678" s="1150"/>
      <c r="I678" s="1150"/>
      <c r="J678" s="1150"/>
    </row>
    <row r="679" spans="2:10">
      <c r="B679" s="1156"/>
      <c r="C679" s="1156"/>
      <c r="D679" s="1180"/>
      <c r="E679" s="1180"/>
      <c r="F679" s="1180"/>
      <c r="G679" s="1180"/>
      <c r="H679" s="1150"/>
      <c r="I679" s="1150"/>
      <c r="J679" s="1150"/>
    </row>
    <row r="680" spans="2:10">
      <c r="B680" s="1156"/>
      <c r="C680" s="1156"/>
      <c r="D680" s="1180"/>
      <c r="E680" s="1180"/>
      <c r="F680" s="1180"/>
      <c r="G680" s="1180"/>
      <c r="H680" s="1150"/>
      <c r="I680" s="1150"/>
      <c r="J680" s="1150"/>
    </row>
    <row r="681" spans="2:10">
      <c r="B681" s="1156"/>
      <c r="C681" s="1156"/>
      <c r="D681" s="1180"/>
      <c r="E681" s="1180"/>
      <c r="F681" s="1180"/>
      <c r="G681" s="1180"/>
      <c r="H681" s="1150"/>
      <c r="I681" s="1150"/>
      <c r="J681" s="1150"/>
    </row>
    <row r="682" spans="2:10">
      <c r="B682" s="1156"/>
      <c r="C682" s="1156"/>
      <c r="D682" s="1180"/>
      <c r="E682" s="1180"/>
      <c r="F682" s="1180"/>
      <c r="G682" s="1180"/>
      <c r="H682" s="1150"/>
      <c r="I682" s="1150"/>
      <c r="J682" s="1150"/>
    </row>
    <row r="683" spans="2:10">
      <c r="B683" s="1156"/>
      <c r="C683" s="1156"/>
      <c r="D683" s="1180"/>
      <c r="E683" s="1180"/>
      <c r="F683" s="1180"/>
      <c r="G683" s="1180"/>
      <c r="H683" s="1150"/>
      <c r="I683" s="1150"/>
      <c r="J683" s="1150"/>
    </row>
    <row r="684" spans="2:10">
      <c r="B684" s="1156"/>
      <c r="C684" s="1156"/>
      <c r="D684" s="1180"/>
      <c r="E684" s="1180"/>
      <c r="F684" s="1180"/>
      <c r="G684" s="1180"/>
      <c r="H684" s="1150"/>
      <c r="I684" s="1150"/>
      <c r="J684" s="1150"/>
    </row>
    <row r="685" spans="2:10">
      <c r="B685" s="1156"/>
      <c r="C685" s="1156"/>
      <c r="D685" s="1180"/>
      <c r="E685" s="1180"/>
      <c r="F685" s="1180"/>
      <c r="G685" s="1180"/>
      <c r="H685" s="1150"/>
      <c r="I685" s="1150"/>
      <c r="J685" s="1150"/>
    </row>
    <row r="686" spans="2:10">
      <c r="B686" s="1156"/>
      <c r="C686" s="1156"/>
      <c r="D686" s="1180"/>
      <c r="E686" s="1180"/>
      <c r="F686" s="1180"/>
      <c r="G686" s="1180"/>
      <c r="H686" s="1150"/>
      <c r="I686" s="1150"/>
      <c r="J686" s="1150"/>
    </row>
    <row r="687" spans="2:10">
      <c r="B687" s="1156"/>
      <c r="C687" s="1156"/>
      <c r="D687" s="1180"/>
      <c r="E687" s="1180"/>
      <c r="F687" s="1180"/>
      <c r="G687" s="1180"/>
      <c r="H687" s="1150"/>
      <c r="I687" s="1150"/>
      <c r="J687" s="1150"/>
    </row>
    <row r="688" spans="2:10">
      <c r="B688" s="1156"/>
      <c r="C688" s="1156"/>
      <c r="D688" s="1180"/>
      <c r="E688" s="1180"/>
      <c r="F688" s="1180"/>
      <c r="G688" s="1180"/>
      <c r="H688" s="1150"/>
      <c r="I688" s="1150"/>
      <c r="J688" s="1150"/>
    </row>
    <row r="689" spans="2:10">
      <c r="B689" s="1156"/>
      <c r="C689" s="1156"/>
      <c r="D689" s="1180"/>
      <c r="E689" s="1180"/>
      <c r="F689" s="1180"/>
      <c r="G689" s="1180"/>
      <c r="H689" s="1150"/>
      <c r="I689" s="1150"/>
      <c r="J689" s="1150"/>
    </row>
    <row r="690" spans="2:10">
      <c r="B690" s="1156"/>
      <c r="C690" s="1156"/>
      <c r="D690" s="1180"/>
      <c r="E690" s="1180"/>
      <c r="F690" s="1180"/>
      <c r="G690" s="1180"/>
      <c r="H690" s="1150"/>
      <c r="I690" s="1150"/>
      <c r="J690" s="1150"/>
    </row>
    <row r="691" spans="2:10">
      <c r="B691" s="1156"/>
      <c r="C691" s="1156"/>
      <c r="D691" s="1180"/>
      <c r="E691" s="1180"/>
      <c r="F691" s="1180"/>
      <c r="G691" s="1180"/>
      <c r="H691" s="1150"/>
      <c r="I691" s="1150"/>
      <c r="J691" s="1150"/>
    </row>
    <row r="692" spans="2:10">
      <c r="B692" s="1156"/>
      <c r="C692" s="1156"/>
      <c r="D692" s="1180"/>
      <c r="E692" s="1180"/>
      <c r="F692" s="1180"/>
      <c r="G692" s="1180"/>
      <c r="H692" s="1150"/>
      <c r="I692" s="1150"/>
      <c r="J692" s="1150"/>
    </row>
    <row r="693" spans="2:10">
      <c r="B693" s="1156"/>
      <c r="C693" s="1156"/>
      <c r="D693" s="1180"/>
      <c r="E693" s="1180"/>
      <c r="F693" s="1180"/>
      <c r="G693" s="1180"/>
      <c r="H693" s="1150"/>
      <c r="I693" s="1150"/>
      <c r="J693" s="1150"/>
    </row>
    <row r="694" spans="2:10">
      <c r="B694" s="1156"/>
      <c r="C694" s="1156"/>
      <c r="D694" s="1180"/>
      <c r="E694" s="1180"/>
      <c r="F694" s="1180"/>
      <c r="G694" s="1180"/>
      <c r="H694" s="1150"/>
      <c r="I694" s="1150"/>
      <c r="J694" s="1150"/>
    </row>
    <row r="695" spans="2:10">
      <c r="B695" s="1156"/>
      <c r="C695" s="1156"/>
      <c r="D695" s="1180"/>
      <c r="E695" s="1180"/>
      <c r="F695" s="1180"/>
      <c r="G695" s="1180"/>
      <c r="H695" s="1150"/>
      <c r="I695" s="1150"/>
      <c r="J695" s="1150"/>
    </row>
    <row r="696" spans="2:10">
      <c r="B696" s="1156"/>
      <c r="C696" s="1156"/>
      <c r="D696" s="1180"/>
      <c r="E696" s="1180"/>
      <c r="F696" s="1180"/>
      <c r="G696" s="1180"/>
      <c r="H696" s="1150"/>
      <c r="I696" s="1150"/>
      <c r="J696" s="1150"/>
    </row>
    <row r="697" spans="2:10">
      <c r="B697" s="1156"/>
      <c r="C697" s="1156"/>
      <c r="D697" s="1180"/>
      <c r="E697" s="1180"/>
      <c r="F697" s="1180"/>
      <c r="G697" s="1180"/>
      <c r="H697" s="1150"/>
      <c r="I697" s="1150"/>
      <c r="J697" s="1150"/>
    </row>
    <row r="698" spans="2:10">
      <c r="B698" s="1156"/>
      <c r="C698" s="1156"/>
      <c r="D698" s="1180"/>
      <c r="E698" s="1180"/>
      <c r="F698" s="1180"/>
      <c r="G698" s="1180"/>
      <c r="H698" s="1150"/>
      <c r="I698" s="1150"/>
      <c r="J698" s="1150"/>
    </row>
    <row r="699" spans="2:10">
      <c r="B699" s="1156"/>
      <c r="C699" s="1156"/>
      <c r="D699" s="1180"/>
      <c r="E699" s="1180"/>
      <c r="F699" s="1180"/>
      <c r="G699" s="1180"/>
      <c r="H699" s="1150"/>
      <c r="I699" s="1150"/>
      <c r="J699" s="1150"/>
    </row>
    <row r="700" spans="2:10">
      <c r="B700" s="1156"/>
      <c r="C700" s="1156"/>
      <c r="D700" s="1180"/>
      <c r="E700" s="1180"/>
      <c r="F700" s="1180"/>
      <c r="G700" s="1180"/>
      <c r="H700" s="1150"/>
      <c r="I700" s="1150"/>
      <c r="J700" s="1150"/>
    </row>
    <row r="701" spans="2:10">
      <c r="B701" s="1156"/>
      <c r="C701" s="1156"/>
      <c r="D701" s="1180"/>
      <c r="E701" s="1180"/>
      <c r="F701" s="1180"/>
      <c r="G701" s="1180"/>
      <c r="H701" s="1150"/>
      <c r="I701" s="1150"/>
      <c r="J701" s="1150"/>
    </row>
    <row r="702" spans="2:10">
      <c r="B702" s="1156"/>
      <c r="C702" s="1156"/>
      <c r="D702" s="1180"/>
      <c r="E702" s="1180"/>
      <c r="F702" s="1180"/>
      <c r="G702" s="1180"/>
      <c r="H702" s="1150"/>
      <c r="I702" s="1150"/>
      <c r="J702" s="1150"/>
    </row>
    <row r="703" spans="2:10">
      <c r="B703" s="1156"/>
      <c r="C703" s="1156"/>
      <c r="D703" s="1180"/>
      <c r="E703" s="1180"/>
      <c r="F703" s="1180"/>
      <c r="G703" s="1180"/>
      <c r="H703" s="1150"/>
      <c r="I703" s="1150"/>
      <c r="J703" s="1150"/>
    </row>
    <row r="704" spans="2:10">
      <c r="B704" s="1156"/>
      <c r="C704" s="1156"/>
      <c r="D704" s="1180"/>
      <c r="E704" s="1180"/>
      <c r="F704" s="1180"/>
      <c r="G704" s="1180"/>
      <c r="H704" s="1150"/>
      <c r="I704" s="1150"/>
      <c r="J704" s="1150"/>
    </row>
    <row r="705" spans="2:10">
      <c r="B705" s="1156"/>
      <c r="C705" s="1156"/>
      <c r="D705" s="1180"/>
      <c r="E705" s="1180"/>
      <c r="F705" s="1180"/>
      <c r="G705" s="1180"/>
      <c r="H705" s="1150"/>
      <c r="I705" s="1150"/>
      <c r="J705" s="1150"/>
    </row>
    <row r="706" spans="2:10">
      <c r="B706" s="1156"/>
      <c r="C706" s="1156"/>
      <c r="D706" s="1180"/>
      <c r="E706" s="1180"/>
      <c r="F706" s="1180"/>
      <c r="G706" s="1180"/>
      <c r="H706" s="1150"/>
      <c r="I706" s="1150"/>
      <c r="J706" s="1150"/>
    </row>
    <row r="707" spans="2:10">
      <c r="B707" s="1156"/>
      <c r="C707" s="1156"/>
      <c r="D707" s="1180"/>
      <c r="E707" s="1180"/>
      <c r="F707" s="1180"/>
      <c r="G707" s="1180"/>
      <c r="H707" s="1150"/>
      <c r="I707" s="1150"/>
      <c r="J707" s="1150"/>
    </row>
    <row r="708" spans="2:10">
      <c r="B708" s="1156"/>
      <c r="C708" s="1156"/>
      <c r="D708" s="1180"/>
      <c r="E708" s="1180"/>
      <c r="F708" s="1180"/>
      <c r="G708" s="1180"/>
      <c r="H708" s="1150"/>
      <c r="I708" s="1150"/>
      <c r="J708" s="1150"/>
    </row>
    <row r="709" spans="2:10">
      <c r="B709" s="1156"/>
      <c r="C709" s="1156"/>
      <c r="D709" s="1180"/>
      <c r="E709" s="1180"/>
      <c r="F709" s="1180"/>
      <c r="G709" s="1180"/>
      <c r="H709" s="1150"/>
      <c r="I709" s="1150"/>
      <c r="J709" s="1150"/>
    </row>
    <row r="710" spans="2:10">
      <c r="B710" s="1156"/>
      <c r="C710" s="1156"/>
      <c r="D710" s="1180"/>
      <c r="E710" s="1180"/>
      <c r="F710" s="1180"/>
      <c r="G710" s="1180"/>
      <c r="H710" s="1150"/>
      <c r="I710" s="1150"/>
      <c r="J710" s="1150"/>
    </row>
    <row r="711" spans="2:10">
      <c r="B711" s="1156"/>
      <c r="C711" s="1156"/>
      <c r="D711" s="1180"/>
      <c r="E711" s="1180"/>
      <c r="F711" s="1180"/>
      <c r="G711" s="1180"/>
      <c r="H711" s="1150"/>
      <c r="I711" s="1150"/>
      <c r="J711" s="1150"/>
    </row>
    <row r="712" spans="2:10">
      <c r="B712" s="1156"/>
      <c r="C712" s="1156"/>
      <c r="D712" s="1180"/>
      <c r="E712" s="1180"/>
      <c r="F712" s="1180"/>
      <c r="G712" s="1180"/>
      <c r="H712" s="1150"/>
      <c r="I712" s="1150"/>
      <c r="J712" s="1150"/>
    </row>
    <row r="713" spans="2:10">
      <c r="B713" s="1156"/>
      <c r="C713" s="1156"/>
      <c r="D713" s="1180"/>
      <c r="E713" s="1180"/>
      <c r="F713" s="1180"/>
      <c r="G713" s="1180"/>
      <c r="H713" s="1150"/>
      <c r="I713" s="1150"/>
      <c r="J713" s="1150"/>
    </row>
    <row r="714" spans="2:10">
      <c r="B714" s="1156"/>
      <c r="C714" s="1156"/>
      <c r="D714" s="1180"/>
      <c r="E714" s="1180"/>
      <c r="F714" s="1180"/>
      <c r="G714" s="1180"/>
      <c r="H714" s="1150"/>
      <c r="I714" s="1150"/>
      <c r="J714" s="1150"/>
    </row>
    <row r="715" spans="2:10">
      <c r="B715" s="1156"/>
      <c r="C715" s="1156"/>
      <c r="D715" s="1180"/>
      <c r="E715" s="1180"/>
      <c r="F715" s="1180"/>
      <c r="G715" s="1180"/>
      <c r="H715" s="1150"/>
      <c r="I715" s="1150"/>
      <c r="J715" s="1150"/>
    </row>
    <row r="716" spans="2:10">
      <c r="B716" s="1156"/>
      <c r="C716" s="1156"/>
      <c r="D716" s="1180"/>
      <c r="E716" s="1180"/>
      <c r="F716" s="1180"/>
      <c r="G716" s="1180"/>
      <c r="H716" s="1150"/>
      <c r="I716" s="1150"/>
      <c r="J716" s="1150"/>
    </row>
    <row r="717" spans="2:10">
      <c r="B717" s="1156"/>
      <c r="C717" s="1156"/>
      <c r="D717" s="1180"/>
      <c r="E717" s="1180"/>
      <c r="F717" s="1180"/>
      <c r="G717" s="1180"/>
      <c r="H717" s="1150"/>
      <c r="I717" s="1150"/>
      <c r="J717" s="1150"/>
    </row>
    <row r="718" spans="2:10">
      <c r="B718" s="1156"/>
      <c r="C718" s="1156"/>
      <c r="D718" s="1180"/>
      <c r="E718" s="1180"/>
      <c r="F718" s="1180"/>
      <c r="G718" s="1180"/>
      <c r="H718" s="1150"/>
      <c r="I718" s="1150"/>
      <c r="J718" s="1150"/>
    </row>
    <row r="719" spans="2:10">
      <c r="B719" s="1156"/>
      <c r="C719" s="1156"/>
      <c r="D719" s="1180"/>
      <c r="E719" s="1180"/>
      <c r="F719" s="1180"/>
      <c r="G719" s="1180"/>
      <c r="H719" s="1150"/>
      <c r="I719" s="1150"/>
      <c r="J719" s="1150"/>
    </row>
    <row r="720" spans="2:10">
      <c r="B720" s="1156"/>
      <c r="C720" s="1156"/>
      <c r="D720" s="1180"/>
      <c r="E720" s="1180"/>
      <c r="F720" s="1180"/>
      <c r="G720" s="1180"/>
      <c r="H720" s="1150"/>
      <c r="I720" s="1150"/>
      <c r="J720" s="1150"/>
    </row>
    <row r="721" spans="2:10">
      <c r="B721" s="1156"/>
      <c r="C721" s="1156"/>
      <c r="D721" s="1180"/>
      <c r="E721" s="1180"/>
      <c r="F721" s="1180"/>
      <c r="G721" s="1180"/>
      <c r="H721" s="1150"/>
      <c r="I721" s="1150"/>
      <c r="J721" s="1150"/>
    </row>
    <row r="722" spans="2:10">
      <c r="B722" s="1156"/>
      <c r="C722" s="1156"/>
      <c r="D722" s="1180"/>
      <c r="E722" s="1180"/>
      <c r="F722" s="1180"/>
      <c r="G722" s="1180"/>
      <c r="H722" s="1150"/>
      <c r="I722" s="1150"/>
      <c r="J722" s="1150"/>
    </row>
    <row r="723" spans="2:10">
      <c r="B723" s="1156"/>
      <c r="C723" s="1156"/>
      <c r="D723" s="1180"/>
      <c r="E723" s="1180"/>
      <c r="F723" s="1180"/>
      <c r="G723" s="1180"/>
      <c r="H723" s="1150"/>
      <c r="I723" s="1150"/>
      <c r="J723" s="1150"/>
    </row>
    <row r="724" spans="2:10">
      <c r="B724" s="1156"/>
      <c r="C724" s="1156"/>
      <c r="D724" s="1180"/>
      <c r="E724" s="1180"/>
      <c r="F724" s="1180"/>
      <c r="G724" s="1180"/>
      <c r="H724" s="1150"/>
      <c r="I724" s="1150"/>
      <c r="J724" s="1150"/>
    </row>
    <row r="725" spans="2:10">
      <c r="B725" s="1156"/>
      <c r="C725" s="1156"/>
      <c r="D725" s="1180"/>
      <c r="E725" s="1180"/>
      <c r="F725" s="1180"/>
      <c r="G725" s="1180"/>
      <c r="H725" s="1150"/>
      <c r="I725" s="1150"/>
      <c r="J725" s="1150"/>
    </row>
    <row r="726" spans="2:10">
      <c r="B726" s="1156"/>
      <c r="C726" s="1156"/>
      <c r="D726" s="1180"/>
      <c r="E726" s="1180"/>
      <c r="F726" s="1180"/>
      <c r="G726" s="1180"/>
      <c r="H726" s="1150"/>
      <c r="I726" s="1150"/>
      <c r="J726" s="1150"/>
    </row>
    <row r="727" spans="2:10">
      <c r="B727" s="1156"/>
      <c r="C727" s="1156"/>
      <c r="D727" s="1180"/>
      <c r="E727" s="1180"/>
      <c r="F727" s="1180"/>
      <c r="G727" s="1180"/>
      <c r="H727" s="1150"/>
      <c r="I727" s="1150"/>
      <c r="J727" s="1150"/>
    </row>
    <row r="728" spans="2:10">
      <c r="B728" s="1156"/>
      <c r="C728" s="1156"/>
      <c r="D728" s="1180"/>
      <c r="E728" s="1180"/>
      <c r="F728" s="1180"/>
      <c r="G728" s="1180"/>
      <c r="H728" s="1150"/>
      <c r="I728" s="1150"/>
      <c r="J728" s="1150"/>
    </row>
    <row r="729" spans="2:10">
      <c r="B729" s="1156"/>
      <c r="C729" s="1156"/>
      <c r="D729" s="1180"/>
      <c r="E729" s="1180"/>
      <c r="F729" s="1180"/>
      <c r="G729" s="1180"/>
      <c r="H729" s="1150"/>
      <c r="I729" s="1150"/>
      <c r="J729" s="1150"/>
    </row>
    <row r="730" spans="2:10">
      <c r="B730" s="1156"/>
      <c r="C730" s="1156"/>
      <c r="D730" s="1180"/>
      <c r="E730" s="1180"/>
      <c r="F730" s="1180"/>
      <c r="G730" s="1180"/>
      <c r="H730" s="1150"/>
      <c r="I730" s="1150"/>
      <c r="J730" s="1150"/>
    </row>
    <row r="731" spans="2:10">
      <c r="B731" s="1156"/>
      <c r="C731" s="1156"/>
      <c r="D731" s="1180"/>
      <c r="E731" s="1180"/>
      <c r="F731" s="1180"/>
      <c r="G731" s="1180"/>
      <c r="H731" s="1150"/>
      <c r="I731" s="1150"/>
      <c r="J731" s="1150"/>
    </row>
    <row r="732" spans="2:10">
      <c r="B732" s="1156"/>
      <c r="C732" s="1156"/>
      <c r="D732" s="1180"/>
      <c r="E732" s="1180"/>
      <c r="F732" s="1180"/>
      <c r="G732" s="1180"/>
      <c r="H732" s="1150"/>
      <c r="I732" s="1150"/>
      <c r="J732" s="1150"/>
    </row>
    <row r="733" spans="2:10">
      <c r="B733" s="1156"/>
      <c r="C733" s="1156"/>
      <c r="D733" s="1180"/>
      <c r="E733" s="1180"/>
      <c r="F733" s="1180"/>
      <c r="G733" s="1180"/>
      <c r="H733" s="1150"/>
      <c r="I733" s="1150"/>
      <c r="J733" s="1150"/>
    </row>
    <row r="734" spans="2:10">
      <c r="B734" s="1156"/>
      <c r="C734" s="1156"/>
      <c r="D734" s="1180"/>
      <c r="E734" s="1180"/>
      <c r="F734" s="1180"/>
      <c r="G734" s="1180"/>
      <c r="H734" s="1150"/>
      <c r="I734" s="1150"/>
      <c r="J734" s="1150"/>
    </row>
    <row r="735" spans="2:10">
      <c r="B735" s="1156"/>
      <c r="C735" s="1156"/>
      <c r="D735" s="1180"/>
      <c r="E735" s="1180"/>
      <c r="F735" s="1180"/>
      <c r="G735" s="1180"/>
      <c r="H735" s="1150"/>
      <c r="I735" s="1150"/>
      <c r="J735" s="1150"/>
    </row>
    <row r="736" spans="2:10">
      <c r="B736" s="1156"/>
      <c r="C736" s="1156"/>
      <c r="D736" s="1180"/>
      <c r="E736" s="1180"/>
      <c r="F736" s="1180"/>
      <c r="G736" s="1180"/>
      <c r="H736" s="1150"/>
      <c r="I736" s="1150"/>
      <c r="J736" s="1150"/>
    </row>
    <row r="737" spans="2:10">
      <c r="B737" s="1156"/>
      <c r="C737" s="1156"/>
      <c r="D737" s="1180"/>
      <c r="E737" s="1180"/>
      <c r="F737" s="1180"/>
      <c r="G737" s="1180"/>
      <c r="H737" s="1150"/>
      <c r="I737" s="1150"/>
      <c r="J737" s="1150"/>
    </row>
    <row r="738" spans="2:10">
      <c r="B738" s="1156"/>
      <c r="C738" s="1156"/>
      <c r="D738" s="1180"/>
      <c r="E738" s="1180"/>
      <c r="F738" s="1180"/>
      <c r="G738" s="1180"/>
      <c r="H738" s="1150"/>
      <c r="I738" s="1150"/>
      <c r="J738" s="1150"/>
    </row>
    <row r="739" spans="2:10">
      <c r="B739" s="1156"/>
      <c r="C739" s="1156"/>
      <c r="D739" s="1180"/>
      <c r="E739" s="1180"/>
      <c r="F739" s="1180"/>
      <c r="G739" s="1180"/>
      <c r="H739" s="1150"/>
      <c r="I739" s="1150"/>
      <c r="J739" s="1150"/>
    </row>
    <row r="740" spans="2:10">
      <c r="B740" s="1156"/>
      <c r="C740" s="1156"/>
      <c r="D740" s="1180"/>
      <c r="E740" s="1180"/>
      <c r="F740" s="1180"/>
      <c r="G740" s="1180"/>
      <c r="H740" s="1150"/>
      <c r="I740" s="1150"/>
      <c r="J740" s="1150"/>
    </row>
    <row r="741" spans="2:10">
      <c r="B741" s="1156"/>
      <c r="C741" s="1156"/>
      <c r="D741" s="1180"/>
      <c r="E741" s="1180"/>
      <c r="F741" s="1180"/>
      <c r="G741" s="1180"/>
      <c r="H741" s="1150"/>
      <c r="I741" s="1150"/>
      <c r="J741" s="1150"/>
    </row>
    <row r="742" spans="2:10">
      <c r="B742" s="1156"/>
      <c r="C742" s="1156"/>
      <c r="D742" s="1180"/>
      <c r="E742" s="1180"/>
      <c r="F742" s="1180"/>
      <c r="G742" s="1180"/>
      <c r="H742" s="1150"/>
      <c r="I742" s="1150"/>
      <c r="J742" s="1150"/>
    </row>
    <row r="743" spans="2:10">
      <c r="B743" s="1156"/>
      <c r="C743" s="1156"/>
      <c r="D743" s="1180"/>
      <c r="E743" s="1180"/>
      <c r="F743" s="1180"/>
      <c r="G743" s="1180"/>
      <c r="H743" s="1150"/>
      <c r="I743" s="1150"/>
      <c r="J743" s="1150"/>
    </row>
    <row r="744" spans="2:10">
      <c r="B744" s="1156"/>
      <c r="C744" s="1156"/>
      <c r="D744" s="1180"/>
      <c r="E744" s="1180"/>
      <c r="F744" s="1180"/>
      <c r="G744" s="1180"/>
      <c r="H744" s="1150"/>
      <c r="I744" s="1150"/>
      <c r="J744" s="1150"/>
    </row>
    <row r="745" spans="2:10">
      <c r="B745" s="1156"/>
      <c r="C745" s="1156"/>
      <c r="D745" s="1180"/>
      <c r="E745" s="1180"/>
      <c r="F745" s="1180"/>
      <c r="G745" s="1180"/>
      <c r="H745" s="1150"/>
      <c r="I745" s="1150"/>
      <c r="J745" s="1150"/>
    </row>
    <row r="746" spans="2:10">
      <c r="B746" s="1156"/>
      <c r="C746" s="1156"/>
      <c r="D746" s="1180"/>
      <c r="E746" s="1180"/>
      <c r="F746" s="1180"/>
      <c r="G746" s="1180"/>
      <c r="H746" s="1150"/>
      <c r="I746" s="1150"/>
      <c r="J746" s="1150"/>
    </row>
    <row r="747" spans="2:10">
      <c r="B747" s="1156"/>
      <c r="C747" s="1156"/>
      <c r="D747" s="1180"/>
      <c r="E747" s="1180"/>
      <c r="F747" s="1180"/>
      <c r="G747" s="1180"/>
      <c r="H747" s="1150"/>
      <c r="I747" s="1150"/>
      <c r="J747" s="1150"/>
    </row>
    <row r="748" spans="2:10">
      <c r="B748" s="1156"/>
      <c r="C748" s="1156"/>
      <c r="D748" s="1180"/>
      <c r="E748" s="1180"/>
      <c r="F748" s="1180"/>
      <c r="G748" s="1180"/>
      <c r="H748" s="1150"/>
      <c r="I748" s="1150"/>
      <c r="J748" s="1150"/>
    </row>
    <row r="749" spans="2:10">
      <c r="B749" s="1156"/>
      <c r="C749" s="1156"/>
      <c r="D749" s="1180"/>
      <c r="E749" s="1180"/>
      <c r="F749" s="1180"/>
      <c r="G749" s="1180"/>
      <c r="H749" s="1150"/>
      <c r="I749" s="1150"/>
      <c r="J749" s="1150"/>
    </row>
    <row r="750" spans="2:10">
      <c r="B750" s="1156"/>
      <c r="C750" s="1156"/>
      <c r="D750" s="1180"/>
      <c r="E750" s="1180"/>
      <c r="F750" s="1180"/>
      <c r="G750" s="1180"/>
      <c r="H750" s="1150"/>
      <c r="I750" s="1150"/>
      <c r="J750" s="1150"/>
    </row>
    <row r="751" spans="2:10">
      <c r="B751" s="1156"/>
      <c r="C751" s="1156"/>
      <c r="D751" s="1180"/>
      <c r="E751" s="1180"/>
      <c r="F751" s="1180"/>
      <c r="G751" s="1180"/>
      <c r="H751" s="1150"/>
      <c r="I751" s="1150"/>
      <c r="J751" s="1150"/>
    </row>
    <row r="752" spans="2:10">
      <c r="B752" s="1156"/>
      <c r="C752" s="1156"/>
      <c r="D752" s="1180"/>
      <c r="E752" s="1180"/>
      <c r="F752" s="1180"/>
      <c r="G752" s="1180"/>
      <c r="H752" s="1150"/>
      <c r="I752" s="1150"/>
      <c r="J752" s="1150"/>
    </row>
    <row r="753" spans="2:10">
      <c r="B753" s="1156"/>
      <c r="C753" s="1156"/>
      <c r="D753" s="1180"/>
      <c r="E753" s="1180"/>
      <c r="F753" s="1180"/>
      <c r="G753" s="1180"/>
      <c r="H753" s="1150"/>
      <c r="I753" s="1150"/>
      <c r="J753" s="1150"/>
    </row>
    <row r="754" spans="2:10">
      <c r="B754" s="1156"/>
      <c r="C754" s="1156"/>
      <c r="D754" s="1180"/>
      <c r="E754" s="1180"/>
      <c r="F754" s="1180"/>
      <c r="G754" s="1180"/>
      <c r="H754" s="1150"/>
      <c r="I754" s="1150"/>
      <c r="J754" s="1150"/>
    </row>
    <row r="755" spans="2:10">
      <c r="B755" s="1156"/>
      <c r="C755" s="1156"/>
      <c r="D755" s="1180"/>
      <c r="E755" s="1180"/>
      <c r="F755" s="1180"/>
      <c r="G755" s="1180"/>
      <c r="H755" s="1150"/>
      <c r="I755" s="1150"/>
      <c r="J755" s="1150"/>
    </row>
    <row r="756" spans="2:10">
      <c r="B756" s="1156"/>
      <c r="C756" s="1156"/>
      <c r="D756" s="1180"/>
      <c r="E756" s="1180"/>
      <c r="F756" s="1180"/>
      <c r="G756" s="1180"/>
      <c r="H756" s="1150"/>
      <c r="I756" s="1150"/>
      <c r="J756" s="1150"/>
    </row>
    <row r="757" spans="2:10">
      <c r="B757" s="1156"/>
      <c r="C757" s="1156"/>
      <c r="D757" s="1180"/>
      <c r="E757" s="1180"/>
      <c r="F757" s="1180"/>
      <c r="G757" s="1180"/>
      <c r="H757" s="1150"/>
      <c r="I757" s="1150"/>
      <c r="J757" s="1150"/>
    </row>
    <row r="758" spans="2:10">
      <c r="B758" s="1156"/>
      <c r="C758" s="1156"/>
      <c r="D758" s="1180"/>
      <c r="E758" s="1180"/>
      <c r="F758" s="1180"/>
      <c r="G758" s="1180"/>
      <c r="H758" s="1150"/>
      <c r="I758" s="1150"/>
      <c r="J758" s="1150"/>
    </row>
    <row r="759" spans="2:10">
      <c r="B759" s="1156"/>
      <c r="C759" s="1156"/>
      <c r="D759" s="1180"/>
      <c r="E759" s="1180"/>
      <c r="F759" s="1180"/>
      <c r="G759" s="1180"/>
      <c r="H759" s="1150"/>
      <c r="I759" s="1150"/>
      <c r="J759" s="1150"/>
    </row>
    <row r="760" spans="2:10">
      <c r="B760" s="1156"/>
      <c r="C760" s="1156"/>
      <c r="D760" s="1180"/>
      <c r="E760" s="1180"/>
      <c r="F760" s="1180"/>
      <c r="G760" s="1180"/>
      <c r="H760" s="1150"/>
      <c r="I760" s="1150"/>
      <c r="J760" s="1150"/>
    </row>
    <row r="761" spans="2:10">
      <c r="B761" s="1156"/>
      <c r="C761" s="1156"/>
      <c r="D761" s="1180"/>
      <c r="E761" s="1180"/>
      <c r="F761" s="1180"/>
      <c r="G761" s="1180"/>
      <c r="H761" s="1150"/>
      <c r="I761" s="1150"/>
      <c r="J761" s="1150"/>
    </row>
    <row r="762" spans="2:10">
      <c r="B762" s="1156"/>
      <c r="C762" s="1156"/>
      <c r="D762" s="1180"/>
      <c r="E762" s="1180"/>
      <c r="F762" s="1180"/>
      <c r="G762" s="1180"/>
      <c r="H762" s="1150"/>
      <c r="I762" s="1150"/>
      <c r="J762" s="1150"/>
    </row>
    <row r="763" spans="2:10">
      <c r="B763" s="1156"/>
      <c r="C763" s="1156"/>
      <c r="D763" s="1180"/>
      <c r="E763" s="1180"/>
      <c r="F763" s="1180"/>
      <c r="G763" s="1180"/>
      <c r="H763" s="1150"/>
      <c r="I763" s="1150"/>
      <c r="J763" s="1150"/>
    </row>
    <row r="764" spans="2:10">
      <c r="B764" s="1156"/>
      <c r="C764" s="1156"/>
      <c r="D764" s="1180"/>
      <c r="E764" s="1180"/>
      <c r="F764" s="1180"/>
      <c r="G764" s="1180"/>
      <c r="H764" s="1150"/>
      <c r="I764" s="1150"/>
      <c r="J764" s="1150"/>
    </row>
    <row r="765" spans="2:10">
      <c r="B765" s="1156"/>
      <c r="C765" s="1156"/>
      <c r="D765" s="1180"/>
      <c r="E765" s="1180"/>
      <c r="F765" s="1180"/>
      <c r="G765" s="1180"/>
      <c r="H765" s="1150"/>
      <c r="I765" s="1150"/>
      <c r="J765" s="1150"/>
    </row>
    <row r="766" spans="2:10">
      <c r="B766" s="1156"/>
      <c r="C766" s="1156"/>
      <c r="D766" s="1180"/>
      <c r="E766" s="1180"/>
      <c r="F766" s="1180"/>
      <c r="G766" s="1180"/>
      <c r="H766" s="1150"/>
      <c r="I766" s="1150"/>
      <c r="J766" s="1150"/>
    </row>
    <row r="767" spans="2:10">
      <c r="B767" s="1156"/>
      <c r="C767" s="1156"/>
      <c r="D767" s="1180"/>
      <c r="E767" s="1180"/>
      <c r="F767" s="1180"/>
      <c r="G767" s="1180"/>
      <c r="H767" s="1150"/>
      <c r="I767" s="1150"/>
      <c r="J767" s="1150"/>
    </row>
    <row r="768" spans="2:10">
      <c r="B768" s="1156"/>
      <c r="C768" s="1156"/>
      <c r="D768" s="1180"/>
      <c r="E768" s="1180"/>
      <c r="F768" s="1180"/>
      <c r="G768" s="1180"/>
      <c r="H768" s="1150"/>
      <c r="I768" s="1150"/>
      <c r="J768" s="1150"/>
    </row>
    <row r="769" spans="2:10">
      <c r="B769" s="1156"/>
      <c r="C769" s="1156"/>
      <c r="D769" s="1180"/>
      <c r="E769" s="1180"/>
      <c r="F769" s="1180"/>
      <c r="G769" s="1180"/>
      <c r="H769" s="1150"/>
      <c r="I769" s="1150"/>
      <c r="J769" s="1150"/>
    </row>
    <row r="770" spans="2:10">
      <c r="B770" s="1156"/>
      <c r="C770" s="1156"/>
      <c r="D770" s="1180"/>
      <c r="E770" s="1180"/>
      <c r="F770" s="1180"/>
      <c r="G770" s="1180"/>
      <c r="H770" s="1150"/>
      <c r="I770" s="1150"/>
      <c r="J770" s="1150"/>
    </row>
    <row r="771" spans="2:10">
      <c r="B771" s="1156"/>
      <c r="C771" s="1156"/>
      <c r="D771" s="1180"/>
      <c r="E771" s="1180"/>
      <c r="F771" s="1180"/>
      <c r="G771" s="1180"/>
      <c r="H771" s="1150"/>
      <c r="I771" s="1150"/>
      <c r="J771" s="1150"/>
    </row>
    <row r="772" spans="2:10">
      <c r="B772" s="1156"/>
      <c r="C772" s="1156"/>
      <c r="D772" s="1180"/>
      <c r="E772" s="1180"/>
      <c r="F772" s="1180"/>
      <c r="G772" s="1180"/>
      <c r="H772" s="1150"/>
      <c r="I772" s="1150"/>
      <c r="J772" s="1150"/>
    </row>
    <row r="773" spans="2:10">
      <c r="B773" s="1156"/>
      <c r="C773" s="1156"/>
      <c r="D773" s="1180"/>
      <c r="E773" s="1180"/>
      <c r="F773" s="1180"/>
      <c r="G773" s="1180"/>
      <c r="H773" s="1150"/>
      <c r="I773" s="1150"/>
      <c r="J773" s="1150"/>
    </row>
    <row r="774" spans="2:10">
      <c r="B774" s="1156"/>
      <c r="C774" s="1156"/>
      <c r="D774" s="1180"/>
      <c r="E774" s="1180"/>
      <c r="F774" s="1180"/>
      <c r="G774" s="1180"/>
      <c r="H774" s="1150"/>
      <c r="I774" s="1150"/>
      <c r="J774" s="1150"/>
    </row>
    <row r="775" spans="2:10">
      <c r="B775" s="1156"/>
      <c r="C775" s="1156"/>
      <c r="D775" s="1180"/>
      <c r="E775" s="1180"/>
      <c r="F775" s="1180"/>
      <c r="G775" s="1180"/>
      <c r="H775" s="1150"/>
      <c r="I775" s="1150"/>
      <c r="J775" s="1150"/>
    </row>
    <row r="776" spans="2:10">
      <c r="B776" s="1156"/>
      <c r="C776" s="1156"/>
      <c r="D776" s="1180"/>
      <c r="E776" s="1180"/>
      <c r="F776" s="1180"/>
      <c r="G776" s="1180"/>
      <c r="H776" s="1150"/>
      <c r="I776" s="1150"/>
      <c r="J776" s="1150"/>
    </row>
    <row r="777" spans="2:10">
      <c r="B777" s="1156"/>
      <c r="C777" s="1156"/>
      <c r="D777" s="1180"/>
      <c r="E777" s="1180"/>
      <c r="F777" s="1180"/>
      <c r="G777" s="1180"/>
      <c r="H777" s="1150"/>
      <c r="I777" s="1150"/>
      <c r="J777" s="1150"/>
    </row>
    <row r="778" spans="2:10">
      <c r="B778" s="1156"/>
      <c r="C778" s="1156"/>
      <c r="D778" s="1180"/>
      <c r="E778" s="1180"/>
      <c r="F778" s="1180"/>
      <c r="G778" s="1180"/>
      <c r="H778" s="1150"/>
      <c r="I778" s="1150"/>
      <c r="J778" s="1150"/>
    </row>
    <row r="779" spans="2:10">
      <c r="B779" s="1156"/>
      <c r="C779" s="1156"/>
      <c r="D779" s="1180"/>
      <c r="E779" s="1180"/>
      <c r="F779" s="1180"/>
      <c r="G779" s="1180"/>
      <c r="H779" s="1150"/>
      <c r="I779" s="1150"/>
      <c r="J779" s="1150"/>
    </row>
    <row r="780" spans="2:10">
      <c r="B780" s="1156"/>
      <c r="C780" s="1156"/>
      <c r="D780" s="1180"/>
      <c r="E780" s="1180"/>
      <c r="F780" s="1180"/>
      <c r="G780" s="1180"/>
      <c r="H780" s="1150"/>
      <c r="I780" s="1150"/>
      <c r="J780" s="1150"/>
    </row>
    <row r="781" spans="2:10">
      <c r="B781" s="1156"/>
      <c r="C781" s="1156"/>
      <c r="D781" s="1180"/>
      <c r="E781" s="1180"/>
      <c r="F781" s="1180"/>
      <c r="G781" s="1180"/>
      <c r="H781" s="1150"/>
      <c r="I781" s="1150"/>
      <c r="J781" s="1150"/>
    </row>
    <row r="782" spans="2:10">
      <c r="B782" s="1156"/>
      <c r="C782" s="1156"/>
      <c r="D782" s="1180"/>
      <c r="E782" s="1180"/>
      <c r="F782" s="1180"/>
      <c r="G782" s="1180"/>
      <c r="H782" s="1150"/>
      <c r="I782" s="1150"/>
      <c r="J782" s="1150"/>
    </row>
    <row r="783" spans="2:10">
      <c r="B783" s="1156"/>
      <c r="C783" s="1156"/>
      <c r="D783" s="1180"/>
      <c r="E783" s="1180"/>
      <c r="F783" s="1180"/>
      <c r="G783" s="1180"/>
      <c r="H783" s="1150"/>
      <c r="I783" s="1150"/>
      <c r="J783" s="1150"/>
    </row>
    <row r="784" spans="2:10">
      <c r="B784" s="1156"/>
      <c r="C784" s="1156"/>
      <c r="D784" s="1180"/>
      <c r="E784" s="1180"/>
      <c r="F784" s="1180"/>
      <c r="G784" s="1180"/>
      <c r="H784" s="1150"/>
      <c r="I784" s="1150"/>
      <c r="J784" s="1150"/>
    </row>
    <row r="785" spans="2:10">
      <c r="B785" s="1156"/>
      <c r="C785" s="1156"/>
      <c r="D785" s="1180"/>
      <c r="E785" s="1180"/>
      <c r="F785" s="1180"/>
      <c r="G785" s="1180"/>
      <c r="H785" s="1150"/>
      <c r="I785" s="1150"/>
      <c r="J785" s="1150"/>
    </row>
    <row r="786" spans="2:10">
      <c r="B786" s="1156"/>
      <c r="C786" s="1156"/>
      <c r="D786" s="1180"/>
      <c r="E786" s="1180"/>
      <c r="F786" s="1180"/>
      <c r="G786" s="1180"/>
      <c r="H786" s="1150"/>
      <c r="I786" s="1150"/>
      <c r="J786" s="1150"/>
    </row>
    <row r="787" spans="2:10">
      <c r="B787" s="1156"/>
      <c r="C787" s="1156"/>
      <c r="D787" s="1180"/>
      <c r="E787" s="1180"/>
      <c r="F787" s="1180"/>
      <c r="G787" s="1180"/>
      <c r="H787" s="1150"/>
      <c r="I787" s="1150"/>
      <c r="J787" s="1150"/>
    </row>
    <row r="788" spans="2:10">
      <c r="B788" s="1156"/>
      <c r="C788" s="1156"/>
      <c r="D788" s="1180"/>
      <c r="E788" s="1180"/>
      <c r="F788" s="1180"/>
      <c r="G788" s="1180"/>
      <c r="H788" s="1150"/>
      <c r="I788" s="1150"/>
      <c r="J788" s="1150"/>
    </row>
    <row r="789" spans="2:10">
      <c r="B789" s="1156"/>
      <c r="C789" s="1156"/>
      <c r="D789" s="1180"/>
      <c r="E789" s="1180"/>
      <c r="F789" s="1180"/>
      <c r="G789" s="1180"/>
      <c r="H789" s="1150"/>
      <c r="I789" s="1150"/>
      <c r="J789" s="1150"/>
    </row>
    <row r="790" spans="2:10">
      <c r="B790" s="1156"/>
      <c r="C790" s="1156"/>
      <c r="D790" s="1180"/>
      <c r="E790" s="1180"/>
      <c r="F790" s="1180"/>
      <c r="G790" s="1180"/>
      <c r="H790" s="1150"/>
      <c r="I790" s="1150"/>
      <c r="J790" s="1150"/>
    </row>
    <row r="791" spans="2:10">
      <c r="B791" s="1156"/>
      <c r="C791" s="1156"/>
      <c r="D791" s="1180"/>
      <c r="E791" s="1180"/>
      <c r="F791" s="1180"/>
      <c r="G791" s="1180"/>
      <c r="H791" s="1150"/>
      <c r="I791" s="1150"/>
      <c r="J791" s="1150"/>
    </row>
    <row r="792" spans="2:10">
      <c r="B792" s="1156"/>
      <c r="C792" s="1156"/>
      <c r="D792" s="1180"/>
      <c r="E792" s="1180"/>
      <c r="F792" s="1180"/>
      <c r="G792" s="1180"/>
      <c r="H792" s="1150"/>
      <c r="I792" s="1150"/>
      <c r="J792" s="1150"/>
    </row>
    <row r="793" spans="2:10">
      <c r="B793" s="1156"/>
      <c r="C793" s="1156"/>
      <c r="D793" s="1180"/>
      <c r="E793" s="1180"/>
      <c r="F793" s="1180"/>
      <c r="G793" s="1180"/>
      <c r="H793" s="1150"/>
      <c r="I793" s="1150"/>
      <c r="J793" s="1150"/>
    </row>
    <row r="794" spans="2:10">
      <c r="B794" s="1156"/>
      <c r="C794" s="1156"/>
      <c r="D794" s="1180"/>
      <c r="E794" s="1180"/>
      <c r="F794" s="1180"/>
      <c r="G794" s="1180"/>
      <c r="H794" s="1150"/>
      <c r="I794" s="1150"/>
      <c r="J794" s="1150"/>
    </row>
    <row r="795" spans="2:10">
      <c r="B795" s="1156"/>
      <c r="C795" s="1156"/>
      <c r="D795" s="1180"/>
      <c r="E795" s="1180"/>
      <c r="F795" s="1180"/>
      <c r="G795" s="1180"/>
      <c r="H795" s="1150"/>
      <c r="I795" s="1150"/>
      <c r="J795" s="1150"/>
    </row>
    <row r="796" spans="2:10">
      <c r="B796" s="1156"/>
      <c r="C796" s="1156"/>
      <c r="D796" s="1180"/>
      <c r="E796" s="1180"/>
      <c r="F796" s="1180"/>
      <c r="G796" s="1180"/>
      <c r="H796" s="1150"/>
      <c r="I796" s="1150"/>
      <c r="J796" s="1150"/>
    </row>
    <row r="797" spans="2:10">
      <c r="B797" s="1156"/>
      <c r="C797" s="1156"/>
      <c r="D797" s="1180"/>
      <c r="E797" s="1180"/>
      <c r="F797" s="1180"/>
      <c r="G797" s="1180"/>
      <c r="H797" s="1150"/>
      <c r="I797" s="1150"/>
      <c r="J797" s="1150"/>
    </row>
    <row r="798" spans="2:10">
      <c r="B798" s="1156"/>
      <c r="C798" s="1156"/>
      <c r="D798" s="1180"/>
      <c r="E798" s="1180"/>
      <c r="F798" s="1180"/>
      <c r="G798" s="1180"/>
      <c r="H798" s="1150"/>
      <c r="I798" s="1150"/>
      <c r="J798" s="1150"/>
    </row>
    <row r="799" spans="2:10">
      <c r="B799" s="1156"/>
      <c r="C799" s="1156"/>
      <c r="D799" s="1180"/>
      <c r="E799" s="1180"/>
      <c r="F799" s="1180"/>
      <c r="G799" s="1180"/>
      <c r="H799" s="1150"/>
      <c r="I799" s="1150"/>
      <c r="J799" s="1150"/>
    </row>
    <row r="800" spans="2:10">
      <c r="B800" s="1156"/>
      <c r="C800" s="1156"/>
      <c r="D800" s="1180"/>
      <c r="E800" s="1180"/>
      <c r="F800" s="1180"/>
      <c r="G800" s="1180"/>
      <c r="H800" s="1150"/>
      <c r="I800" s="1150"/>
      <c r="J800" s="1150"/>
    </row>
    <row r="801" spans="2:10">
      <c r="B801" s="1156"/>
      <c r="C801" s="1156"/>
      <c r="D801" s="1180"/>
      <c r="E801" s="1180"/>
      <c r="F801" s="1180"/>
      <c r="G801" s="1180"/>
      <c r="H801" s="1150"/>
      <c r="I801" s="1150"/>
      <c r="J801" s="1150"/>
    </row>
    <row r="802" spans="2:10">
      <c r="B802" s="1156"/>
      <c r="C802" s="1156"/>
      <c r="D802" s="1180"/>
      <c r="E802" s="1180"/>
      <c r="F802" s="1180"/>
      <c r="G802" s="1180"/>
      <c r="H802" s="1150"/>
      <c r="I802" s="1150"/>
      <c r="J802" s="1150"/>
    </row>
    <row r="803" spans="2:10">
      <c r="B803" s="1156"/>
      <c r="C803" s="1156"/>
      <c r="D803" s="1180"/>
      <c r="E803" s="1180"/>
      <c r="F803" s="1180"/>
      <c r="G803" s="1180"/>
      <c r="H803" s="1150"/>
      <c r="I803" s="1150"/>
      <c r="J803" s="1150"/>
    </row>
    <row r="804" spans="2:10">
      <c r="B804" s="1156"/>
      <c r="C804" s="1156"/>
      <c r="D804" s="1180"/>
      <c r="E804" s="1180"/>
      <c r="F804" s="1180"/>
      <c r="G804" s="1180"/>
      <c r="H804" s="1150"/>
      <c r="I804" s="1150"/>
      <c r="J804" s="1150"/>
    </row>
    <row r="805" spans="2:10">
      <c r="B805" s="1156"/>
      <c r="C805" s="1156"/>
      <c r="D805" s="1180"/>
      <c r="E805" s="1180"/>
      <c r="F805" s="1180"/>
      <c r="G805" s="1180"/>
      <c r="H805" s="1150"/>
      <c r="I805" s="1150"/>
      <c r="J805" s="1150"/>
    </row>
    <row r="806" spans="2:10">
      <c r="B806" s="1156"/>
      <c r="C806" s="1156"/>
      <c r="D806" s="1180"/>
      <c r="E806" s="1180"/>
      <c r="F806" s="1180"/>
      <c r="G806" s="1180"/>
      <c r="H806" s="1150"/>
      <c r="I806" s="1150"/>
      <c r="J806" s="1150"/>
    </row>
    <row r="807" spans="2:10">
      <c r="B807" s="1156"/>
      <c r="C807" s="1156"/>
      <c r="D807" s="1180"/>
      <c r="E807" s="1180"/>
      <c r="F807" s="1180"/>
      <c r="G807" s="1180"/>
      <c r="H807" s="1150"/>
      <c r="I807" s="1150"/>
      <c r="J807" s="1150"/>
    </row>
    <row r="808" spans="2:10">
      <c r="B808" s="1156"/>
      <c r="C808" s="1156"/>
      <c r="D808" s="1180"/>
      <c r="E808" s="1180"/>
      <c r="F808" s="1180"/>
      <c r="G808" s="1180"/>
      <c r="H808" s="1150"/>
      <c r="I808" s="1150"/>
      <c r="J808" s="1150"/>
    </row>
    <row r="809" spans="2:10">
      <c r="B809" s="1156"/>
      <c r="C809" s="1156"/>
      <c r="D809" s="1180"/>
      <c r="E809" s="1180"/>
      <c r="F809" s="1180"/>
      <c r="G809" s="1180"/>
      <c r="H809" s="1150"/>
      <c r="I809" s="1150"/>
      <c r="J809" s="1150"/>
    </row>
    <row r="810" spans="2:10">
      <c r="B810" s="1156"/>
      <c r="C810" s="1156"/>
      <c r="D810" s="1180"/>
      <c r="E810" s="1180"/>
      <c r="F810" s="1180"/>
      <c r="G810" s="1180"/>
      <c r="H810" s="1150"/>
      <c r="I810" s="1150"/>
      <c r="J810" s="1150"/>
    </row>
    <row r="811" spans="2:10">
      <c r="B811" s="1156"/>
      <c r="C811" s="1156"/>
      <c r="D811" s="1180"/>
      <c r="E811" s="1180"/>
      <c r="F811" s="1180"/>
      <c r="G811" s="1180"/>
      <c r="H811" s="1150"/>
      <c r="I811" s="1150"/>
      <c r="J811" s="1150"/>
    </row>
    <row r="812" spans="2:10">
      <c r="B812" s="1156"/>
      <c r="C812" s="1156"/>
      <c r="D812" s="1180"/>
      <c r="E812" s="1180"/>
      <c r="F812" s="1180"/>
      <c r="G812" s="1180"/>
      <c r="H812" s="1150"/>
      <c r="I812" s="1150"/>
      <c r="J812" s="1150"/>
    </row>
    <row r="813" spans="2:10">
      <c r="B813" s="1156"/>
      <c r="C813" s="1156"/>
      <c r="D813" s="1180"/>
      <c r="E813" s="1180"/>
      <c r="F813" s="1180"/>
      <c r="G813" s="1180"/>
      <c r="H813" s="1150"/>
      <c r="I813" s="1150"/>
      <c r="J813" s="1150"/>
    </row>
    <row r="814" spans="2:10">
      <c r="B814" s="1156"/>
      <c r="C814" s="1156"/>
      <c r="D814" s="1180"/>
      <c r="E814" s="1180"/>
      <c r="F814" s="1180"/>
      <c r="G814" s="1180"/>
      <c r="H814" s="1150"/>
      <c r="I814" s="1150"/>
      <c r="J814" s="1150"/>
    </row>
    <row r="815" spans="2:10">
      <c r="B815" s="1156"/>
      <c r="C815" s="1156"/>
      <c r="D815" s="1180"/>
      <c r="E815" s="1180"/>
      <c r="F815" s="1180"/>
      <c r="G815" s="1180"/>
      <c r="H815" s="1150"/>
      <c r="I815" s="1150"/>
      <c r="J815" s="1150"/>
    </row>
    <row r="816" spans="2:10">
      <c r="B816" s="1156"/>
      <c r="C816" s="1156"/>
      <c r="D816" s="1180"/>
      <c r="E816" s="1180"/>
      <c r="F816" s="1180"/>
      <c r="G816" s="1180"/>
      <c r="H816" s="1150"/>
      <c r="I816" s="1150"/>
      <c r="J816" s="1150"/>
    </row>
    <row r="817" spans="2:10">
      <c r="B817" s="1156"/>
      <c r="C817" s="1156"/>
      <c r="D817" s="1180"/>
      <c r="E817" s="1180"/>
      <c r="F817" s="1180"/>
      <c r="G817" s="1180"/>
      <c r="H817" s="1150"/>
      <c r="I817" s="1150"/>
      <c r="J817" s="1150"/>
    </row>
    <row r="818" spans="2:10">
      <c r="B818" s="1156"/>
      <c r="C818" s="1156"/>
      <c r="D818" s="1180"/>
      <c r="E818" s="1180"/>
      <c r="F818" s="1180"/>
      <c r="G818" s="1180"/>
      <c r="H818" s="1150"/>
      <c r="I818" s="1150"/>
      <c r="J818" s="1150"/>
    </row>
    <row r="819" spans="2:10">
      <c r="B819" s="1156"/>
      <c r="C819" s="1156"/>
      <c r="D819" s="1180"/>
      <c r="E819" s="1180"/>
      <c r="F819" s="1180"/>
      <c r="G819" s="1180"/>
      <c r="H819" s="1150"/>
      <c r="I819" s="1150"/>
      <c r="J819" s="1150"/>
    </row>
    <row r="820" spans="2:10">
      <c r="B820" s="1156"/>
      <c r="C820" s="1156"/>
      <c r="D820" s="1180"/>
      <c r="E820" s="1180"/>
      <c r="F820" s="1180"/>
      <c r="G820" s="1180"/>
      <c r="H820" s="1150"/>
      <c r="I820" s="1150"/>
      <c r="J820" s="1150"/>
    </row>
    <row r="821" spans="2:10">
      <c r="B821" s="1156"/>
      <c r="C821" s="1156"/>
      <c r="D821" s="1180"/>
      <c r="E821" s="1180"/>
      <c r="F821" s="1180"/>
      <c r="G821" s="1180"/>
      <c r="H821" s="1150"/>
      <c r="I821" s="1150"/>
      <c r="J821" s="1150"/>
    </row>
    <row r="822" spans="2:10">
      <c r="B822" s="1156"/>
      <c r="C822" s="1156"/>
      <c r="D822" s="1180"/>
      <c r="E822" s="1180"/>
      <c r="F822" s="1180"/>
      <c r="G822" s="1180"/>
      <c r="H822" s="1150"/>
      <c r="I822" s="1150"/>
      <c r="J822" s="1150"/>
    </row>
    <row r="823" spans="2:10">
      <c r="B823" s="1156"/>
      <c r="C823" s="1156"/>
      <c r="D823" s="1180"/>
      <c r="E823" s="1180"/>
      <c r="F823" s="1180"/>
      <c r="G823" s="1180"/>
      <c r="H823" s="1150"/>
      <c r="I823" s="1150"/>
      <c r="J823" s="1150"/>
    </row>
    <row r="824" spans="2:10">
      <c r="B824" s="1156"/>
      <c r="C824" s="1156"/>
      <c r="D824" s="1180"/>
      <c r="E824" s="1180"/>
      <c r="F824" s="1180"/>
      <c r="G824" s="1180"/>
      <c r="H824" s="1150"/>
      <c r="I824" s="1150"/>
      <c r="J824" s="1150"/>
    </row>
    <row r="825" spans="2:10">
      <c r="B825" s="1156"/>
      <c r="C825" s="1156"/>
      <c r="D825" s="1180"/>
      <c r="E825" s="1180"/>
      <c r="F825" s="1180"/>
      <c r="G825" s="1180"/>
      <c r="H825" s="1150"/>
      <c r="I825" s="1150"/>
      <c r="J825" s="1150"/>
    </row>
    <row r="826" spans="2:10">
      <c r="B826" s="1156"/>
      <c r="C826" s="1156"/>
      <c r="D826" s="1180"/>
      <c r="E826" s="1180"/>
      <c r="F826" s="1180"/>
      <c r="G826" s="1180"/>
      <c r="H826" s="1150"/>
      <c r="I826" s="1150"/>
      <c r="J826" s="1150"/>
    </row>
    <row r="827" spans="2:10">
      <c r="B827" s="1156"/>
      <c r="C827" s="1156"/>
      <c r="D827" s="1180"/>
      <c r="E827" s="1180"/>
      <c r="F827" s="1180"/>
      <c r="G827" s="1180"/>
      <c r="H827" s="1150"/>
      <c r="I827" s="1150"/>
      <c r="J827" s="1150"/>
    </row>
    <row r="828" spans="2:10">
      <c r="B828" s="1156"/>
      <c r="C828" s="1156"/>
      <c r="D828" s="1180"/>
      <c r="E828" s="1180"/>
      <c r="F828" s="1180"/>
      <c r="G828" s="1180"/>
      <c r="H828" s="1150"/>
      <c r="I828" s="1150"/>
      <c r="J828" s="1150"/>
    </row>
    <row r="829" spans="2:10">
      <c r="B829" s="1156"/>
      <c r="C829" s="1156"/>
      <c r="D829" s="1180"/>
      <c r="E829" s="1180"/>
      <c r="F829" s="1180"/>
      <c r="G829" s="1180"/>
      <c r="H829" s="1150"/>
      <c r="I829" s="1150"/>
      <c r="J829" s="1150"/>
    </row>
    <row r="830" spans="2:10">
      <c r="B830" s="1156"/>
      <c r="C830" s="1156"/>
      <c r="D830" s="1180"/>
      <c r="E830" s="1180"/>
      <c r="F830" s="1180"/>
      <c r="G830" s="1180"/>
      <c r="H830" s="1150"/>
      <c r="I830" s="1150"/>
      <c r="J830" s="1150"/>
    </row>
    <row r="831" spans="2:10">
      <c r="B831" s="1156"/>
      <c r="C831" s="1156"/>
      <c r="D831" s="1180"/>
      <c r="E831" s="1180"/>
      <c r="F831" s="1180"/>
      <c r="G831" s="1180"/>
      <c r="H831" s="1150"/>
      <c r="I831" s="1150"/>
      <c r="J831" s="1150"/>
    </row>
    <row r="832" spans="2:10">
      <c r="B832" s="1156"/>
      <c r="C832" s="1156"/>
      <c r="D832" s="1180"/>
      <c r="E832" s="1180"/>
      <c r="F832" s="1180"/>
      <c r="G832" s="1180"/>
      <c r="H832" s="1150"/>
      <c r="I832" s="1150"/>
      <c r="J832" s="1150"/>
    </row>
    <row r="833" spans="2:10">
      <c r="B833" s="1156"/>
      <c r="C833" s="1156"/>
      <c r="D833" s="1180"/>
      <c r="E833" s="1180"/>
      <c r="F833" s="1180"/>
      <c r="G833" s="1180"/>
      <c r="H833" s="1150"/>
      <c r="I833" s="1150"/>
      <c r="J833" s="1150"/>
    </row>
    <row r="834" spans="2:10">
      <c r="B834" s="1156"/>
      <c r="C834" s="1156"/>
      <c r="D834" s="1180"/>
      <c r="E834" s="1180"/>
      <c r="F834" s="1180"/>
      <c r="G834" s="1180"/>
      <c r="H834" s="1150"/>
      <c r="I834" s="1150"/>
      <c r="J834" s="1150"/>
    </row>
    <row r="835" spans="2:10">
      <c r="B835" s="1156"/>
      <c r="C835" s="1156"/>
      <c r="D835" s="1180"/>
      <c r="E835" s="1180"/>
      <c r="F835" s="1180"/>
      <c r="G835" s="1180"/>
      <c r="H835" s="1150"/>
      <c r="I835" s="1150"/>
      <c r="J835" s="1150"/>
    </row>
    <row r="836" spans="2:10">
      <c r="B836" s="1156"/>
      <c r="C836" s="1156"/>
      <c r="D836" s="1180"/>
      <c r="E836" s="1180"/>
      <c r="F836" s="1180"/>
      <c r="G836" s="1180"/>
      <c r="H836" s="1150"/>
      <c r="I836" s="1150"/>
      <c r="J836" s="1150"/>
    </row>
    <row r="837" spans="2:10">
      <c r="B837" s="1156"/>
      <c r="C837" s="1156"/>
      <c r="D837" s="1180"/>
      <c r="E837" s="1180"/>
      <c r="F837" s="1180"/>
      <c r="G837" s="1180"/>
      <c r="H837" s="1150"/>
      <c r="I837" s="1150"/>
      <c r="J837" s="1150"/>
    </row>
    <row r="838" spans="2:10">
      <c r="B838" s="1156"/>
      <c r="C838" s="1156"/>
      <c r="D838" s="1180"/>
      <c r="E838" s="1180"/>
      <c r="F838" s="1180"/>
      <c r="G838" s="1180"/>
      <c r="H838" s="1150"/>
      <c r="I838" s="1150"/>
      <c r="J838" s="1150"/>
    </row>
    <row r="839" spans="2:10">
      <c r="B839" s="1156"/>
      <c r="C839" s="1156"/>
      <c r="D839" s="1180"/>
      <c r="E839" s="1180"/>
      <c r="F839" s="1180"/>
      <c r="G839" s="1180"/>
      <c r="H839" s="1150"/>
      <c r="I839" s="1150"/>
      <c r="J839" s="1150"/>
    </row>
    <row r="840" spans="2:10">
      <c r="B840" s="1156"/>
      <c r="C840" s="1156"/>
      <c r="D840" s="1180"/>
      <c r="E840" s="1180"/>
      <c r="F840" s="1180"/>
      <c r="G840" s="1180"/>
      <c r="H840" s="1150"/>
      <c r="I840" s="1150"/>
      <c r="J840" s="1150"/>
    </row>
    <row r="841" spans="2:10">
      <c r="B841" s="1156"/>
      <c r="C841" s="1156"/>
      <c r="D841" s="1180"/>
      <c r="E841" s="1180"/>
      <c r="F841" s="1180"/>
      <c r="G841" s="1180"/>
      <c r="H841" s="1150"/>
      <c r="I841" s="1150"/>
      <c r="J841" s="1150"/>
    </row>
    <row r="842" spans="2:10">
      <c r="B842" s="1156"/>
      <c r="C842" s="1156"/>
      <c r="D842" s="1180"/>
      <c r="E842" s="1180"/>
      <c r="F842" s="1180"/>
      <c r="G842" s="1180"/>
      <c r="H842" s="1150"/>
      <c r="I842" s="1150"/>
      <c r="J842" s="1150"/>
    </row>
    <row r="843" spans="2:10">
      <c r="B843" s="1156"/>
      <c r="C843" s="1156"/>
      <c r="D843" s="1180"/>
      <c r="E843" s="1180"/>
      <c r="F843" s="1180"/>
      <c r="G843" s="1180"/>
      <c r="H843" s="1150"/>
      <c r="I843" s="1150"/>
      <c r="J843" s="1150"/>
    </row>
    <row r="844" spans="2:10">
      <c r="B844" s="1156"/>
      <c r="C844" s="1156"/>
      <c r="D844" s="1180"/>
      <c r="E844" s="1180"/>
      <c r="F844" s="1180"/>
      <c r="G844" s="1180"/>
      <c r="H844" s="1150"/>
      <c r="I844" s="1150"/>
      <c r="J844" s="1150"/>
    </row>
    <row r="845" spans="2:10">
      <c r="B845" s="1156"/>
      <c r="C845" s="1156"/>
      <c r="D845" s="1180"/>
      <c r="E845" s="1180"/>
      <c r="F845" s="1180"/>
      <c r="G845" s="1180"/>
      <c r="H845" s="1150"/>
      <c r="I845" s="1150"/>
      <c r="J845" s="1150"/>
    </row>
    <row r="846" spans="2:10">
      <c r="B846" s="1156"/>
      <c r="C846" s="1156"/>
      <c r="D846" s="1180"/>
      <c r="E846" s="1180"/>
      <c r="F846" s="1180"/>
      <c r="G846" s="1180"/>
      <c r="H846" s="1150"/>
      <c r="I846" s="1150"/>
      <c r="J846" s="1150"/>
    </row>
    <row r="847" spans="2:10">
      <c r="B847" s="1156"/>
      <c r="C847" s="1156"/>
      <c r="D847" s="1180"/>
      <c r="E847" s="1180"/>
      <c r="F847" s="1180"/>
      <c r="G847" s="1180"/>
      <c r="H847" s="1150"/>
      <c r="I847" s="1150"/>
      <c r="J847" s="1150"/>
    </row>
    <row r="848" spans="2:10">
      <c r="B848" s="1156"/>
      <c r="C848" s="1156"/>
      <c r="D848" s="1180"/>
      <c r="E848" s="1180"/>
      <c r="F848" s="1180"/>
      <c r="G848" s="1180"/>
      <c r="H848" s="1150"/>
      <c r="I848" s="1150"/>
      <c r="J848" s="1150"/>
    </row>
    <row r="849" spans="2:10">
      <c r="B849" s="1156"/>
      <c r="C849" s="1156"/>
      <c r="D849" s="1180"/>
      <c r="E849" s="1180"/>
      <c r="F849" s="1180"/>
      <c r="G849" s="1180"/>
      <c r="H849" s="1150"/>
      <c r="I849" s="1150"/>
      <c r="J849" s="1150"/>
    </row>
    <row r="850" spans="2:10">
      <c r="B850" s="1156"/>
      <c r="C850" s="1156"/>
      <c r="D850" s="1180"/>
      <c r="E850" s="1180"/>
      <c r="F850" s="1180"/>
      <c r="G850" s="1180"/>
      <c r="H850" s="1150"/>
      <c r="I850" s="1150"/>
      <c r="J850" s="1150"/>
    </row>
    <row r="851" spans="2:10">
      <c r="B851" s="1156"/>
      <c r="C851" s="1156"/>
      <c r="D851" s="1180"/>
      <c r="E851" s="1180"/>
      <c r="F851" s="1180"/>
      <c r="G851" s="1180"/>
      <c r="H851" s="1150"/>
      <c r="I851" s="1150"/>
      <c r="J851" s="1150"/>
    </row>
    <row r="852" spans="2:10">
      <c r="B852" s="1156"/>
      <c r="C852" s="1156"/>
      <c r="D852" s="1180"/>
      <c r="E852" s="1180"/>
      <c r="F852" s="1180"/>
      <c r="G852" s="1180"/>
      <c r="H852" s="1150"/>
      <c r="I852" s="1150"/>
      <c r="J852" s="1150"/>
    </row>
    <row r="853" spans="2:10">
      <c r="B853" s="1156"/>
      <c r="C853" s="1156"/>
      <c r="D853" s="1180"/>
      <c r="E853" s="1180"/>
      <c r="F853" s="1180"/>
      <c r="G853" s="1180"/>
      <c r="H853" s="1150"/>
      <c r="I853" s="1150"/>
      <c r="J853" s="1150"/>
    </row>
    <row r="854" spans="2:10">
      <c r="B854" s="1156"/>
      <c r="C854" s="1156"/>
      <c r="D854" s="1180"/>
      <c r="E854" s="1180"/>
      <c r="F854" s="1180"/>
      <c r="G854" s="1180"/>
      <c r="H854" s="1150"/>
      <c r="I854" s="1150"/>
      <c r="J854" s="1150"/>
    </row>
    <row r="855" spans="2:10">
      <c r="B855" s="1156"/>
      <c r="C855" s="1156"/>
      <c r="D855" s="1180"/>
      <c r="E855" s="1180"/>
      <c r="F855" s="1180"/>
      <c r="G855" s="1180"/>
      <c r="H855" s="1150"/>
      <c r="I855" s="1150"/>
      <c r="J855" s="1150"/>
    </row>
    <row r="856" spans="2:10">
      <c r="B856" s="1156"/>
      <c r="C856" s="1156"/>
      <c r="D856" s="1180"/>
      <c r="E856" s="1180"/>
      <c r="F856" s="1180"/>
      <c r="G856" s="1180"/>
      <c r="H856" s="1150"/>
      <c r="I856" s="1150"/>
      <c r="J856" s="1150"/>
    </row>
    <row r="857" spans="2:10">
      <c r="B857" s="1156"/>
      <c r="C857" s="1156"/>
      <c r="D857" s="1180"/>
      <c r="E857" s="1180"/>
      <c r="F857" s="1180"/>
      <c r="G857" s="1180"/>
      <c r="H857" s="1150"/>
      <c r="I857" s="1150"/>
      <c r="J857" s="1150"/>
    </row>
    <row r="858" spans="2:10">
      <c r="B858" s="1156"/>
      <c r="C858" s="1156"/>
      <c r="D858" s="1180"/>
      <c r="E858" s="1180"/>
      <c r="F858" s="1180"/>
      <c r="G858" s="1180"/>
      <c r="H858" s="1150"/>
      <c r="I858" s="1150"/>
      <c r="J858" s="1150"/>
    </row>
    <row r="859" spans="2:10">
      <c r="B859" s="1156"/>
      <c r="C859" s="1156"/>
      <c r="D859" s="1180"/>
      <c r="E859" s="1180"/>
      <c r="F859" s="1180"/>
      <c r="G859" s="1180"/>
      <c r="H859" s="1150"/>
      <c r="I859" s="1150"/>
      <c r="J859" s="1150"/>
    </row>
    <row r="860" spans="2:10">
      <c r="B860" s="1156"/>
      <c r="C860" s="1156"/>
      <c r="D860" s="1180"/>
      <c r="E860" s="1180"/>
      <c r="F860" s="1180"/>
      <c r="G860" s="1180"/>
      <c r="H860" s="1150"/>
      <c r="I860" s="1150"/>
      <c r="J860" s="1150"/>
    </row>
    <row r="861" spans="2:10">
      <c r="B861" s="1156"/>
      <c r="C861" s="1156"/>
      <c r="D861" s="1180"/>
      <c r="E861" s="1180"/>
      <c r="F861" s="1180"/>
      <c r="G861" s="1180"/>
      <c r="H861" s="1150"/>
      <c r="I861" s="1150"/>
      <c r="J861" s="1150"/>
    </row>
    <row r="862" spans="2:10">
      <c r="B862" s="1156"/>
      <c r="C862" s="1156"/>
      <c r="D862" s="1180"/>
      <c r="E862" s="1180"/>
      <c r="F862" s="1180"/>
      <c r="G862" s="1180"/>
      <c r="H862" s="1150"/>
      <c r="I862" s="1150"/>
      <c r="J862" s="1150"/>
    </row>
    <row r="863" spans="2:10">
      <c r="B863" s="1156"/>
      <c r="C863" s="1156"/>
      <c r="D863" s="1180"/>
      <c r="E863" s="1180"/>
      <c r="F863" s="1180"/>
      <c r="G863" s="1180"/>
      <c r="H863" s="1150"/>
      <c r="I863" s="1150"/>
      <c r="J863" s="1150"/>
    </row>
    <row r="864" spans="2:10">
      <c r="B864" s="1156"/>
      <c r="C864" s="1156"/>
      <c r="D864" s="1180"/>
      <c r="E864" s="1180"/>
      <c r="F864" s="1180"/>
      <c r="G864" s="1180"/>
      <c r="H864" s="1150"/>
      <c r="I864" s="1150"/>
      <c r="J864" s="1150"/>
    </row>
    <row r="865" spans="2:10">
      <c r="B865" s="1156"/>
      <c r="C865" s="1156"/>
      <c r="D865" s="1180"/>
      <c r="E865" s="1180"/>
      <c r="F865" s="1180"/>
      <c r="G865" s="1180"/>
      <c r="H865" s="1150"/>
      <c r="I865" s="1150"/>
      <c r="J865" s="1150"/>
    </row>
    <row r="866" spans="2:10">
      <c r="B866" s="1156"/>
      <c r="C866" s="1156"/>
      <c r="D866" s="1180"/>
      <c r="E866" s="1180"/>
      <c r="F866" s="1180"/>
      <c r="G866" s="1180"/>
      <c r="H866" s="1150"/>
      <c r="I866" s="1150"/>
      <c r="J866" s="1150"/>
    </row>
    <row r="867" spans="2:10">
      <c r="B867" s="1156"/>
      <c r="C867" s="1156"/>
      <c r="D867" s="1180"/>
      <c r="E867" s="1180"/>
      <c r="F867" s="1180"/>
      <c r="G867" s="1180"/>
      <c r="H867" s="1150"/>
      <c r="I867" s="1150"/>
      <c r="J867" s="1150"/>
    </row>
    <row r="868" spans="2:10">
      <c r="B868" s="1156"/>
      <c r="C868" s="1156"/>
      <c r="D868" s="1180"/>
      <c r="E868" s="1180"/>
      <c r="F868" s="1180"/>
      <c r="G868" s="1180"/>
      <c r="H868" s="1150"/>
      <c r="I868" s="1150"/>
      <c r="J868" s="1150"/>
    </row>
    <row r="869" spans="2:10">
      <c r="B869" s="1156"/>
      <c r="C869" s="1156"/>
      <c r="D869" s="1180"/>
      <c r="E869" s="1180"/>
      <c r="F869" s="1180"/>
      <c r="G869" s="1180"/>
      <c r="H869" s="1150"/>
      <c r="I869" s="1150"/>
      <c r="J869" s="1150"/>
    </row>
    <row r="870" spans="2:10">
      <c r="B870" s="1156"/>
      <c r="C870" s="1156"/>
      <c r="D870" s="1180"/>
      <c r="E870" s="1180"/>
      <c r="F870" s="1180"/>
      <c r="G870" s="1180"/>
      <c r="H870" s="1150"/>
      <c r="I870" s="1150"/>
      <c r="J870" s="1150"/>
    </row>
    <row r="871" spans="2:10">
      <c r="B871" s="1156"/>
      <c r="C871" s="1156"/>
      <c r="D871" s="1180"/>
      <c r="E871" s="1180"/>
      <c r="F871" s="1180"/>
      <c r="G871" s="1180"/>
      <c r="H871" s="1150"/>
      <c r="I871" s="1150"/>
      <c r="J871" s="1150"/>
    </row>
    <row r="872" spans="2:10">
      <c r="B872" s="1156"/>
      <c r="C872" s="1156"/>
      <c r="D872" s="1180"/>
      <c r="E872" s="1180"/>
      <c r="F872" s="1180"/>
      <c r="G872" s="1180"/>
      <c r="H872" s="1150"/>
      <c r="I872" s="1150"/>
      <c r="J872" s="1150"/>
    </row>
    <row r="873" spans="2:10">
      <c r="B873" s="1156"/>
      <c r="C873" s="1156"/>
      <c r="D873" s="1180"/>
      <c r="E873" s="1180"/>
      <c r="F873" s="1180"/>
      <c r="G873" s="1180"/>
      <c r="H873" s="1150"/>
      <c r="I873" s="1150"/>
      <c r="J873" s="1150"/>
    </row>
    <row r="874" spans="2:10">
      <c r="B874" s="1156"/>
      <c r="C874" s="1156"/>
      <c r="D874" s="1180"/>
      <c r="E874" s="1180"/>
      <c r="F874" s="1180"/>
      <c r="G874" s="1180"/>
      <c r="H874" s="1150"/>
      <c r="I874" s="1150"/>
      <c r="J874" s="1150"/>
    </row>
    <row r="875" spans="2:10">
      <c r="B875" s="1156"/>
      <c r="C875" s="1156"/>
      <c r="D875" s="1180"/>
      <c r="E875" s="1180"/>
      <c r="F875" s="1180"/>
      <c r="G875" s="1180"/>
      <c r="H875" s="1150"/>
      <c r="I875" s="1150"/>
      <c r="J875" s="1150"/>
    </row>
    <row r="876" spans="2:10">
      <c r="B876" s="1156"/>
      <c r="C876" s="1156"/>
      <c r="D876" s="1180"/>
      <c r="E876" s="1180"/>
      <c r="F876" s="1180"/>
      <c r="G876" s="1180"/>
      <c r="H876" s="1150"/>
      <c r="I876" s="1150"/>
      <c r="J876" s="1150"/>
    </row>
    <row r="877" spans="2:10">
      <c r="B877" s="1156"/>
      <c r="C877" s="1156"/>
      <c r="D877" s="1180"/>
      <c r="E877" s="1180"/>
      <c r="F877" s="1180"/>
      <c r="G877" s="1180"/>
      <c r="H877" s="1150"/>
      <c r="I877" s="1150"/>
      <c r="J877" s="1150"/>
    </row>
    <row r="878" spans="2:10">
      <c r="B878" s="1156"/>
      <c r="C878" s="1156"/>
      <c r="D878" s="1180"/>
      <c r="E878" s="1180"/>
      <c r="F878" s="1180"/>
      <c r="G878" s="1180"/>
      <c r="H878" s="1150"/>
      <c r="I878" s="1150"/>
      <c r="J878" s="1150"/>
    </row>
    <row r="879" spans="2:10">
      <c r="B879" s="1156"/>
      <c r="C879" s="1156"/>
      <c r="D879" s="1180"/>
      <c r="E879" s="1180"/>
      <c r="F879" s="1180"/>
      <c r="G879" s="1180"/>
      <c r="H879" s="1150"/>
      <c r="I879" s="1150"/>
      <c r="J879" s="1150"/>
    </row>
    <row r="880" spans="2:10">
      <c r="B880" s="1156"/>
      <c r="C880" s="1156"/>
      <c r="D880" s="1180"/>
      <c r="E880" s="1180"/>
      <c r="F880" s="1180"/>
      <c r="G880" s="1180"/>
      <c r="H880" s="1150"/>
      <c r="I880" s="1150"/>
      <c r="J880" s="1150"/>
    </row>
    <row r="881" spans="2:10">
      <c r="B881" s="1156"/>
      <c r="C881" s="1156"/>
      <c r="D881" s="1180"/>
      <c r="E881" s="1180"/>
      <c r="F881" s="1180"/>
      <c r="G881" s="1180"/>
      <c r="H881" s="1150"/>
      <c r="I881" s="1150"/>
      <c r="J881" s="1150"/>
    </row>
    <row r="882" spans="2:10">
      <c r="B882" s="1156"/>
      <c r="C882" s="1156"/>
      <c r="D882" s="1180"/>
      <c r="E882" s="1180"/>
      <c r="F882" s="1180"/>
      <c r="G882" s="1180"/>
      <c r="H882" s="1150"/>
      <c r="I882" s="1150"/>
      <c r="J882" s="1150"/>
    </row>
    <row r="883" spans="2:10">
      <c r="B883" s="1156"/>
      <c r="C883" s="1156"/>
      <c r="D883" s="1180"/>
      <c r="E883" s="1180"/>
      <c r="F883" s="1180"/>
      <c r="G883" s="1180"/>
      <c r="H883" s="1150"/>
      <c r="I883" s="1150"/>
      <c r="J883" s="1150"/>
    </row>
    <row r="884" spans="2:10">
      <c r="B884" s="1156"/>
      <c r="C884" s="1156"/>
      <c r="D884" s="1180"/>
      <c r="E884" s="1180"/>
      <c r="F884" s="1180"/>
      <c r="G884" s="1180"/>
      <c r="H884" s="1150"/>
      <c r="I884" s="1150"/>
      <c r="J884" s="1150"/>
    </row>
    <row r="885" spans="2:10">
      <c r="B885" s="1156"/>
      <c r="C885" s="1156"/>
      <c r="D885" s="1180"/>
      <c r="E885" s="1180"/>
      <c r="F885" s="1180"/>
      <c r="G885" s="1180"/>
      <c r="H885" s="1150"/>
      <c r="I885" s="1150"/>
      <c r="J885" s="1150"/>
    </row>
    <row r="886" spans="2:10">
      <c r="B886" s="1156"/>
      <c r="C886" s="1156"/>
      <c r="D886" s="1180"/>
      <c r="E886" s="1180"/>
      <c r="F886" s="1180"/>
      <c r="G886" s="1180"/>
      <c r="H886" s="1150"/>
      <c r="I886" s="1150"/>
      <c r="J886" s="1150"/>
    </row>
    <row r="887" spans="2:10">
      <c r="B887" s="1156"/>
      <c r="C887" s="1156"/>
      <c r="D887" s="1180"/>
      <c r="E887" s="1180"/>
      <c r="F887" s="1180"/>
      <c r="G887" s="1180"/>
      <c r="H887" s="1150"/>
      <c r="I887" s="1150"/>
      <c r="J887" s="1150"/>
    </row>
    <row r="888" spans="2:10">
      <c r="B888" s="1156"/>
      <c r="C888" s="1156"/>
      <c r="D888" s="1180"/>
      <c r="E888" s="1180"/>
      <c r="F888" s="1180"/>
      <c r="G888" s="1180"/>
      <c r="H888" s="1150"/>
      <c r="I888" s="1150"/>
      <c r="J888" s="1150"/>
    </row>
    <row r="889" spans="2:10">
      <c r="B889" s="1156"/>
      <c r="C889" s="1156"/>
      <c r="D889" s="1180"/>
      <c r="E889" s="1180"/>
      <c r="F889" s="1180"/>
      <c r="G889" s="1180"/>
      <c r="H889" s="1150"/>
      <c r="I889" s="1150"/>
      <c r="J889" s="1150"/>
    </row>
    <row r="890" spans="2:10">
      <c r="B890" s="1156"/>
      <c r="C890" s="1156"/>
      <c r="D890" s="1180"/>
      <c r="E890" s="1180"/>
      <c r="F890" s="1180"/>
      <c r="G890" s="1180"/>
      <c r="H890" s="1150"/>
      <c r="I890" s="1150"/>
      <c r="J890" s="1150"/>
    </row>
    <row r="891" spans="2:10">
      <c r="B891" s="1156"/>
      <c r="C891" s="1156"/>
      <c r="D891" s="1180"/>
      <c r="E891" s="1180"/>
      <c r="F891" s="1180"/>
      <c r="G891" s="1180"/>
      <c r="H891" s="1150"/>
      <c r="I891" s="1150"/>
      <c r="J891" s="1150"/>
    </row>
    <row r="892" spans="2:10">
      <c r="B892" s="1156"/>
      <c r="C892" s="1156"/>
      <c r="D892" s="1180"/>
      <c r="E892" s="1180"/>
      <c r="F892" s="1180"/>
      <c r="G892" s="1180"/>
      <c r="H892" s="1150"/>
      <c r="I892" s="1150"/>
      <c r="J892" s="1150"/>
    </row>
    <row r="893" spans="2:10">
      <c r="B893" s="1156"/>
      <c r="C893" s="1156"/>
      <c r="D893" s="1180"/>
      <c r="E893" s="1180"/>
      <c r="F893" s="1180"/>
      <c r="G893" s="1180"/>
      <c r="H893" s="1150"/>
      <c r="I893" s="1150"/>
      <c r="J893" s="1150"/>
    </row>
    <row r="894" spans="2:10">
      <c r="B894" s="1156"/>
      <c r="C894" s="1156"/>
      <c r="D894" s="1180"/>
      <c r="E894" s="1180"/>
      <c r="F894" s="1180"/>
      <c r="G894" s="1180"/>
      <c r="H894" s="1150"/>
      <c r="I894" s="1150"/>
      <c r="J894" s="1150"/>
    </row>
    <row r="895" spans="2:10">
      <c r="B895" s="1156"/>
      <c r="C895" s="1156"/>
      <c r="D895" s="1180"/>
      <c r="E895" s="1180"/>
      <c r="F895" s="1180"/>
      <c r="G895" s="1180"/>
      <c r="H895" s="1150"/>
      <c r="I895" s="1150"/>
      <c r="J895" s="1150"/>
    </row>
    <row r="896" spans="2:10">
      <c r="B896" s="1156"/>
      <c r="C896" s="1156"/>
      <c r="D896" s="1180"/>
      <c r="E896" s="1180"/>
      <c r="F896" s="1180"/>
      <c r="G896" s="1180"/>
      <c r="H896" s="1150"/>
      <c r="I896" s="1150"/>
      <c r="J896" s="1150"/>
    </row>
    <row r="897" spans="2:10">
      <c r="B897" s="1156"/>
      <c r="C897" s="1156"/>
      <c r="D897" s="1180"/>
      <c r="E897" s="1180"/>
      <c r="F897" s="1180"/>
      <c r="G897" s="1180"/>
      <c r="H897" s="1150"/>
      <c r="I897" s="1150"/>
      <c r="J897" s="1150"/>
    </row>
    <row r="898" spans="2:10">
      <c r="B898" s="1156"/>
      <c r="C898" s="1156"/>
      <c r="D898" s="1180"/>
      <c r="E898" s="1180"/>
      <c r="F898" s="1180"/>
      <c r="G898" s="1180"/>
      <c r="H898" s="1150"/>
      <c r="I898" s="1150"/>
      <c r="J898" s="1150"/>
    </row>
    <row r="899" spans="2:10">
      <c r="B899" s="1156"/>
      <c r="C899" s="1156"/>
      <c r="D899" s="1180"/>
      <c r="E899" s="1180"/>
      <c r="F899" s="1180"/>
      <c r="G899" s="1180"/>
      <c r="H899" s="1150"/>
      <c r="I899" s="1150"/>
      <c r="J899" s="1150"/>
    </row>
    <row r="900" spans="2:10">
      <c r="B900" s="1156"/>
      <c r="C900" s="1156"/>
      <c r="D900" s="1180"/>
      <c r="E900" s="1180"/>
      <c r="F900" s="1180"/>
      <c r="G900" s="1180"/>
      <c r="H900" s="1150"/>
      <c r="I900" s="1150"/>
      <c r="J900" s="1150"/>
    </row>
    <row r="901" spans="2:10">
      <c r="B901" s="1156"/>
      <c r="C901" s="1156"/>
      <c r="D901" s="1180"/>
      <c r="E901" s="1180"/>
      <c r="F901" s="1180"/>
      <c r="G901" s="1180"/>
      <c r="H901" s="1150"/>
      <c r="I901" s="1150"/>
      <c r="J901" s="1150"/>
    </row>
    <row r="902" spans="2:10">
      <c r="B902" s="1156"/>
      <c r="C902" s="1156"/>
      <c r="D902" s="1180"/>
      <c r="E902" s="1180"/>
      <c r="F902" s="1180"/>
      <c r="G902" s="1180"/>
      <c r="H902" s="1150"/>
      <c r="I902" s="1150"/>
      <c r="J902" s="1150"/>
    </row>
    <row r="903" spans="2:10">
      <c r="B903" s="1156"/>
      <c r="C903" s="1156"/>
      <c r="D903" s="1180"/>
      <c r="E903" s="1180"/>
      <c r="F903" s="1180"/>
      <c r="G903" s="1180"/>
      <c r="H903" s="1150"/>
      <c r="I903" s="1150"/>
      <c r="J903" s="1150"/>
    </row>
    <row r="904" spans="2:10">
      <c r="B904" s="1156"/>
      <c r="C904" s="1156"/>
      <c r="D904" s="1180"/>
      <c r="E904" s="1180"/>
      <c r="F904" s="1180"/>
      <c r="G904" s="1180"/>
      <c r="H904" s="1150"/>
      <c r="I904" s="1150"/>
      <c r="J904" s="1150"/>
    </row>
    <row r="905" spans="2:10">
      <c r="B905" s="1156"/>
      <c r="C905" s="1156"/>
      <c r="D905" s="1180"/>
      <c r="E905" s="1180"/>
      <c r="F905" s="1180"/>
      <c r="G905" s="1180"/>
      <c r="H905" s="1150"/>
      <c r="I905" s="1150"/>
      <c r="J905" s="1150"/>
    </row>
    <row r="906" spans="2:10">
      <c r="B906" s="1156"/>
      <c r="C906" s="1156"/>
      <c r="D906" s="1180"/>
      <c r="E906" s="1180"/>
      <c r="F906" s="1180"/>
      <c r="G906" s="1180"/>
      <c r="H906" s="1150"/>
      <c r="I906" s="1150"/>
      <c r="J906" s="1150"/>
    </row>
    <row r="907" spans="2:10">
      <c r="B907" s="1156"/>
      <c r="C907" s="1156"/>
      <c r="D907" s="1180"/>
      <c r="E907" s="1180"/>
      <c r="F907" s="1180"/>
      <c r="G907" s="1180"/>
      <c r="H907" s="1150"/>
      <c r="I907" s="1150"/>
      <c r="J907" s="1150"/>
    </row>
    <row r="908" spans="2:10">
      <c r="B908" s="1156"/>
      <c r="C908" s="1156"/>
      <c r="D908" s="1180"/>
      <c r="E908" s="1180"/>
      <c r="F908" s="1180"/>
      <c r="G908" s="1180"/>
      <c r="H908" s="1150"/>
      <c r="I908" s="1150"/>
      <c r="J908" s="1150"/>
    </row>
    <row r="909" spans="2:10">
      <c r="B909" s="1156"/>
      <c r="C909" s="1156"/>
      <c r="D909" s="1180"/>
      <c r="E909" s="1180"/>
      <c r="F909" s="1180"/>
      <c r="G909" s="1180"/>
      <c r="H909" s="1150"/>
      <c r="I909" s="1150"/>
      <c r="J909" s="1150"/>
    </row>
    <row r="910" spans="2:10">
      <c r="B910" s="1156"/>
      <c r="C910" s="1156"/>
      <c r="D910" s="1180"/>
      <c r="E910" s="1180"/>
      <c r="F910" s="1180"/>
      <c r="G910" s="1180"/>
      <c r="H910" s="1150"/>
      <c r="I910" s="1150"/>
      <c r="J910" s="1150"/>
    </row>
    <row r="911" spans="2:10">
      <c r="B911" s="1156"/>
      <c r="C911" s="1156"/>
      <c r="D911" s="1180"/>
      <c r="E911" s="1180"/>
      <c r="F911" s="1180"/>
      <c r="G911" s="1180"/>
      <c r="H911" s="1150"/>
      <c r="I911" s="1150"/>
      <c r="J911" s="1150"/>
    </row>
    <row r="912" spans="2:10">
      <c r="B912" s="1156"/>
      <c r="C912" s="1156"/>
      <c r="D912" s="1180"/>
      <c r="E912" s="1180"/>
      <c r="F912" s="1180"/>
      <c r="G912" s="1180"/>
      <c r="H912" s="1150"/>
      <c r="I912" s="1150"/>
      <c r="J912" s="1150"/>
    </row>
    <row r="913" spans="2:10">
      <c r="B913" s="1156"/>
      <c r="C913" s="1156"/>
      <c r="D913" s="1180"/>
      <c r="E913" s="1180"/>
      <c r="F913" s="1180"/>
      <c r="G913" s="1180"/>
      <c r="H913" s="1150"/>
      <c r="I913" s="1150"/>
      <c r="J913" s="1150"/>
    </row>
    <row r="914" spans="2:10">
      <c r="B914" s="1156"/>
      <c r="C914" s="1156"/>
      <c r="D914" s="1180"/>
      <c r="E914" s="1180"/>
      <c r="F914" s="1180"/>
      <c r="G914" s="1180"/>
      <c r="H914" s="1150"/>
      <c r="I914" s="1150"/>
      <c r="J914" s="1150"/>
    </row>
    <row r="915" spans="2:10">
      <c r="B915" s="1156"/>
      <c r="C915" s="1156"/>
      <c r="D915" s="1180"/>
      <c r="E915" s="1180"/>
      <c r="F915" s="1180"/>
      <c r="G915" s="1180"/>
      <c r="H915" s="1150"/>
      <c r="I915" s="1150"/>
      <c r="J915" s="1150"/>
    </row>
    <row r="916" spans="2:10">
      <c r="B916" s="1156"/>
      <c r="C916" s="1156"/>
      <c r="D916" s="1180"/>
      <c r="E916" s="1180"/>
      <c r="F916" s="1180"/>
      <c r="G916" s="1180"/>
      <c r="H916" s="1150"/>
      <c r="I916" s="1150"/>
      <c r="J916" s="1150"/>
    </row>
    <row r="917" spans="2:10">
      <c r="B917" s="1156"/>
      <c r="C917" s="1156"/>
      <c r="D917" s="1180"/>
      <c r="E917" s="1180"/>
      <c r="F917" s="1180"/>
      <c r="G917" s="1180"/>
      <c r="H917" s="1150"/>
      <c r="I917" s="1150"/>
      <c r="J917" s="1150"/>
    </row>
    <row r="918" spans="2:10">
      <c r="B918" s="1156"/>
      <c r="C918" s="1156"/>
      <c r="D918" s="1180"/>
      <c r="E918" s="1180"/>
      <c r="F918" s="1180"/>
      <c r="G918" s="1180"/>
      <c r="H918" s="1150"/>
      <c r="I918" s="1150"/>
      <c r="J918" s="1150"/>
    </row>
    <row r="919" spans="2:10">
      <c r="B919" s="1156"/>
      <c r="C919" s="1156"/>
      <c r="D919" s="1180"/>
      <c r="E919" s="1180"/>
      <c r="F919" s="1180"/>
      <c r="G919" s="1180"/>
      <c r="H919" s="1150"/>
      <c r="I919" s="1150"/>
      <c r="J919" s="1150"/>
    </row>
    <row r="920" spans="2:10">
      <c r="B920" s="1156"/>
      <c r="C920" s="1156"/>
      <c r="D920" s="1180"/>
      <c r="E920" s="1180"/>
      <c r="F920" s="1180"/>
      <c r="G920" s="1180"/>
      <c r="H920" s="1150"/>
      <c r="I920" s="1150"/>
      <c r="J920" s="1150"/>
    </row>
    <row r="921" spans="2:10">
      <c r="B921" s="1156"/>
      <c r="C921" s="1156"/>
      <c r="D921" s="1180"/>
      <c r="E921" s="1180"/>
      <c r="F921" s="1180"/>
      <c r="G921" s="1180"/>
      <c r="H921" s="1150"/>
      <c r="I921" s="1150"/>
      <c r="J921" s="1150"/>
    </row>
    <row r="922" spans="2:10">
      <c r="B922" s="1156"/>
      <c r="C922" s="1156"/>
      <c r="D922" s="1180"/>
      <c r="E922" s="1180"/>
      <c r="F922" s="1180"/>
      <c r="G922" s="1180"/>
      <c r="H922" s="1150"/>
      <c r="I922" s="1150"/>
      <c r="J922" s="1150"/>
    </row>
    <row r="923" spans="2:10">
      <c r="B923" s="1156"/>
      <c r="C923" s="1156"/>
      <c r="D923" s="1180"/>
      <c r="E923" s="1180"/>
      <c r="F923" s="1180"/>
      <c r="G923" s="1180"/>
      <c r="H923" s="1150"/>
      <c r="I923" s="1150"/>
      <c r="J923" s="1150"/>
    </row>
    <row r="924" spans="2:10">
      <c r="B924" s="1156"/>
      <c r="C924" s="1156"/>
      <c r="D924" s="1180"/>
      <c r="E924" s="1180"/>
      <c r="F924" s="1180"/>
      <c r="G924" s="1180"/>
      <c r="H924" s="1150"/>
      <c r="I924" s="1150"/>
      <c r="J924" s="1150"/>
    </row>
    <row r="925" spans="2:10">
      <c r="B925" s="1156"/>
      <c r="C925" s="1156"/>
      <c r="D925" s="1180"/>
      <c r="E925" s="1180"/>
      <c r="F925" s="1180"/>
      <c r="G925" s="1180"/>
      <c r="H925" s="1150"/>
      <c r="I925" s="1150"/>
      <c r="J925" s="1150"/>
    </row>
    <row r="926" spans="2:10">
      <c r="B926" s="1156"/>
      <c r="C926" s="1156"/>
      <c r="D926" s="1180"/>
      <c r="E926" s="1180"/>
      <c r="F926" s="1180"/>
      <c r="G926" s="1180"/>
      <c r="H926" s="1150"/>
      <c r="I926" s="1150"/>
      <c r="J926" s="1150"/>
    </row>
    <row r="927" spans="2:10">
      <c r="B927" s="1156"/>
      <c r="C927" s="1156"/>
      <c r="D927" s="1180"/>
      <c r="E927" s="1180"/>
      <c r="F927" s="1180"/>
      <c r="G927" s="1180"/>
      <c r="H927" s="1150"/>
      <c r="I927" s="1150"/>
      <c r="J927" s="1150"/>
    </row>
    <row r="928" spans="2:10">
      <c r="B928" s="1156"/>
      <c r="C928" s="1156"/>
      <c r="D928" s="1180"/>
      <c r="E928" s="1180"/>
      <c r="F928" s="1180"/>
      <c r="G928" s="1180"/>
      <c r="H928" s="1150"/>
      <c r="I928" s="1150"/>
      <c r="J928" s="1150"/>
    </row>
    <row r="929" spans="2:10">
      <c r="B929" s="1156"/>
      <c r="C929" s="1156"/>
      <c r="D929" s="1180"/>
      <c r="E929" s="1180"/>
      <c r="F929" s="1180"/>
      <c r="G929" s="1180"/>
      <c r="H929" s="1150"/>
      <c r="I929" s="1150"/>
      <c r="J929" s="1150"/>
    </row>
    <row r="930" spans="2:10">
      <c r="B930" s="1156"/>
      <c r="C930" s="1156"/>
      <c r="D930" s="1180"/>
      <c r="E930" s="1180"/>
      <c r="F930" s="1180"/>
      <c r="G930" s="1180"/>
      <c r="H930" s="1150"/>
      <c r="I930" s="1150"/>
      <c r="J930" s="1150"/>
    </row>
    <row r="931" spans="2:10">
      <c r="B931" s="1156"/>
      <c r="C931" s="1156"/>
      <c r="D931" s="1180"/>
      <c r="E931" s="1180"/>
      <c r="F931" s="1180"/>
      <c r="G931" s="1180"/>
      <c r="H931" s="1150"/>
      <c r="I931" s="1150"/>
      <c r="J931" s="1150"/>
    </row>
    <row r="932" spans="2:10">
      <c r="B932" s="1156"/>
      <c r="C932" s="1156"/>
      <c r="D932" s="1180"/>
      <c r="E932" s="1180"/>
      <c r="F932" s="1180"/>
      <c r="G932" s="1180"/>
      <c r="H932" s="1150"/>
      <c r="I932" s="1150"/>
      <c r="J932" s="1150"/>
    </row>
    <row r="933" spans="2:10">
      <c r="B933" s="1156"/>
      <c r="C933" s="1156"/>
      <c r="D933" s="1180"/>
      <c r="E933" s="1180"/>
      <c r="F933" s="1180"/>
      <c r="G933" s="1180"/>
      <c r="H933" s="1150"/>
      <c r="I933" s="1150"/>
      <c r="J933" s="1150"/>
    </row>
    <row r="934" spans="2:10">
      <c r="B934" s="1156"/>
      <c r="C934" s="1156"/>
      <c r="D934" s="1180"/>
      <c r="E934" s="1180"/>
      <c r="F934" s="1180"/>
      <c r="G934" s="1180"/>
      <c r="H934" s="1150"/>
      <c r="I934" s="1150"/>
      <c r="J934" s="1150"/>
    </row>
    <row r="935" spans="2:10">
      <c r="B935" s="1156"/>
      <c r="C935" s="1156"/>
      <c r="D935" s="1180"/>
      <c r="E935" s="1180"/>
      <c r="F935" s="1180"/>
      <c r="G935" s="1180"/>
      <c r="H935" s="1150"/>
      <c r="I935" s="1150"/>
      <c r="J935" s="1150"/>
    </row>
    <row r="936" spans="2:10">
      <c r="B936" s="1156"/>
      <c r="C936" s="1156"/>
      <c r="D936" s="1180"/>
      <c r="E936" s="1180"/>
      <c r="F936" s="1180"/>
      <c r="G936" s="1180"/>
      <c r="H936" s="1150"/>
      <c r="I936" s="1150"/>
      <c r="J936" s="1150"/>
    </row>
    <row r="937" spans="2:10">
      <c r="B937" s="1156"/>
      <c r="C937" s="1156"/>
      <c r="D937" s="1180"/>
      <c r="E937" s="1180"/>
      <c r="F937" s="1180"/>
      <c r="G937" s="1180"/>
      <c r="H937" s="1150"/>
      <c r="I937" s="1150"/>
      <c r="J937" s="1150"/>
    </row>
    <row r="938" spans="2:10">
      <c r="B938" s="1156"/>
      <c r="C938" s="1156"/>
      <c r="D938" s="1180"/>
      <c r="E938" s="1180"/>
      <c r="F938" s="1180"/>
      <c r="G938" s="1180"/>
      <c r="H938" s="1150"/>
      <c r="I938" s="1150"/>
      <c r="J938" s="1150"/>
    </row>
    <row r="939" spans="2:10">
      <c r="B939" s="1156"/>
      <c r="C939" s="1156"/>
      <c r="D939" s="1180"/>
      <c r="E939" s="1180"/>
      <c r="F939" s="1180"/>
      <c r="G939" s="1180"/>
      <c r="H939" s="1150"/>
      <c r="I939" s="1150"/>
      <c r="J939" s="1150"/>
    </row>
    <row r="940" spans="2:10">
      <c r="B940" s="1156"/>
      <c r="C940" s="1156"/>
      <c r="D940" s="1180"/>
      <c r="E940" s="1180"/>
      <c r="F940" s="1180"/>
      <c r="G940" s="1180"/>
      <c r="H940" s="1150"/>
      <c r="I940" s="1150"/>
      <c r="J940" s="1150"/>
    </row>
    <row r="941" spans="2:10">
      <c r="B941" s="1156"/>
      <c r="C941" s="1156"/>
      <c r="D941" s="1180"/>
      <c r="E941" s="1180"/>
      <c r="F941" s="1180"/>
      <c r="G941" s="1180"/>
      <c r="H941" s="1150"/>
      <c r="I941" s="1150"/>
      <c r="J941" s="1150"/>
    </row>
    <row r="942" spans="2:10">
      <c r="B942" s="1156"/>
      <c r="C942" s="1156"/>
      <c r="D942" s="1180"/>
      <c r="E942" s="1180"/>
      <c r="F942" s="1180"/>
      <c r="G942" s="1180"/>
      <c r="H942" s="1150"/>
      <c r="I942" s="1150"/>
      <c r="J942" s="1150"/>
    </row>
    <row r="943" spans="2:10">
      <c r="B943" s="1156"/>
      <c r="C943" s="1156"/>
      <c r="D943" s="1180"/>
      <c r="E943" s="1180"/>
      <c r="F943" s="1180"/>
      <c r="G943" s="1180"/>
      <c r="H943" s="1150"/>
      <c r="I943" s="1150"/>
      <c r="J943" s="1150"/>
    </row>
    <row r="944" spans="2:10">
      <c r="B944" s="1156"/>
      <c r="C944" s="1156"/>
      <c r="D944" s="1180"/>
      <c r="E944" s="1180"/>
      <c r="F944" s="1180"/>
      <c r="G944" s="1180"/>
      <c r="H944" s="1150"/>
      <c r="I944" s="1150"/>
      <c r="J944" s="1150"/>
    </row>
    <row r="945" spans="2:10">
      <c r="B945" s="1156"/>
      <c r="C945" s="1156"/>
      <c r="D945" s="1180"/>
      <c r="E945" s="1180"/>
      <c r="F945" s="1180"/>
      <c r="G945" s="1180"/>
      <c r="H945" s="1150"/>
      <c r="I945" s="1150"/>
      <c r="J945" s="1150"/>
    </row>
    <row r="946" spans="2:10">
      <c r="B946" s="1156"/>
      <c r="C946" s="1156"/>
      <c r="D946" s="1180"/>
      <c r="E946" s="1180"/>
      <c r="F946" s="1180"/>
      <c r="G946" s="1180"/>
      <c r="H946" s="1150"/>
      <c r="I946" s="1150"/>
      <c r="J946" s="1150"/>
    </row>
    <row r="947" spans="2:10">
      <c r="B947" s="1156"/>
      <c r="C947" s="1156"/>
      <c r="D947" s="1180"/>
      <c r="E947" s="1180"/>
      <c r="F947" s="1180"/>
      <c r="G947" s="1180"/>
      <c r="H947" s="1150"/>
      <c r="I947" s="1150"/>
      <c r="J947" s="1150"/>
    </row>
    <row r="948" spans="2:10">
      <c r="B948" s="1156"/>
      <c r="C948" s="1156"/>
      <c r="D948" s="1180"/>
      <c r="E948" s="1180"/>
      <c r="F948" s="1180"/>
      <c r="G948" s="1180"/>
      <c r="H948" s="1150"/>
      <c r="I948" s="1150"/>
      <c r="J948" s="1150"/>
    </row>
    <row r="949" spans="2:10">
      <c r="B949" s="1156"/>
      <c r="C949" s="1156"/>
      <c r="D949" s="1180"/>
      <c r="E949" s="1180"/>
      <c r="F949" s="1180"/>
      <c r="G949" s="1180"/>
      <c r="H949" s="1150"/>
      <c r="I949" s="1150"/>
      <c r="J949" s="1150"/>
    </row>
    <row r="950" spans="2:10">
      <c r="B950" s="1156"/>
      <c r="C950" s="1156"/>
      <c r="D950" s="1180"/>
      <c r="E950" s="1180"/>
      <c r="F950" s="1180"/>
      <c r="G950" s="1180"/>
      <c r="H950" s="1150"/>
      <c r="I950" s="1150"/>
      <c r="J950" s="1150"/>
    </row>
    <row r="951" spans="2:10">
      <c r="B951" s="1156"/>
      <c r="C951" s="1156"/>
      <c r="D951" s="1180"/>
      <c r="E951" s="1180"/>
      <c r="F951" s="1180"/>
      <c r="G951" s="1180"/>
      <c r="H951" s="1150"/>
      <c r="I951" s="1150"/>
      <c r="J951" s="1150"/>
    </row>
    <row r="952" spans="2:10">
      <c r="B952" s="1156"/>
      <c r="C952" s="1156"/>
      <c r="D952" s="1180"/>
      <c r="E952" s="1180"/>
      <c r="F952" s="1180"/>
      <c r="G952" s="1180"/>
      <c r="H952" s="1150"/>
      <c r="I952" s="1150"/>
      <c r="J952" s="1150"/>
    </row>
    <row r="953" spans="2:10">
      <c r="B953" s="1156"/>
      <c r="C953" s="1156"/>
      <c r="D953" s="1180"/>
      <c r="E953" s="1180"/>
      <c r="F953" s="1180"/>
      <c r="G953" s="1180"/>
      <c r="H953" s="1150"/>
      <c r="I953" s="1150"/>
      <c r="J953" s="1150"/>
    </row>
    <row r="954" spans="2:10">
      <c r="B954" s="1156"/>
      <c r="C954" s="1156"/>
      <c r="D954" s="1180"/>
      <c r="E954" s="1180"/>
      <c r="F954" s="1180"/>
      <c r="G954" s="1180"/>
      <c r="H954" s="1150"/>
      <c r="I954" s="1150"/>
      <c r="J954" s="1150"/>
    </row>
    <row r="955" spans="2:10">
      <c r="B955" s="1156"/>
      <c r="C955" s="1156"/>
      <c r="D955" s="1180"/>
      <c r="E955" s="1180"/>
      <c r="F955" s="1180"/>
      <c r="G955" s="1180"/>
      <c r="H955" s="1150"/>
      <c r="I955" s="1150"/>
      <c r="J955" s="1150"/>
    </row>
    <row r="956" spans="2:10">
      <c r="B956" s="1156"/>
      <c r="C956" s="1156"/>
      <c r="D956" s="1180"/>
      <c r="E956" s="1180"/>
      <c r="F956" s="1180"/>
      <c r="G956" s="1180"/>
      <c r="H956" s="1150"/>
      <c r="I956" s="1150"/>
      <c r="J956" s="1150"/>
    </row>
    <row r="957" spans="2:10">
      <c r="B957" s="1156"/>
      <c r="C957" s="1156"/>
      <c r="D957" s="1180"/>
      <c r="E957" s="1180"/>
      <c r="F957" s="1180"/>
      <c r="G957" s="1180"/>
      <c r="H957" s="1150"/>
      <c r="I957" s="1150"/>
      <c r="J957" s="1150"/>
    </row>
    <row r="958" spans="2:10">
      <c r="B958" s="1156"/>
      <c r="C958" s="1156"/>
      <c r="D958" s="1180"/>
      <c r="E958" s="1180"/>
      <c r="F958" s="1180"/>
      <c r="G958" s="1180"/>
      <c r="H958" s="1150"/>
      <c r="I958" s="1150"/>
      <c r="J958" s="1150"/>
    </row>
    <row r="959" spans="2:10">
      <c r="B959" s="1156"/>
      <c r="C959" s="1156"/>
      <c r="D959" s="1180"/>
      <c r="E959" s="1180"/>
      <c r="F959" s="1180"/>
      <c r="G959" s="1180"/>
      <c r="H959" s="1150"/>
      <c r="I959" s="1150"/>
      <c r="J959" s="1150"/>
    </row>
    <row r="960" spans="2:10">
      <c r="B960" s="1156"/>
      <c r="C960" s="1156"/>
      <c r="D960" s="1180"/>
      <c r="E960" s="1180"/>
      <c r="F960" s="1180"/>
      <c r="G960" s="1180"/>
      <c r="H960" s="1150"/>
      <c r="I960" s="1150"/>
      <c r="J960" s="1150"/>
    </row>
    <row r="961" spans="2:10">
      <c r="B961" s="1156"/>
      <c r="C961" s="1156"/>
      <c r="D961" s="1180"/>
      <c r="E961" s="1180"/>
      <c r="F961" s="1180"/>
      <c r="G961" s="1180"/>
      <c r="H961" s="1150"/>
      <c r="I961" s="1150"/>
      <c r="J961" s="1150"/>
    </row>
    <row r="962" spans="2:10">
      <c r="B962" s="1156"/>
      <c r="C962" s="1156"/>
      <c r="D962" s="1180"/>
      <c r="E962" s="1180"/>
      <c r="F962" s="1180"/>
      <c r="G962" s="1180"/>
      <c r="H962" s="1150"/>
      <c r="I962" s="1150"/>
      <c r="J962" s="1150"/>
    </row>
    <row r="963" spans="2:10">
      <c r="B963" s="1156"/>
      <c r="C963" s="1156"/>
      <c r="D963" s="1180"/>
      <c r="E963" s="1180"/>
      <c r="F963" s="1180"/>
      <c r="G963" s="1180"/>
      <c r="H963" s="1150"/>
      <c r="I963" s="1150"/>
      <c r="J963" s="1150"/>
    </row>
    <row r="964" spans="2:10">
      <c r="B964" s="1156"/>
      <c r="C964" s="1156"/>
      <c r="D964" s="1180"/>
      <c r="E964" s="1180"/>
      <c r="F964" s="1180"/>
      <c r="G964" s="1180"/>
      <c r="H964" s="1150"/>
      <c r="I964" s="1150"/>
      <c r="J964" s="1150"/>
    </row>
    <row r="965" spans="2:10">
      <c r="B965" s="1156"/>
      <c r="C965" s="1156"/>
      <c r="D965" s="1180"/>
      <c r="E965" s="1180"/>
      <c r="F965" s="1180"/>
      <c r="G965" s="1180"/>
      <c r="H965" s="1150"/>
      <c r="I965" s="1150"/>
      <c r="J965" s="1150"/>
    </row>
    <row r="966" spans="2:10">
      <c r="B966" s="1156"/>
      <c r="C966" s="1156"/>
      <c r="D966" s="1180"/>
      <c r="E966" s="1180"/>
      <c r="F966" s="1180"/>
      <c r="G966" s="1180"/>
      <c r="H966" s="1150"/>
      <c r="I966" s="1150"/>
      <c r="J966" s="1150"/>
    </row>
    <row r="967" spans="2:10">
      <c r="B967" s="1156"/>
      <c r="C967" s="1156"/>
      <c r="D967" s="1180"/>
      <c r="E967" s="1180"/>
      <c r="F967" s="1180"/>
      <c r="G967" s="1180"/>
      <c r="H967" s="1150"/>
      <c r="I967" s="1150"/>
      <c r="J967" s="1150"/>
    </row>
    <row r="968" spans="2:10">
      <c r="B968" s="1156"/>
      <c r="C968" s="1156"/>
      <c r="D968" s="1180"/>
      <c r="E968" s="1180"/>
      <c r="F968" s="1180"/>
      <c r="G968" s="1180"/>
      <c r="H968" s="1150"/>
      <c r="I968" s="1150"/>
      <c r="J968" s="1150"/>
    </row>
    <row r="969" spans="2:10">
      <c r="B969" s="1156"/>
      <c r="C969" s="1156"/>
      <c r="D969" s="1180"/>
      <c r="E969" s="1180"/>
      <c r="F969" s="1180"/>
      <c r="G969" s="1180"/>
      <c r="H969" s="1150"/>
      <c r="I969" s="1150"/>
      <c r="J969" s="1150"/>
    </row>
    <row r="970" spans="2:10">
      <c r="B970" s="1156"/>
      <c r="C970" s="1156"/>
      <c r="D970" s="1180"/>
      <c r="E970" s="1180"/>
      <c r="F970" s="1180"/>
      <c r="G970" s="1180"/>
      <c r="H970" s="1150"/>
      <c r="I970" s="1150"/>
      <c r="J970" s="1150"/>
    </row>
    <row r="971" spans="2:10">
      <c r="B971" s="1156"/>
      <c r="C971" s="1156"/>
      <c r="D971" s="1180"/>
      <c r="E971" s="1180"/>
      <c r="F971" s="1180"/>
      <c r="G971" s="1180"/>
      <c r="H971" s="1150"/>
      <c r="I971" s="1150"/>
      <c r="J971" s="1150"/>
    </row>
    <row r="972" spans="2:10">
      <c r="B972" s="1156"/>
      <c r="C972" s="1156"/>
      <c r="D972" s="1180"/>
      <c r="E972" s="1180"/>
      <c r="F972" s="1180"/>
      <c r="G972" s="1180"/>
      <c r="H972" s="1150"/>
      <c r="I972" s="1150"/>
      <c r="J972" s="1150"/>
    </row>
    <row r="973" spans="2:10">
      <c r="B973" s="1156"/>
      <c r="C973" s="1156"/>
      <c r="D973" s="1180"/>
      <c r="E973" s="1180"/>
      <c r="F973" s="1180"/>
      <c r="G973" s="1180"/>
      <c r="H973" s="1150"/>
      <c r="I973" s="1150"/>
      <c r="J973" s="1150"/>
    </row>
    <row r="974" spans="2:10">
      <c r="B974" s="1156"/>
      <c r="C974" s="1156"/>
      <c r="D974" s="1180"/>
      <c r="E974" s="1180"/>
      <c r="F974" s="1180"/>
      <c r="G974" s="1180"/>
      <c r="H974" s="1150"/>
      <c r="I974" s="1150"/>
      <c r="J974" s="1150"/>
    </row>
    <row r="975" spans="2:10">
      <c r="B975" s="1156"/>
      <c r="C975" s="1156"/>
      <c r="D975" s="1180"/>
      <c r="E975" s="1180"/>
      <c r="F975" s="1180"/>
      <c r="G975" s="1180"/>
      <c r="H975" s="1150"/>
      <c r="I975" s="1150"/>
      <c r="J975" s="1150"/>
    </row>
    <row r="976" spans="2:10">
      <c r="B976" s="1156"/>
      <c r="C976" s="1156"/>
      <c r="D976" s="1180"/>
      <c r="E976" s="1180"/>
      <c r="F976" s="1180"/>
      <c r="G976" s="1180"/>
      <c r="H976" s="1150"/>
      <c r="I976" s="1150"/>
      <c r="J976" s="1150"/>
    </row>
    <row r="977" spans="2:10">
      <c r="B977" s="1156"/>
      <c r="C977" s="1156"/>
      <c r="D977" s="1180"/>
      <c r="E977" s="1180"/>
      <c r="F977" s="1180"/>
      <c r="G977" s="1180"/>
      <c r="H977" s="1150"/>
      <c r="I977" s="1150"/>
      <c r="J977" s="1150"/>
    </row>
    <row r="978" spans="2:10">
      <c r="B978" s="1156"/>
      <c r="C978" s="1156"/>
      <c r="D978" s="1180"/>
      <c r="E978" s="1180"/>
      <c r="F978" s="1180"/>
      <c r="G978" s="1180"/>
      <c r="H978" s="1150"/>
      <c r="I978" s="1150"/>
      <c r="J978" s="1150"/>
    </row>
    <row r="979" spans="2:10">
      <c r="B979" s="1156"/>
      <c r="C979" s="1156"/>
      <c r="D979" s="1180"/>
      <c r="E979" s="1180"/>
      <c r="F979" s="1180"/>
      <c r="G979" s="1180"/>
      <c r="H979" s="1150"/>
      <c r="I979" s="1150"/>
      <c r="J979" s="1150"/>
    </row>
    <row r="980" spans="2:10">
      <c r="B980" s="1156"/>
      <c r="C980" s="1156"/>
      <c r="D980" s="1180"/>
      <c r="E980" s="1180"/>
      <c r="F980" s="1180"/>
      <c r="G980" s="1180"/>
      <c r="H980" s="1150"/>
      <c r="I980" s="1150"/>
      <c r="J980" s="1150"/>
    </row>
    <row r="981" spans="2:10">
      <c r="B981" s="1156"/>
      <c r="C981" s="1156"/>
      <c r="D981" s="1180"/>
      <c r="E981" s="1180"/>
      <c r="F981" s="1180"/>
      <c r="G981" s="1180"/>
      <c r="H981" s="1150"/>
      <c r="I981" s="1150"/>
      <c r="J981" s="1150"/>
    </row>
    <row r="982" spans="2:10">
      <c r="B982" s="1156"/>
      <c r="C982" s="1156"/>
      <c r="D982" s="1180"/>
      <c r="E982" s="1180"/>
      <c r="F982" s="1180"/>
      <c r="G982" s="1180"/>
      <c r="H982" s="1150"/>
      <c r="I982" s="1150"/>
      <c r="J982" s="1150"/>
    </row>
    <row r="983" spans="2:10">
      <c r="B983" s="1156"/>
      <c r="C983" s="1156"/>
      <c r="D983" s="1180"/>
      <c r="E983" s="1180"/>
      <c r="F983" s="1180"/>
      <c r="G983" s="1180"/>
      <c r="H983" s="1150"/>
      <c r="I983" s="1150"/>
      <c r="J983" s="1150"/>
    </row>
    <row r="984" spans="2:10">
      <c r="B984" s="1156"/>
      <c r="C984" s="1156"/>
      <c r="D984" s="1180"/>
      <c r="E984" s="1180"/>
      <c r="F984" s="1180"/>
      <c r="G984" s="1180"/>
      <c r="H984" s="1150"/>
      <c r="I984" s="1150"/>
      <c r="J984" s="1150"/>
    </row>
    <row r="985" spans="2:10">
      <c r="B985" s="1156"/>
      <c r="C985" s="1156"/>
      <c r="D985" s="1180"/>
      <c r="E985" s="1180"/>
      <c r="F985" s="1180"/>
      <c r="G985" s="1180"/>
      <c r="H985" s="1150"/>
      <c r="I985" s="1150"/>
      <c r="J985" s="1150"/>
    </row>
    <row r="986" spans="2:10">
      <c r="B986" s="1156"/>
      <c r="C986" s="1156"/>
      <c r="D986" s="1180"/>
      <c r="E986" s="1180"/>
      <c r="F986" s="1180"/>
      <c r="G986" s="1180"/>
      <c r="H986" s="1150"/>
      <c r="I986" s="1150"/>
      <c r="J986" s="1150"/>
    </row>
    <row r="987" spans="2:10">
      <c r="B987" s="1156"/>
      <c r="C987" s="1156"/>
      <c r="D987" s="1180"/>
      <c r="E987" s="1180"/>
      <c r="F987" s="1180"/>
      <c r="G987" s="1180"/>
      <c r="H987" s="1150"/>
      <c r="I987" s="1150"/>
      <c r="J987" s="1150"/>
    </row>
    <row r="988" spans="2:10">
      <c r="B988" s="1156"/>
      <c r="C988" s="1156"/>
      <c r="D988" s="1180"/>
      <c r="E988" s="1180"/>
      <c r="F988" s="1180"/>
      <c r="G988" s="1180"/>
      <c r="H988" s="1150"/>
      <c r="I988" s="1150"/>
      <c r="J988" s="1150"/>
    </row>
    <row r="989" spans="2:10">
      <c r="B989" s="1156"/>
      <c r="C989" s="1156"/>
      <c r="D989" s="1180"/>
      <c r="E989" s="1180"/>
      <c r="F989" s="1180"/>
      <c r="G989" s="1180"/>
      <c r="H989" s="1150"/>
      <c r="I989" s="1150"/>
      <c r="J989" s="1150"/>
    </row>
    <row r="990" spans="2:10">
      <c r="B990" s="1156"/>
      <c r="C990" s="1156"/>
      <c r="D990" s="1180"/>
      <c r="E990" s="1180"/>
      <c r="F990" s="1180"/>
      <c r="G990" s="1180"/>
      <c r="H990" s="1150"/>
      <c r="I990" s="1150"/>
      <c r="J990" s="1150"/>
    </row>
    <row r="991" spans="2:10">
      <c r="B991" s="1156"/>
      <c r="C991" s="1156"/>
      <c r="D991" s="1180"/>
      <c r="E991" s="1180"/>
      <c r="F991" s="1180"/>
      <c r="G991" s="1180"/>
      <c r="H991" s="1150"/>
      <c r="I991" s="1150"/>
      <c r="J991" s="1150"/>
    </row>
    <row r="992" spans="2:10">
      <c r="B992" s="1156"/>
      <c r="C992" s="1156"/>
      <c r="D992" s="1180"/>
      <c r="E992" s="1180"/>
      <c r="F992" s="1180"/>
      <c r="G992" s="1180"/>
      <c r="H992" s="1150"/>
      <c r="I992" s="1150"/>
      <c r="J992" s="1150"/>
    </row>
    <row r="993" spans="2:10">
      <c r="B993" s="1156"/>
      <c r="C993" s="1156"/>
      <c r="D993" s="1180"/>
      <c r="E993" s="1180"/>
      <c r="F993" s="1180"/>
      <c r="G993" s="1180"/>
      <c r="H993" s="1150"/>
      <c r="I993" s="1150"/>
      <c r="J993" s="1150"/>
    </row>
    <row r="994" spans="2:10">
      <c r="B994" s="1156"/>
      <c r="C994" s="1156"/>
      <c r="D994" s="1180"/>
      <c r="E994" s="1180"/>
      <c r="F994" s="1180"/>
      <c r="G994" s="1180"/>
      <c r="H994" s="1150"/>
      <c r="I994" s="1150"/>
      <c r="J994" s="1150"/>
    </row>
    <row r="995" spans="2:10">
      <c r="B995" s="1156"/>
      <c r="C995" s="1156"/>
      <c r="D995" s="1180"/>
      <c r="E995" s="1180"/>
      <c r="F995" s="1180"/>
      <c r="G995" s="1180"/>
      <c r="H995" s="1150"/>
      <c r="I995" s="1150"/>
      <c r="J995" s="1150"/>
    </row>
    <row r="996" spans="2:10">
      <c r="B996" s="1156"/>
      <c r="C996" s="1156"/>
      <c r="D996" s="1180"/>
      <c r="E996" s="1180"/>
      <c r="F996" s="1180"/>
      <c r="G996" s="1180"/>
      <c r="H996" s="1150"/>
      <c r="I996" s="1150"/>
      <c r="J996" s="1150"/>
    </row>
    <row r="997" spans="2:10">
      <c r="B997" s="1156"/>
      <c r="C997" s="1156"/>
      <c r="D997" s="1180"/>
      <c r="E997" s="1180"/>
      <c r="F997" s="1180"/>
      <c r="G997" s="1180"/>
      <c r="H997" s="1150"/>
      <c r="I997" s="1150"/>
      <c r="J997" s="1150"/>
    </row>
    <row r="998" spans="2:10">
      <c r="B998" s="1156"/>
      <c r="C998" s="1156"/>
      <c r="D998" s="1180"/>
      <c r="E998" s="1180"/>
      <c r="F998" s="1180"/>
      <c r="G998" s="1180"/>
      <c r="H998" s="1150"/>
      <c r="I998" s="1150"/>
      <c r="J998" s="1150"/>
    </row>
    <row r="999" spans="2:10">
      <c r="B999" s="1156"/>
      <c r="C999" s="1156"/>
      <c r="D999" s="1180"/>
      <c r="E999" s="1180"/>
      <c r="F999" s="1180"/>
      <c r="G999" s="1180"/>
      <c r="H999" s="1150"/>
      <c r="I999" s="1150"/>
      <c r="J999" s="1150"/>
    </row>
    <row r="1000" spans="2:10">
      <c r="B1000" s="1156"/>
      <c r="C1000" s="1156"/>
      <c r="D1000" s="1180"/>
      <c r="E1000" s="1180"/>
      <c r="F1000" s="1180"/>
      <c r="G1000" s="1180"/>
      <c r="H1000" s="1150"/>
      <c r="I1000" s="1150"/>
      <c r="J1000" s="1150"/>
    </row>
    <row r="1001" spans="2:10">
      <c r="B1001" s="1156"/>
      <c r="C1001" s="1156"/>
      <c r="D1001" s="1180"/>
      <c r="E1001" s="1180"/>
      <c r="F1001" s="1180"/>
      <c r="G1001" s="1180"/>
      <c r="H1001" s="1150"/>
      <c r="I1001" s="1150"/>
      <c r="J1001" s="1150"/>
    </row>
    <row r="1002" spans="2:10">
      <c r="B1002" s="1156"/>
      <c r="C1002" s="1156"/>
      <c r="D1002" s="1180"/>
      <c r="E1002" s="1180"/>
      <c r="F1002" s="1180"/>
      <c r="G1002" s="1180"/>
      <c r="H1002" s="1150"/>
      <c r="I1002" s="1150"/>
      <c r="J1002" s="1150"/>
    </row>
    <row r="1003" spans="2:10">
      <c r="B1003" s="1156"/>
      <c r="C1003" s="1156"/>
      <c r="D1003" s="1180"/>
      <c r="E1003" s="1180"/>
      <c r="F1003" s="1180"/>
      <c r="G1003" s="1180"/>
      <c r="H1003" s="1150"/>
      <c r="I1003" s="1150"/>
      <c r="J1003" s="1150"/>
    </row>
    <row r="1004" spans="2:10">
      <c r="B1004" s="1156"/>
      <c r="C1004" s="1156"/>
      <c r="D1004" s="1180"/>
      <c r="E1004" s="1180"/>
      <c r="F1004" s="1180"/>
      <c r="G1004" s="1180"/>
      <c r="H1004" s="1150"/>
      <c r="I1004" s="1150"/>
      <c r="J1004" s="1150"/>
    </row>
    <row r="1005" spans="2:10">
      <c r="B1005" s="1156"/>
      <c r="C1005" s="1156"/>
      <c r="D1005" s="1180"/>
      <c r="E1005" s="1180"/>
      <c r="F1005" s="1180"/>
      <c r="G1005" s="1180"/>
      <c r="H1005" s="1150"/>
      <c r="I1005" s="1150"/>
      <c r="J1005" s="1150"/>
    </row>
    <row r="1006" spans="2:10">
      <c r="B1006" s="1156"/>
      <c r="C1006" s="1156"/>
      <c r="D1006" s="1180"/>
      <c r="E1006" s="1180"/>
      <c r="F1006" s="1180"/>
      <c r="G1006" s="1180"/>
      <c r="H1006" s="1150"/>
      <c r="I1006" s="1150"/>
      <c r="J1006" s="1150"/>
    </row>
    <row r="1007" spans="2:10">
      <c r="B1007" s="1156"/>
      <c r="C1007" s="1156"/>
      <c r="D1007" s="1180"/>
      <c r="E1007" s="1180"/>
      <c r="F1007" s="1180"/>
      <c r="G1007" s="1180"/>
      <c r="H1007" s="1150"/>
      <c r="I1007" s="1150"/>
      <c r="J1007" s="1150"/>
    </row>
    <row r="1008" spans="2:10">
      <c r="B1008" s="1156"/>
      <c r="C1008" s="1156"/>
      <c r="D1008" s="1180"/>
      <c r="E1008" s="1180"/>
      <c r="F1008" s="1180"/>
      <c r="G1008" s="1180"/>
      <c r="H1008" s="1150"/>
      <c r="I1008" s="1150"/>
      <c r="J1008" s="1150"/>
    </row>
    <row r="1009" spans="2:10">
      <c r="B1009" s="1156"/>
      <c r="C1009" s="1156"/>
      <c r="D1009" s="1180"/>
      <c r="E1009" s="1180"/>
      <c r="F1009" s="1180"/>
      <c r="G1009" s="1180"/>
      <c r="H1009" s="1150"/>
      <c r="I1009" s="1150"/>
      <c r="J1009" s="1150"/>
    </row>
    <row r="1010" spans="2:10">
      <c r="B1010" s="1156"/>
      <c r="C1010" s="1156"/>
      <c r="D1010" s="1180"/>
      <c r="E1010" s="1180"/>
      <c r="F1010" s="1180"/>
      <c r="G1010" s="1180"/>
      <c r="H1010" s="1150"/>
      <c r="I1010" s="1150"/>
      <c r="J1010" s="1150"/>
    </row>
    <row r="1011" spans="2:10">
      <c r="B1011" s="1156"/>
      <c r="C1011" s="1156"/>
      <c r="D1011" s="1180"/>
      <c r="E1011" s="1180"/>
      <c r="F1011" s="1180"/>
      <c r="G1011" s="1180"/>
      <c r="H1011" s="1150"/>
      <c r="I1011" s="1150"/>
      <c r="J1011" s="1150"/>
    </row>
    <row r="1012" spans="2:10">
      <c r="B1012" s="1156"/>
      <c r="C1012" s="1156"/>
      <c r="D1012" s="1180"/>
      <c r="E1012" s="1180"/>
      <c r="F1012" s="1180"/>
      <c r="G1012" s="1180"/>
      <c r="H1012" s="1150"/>
      <c r="I1012" s="1150"/>
      <c r="J1012" s="1150"/>
    </row>
    <row r="1013" spans="2:10">
      <c r="B1013" s="1156"/>
      <c r="C1013" s="1156"/>
      <c r="D1013" s="1180"/>
      <c r="E1013" s="1180"/>
      <c r="F1013" s="1180"/>
      <c r="G1013" s="1180"/>
      <c r="H1013" s="1150"/>
      <c r="I1013" s="1150"/>
      <c r="J1013" s="1150"/>
    </row>
    <row r="1014" spans="2:10">
      <c r="B1014" s="1156"/>
      <c r="C1014" s="1156"/>
      <c r="D1014" s="1180"/>
      <c r="E1014" s="1180"/>
      <c r="F1014" s="1180"/>
      <c r="G1014" s="1180"/>
      <c r="H1014" s="1150"/>
      <c r="I1014" s="1150"/>
      <c r="J1014" s="1150"/>
    </row>
    <row r="1015" spans="2:10">
      <c r="B1015" s="1156"/>
      <c r="C1015" s="1156"/>
      <c r="D1015" s="1180"/>
      <c r="E1015" s="1180"/>
      <c r="F1015" s="1180"/>
      <c r="G1015" s="1180"/>
      <c r="H1015" s="1150"/>
      <c r="I1015" s="1150"/>
      <c r="J1015" s="1150"/>
    </row>
    <row r="1016" spans="2:10">
      <c r="B1016" s="1156"/>
      <c r="C1016" s="1156"/>
      <c r="D1016" s="1180"/>
      <c r="E1016" s="1180"/>
      <c r="F1016" s="1180"/>
      <c r="G1016" s="1180"/>
      <c r="H1016" s="1150"/>
      <c r="I1016" s="1150"/>
      <c r="J1016" s="1150"/>
    </row>
    <row r="1017" spans="2:10">
      <c r="B1017" s="1156"/>
      <c r="C1017" s="1156"/>
      <c r="D1017" s="1180"/>
      <c r="E1017" s="1180"/>
      <c r="F1017" s="1180"/>
      <c r="G1017" s="1180"/>
      <c r="H1017" s="1150"/>
      <c r="I1017" s="1150"/>
      <c r="J1017" s="1150"/>
    </row>
    <row r="1018" spans="2:10">
      <c r="B1018" s="1156"/>
      <c r="C1018" s="1156"/>
      <c r="D1018" s="1180"/>
      <c r="E1018" s="1180"/>
      <c r="F1018" s="1180"/>
      <c r="G1018" s="1180"/>
      <c r="H1018" s="1150"/>
      <c r="I1018" s="1150"/>
      <c r="J1018" s="1150"/>
    </row>
    <row r="1019" spans="2:10">
      <c r="B1019" s="1156"/>
      <c r="C1019" s="1156"/>
      <c r="D1019" s="1180"/>
      <c r="E1019" s="1180"/>
      <c r="F1019" s="1180"/>
      <c r="G1019" s="1180"/>
      <c r="H1019" s="1150"/>
      <c r="I1019" s="1150"/>
      <c r="J1019" s="1150"/>
    </row>
    <row r="1020" spans="2:10">
      <c r="B1020" s="1156"/>
      <c r="C1020" s="1156"/>
      <c r="D1020" s="1180"/>
      <c r="E1020" s="1180"/>
      <c r="F1020" s="1180"/>
      <c r="G1020" s="1180"/>
      <c r="H1020" s="1150"/>
      <c r="I1020" s="1150"/>
      <c r="J1020" s="1150"/>
    </row>
    <row r="1021" spans="2:10">
      <c r="B1021" s="1156"/>
      <c r="C1021" s="1156"/>
      <c r="D1021" s="1180"/>
      <c r="E1021" s="1180"/>
      <c r="F1021" s="1180"/>
      <c r="G1021" s="1180"/>
      <c r="H1021" s="1150"/>
      <c r="I1021" s="1150"/>
      <c r="J1021" s="1150"/>
    </row>
    <row r="1022" spans="2:10">
      <c r="B1022" s="1156"/>
      <c r="C1022" s="1156"/>
      <c r="D1022" s="1180"/>
      <c r="E1022" s="1180"/>
      <c r="F1022" s="1180"/>
      <c r="G1022" s="1180"/>
      <c r="H1022" s="1150"/>
      <c r="I1022" s="1150"/>
      <c r="J1022" s="1150"/>
    </row>
    <row r="1023" spans="2:10">
      <c r="B1023" s="1156"/>
      <c r="C1023" s="1156"/>
      <c r="D1023" s="1180"/>
      <c r="E1023" s="1180"/>
      <c r="F1023" s="1180"/>
      <c r="G1023" s="1180"/>
      <c r="H1023" s="1150"/>
      <c r="I1023" s="1150"/>
      <c r="J1023" s="1150"/>
    </row>
    <row r="1024" spans="2:10">
      <c r="B1024" s="1156"/>
      <c r="C1024" s="1156"/>
      <c r="D1024" s="1180"/>
      <c r="E1024" s="1180"/>
      <c r="F1024" s="1180"/>
      <c r="G1024" s="1180"/>
      <c r="H1024" s="1150"/>
      <c r="I1024" s="1150"/>
      <c r="J1024" s="1150"/>
    </row>
    <row r="1025" spans="2:10">
      <c r="B1025" s="1156"/>
      <c r="C1025" s="1156"/>
      <c r="D1025" s="1180"/>
      <c r="E1025" s="1180"/>
      <c r="F1025" s="1180"/>
      <c r="G1025" s="1180"/>
      <c r="H1025" s="1150"/>
      <c r="I1025" s="1150"/>
      <c r="J1025" s="1150"/>
    </row>
    <row r="1026" spans="2:10">
      <c r="B1026" s="1156"/>
      <c r="C1026" s="1156"/>
      <c r="D1026" s="1180"/>
      <c r="E1026" s="1180"/>
      <c r="F1026" s="1180"/>
      <c r="G1026" s="1180"/>
      <c r="H1026" s="1150"/>
      <c r="I1026" s="1150"/>
      <c r="J1026" s="1150"/>
    </row>
    <row r="1027" spans="2:10">
      <c r="B1027" s="1156"/>
      <c r="C1027" s="1156"/>
      <c r="D1027" s="1180"/>
      <c r="E1027" s="1180"/>
      <c r="F1027" s="1180"/>
      <c r="G1027" s="1180"/>
      <c r="H1027" s="1150"/>
      <c r="I1027" s="1150"/>
      <c r="J1027" s="1150"/>
    </row>
    <row r="1028" spans="2:10">
      <c r="B1028" s="1156"/>
      <c r="C1028" s="1156"/>
      <c r="D1028" s="1180"/>
      <c r="E1028" s="1180"/>
      <c r="F1028" s="1180"/>
      <c r="G1028" s="1180"/>
      <c r="H1028" s="1150"/>
      <c r="I1028" s="1150"/>
      <c r="J1028" s="1150"/>
    </row>
    <row r="1029" spans="2:10">
      <c r="B1029" s="1156"/>
      <c r="C1029" s="1156"/>
      <c r="D1029" s="1180"/>
      <c r="E1029" s="1180"/>
      <c r="F1029" s="1180"/>
      <c r="G1029" s="1180"/>
      <c r="H1029" s="1150"/>
      <c r="I1029" s="1150"/>
      <c r="J1029" s="1150"/>
    </row>
    <row r="1030" spans="2:10">
      <c r="B1030" s="1156"/>
      <c r="C1030" s="1156"/>
      <c r="D1030" s="1180"/>
      <c r="E1030" s="1180"/>
      <c r="F1030" s="1180"/>
      <c r="G1030" s="1180"/>
      <c r="H1030" s="1150"/>
      <c r="I1030" s="1150"/>
      <c r="J1030" s="1150"/>
    </row>
    <row r="1031" spans="2:10">
      <c r="B1031" s="1156"/>
      <c r="C1031" s="1156"/>
      <c r="D1031" s="1180"/>
      <c r="E1031" s="1180"/>
      <c r="F1031" s="1180"/>
      <c r="G1031" s="1180"/>
      <c r="H1031" s="1150"/>
      <c r="I1031" s="1150"/>
      <c r="J1031" s="1150"/>
    </row>
    <row r="1032" spans="2:10">
      <c r="B1032" s="1156"/>
      <c r="C1032" s="1156"/>
      <c r="D1032" s="1180"/>
      <c r="E1032" s="1180"/>
      <c r="F1032" s="1180"/>
      <c r="G1032" s="1180"/>
      <c r="H1032" s="1150"/>
      <c r="I1032" s="1150"/>
      <c r="J1032" s="1150"/>
    </row>
    <row r="1033" spans="2:10">
      <c r="B1033" s="1156"/>
      <c r="C1033" s="1156"/>
      <c r="D1033" s="1180"/>
      <c r="E1033" s="1180"/>
      <c r="F1033" s="1180"/>
      <c r="G1033" s="1180"/>
      <c r="H1033" s="1150"/>
      <c r="I1033" s="1150"/>
      <c r="J1033" s="1150"/>
    </row>
    <row r="1034" spans="2:10">
      <c r="B1034" s="1156"/>
      <c r="C1034" s="1156"/>
      <c r="D1034" s="1180"/>
      <c r="E1034" s="1180"/>
      <c r="F1034" s="1180"/>
      <c r="G1034" s="1180"/>
      <c r="H1034" s="1150"/>
      <c r="I1034" s="1150"/>
      <c r="J1034" s="1150"/>
    </row>
    <row r="1035" spans="2:10">
      <c r="B1035" s="1156"/>
      <c r="C1035" s="1156"/>
      <c r="D1035" s="1180"/>
      <c r="E1035" s="1180"/>
      <c r="F1035" s="1180"/>
      <c r="G1035" s="1180"/>
      <c r="H1035" s="1150"/>
      <c r="I1035" s="1150"/>
      <c r="J1035" s="1150"/>
    </row>
    <row r="1036" spans="2:10">
      <c r="B1036" s="1156"/>
      <c r="C1036" s="1156"/>
      <c r="D1036" s="1180"/>
      <c r="E1036" s="1180"/>
      <c r="F1036" s="1180"/>
      <c r="G1036" s="1180"/>
      <c r="H1036" s="1150"/>
      <c r="I1036" s="1150"/>
      <c r="J1036" s="1150"/>
    </row>
    <row r="1037" spans="2:10">
      <c r="B1037" s="1156"/>
      <c r="C1037" s="1156"/>
      <c r="D1037" s="1180"/>
      <c r="E1037" s="1180"/>
      <c r="F1037" s="1180"/>
      <c r="G1037" s="1180"/>
      <c r="H1037" s="1150"/>
      <c r="I1037" s="1150"/>
      <c r="J1037" s="1150"/>
    </row>
    <row r="1038" spans="2:10">
      <c r="B1038" s="1156"/>
      <c r="C1038" s="1156"/>
      <c r="D1038" s="1180"/>
      <c r="E1038" s="1180"/>
      <c r="F1038" s="1180"/>
      <c r="G1038" s="1180"/>
      <c r="H1038" s="1150"/>
      <c r="I1038" s="1150"/>
      <c r="J1038" s="1150"/>
    </row>
    <row r="1039" spans="2:10">
      <c r="B1039" s="1156"/>
      <c r="C1039" s="1156"/>
      <c r="D1039" s="1180"/>
      <c r="E1039" s="1180"/>
      <c r="F1039" s="1180"/>
      <c r="G1039" s="1180"/>
      <c r="H1039" s="1150"/>
      <c r="I1039" s="1150"/>
      <c r="J1039" s="1150"/>
    </row>
    <row r="1040" spans="2:10">
      <c r="B1040" s="1156"/>
      <c r="C1040" s="1156"/>
      <c r="D1040" s="1180"/>
      <c r="E1040" s="1180"/>
      <c r="F1040" s="1180"/>
      <c r="G1040" s="1180"/>
      <c r="H1040" s="1150"/>
      <c r="I1040" s="1150"/>
      <c r="J1040" s="1150"/>
    </row>
    <row r="1041" spans="2:10">
      <c r="B1041" s="1156"/>
      <c r="C1041" s="1156"/>
      <c r="D1041" s="1180"/>
      <c r="E1041" s="1180"/>
      <c r="F1041" s="1180"/>
      <c r="G1041" s="1180"/>
      <c r="H1041" s="1150"/>
      <c r="I1041" s="1150"/>
      <c r="J1041" s="1150"/>
    </row>
    <row r="1042" spans="2:10">
      <c r="B1042" s="1156"/>
      <c r="C1042" s="1156"/>
      <c r="D1042" s="1180"/>
      <c r="E1042" s="1180"/>
      <c r="F1042" s="1180"/>
      <c r="G1042" s="1180"/>
      <c r="H1042" s="1150"/>
      <c r="I1042" s="1150"/>
      <c r="J1042" s="1150"/>
    </row>
    <row r="1043" spans="2:10">
      <c r="B1043" s="1156"/>
      <c r="C1043" s="1156"/>
      <c r="D1043" s="1180"/>
      <c r="E1043" s="1180"/>
      <c r="F1043" s="1180"/>
      <c r="G1043" s="1180"/>
      <c r="H1043" s="1150"/>
      <c r="I1043" s="1150"/>
      <c r="J1043" s="1150"/>
    </row>
    <row r="1044" spans="2:10">
      <c r="B1044" s="1156"/>
      <c r="C1044" s="1156"/>
      <c r="D1044" s="1180"/>
      <c r="E1044" s="1180"/>
      <c r="F1044" s="1180"/>
      <c r="G1044" s="1180"/>
      <c r="H1044" s="1150"/>
      <c r="I1044" s="1150"/>
      <c r="J1044" s="1150"/>
    </row>
    <row r="1045" spans="2:10">
      <c r="B1045" s="1156"/>
      <c r="C1045" s="1156"/>
      <c r="D1045" s="1180"/>
      <c r="E1045" s="1180"/>
      <c r="F1045" s="1180"/>
      <c r="G1045" s="1180"/>
      <c r="H1045" s="1150"/>
      <c r="I1045" s="1150"/>
      <c r="J1045" s="1150"/>
    </row>
    <row r="1046" spans="2:10">
      <c r="B1046" s="1156"/>
      <c r="C1046" s="1156"/>
      <c r="D1046" s="1180"/>
      <c r="E1046" s="1180"/>
      <c r="F1046" s="1180"/>
      <c r="G1046" s="1180"/>
      <c r="H1046" s="1150"/>
      <c r="I1046" s="1150"/>
      <c r="J1046" s="1150"/>
    </row>
    <row r="1047" spans="2:10">
      <c r="B1047" s="1156"/>
      <c r="C1047" s="1156"/>
      <c r="D1047" s="1180"/>
      <c r="E1047" s="1180"/>
      <c r="F1047" s="1180"/>
      <c r="G1047" s="1180"/>
      <c r="H1047" s="1150"/>
      <c r="I1047" s="1150"/>
      <c r="J1047" s="1150"/>
    </row>
    <row r="1048" spans="2:10">
      <c r="B1048" s="1156"/>
      <c r="C1048" s="1156"/>
      <c r="D1048" s="1180"/>
      <c r="E1048" s="1180"/>
      <c r="F1048" s="1180"/>
      <c r="G1048" s="1180"/>
      <c r="H1048" s="1150"/>
      <c r="I1048" s="1150"/>
      <c r="J1048" s="1150"/>
    </row>
    <row r="1049" spans="2:10">
      <c r="B1049" s="1156"/>
      <c r="C1049" s="1156"/>
      <c r="D1049" s="1180"/>
      <c r="E1049" s="1180"/>
      <c r="F1049" s="1180"/>
      <c r="G1049" s="1180"/>
      <c r="H1049" s="1150"/>
      <c r="I1049" s="1150"/>
      <c r="J1049" s="1150"/>
    </row>
    <row r="1050" spans="2:10">
      <c r="B1050" s="1156"/>
      <c r="C1050" s="1156"/>
      <c r="D1050" s="1180"/>
      <c r="E1050" s="1180"/>
      <c r="F1050" s="1180"/>
      <c r="G1050" s="1180"/>
      <c r="H1050" s="1150"/>
      <c r="I1050" s="1150"/>
      <c r="J1050" s="1150"/>
    </row>
    <row r="1051" spans="2:10">
      <c r="B1051" s="1156"/>
      <c r="C1051" s="1156"/>
      <c r="D1051" s="1180"/>
      <c r="E1051" s="1180"/>
      <c r="F1051" s="1180"/>
      <c r="G1051" s="1180"/>
      <c r="H1051" s="1150"/>
      <c r="I1051" s="1150"/>
      <c r="J1051" s="1150"/>
    </row>
    <row r="1052" spans="2:10">
      <c r="B1052" s="1156"/>
      <c r="C1052" s="1156"/>
      <c r="D1052" s="1180"/>
      <c r="E1052" s="1180"/>
      <c r="F1052" s="1180"/>
      <c r="G1052" s="1180"/>
      <c r="H1052" s="1150"/>
      <c r="I1052" s="1150"/>
      <c r="J1052" s="1150"/>
    </row>
    <row r="1053" spans="2:10">
      <c r="B1053" s="1156"/>
      <c r="C1053" s="1156"/>
      <c r="D1053" s="1180"/>
      <c r="E1053" s="1180"/>
      <c r="F1053" s="1180"/>
      <c r="G1053" s="1180"/>
      <c r="H1053" s="1150"/>
      <c r="I1053" s="1150"/>
      <c r="J1053" s="1150"/>
    </row>
    <row r="1054" spans="2:10">
      <c r="B1054" s="1156"/>
      <c r="C1054" s="1156"/>
      <c r="D1054" s="1180"/>
      <c r="E1054" s="1180"/>
      <c r="F1054" s="1180"/>
      <c r="G1054" s="1180"/>
      <c r="H1054" s="1150"/>
      <c r="I1054" s="1150"/>
      <c r="J1054" s="1150"/>
    </row>
    <row r="1055" spans="2:10">
      <c r="B1055" s="1156"/>
      <c r="C1055" s="1156"/>
      <c r="D1055" s="1180"/>
      <c r="E1055" s="1180"/>
      <c r="F1055" s="1180"/>
      <c r="G1055" s="1180"/>
      <c r="H1055" s="1150"/>
      <c r="I1055" s="1150"/>
      <c r="J1055" s="1150"/>
    </row>
    <row r="1056" spans="2:10">
      <c r="B1056" s="1156"/>
      <c r="C1056" s="1156"/>
      <c r="D1056" s="1180"/>
      <c r="E1056" s="1180"/>
      <c r="F1056" s="1180"/>
      <c r="G1056" s="1180"/>
      <c r="H1056" s="1150"/>
      <c r="I1056" s="1150"/>
      <c r="J1056" s="1150"/>
    </row>
    <row r="1057" spans="2:10">
      <c r="B1057" s="1156"/>
      <c r="C1057" s="1156"/>
      <c r="D1057" s="1180"/>
      <c r="E1057" s="1180"/>
      <c r="F1057" s="1180"/>
      <c r="G1057" s="1180"/>
      <c r="H1057" s="1150"/>
      <c r="I1057" s="1150"/>
      <c r="J1057" s="1150"/>
    </row>
    <row r="1058" spans="2:10">
      <c r="B1058" s="1156"/>
      <c r="C1058" s="1156"/>
      <c r="D1058" s="1180"/>
      <c r="E1058" s="1180"/>
      <c r="F1058" s="1180"/>
      <c r="G1058" s="1180"/>
      <c r="H1058" s="1150"/>
      <c r="I1058" s="1150"/>
      <c r="J1058" s="1150"/>
    </row>
    <row r="1059" spans="2:10">
      <c r="B1059" s="1156"/>
      <c r="C1059" s="1156"/>
      <c r="D1059" s="1180"/>
      <c r="E1059" s="1180"/>
      <c r="F1059" s="1180"/>
      <c r="G1059" s="1180"/>
      <c r="H1059" s="1150"/>
      <c r="I1059" s="1150"/>
      <c r="J1059" s="1150"/>
    </row>
    <row r="1060" spans="2:10">
      <c r="B1060" s="1156"/>
      <c r="C1060" s="1156"/>
      <c r="D1060" s="1180"/>
      <c r="E1060" s="1180"/>
      <c r="F1060" s="1180"/>
      <c r="G1060" s="1180"/>
      <c r="H1060" s="1150"/>
      <c r="I1060" s="1150"/>
      <c r="J1060" s="1150"/>
    </row>
    <row r="1061" spans="2:10">
      <c r="B1061" s="1156"/>
      <c r="C1061" s="1156"/>
      <c r="D1061" s="1180"/>
      <c r="E1061" s="1180"/>
      <c r="F1061" s="1180"/>
      <c r="G1061" s="1180"/>
      <c r="H1061" s="1150"/>
      <c r="I1061" s="1150"/>
      <c r="J1061" s="1150"/>
    </row>
    <row r="1062" spans="2:10">
      <c r="B1062" s="1156"/>
      <c r="C1062" s="1156"/>
      <c r="D1062" s="1180"/>
      <c r="E1062" s="1180"/>
      <c r="F1062" s="1180"/>
      <c r="G1062" s="1180"/>
      <c r="H1062" s="1150"/>
      <c r="I1062" s="1150"/>
      <c r="J1062" s="1150"/>
    </row>
    <row r="1063" spans="2:10">
      <c r="B1063" s="1156"/>
      <c r="C1063" s="1156"/>
      <c r="D1063" s="1180"/>
      <c r="E1063" s="1180"/>
      <c r="F1063" s="1180"/>
      <c r="G1063" s="1180"/>
      <c r="H1063" s="1150"/>
      <c r="I1063" s="1150"/>
      <c r="J1063" s="1150"/>
    </row>
    <row r="1064" spans="2:10">
      <c r="B1064" s="1156"/>
      <c r="C1064" s="1156"/>
      <c r="D1064" s="1180"/>
      <c r="E1064" s="1180"/>
      <c r="F1064" s="1180"/>
      <c r="G1064" s="1180"/>
      <c r="H1064" s="1150"/>
      <c r="I1064" s="1150"/>
      <c r="J1064" s="1150"/>
    </row>
    <row r="1065" spans="2:10">
      <c r="B1065" s="1156"/>
      <c r="C1065" s="1156"/>
      <c r="D1065" s="1180"/>
      <c r="E1065" s="1180"/>
      <c r="F1065" s="1180"/>
      <c r="G1065" s="1180"/>
      <c r="H1065" s="1150"/>
      <c r="I1065" s="1150"/>
      <c r="J1065" s="1150"/>
    </row>
    <row r="1066" spans="2:10">
      <c r="B1066" s="1156"/>
      <c r="C1066" s="1156"/>
      <c r="D1066" s="1180"/>
      <c r="E1066" s="1180"/>
      <c r="F1066" s="1180"/>
      <c r="G1066" s="1180"/>
      <c r="H1066" s="1150"/>
      <c r="I1066" s="1150"/>
      <c r="J1066" s="1150"/>
    </row>
    <row r="1067" spans="2:10">
      <c r="B1067" s="1156"/>
      <c r="C1067" s="1156"/>
      <c r="D1067" s="1180"/>
      <c r="E1067" s="1180"/>
      <c r="F1067" s="1180"/>
      <c r="G1067" s="1180"/>
      <c r="H1067" s="1150"/>
      <c r="I1067" s="1150"/>
      <c r="J1067" s="1150"/>
    </row>
    <row r="1068" spans="2:10">
      <c r="B1068" s="1156"/>
      <c r="C1068" s="1156"/>
      <c r="D1068" s="1180"/>
      <c r="E1068" s="1180"/>
      <c r="F1068" s="1180"/>
      <c r="G1068" s="1180"/>
      <c r="H1068" s="1150"/>
      <c r="I1068" s="1150"/>
      <c r="J1068" s="1150"/>
    </row>
    <row r="1069" spans="2:10">
      <c r="B1069" s="1156"/>
      <c r="C1069" s="1156"/>
      <c r="D1069" s="1180"/>
      <c r="E1069" s="1180"/>
      <c r="F1069" s="1180"/>
      <c r="G1069" s="1180"/>
      <c r="H1069" s="1150"/>
      <c r="I1069" s="1150"/>
      <c r="J1069" s="1150"/>
    </row>
    <row r="1070" spans="2:10">
      <c r="B1070" s="1156"/>
      <c r="C1070" s="1156"/>
      <c r="D1070" s="1180"/>
      <c r="E1070" s="1180"/>
      <c r="F1070" s="1180"/>
      <c r="G1070" s="1180"/>
      <c r="H1070" s="1150"/>
      <c r="I1070" s="1150"/>
      <c r="J1070" s="1150"/>
    </row>
    <row r="1071" spans="2:10">
      <c r="B1071" s="1156"/>
      <c r="C1071" s="1156"/>
      <c r="D1071" s="1180"/>
      <c r="E1071" s="1180"/>
      <c r="F1071" s="1180"/>
      <c r="G1071" s="1180"/>
      <c r="H1071" s="1150"/>
      <c r="I1071" s="1150"/>
      <c r="J1071" s="1150"/>
    </row>
    <row r="1072" spans="2:10">
      <c r="B1072" s="1156"/>
      <c r="C1072" s="1156"/>
      <c r="D1072" s="1180"/>
      <c r="E1072" s="1180"/>
      <c r="F1072" s="1180"/>
      <c r="G1072" s="1180"/>
      <c r="H1072" s="1150"/>
      <c r="I1072" s="1150"/>
      <c r="J1072" s="1150"/>
    </row>
    <row r="1073" spans="2:10">
      <c r="B1073" s="1156"/>
      <c r="C1073" s="1156"/>
      <c r="D1073" s="1180"/>
      <c r="E1073" s="1180"/>
      <c r="F1073" s="1180"/>
      <c r="G1073" s="1180"/>
      <c r="H1073" s="1150"/>
      <c r="I1073" s="1150"/>
      <c r="J1073" s="1150"/>
    </row>
    <row r="1074" spans="2:10">
      <c r="B1074" s="1156"/>
      <c r="C1074" s="1156"/>
      <c r="D1074" s="1180"/>
      <c r="E1074" s="1180"/>
      <c r="F1074" s="1180"/>
      <c r="G1074" s="1180"/>
      <c r="H1074" s="1150"/>
      <c r="I1074" s="1150"/>
      <c r="J1074" s="1150"/>
    </row>
    <row r="1075" spans="2:10">
      <c r="B1075" s="1156"/>
      <c r="C1075" s="1156"/>
      <c r="D1075" s="1180"/>
      <c r="E1075" s="1180"/>
      <c r="F1075" s="1180"/>
      <c r="G1075" s="1180"/>
      <c r="H1075" s="1150"/>
      <c r="I1075" s="1150"/>
      <c r="J1075" s="1150"/>
    </row>
    <row r="1076" spans="2:10">
      <c r="B1076" s="1156"/>
      <c r="C1076" s="1156"/>
      <c r="D1076" s="1180"/>
      <c r="E1076" s="1180"/>
      <c r="F1076" s="1180"/>
      <c r="G1076" s="1180"/>
      <c r="H1076" s="1150"/>
      <c r="I1076" s="1150"/>
      <c r="J1076" s="1150"/>
    </row>
    <row r="1077" spans="2:10">
      <c r="B1077" s="1156"/>
      <c r="C1077" s="1156"/>
      <c r="D1077" s="1180"/>
      <c r="E1077" s="1180"/>
      <c r="F1077" s="1180"/>
      <c r="G1077" s="1180"/>
      <c r="H1077" s="1150"/>
      <c r="I1077" s="1150"/>
      <c r="J1077" s="1150"/>
    </row>
    <row r="1078" spans="2:10">
      <c r="B1078" s="1156"/>
      <c r="C1078" s="1156"/>
      <c r="D1078" s="1180"/>
      <c r="E1078" s="1180"/>
      <c r="F1078" s="1180"/>
      <c r="G1078" s="1180"/>
      <c r="H1078" s="1150"/>
      <c r="I1078" s="1150"/>
      <c r="J1078" s="1150"/>
    </row>
    <row r="1079" spans="2:10">
      <c r="B1079" s="1156"/>
      <c r="C1079" s="1156"/>
      <c r="D1079" s="1180"/>
      <c r="E1079" s="1180"/>
      <c r="F1079" s="1180"/>
      <c r="G1079" s="1180"/>
      <c r="H1079" s="1150"/>
      <c r="I1079" s="1150"/>
      <c r="J1079" s="1150"/>
    </row>
    <row r="1080" spans="2:10">
      <c r="B1080" s="1156"/>
      <c r="C1080" s="1156"/>
      <c r="D1080" s="1180"/>
      <c r="E1080" s="1180"/>
      <c r="F1080" s="1180"/>
      <c r="G1080" s="1180"/>
      <c r="H1080" s="1150"/>
      <c r="I1080" s="1150"/>
      <c r="J1080" s="1150"/>
    </row>
    <row r="1081" spans="2:10">
      <c r="B1081" s="1156"/>
      <c r="C1081" s="1156"/>
      <c r="D1081" s="1180"/>
      <c r="E1081" s="1180"/>
      <c r="F1081" s="1180"/>
      <c r="G1081" s="1180"/>
      <c r="H1081" s="1150"/>
      <c r="I1081" s="1150"/>
      <c r="J1081" s="1150"/>
    </row>
    <row r="1082" spans="2:10">
      <c r="B1082" s="1156"/>
      <c r="C1082" s="1156"/>
      <c r="D1082" s="1180"/>
      <c r="E1082" s="1180"/>
      <c r="F1082" s="1180"/>
      <c r="G1082" s="1180"/>
      <c r="H1082" s="1150"/>
      <c r="I1082" s="1150"/>
      <c r="J1082" s="1150"/>
    </row>
    <row r="1083" spans="2:10">
      <c r="B1083" s="1156"/>
      <c r="C1083" s="1156"/>
      <c r="D1083" s="1180"/>
      <c r="E1083" s="1180"/>
      <c r="F1083" s="1180"/>
      <c r="G1083" s="1180"/>
      <c r="H1083" s="1150"/>
      <c r="I1083" s="1150"/>
      <c r="J1083" s="1150"/>
    </row>
    <row r="1084" spans="2:10">
      <c r="B1084" s="1156"/>
      <c r="C1084" s="1156"/>
      <c r="D1084" s="1180"/>
      <c r="E1084" s="1180"/>
      <c r="F1084" s="1180"/>
      <c r="G1084" s="1180"/>
      <c r="H1084" s="1150"/>
      <c r="I1084" s="1150"/>
      <c r="J1084" s="1150"/>
    </row>
    <row r="1085" spans="2:10">
      <c r="B1085" s="1156"/>
      <c r="C1085" s="1156"/>
      <c r="D1085" s="1180"/>
      <c r="E1085" s="1180"/>
      <c r="F1085" s="1180"/>
      <c r="G1085" s="1180"/>
      <c r="H1085" s="1150"/>
      <c r="I1085" s="1150"/>
      <c r="J1085" s="1150"/>
    </row>
    <row r="1086" spans="2:10">
      <c r="B1086" s="1156"/>
      <c r="C1086" s="1156"/>
      <c r="D1086" s="1180"/>
      <c r="E1086" s="1180"/>
      <c r="F1086" s="1180"/>
      <c r="G1086" s="1180"/>
      <c r="H1086" s="1150"/>
      <c r="I1086" s="1150"/>
      <c r="J1086" s="1150"/>
    </row>
    <row r="1087" spans="2:10">
      <c r="B1087" s="1156"/>
      <c r="C1087" s="1156"/>
      <c r="D1087" s="1180"/>
      <c r="E1087" s="1180"/>
      <c r="F1087" s="1180"/>
      <c r="G1087" s="1180"/>
      <c r="H1087" s="1150"/>
      <c r="I1087" s="1150"/>
      <c r="J1087" s="1150"/>
    </row>
    <row r="1088" spans="2:10">
      <c r="B1088" s="1156"/>
      <c r="C1088" s="1156"/>
      <c r="D1088" s="1180"/>
      <c r="E1088" s="1180"/>
      <c r="F1088" s="1180"/>
      <c r="G1088" s="1180"/>
      <c r="H1088" s="1150"/>
      <c r="I1088" s="1150"/>
      <c r="J1088" s="1150"/>
    </row>
    <row r="1089" spans="2:10">
      <c r="B1089" s="1156"/>
      <c r="C1089" s="1156"/>
      <c r="D1089" s="1180"/>
      <c r="E1089" s="1180"/>
      <c r="F1089" s="1180"/>
      <c r="G1089" s="1180"/>
      <c r="H1089" s="1150"/>
      <c r="I1089" s="1150"/>
      <c r="J1089" s="1150"/>
    </row>
    <row r="1090" spans="2:10">
      <c r="B1090" s="1156"/>
      <c r="C1090" s="1156"/>
      <c r="D1090" s="1180"/>
      <c r="E1090" s="1180"/>
      <c r="F1090" s="1180"/>
      <c r="G1090" s="1180"/>
      <c r="H1090" s="1150"/>
      <c r="I1090" s="1150"/>
      <c r="J1090" s="1150"/>
    </row>
    <row r="1091" spans="2:10">
      <c r="B1091" s="1156"/>
      <c r="C1091" s="1156"/>
      <c r="D1091" s="1180"/>
      <c r="E1091" s="1180"/>
      <c r="F1091" s="1180"/>
      <c r="G1091" s="1180"/>
      <c r="H1091" s="1150"/>
      <c r="I1091" s="1150"/>
      <c r="J1091" s="1150"/>
    </row>
    <row r="1092" spans="2:10">
      <c r="B1092" s="1156"/>
      <c r="C1092" s="1156"/>
      <c r="D1092" s="1180"/>
      <c r="E1092" s="1180"/>
      <c r="F1092" s="1180"/>
      <c r="G1092" s="1180"/>
      <c r="H1092" s="1150"/>
      <c r="I1092" s="1150"/>
      <c r="J1092" s="1150"/>
    </row>
    <row r="1093" spans="2:10">
      <c r="B1093" s="1156"/>
      <c r="C1093" s="1156"/>
      <c r="D1093" s="1180"/>
      <c r="E1093" s="1180"/>
      <c r="F1093" s="1180"/>
      <c r="G1093" s="1180"/>
      <c r="H1093" s="1150"/>
      <c r="I1093" s="1150"/>
      <c r="J1093" s="1150"/>
    </row>
    <row r="1094" spans="2:10">
      <c r="B1094" s="1156"/>
      <c r="C1094" s="1156"/>
      <c r="D1094" s="1180"/>
      <c r="E1094" s="1180"/>
      <c r="F1094" s="1180"/>
      <c r="G1094" s="1180"/>
      <c r="H1094" s="1150"/>
      <c r="I1094" s="1150"/>
      <c r="J1094" s="1150"/>
    </row>
    <row r="1095" spans="2:10">
      <c r="B1095" s="1156"/>
      <c r="C1095" s="1156"/>
      <c r="D1095" s="1180"/>
      <c r="E1095" s="1180"/>
      <c r="F1095" s="1180"/>
      <c r="G1095" s="1180"/>
      <c r="H1095" s="1150"/>
      <c r="I1095" s="1150"/>
      <c r="J1095" s="1150"/>
    </row>
    <row r="1096" spans="2:10">
      <c r="B1096" s="1156"/>
      <c r="C1096" s="1156"/>
      <c r="D1096" s="1180"/>
      <c r="E1096" s="1180"/>
      <c r="F1096" s="1180"/>
      <c r="G1096" s="1180"/>
      <c r="H1096" s="1150"/>
      <c r="I1096" s="1150"/>
      <c r="J1096" s="1150"/>
    </row>
    <row r="1097" spans="2:10">
      <c r="B1097" s="1156"/>
      <c r="C1097" s="1156"/>
      <c r="D1097" s="1180"/>
      <c r="E1097" s="1180"/>
      <c r="F1097" s="1180"/>
      <c r="G1097" s="1180"/>
      <c r="H1097" s="1150"/>
      <c r="I1097" s="1150"/>
      <c r="J1097" s="1150"/>
    </row>
    <row r="1098" spans="2:10">
      <c r="B1098" s="1156"/>
      <c r="C1098" s="1156"/>
      <c r="D1098" s="1180"/>
      <c r="E1098" s="1180"/>
      <c r="F1098" s="1180"/>
      <c r="G1098" s="1180"/>
      <c r="H1098" s="1150"/>
      <c r="I1098" s="1150"/>
      <c r="J1098" s="1150"/>
    </row>
    <row r="1099" spans="2:10">
      <c r="B1099" s="1156"/>
      <c r="C1099" s="1156"/>
      <c r="D1099" s="1180"/>
      <c r="E1099" s="1180"/>
      <c r="F1099" s="1180"/>
      <c r="G1099" s="1180"/>
      <c r="H1099" s="1150"/>
      <c r="I1099" s="1150"/>
      <c r="J1099" s="1150"/>
    </row>
    <row r="1100" spans="2:10">
      <c r="B1100" s="1156"/>
      <c r="C1100" s="1156"/>
      <c r="D1100" s="1180"/>
      <c r="E1100" s="1180"/>
      <c r="F1100" s="1180"/>
      <c r="G1100" s="1180"/>
      <c r="H1100" s="1150"/>
      <c r="I1100" s="1150"/>
      <c r="J1100" s="1150"/>
    </row>
    <row r="1101" spans="2:10">
      <c r="B1101" s="1156"/>
      <c r="C1101" s="1156"/>
      <c r="D1101" s="1180"/>
      <c r="E1101" s="1180"/>
      <c r="F1101" s="1180"/>
      <c r="G1101" s="1180"/>
      <c r="H1101" s="1150"/>
      <c r="I1101" s="1150"/>
      <c r="J1101" s="1150"/>
    </row>
    <row r="1102" spans="2:10">
      <c r="B1102" s="1156"/>
      <c r="C1102" s="1156"/>
      <c r="D1102" s="1180"/>
      <c r="E1102" s="1180"/>
      <c r="F1102" s="1180"/>
      <c r="G1102" s="1180"/>
      <c r="H1102" s="1150"/>
      <c r="I1102" s="1150"/>
      <c r="J1102" s="1150"/>
    </row>
    <row r="1103" spans="2:10">
      <c r="B1103" s="1156"/>
      <c r="C1103" s="1156"/>
      <c r="D1103" s="1180"/>
      <c r="E1103" s="1180"/>
      <c r="F1103" s="1180"/>
      <c r="G1103" s="1180"/>
      <c r="H1103" s="1150"/>
      <c r="I1103" s="1150"/>
      <c r="J1103" s="1150"/>
    </row>
    <row r="1104" spans="2:10">
      <c r="B1104" s="1156"/>
      <c r="C1104" s="1156"/>
      <c r="D1104" s="1180"/>
      <c r="E1104" s="1180"/>
      <c r="F1104" s="1180"/>
      <c r="G1104" s="1180"/>
      <c r="H1104" s="1150"/>
      <c r="I1104" s="1150"/>
      <c r="J1104" s="1150"/>
    </row>
    <row r="1105" spans="2:10">
      <c r="B1105" s="1156"/>
      <c r="C1105" s="1156"/>
      <c r="D1105" s="1180"/>
      <c r="E1105" s="1180"/>
      <c r="F1105" s="1180"/>
      <c r="G1105" s="1180"/>
      <c r="H1105" s="1150"/>
      <c r="I1105" s="1150"/>
      <c r="J1105" s="1150"/>
    </row>
    <row r="1106" spans="2:10">
      <c r="B1106" s="1156"/>
      <c r="C1106" s="1156"/>
      <c r="D1106" s="1180"/>
      <c r="E1106" s="1180"/>
      <c r="F1106" s="1180"/>
      <c r="G1106" s="1180"/>
      <c r="H1106" s="1150"/>
      <c r="I1106" s="1150"/>
      <c r="J1106" s="1150"/>
    </row>
    <row r="1107" spans="2:10">
      <c r="B1107" s="1156"/>
      <c r="C1107" s="1156"/>
      <c r="D1107" s="1180"/>
      <c r="E1107" s="1180"/>
      <c r="F1107" s="1180"/>
      <c r="G1107" s="1180"/>
      <c r="H1107" s="1150"/>
      <c r="I1107" s="1150"/>
      <c r="J1107" s="1150"/>
    </row>
    <row r="1108" spans="2:10">
      <c r="B1108" s="1156"/>
      <c r="C1108" s="1156"/>
      <c r="D1108" s="1180"/>
      <c r="E1108" s="1180"/>
      <c r="F1108" s="1180"/>
      <c r="G1108" s="1180"/>
      <c r="H1108" s="1150"/>
      <c r="I1108" s="1150"/>
      <c r="J1108" s="1150"/>
    </row>
    <row r="1109" spans="2:10">
      <c r="B1109" s="1156"/>
      <c r="C1109" s="1156"/>
      <c r="D1109" s="1180"/>
      <c r="E1109" s="1180"/>
      <c r="F1109" s="1180"/>
      <c r="G1109" s="1180"/>
      <c r="H1109" s="1150"/>
      <c r="I1109" s="1150"/>
      <c r="J1109" s="1150"/>
    </row>
    <row r="1110" spans="2:10">
      <c r="B1110" s="1156"/>
      <c r="C1110" s="1156"/>
      <c r="D1110" s="1180"/>
      <c r="E1110" s="1180"/>
      <c r="F1110" s="1180"/>
      <c r="G1110" s="1180"/>
      <c r="H1110" s="1150"/>
      <c r="I1110" s="1150"/>
      <c r="J1110" s="1150"/>
    </row>
    <row r="1111" spans="2:10">
      <c r="B1111" s="1156"/>
      <c r="C1111" s="1156"/>
      <c r="D1111" s="1180"/>
      <c r="E1111" s="1180"/>
      <c r="F1111" s="1180"/>
      <c r="G1111" s="1180"/>
      <c r="H1111" s="1150"/>
      <c r="I1111" s="1150"/>
      <c r="J1111" s="1150"/>
    </row>
    <row r="1112" spans="2:10">
      <c r="B1112" s="1156"/>
      <c r="C1112" s="1156"/>
      <c r="D1112" s="1180"/>
      <c r="E1112" s="1180"/>
      <c r="F1112" s="1180"/>
      <c r="G1112" s="1180"/>
      <c r="H1112" s="1150"/>
      <c r="I1112" s="1150"/>
      <c r="J1112" s="1150"/>
    </row>
    <row r="1113" spans="2:10">
      <c r="B1113" s="1156"/>
      <c r="C1113" s="1156"/>
      <c r="D1113" s="1180"/>
      <c r="E1113" s="1180"/>
      <c r="F1113" s="1180"/>
      <c r="G1113" s="1180"/>
      <c r="H1113" s="1150"/>
      <c r="I1113" s="1150"/>
      <c r="J1113" s="1150"/>
    </row>
    <row r="1114" spans="2:10">
      <c r="B1114" s="1156"/>
      <c r="C1114" s="1156"/>
      <c r="D1114" s="1180"/>
      <c r="E1114" s="1180"/>
      <c r="F1114" s="1180"/>
      <c r="G1114" s="1180"/>
      <c r="H1114" s="1150"/>
      <c r="I1114" s="1150"/>
      <c r="J1114" s="1150"/>
    </row>
    <row r="1115" spans="2:10">
      <c r="B1115" s="1156"/>
      <c r="C1115" s="1156"/>
      <c r="D1115" s="1180"/>
      <c r="E1115" s="1180"/>
      <c r="F1115" s="1180"/>
      <c r="G1115" s="1180"/>
      <c r="H1115" s="1150"/>
      <c r="I1115" s="1150"/>
      <c r="J1115" s="1150"/>
    </row>
    <row r="1116" spans="2:10">
      <c r="B1116" s="1156"/>
      <c r="C1116" s="1156"/>
      <c r="D1116" s="1180"/>
      <c r="E1116" s="1180"/>
      <c r="F1116" s="1180"/>
      <c r="G1116" s="1180"/>
      <c r="H1116" s="1150"/>
      <c r="I1116" s="1150"/>
      <c r="J1116" s="1150"/>
    </row>
    <row r="1117" spans="2:10">
      <c r="B1117" s="1156"/>
      <c r="C1117" s="1156"/>
      <c r="D1117" s="1180"/>
      <c r="E1117" s="1180"/>
      <c r="F1117" s="1180"/>
      <c r="G1117" s="1180"/>
      <c r="H1117" s="1150"/>
      <c r="I1117" s="1150"/>
      <c r="J1117" s="1150"/>
    </row>
    <row r="1118" spans="2:10">
      <c r="B1118" s="1156"/>
      <c r="C1118" s="1156"/>
      <c r="D1118" s="1180"/>
      <c r="E1118" s="1180"/>
      <c r="F1118" s="1180"/>
      <c r="G1118" s="1180"/>
      <c r="H1118" s="1150"/>
      <c r="I1118" s="1150"/>
      <c r="J1118" s="1150"/>
    </row>
    <row r="1119" spans="2:10">
      <c r="B1119" s="1156"/>
      <c r="C1119" s="1156"/>
      <c r="D1119" s="1180"/>
      <c r="E1119" s="1180"/>
      <c r="F1119" s="1180"/>
      <c r="G1119" s="1180"/>
      <c r="H1119" s="1150"/>
      <c r="I1119" s="1150"/>
      <c r="J1119" s="1150"/>
    </row>
    <row r="1120" spans="2:10">
      <c r="B1120" s="1156"/>
      <c r="C1120" s="1156"/>
      <c r="D1120" s="1180"/>
      <c r="E1120" s="1180"/>
      <c r="F1120" s="1180"/>
      <c r="G1120" s="1180"/>
      <c r="H1120" s="1150"/>
      <c r="I1120" s="1150"/>
      <c r="J1120" s="1150"/>
    </row>
    <row r="1121" spans="2:10">
      <c r="B1121" s="1156"/>
      <c r="C1121" s="1156"/>
      <c r="D1121" s="1180"/>
      <c r="E1121" s="1180"/>
      <c r="F1121" s="1180"/>
      <c r="G1121" s="1180"/>
      <c r="H1121" s="1150"/>
      <c r="I1121" s="1150"/>
      <c r="J1121" s="1150"/>
    </row>
    <row r="1122" spans="2:10">
      <c r="B1122" s="1156"/>
      <c r="C1122" s="1156"/>
      <c r="D1122" s="1180"/>
      <c r="E1122" s="1180"/>
      <c r="F1122" s="1180"/>
      <c r="G1122" s="1180"/>
      <c r="H1122" s="1150"/>
      <c r="I1122" s="1150"/>
      <c r="J1122" s="1150"/>
    </row>
    <row r="1123" spans="2:10">
      <c r="B1123" s="1156"/>
      <c r="C1123" s="1156"/>
      <c r="D1123" s="1180"/>
      <c r="E1123" s="1180"/>
      <c r="F1123" s="1180"/>
      <c r="G1123" s="1180"/>
      <c r="H1123" s="1150"/>
      <c r="I1123" s="1150"/>
      <c r="J1123" s="1150"/>
    </row>
    <row r="1124" spans="2:10">
      <c r="B1124" s="1156"/>
      <c r="C1124" s="1156"/>
      <c r="D1124" s="1180"/>
      <c r="E1124" s="1180"/>
      <c r="F1124" s="1180"/>
      <c r="G1124" s="1180"/>
      <c r="H1124" s="1150"/>
      <c r="I1124" s="1150"/>
      <c r="J1124" s="1150"/>
    </row>
    <row r="1125" spans="2:10">
      <c r="B1125" s="1156"/>
      <c r="C1125" s="1156"/>
      <c r="D1125" s="1180"/>
      <c r="E1125" s="1180"/>
      <c r="F1125" s="1180"/>
      <c r="G1125" s="1180"/>
      <c r="H1125" s="1150"/>
      <c r="I1125" s="1150"/>
      <c r="J1125" s="1150"/>
    </row>
    <row r="1126" spans="2:10">
      <c r="B1126" s="1156"/>
      <c r="C1126" s="1156"/>
      <c r="D1126" s="1180"/>
      <c r="E1126" s="1180"/>
      <c r="F1126" s="1180"/>
      <c r="G1126" s="1180"/>
      <c r="H1126" s="1150"/>
      <c r="I1126" s="1150"/>
      <c r="J1126" s="1150"/>
    </row>
    <row r="1127" spans="2:10">
      <c r="B1127" s="1156"/>
      <c r="C1127" s="1156"/>
      <c r="D1127" s="1180"/>
      <c r="E1127" s="1180"/>
      <c r="F1127" s="1180"/>
      <c r="G1127" s="1180"/>
      <c r="H1127" s="1150"/>
      <c r="I1127" s="1150"/>
      <c r="J1127" s="1150"/>
    </row>
    <row r="1128" spans="2:10">
      <c r="B1128" s="1156"/>
      <c r="C1128" s="1156"/>
      <c r="D1128" s="1180"/>
      <c r="E1128" s="1180"/>
      <c r="F1128" s="1180"/>
      <c r="G1128" s="1180"/>
      <c r="H1128" s="1150"/>
      <c r="I1128" s="1150"/>
      <c r="J1128" s="1150"/>
    </row>
    <row r="1129" spans="2:10">
      <c r="B1129" s="1156"/>
      <c r="C1129" s="1156"/>
      <c r="D1129" s="1180"/>
      <c r="E1129" s="1180"/>
      <c r="F1129" s="1180"/>
      <c r="G1129" s="1180"/>
      <c r="H1129" s="1150"/>
      <c r="I1129" s="1150"/>
      <c r="J1129" s="1150"/>
    </row>
    <row r="1130" spans="2:10">
      <c r="B1130" s="1156"/>
      <c r="C1130" s="1156"/>
      <c r="D1130" s="1180"/>
      <c r="E1130" s="1180"/>
      <c r="F1130" s="1180"/>
      <c r="G1130" s="1180"/>
      <c r="H1130" s="1150"/>
      <c r="I1130" s="1150"/>
      <c r="J1130" s="1150"/>
    </row>
    <row r="1131" spans="2:10">
      <c r="B1131" s="1156"/>
      <c r="C1131" s="1156"/>
      <c r="D1131" s="1180"/>
      <c r="E1131" s="1180"/>
      <c r="F1131" s="1180"/>
      <c r="G1131" s="1180"/>
      <c r="H1131" s="1150"/>
      <c r="I1131" s="1150"/>
      <c r="J1131" s="1150"/>
    </row>
    <row r="1132" spans="2:10">
      <c r="B1132" s="1156"/>
      <c r="C1132" s="1156"/>
      <c r="D1132" s="1180"/>
      <c r="E1132" s="1180"/>
      <c r="F1132" s="1180"/>
      <c r="G1132" s="1180"/>
      <c r="H1132" s="1150"/>
      <c r="I1132" s="1150"/>
      <c r="J1132" s="1150"/>
    </row>
    <row r="1133" spans="2:10">
      <c r="B1133" s="1156"/>
      <c r="C1133" s="1156"/>
      <c r="D1133" s="1180"/>
      <c r="E1133" s="1180"/>
      <c r="F1133" s="1180"/>
      <c r="G1133" s="1180"/>
      <c r="H1133" s="1150"/>
      <c r="I1133" s="1150"/>
      <c r="J1133" s="1150"/>
    </row>
    <row r="1134" spans="2:10">
      <c r="B1134" s="1156"/>
      <c r="C1134" s="1156"/>
      <c r="D1134" s="1180"/>
      <c r="E1134" s="1180"/>
      <c r="F1134" s="1180"/>
      <c r="G1134" s="1180"/>
      <c r="H1134" s="1150"/>
      <c r="I1134" s="1150"/>
      <c r="J1134" s="1150"/>
    </row>
    <row r="1135" spans="2:10">
      <c r="B1135" s="1156"/>
      <c r="C1135" s="1156"/>
      <c r="D1135" s="1180"/>
      <c r="E1135" s="1180"/>
      <c r="F1135" s="1180"/>
      <c r="G1135" s="1180"/>
      <c r="H1135" s="1150"/>
      <c r="I1135" s="1150"/>
      <c r="J1135" s="1150"/>
    </row>
    <row r="1136" spans="2:10">
      <c r="B1136" s="1156"/>
      <c r="C1136" s="1156"/>
      <c r="D1136" s="1180"/>
      <c r="E1136" s="1180"/>
      <c r="F1136" s="1180"/>
      <c r="G1136" s="1180"/>
      <c r="H1136" s="1150"/>
      <c r="I1136" s="1150"/>
      <c r="J1136" s="1150"/>
    </row>
    <row r="1137" spans="2:10">
      <c r="B1137" s="1156"/>
      <c r="C1137" s="1156"/>
      <c r="D1137" s="1180"/>
      <c r="E1137" s="1180"/>
      <c r="F1137" s="1180"/>
      <c r="G1137" s="1180"/>
      <c r="H1137" s="1150"/>
      <c r="I1137" s="1150"/>
      <c r="J1137" s="1150"/>
    </row>
    <row r="1138" spans="2:10">
      <c r="B1138" s="1156"/>
      <c r="C1138" s="1156"/>
      <c r="D1138" s="1180"/>
      <c r="E1138" s="1180"/>
      <c r="F1138" s="1180"/>
      <c r="G1138" s="1180"/>
      <c r="H1138" s="1150"/>
      <c r="I1138" s="1150"/>
      <c r="J1138" s="1150"/>
    </row>
    <row r="1139" spans="2:10">
      <c r="B1139" s="1156"/>
      <c r="C1139" s="1156"/>
      <c r="D1139" s="1180"/>
      <c r="E1139" s="1180"/>
      <c r="F1139" s="1180"/>
      <c r="G1139" s="1180"/>
      <c r="H1139" s="1150"/>
      <c r="I1139" s="1150"/>
      <c r="J1139" s="1150"/>
    </row>
    <row r="1140" spans="2:10">
      <c r="B1140" s="1156"/>
      <c r="C1140" s="1156"/>
      <c r="D1140" s="1180"/>
      <c r="E1140" s="1180"/>
      <c r="F1140" s="1180"/>
      <c r="G1140" s="1180"/>
      <c r="H1140" s="1150"/>
      <c r="I1140" s="1150"/>
      <c r="J1140" s="1150"/>
    </row>
    <row r="1141" spans="2:10">
      <c r="B1141" s="1156"/>
      <c r="C1141" s="1156"/>
      <c r="D1141" s="1180"/>
      <c r="E1141" s="1180"/>
      <c r="F1141" s="1180"/>
      <c r="G1141" s="1180"/>
      <c r="H1141" s="1150"/>
      <c r="I1141" s="1150"/>
      <c r="J1141" s="1150"/>
    </row>
    <row r="1142" spans="2:10">
      <c r="B1142" s="1156"/>
      <c r="C1142" s="1156"/>
      <c r="D1142" s="1180"/>
      <c r="E1142" s="1180"/>
      <c r="F1142" s="1180"/>
      <c r="G1142" s="1180"/>
      <c r="H1142" s="1150"/>
      <c r="I1142" s="1150"/>
      <c r="J1142" s="1150"/>
    </row>
    <row r="1143" spans="2:10">
      <c r="B1143" s="1156"/>
      <c r="C1143" s="1156"/>
      <c r="D1143" s="1180"/>
      <c r="E1143" s="1180"/>
      <c r="F1143" s="1180"/>
      <c r="G1143" s="1180"/>
      <c r="H1143" s="1150"/>
      <c r="I1143" s="1150"/>
      <c r="J1143" s="1150"/>
    </row>
    <row r="1144" spans="2:10">
      <c r="B1144" s="1156"/>
      <c r="C1144" s="1156"/>
      <c r="D1144" s="1180"/>
      <c r="E1144" s="1180"/>
      <c r="F1144" s="1180"/>
      <c r="G1144" s="1180"/>
      <c r="H1144" s="1150"/>
      <c r="I1144" s="1150"/>
      <c r="J1144" s="1150"/>
    </row>
    <row r="1145" spans="2:10">
      <c r="B1145" s="1156"/>
      <c r="C1145" s="1156"/>
      <c r="D1145" s="1180"/>
      <c r="E1145" s="1180"/>
      <c r="F1145" s="1180"/>
      <c r="G1145" s="1180"/>
      <c r="H1145" s="1150"/>
      <c r="I1145" s="1150"/>
      <c r="J1145" s="1150"/>
    </row>
    <row r="1146" spans="2:10">
      <c r="B1146" s="1156"/>
      <c r="C1146" s="1156"/>
      <c r="D1146" s="1180"/>
      <c r="E1146" s="1180"/>
      <c r="F1146" s="1180"/>
      <c r="G1146" s="1180"/>
      <c r="H1146" s="1150"/>
      <c r="I1146" s="1150"/>
      <c r="J1146" s="1150"/>
    </row>
    <row r="1147" spans="2:10">
      <c r="B1147" s="1156"/>
      <c r="C1147" s="1156"/>
      <c r="D1147" s="1180"/>
      <c r="E1147" s="1180"/>
      <c r="F1147" s="1180"/>
      <c r="G1147" s="1180"/>
      <c r="H1147" s="1150"/>
      <c r="I1147" s="1150"/>
      <c r="J1147" s="1150"/>
    </row>
    <row r="1148" spans="2:10">
      <c r="B1148" s="1156"/>
      <c r="C1148" s="1156"/>
      <c r="D1148" s="1180"/>
      <c r="E1148" s="1180"/>
      <c r="F1148" s="1180"/>
      <c r="G1148" s="1180"/>
      <c r="H1148" s="1150"/>
      <c r="I1148" s="1150"/>
      <c r="J1148" s="1150"/>
    </row>
    <row r="1149" spans="2:10">
      <c r="B1149" s="1156"/>
      <c r="C1149" s="1156"/>
      <c r="D1149" s="1180"/>
      <c r="E1149" s="1180"/>
      <c r="F1149" s="1180"/>
      <c r="G1149" s="1180"/>
      <c r="H1149" s="1150"/>
      <c r="I1149" s="1150"/>
      <c r="J1149" s="1150"/>
    </row>
    <row r="1150" spans="2:10">
      <c r="B1150" s="1156"/>
      <c r="C1150" s="1156"/>
      <c r="D1150" s="1180"/>
      <c r="E1150" s="1180"/>
      <c r="F1150" s="1180"/>
      <c r="G1150" s="1180"/>
      <c r="H1150" s="1150"/>
      <c r="I1150" s="1150"/>
      <c r="J1150" s="1150"/>
    </row>
    <row r="1151" spans="2:10">
      <c r="B1151" s="1156"/>
      <c r="C1151" s="1156"/>
      <c r="D1151" s="1180"/>
      <c r="E1151" s="1180"/>
      <c r="F1151" s="1180"/>
      <c r="G1151" s="1180"/>
      <c r="H1151" s="1150"/>
      <c r="I1151" s="1150"/>
      <c r="J1151" s="1150"/>
    </row>
    <row r="1152" spans="2:10">
      <c r="B1152" s="1156"/>
      <c r="C1152" s="1156"/>
      <c r="D1152" s="1180"/>
      <c r="E1152" s="1180"/>
      <c r="F1152" s="1180"/>
      <c r="G1152" s="1180"/>
      <c r="H1152" s="1150"/>
      <c r="I1152" s="1150"/>
      <c r="J1152" s="1150"/>
    </row>
    <row r="1153" spans="2:10">
      <c r="B1153" s="1156"/>
      <c r="C1153" s="1156"/>
      <c r="D1153" s="1180"/>
      <c r="E1153" s="1180"/>
      <c r="F1153" s="1180"/>
      <c r="G1153" s="1180"/>
      <c r="H1153" s="1150"/>
      <c r="I1153" s="1150"/>
      <c r="J1153" s="1150"/>
    </row>
    <row r="1154" spans="2:10">
      <c r="B1154" s="1156"/>
      <c r="C1154" s="1156"/>
      <c r="D1154" s="1180"/>
      <c r="E1154" s="1180"/>
      <c r="F1154" s="1180"/>
      <c r="G1154" s="1180"/>
      <c r="H1154" s="1150"/>
      <c r="I1154" s="1150"/>
      <c r="J1154" s="1150"/>
    </row>
    <row r="1155" spans="2:10">
      <c r="B1155" s="1156"/>
      <c r="C1155" s="1156"/>
      <c r="D1155" s="1180"/>
      <c r="E1155" s="1180"/>
      <c r="F1155" s="1180"/>
      <c r="G1155" s="1180"/>
      <c r="H1155" s="1150"/>
      <c r="I1155" s="1150"/>
      <c r="J1155" s="1150"/>
    </row>
    <row r="1156" spans="2:10">
      <c r="B1156" s="1156"/>
      <c r="C1156" s="1156"/>
      <c r="D1156" s="1180"/>
      <c r="E1156" s="1180"/>
      <c r="F1156" s="1180"/>
      <c r="G1156" s="1180"/>
      <c r="H1156" s="1150"/>
      <c r="I1156" s="1150"/>
      <c r="J1156" s="1150"/>
    </row>
    <row r="1157" spans="2:10">
      <c r="B1157" s="1156"/>
      <c r="C1157" s="1156"/>
      <c r="D1157" s="1180"/>
      <c r="E1157" s="1180"/>
      <c r="F1157" s="1180"/>
      <c r="G1157" s="1180"/>
      <c r="H1157" s="1150"/>
      <c r="I1157" s="1150"/>
      <c r="J1157" s="1150"/>
    </row>
    <row r="1158" spans="2:10">
      <c r="B1158" s="1156"/>
      <c r="C1158" s="1156"/>
      <c r="D1158" s="1180"/>
      <c r="E1158" s="1180"/>
      <c r="F1158" s="1180"/>
      <c r="G1158" s="1180"/>
      <c r="H1158" s="1150"/>
      <c r="I1158" s="1150"/>
      <c r="J1158" s="1150"/>
    </row>
    <row r="1159" spans="2:10">
      <c r="B1159" s="1156"/>
      <c r="C1159" s="1156"/>
      <c r="D1159" s="1180"/>
      <c r="E1159" s="1180"/>
      <c r="F1159" s="1180"/>
      <c r="G1159" s="1180"/>
      <c r="H1159" s="1150"/>
      <c r="I1159" s="1150"/>
      <c r="J1159" s="1150"/>
    </row>
    <row r="1160" spans="2:10">
      <c r="B1160" s="1156"/>
      <c r="C1160" s="1156"/>
      <c r="D1160" s="1180"/>
      <c r="E1160" s="1180"/>
      <c r="F1160" s="1180"/>
      <c r="G1160" s="1180"/>
      <c r="H1160" s="1150"/>
      <c r="I1160" s="1150"/>
      <c r="J1160" s="1150"/>
    </row>
    <row r="1161" spans="2:10">
      <c r="B1161" s="1156"/>
      <c r="C1161" s="1156"/>
      <c r="D1161" s="1180"/>
      <c r="E1161" s="1180"/>
      <c r="F1161" s="1180"/>
      <c r="G1161" s="1180"/>
      <c r="H1161" s="1150"/>
      <c r="I1161" s="1150"/>
      <c r="J1161" s="1150"/>
    </row>
    <row r="1162" spans="2:10">
      <c r="B1162" s="1156"/>
      <c r="C1162" s="1156"/>
      <c r="D1162" s="1180"/>
      <c r="E1162" s="1180"/>
      <c r="F1162" s="1180"/>
      <c r="G1162" s="1180"/>
      <c r="H1162" s="1150"/>
      <c r="I1162" s="1150"/>
      <c r="J1162" s="1150"/>
    </row>
    <row r="1163" spans="2:10">
      <c r="B1163" s="1156"/>
      <c r="C1163" s="1156"/>
      <c r="D1163" s="1180"/>
      <c r="E1163" s="1180"/>
      <c r="F1163" s="1180"/>
      <c r="G1163" s="1180"/>
      <c r="H1163" s="1150"/>
      <c r="I1163" s="1150"/>
      <c r="J1163" s="1150"/>
    </row>
    <row r="1164" spans="2:10">
      <c r="B1164" s="1156"/>
      <c r="C1164" s="1156"/>
      <c r="D1164" s="1180"/>
      <c r="E1164" s="1180"/>
      <c r="F1164" s="1180"/>
      <c r="G1164" s="1180"/>
      <c r="H1164" s="1150"/>
      <c r="I1164" s="1150"/>
      <c r="J1164" s="1150"/>
    </row>
    <row r="1165" spans="2:10">
      <c r="B1165" s="1156"/>
      <c r="C1165" s="1156"/>
      <c r="D1165" s="1180"/>
      <c r="E1165" s="1180"/>
      <c r="F1165" s="1180"/>
      <c r="G1165" s="1180"/>
      <c r="H1165" s="1150"/>
      <c r="I1165" s="1150"/>
      <c r="J1165" s="1150"/>
    </row>
    <row r="1166" spans="2:10">
      <c r="B1166" s="1156"/>
      <c r="C1166" s="1156"/>
      <c r="D1166" s="1180"/>
      <c r="E1166" s="1180"/>
      <c r="F1166" s="1180"/>
      <c r="G1166" s="1180"/>
      <c r="H1166" s="1150"/>
      <c r="I1166" s="1150"/>
      <c r="J1166" s="1150"/>
    </row>
    <row r="1167" spans="2:10">
      <c r="B1167" s="1156"/>
      <c r="C1167" s="1156"/>
      <c r="D1167" s="1180"/>
      <c r="E1167" s="1180"/>
      <c r="F1167" s="1180"/>
      <c r="G1167" s="1180"/>
      <c r="H1167" s="1150"/>
      <c r="I1167" s="1150"/>
      <c r="J1167" s="1150"/>
    </row>
    <row r="1168" spans="2:10">
      <c r="B1168" s="1156"/>
      <c r="C1168" s="1156"/>
      <c r="D1168" s="1180"/>
      <c r="E1168" s="1180"/>
      <c r="F1168" s="1180"/>
      <c r="G1168" s="1180"/>
      <c r="H1168" s="1150"/>
      <c r="I1168" s="1150"/>
      <c r="J1168" s="1150"/>
    </row>
    <row r="1169" spans="2:10">
      <c r="B1169" s="1156"/>
      <c r="C1169" s="1156"/>
      <c r="D1169" s="1180"/>
      <c r="E1169" s="1180"/>
      <c r="F1169" s="1180"/>
      <c r="G1169" s="1180"/>
      <c r="H1169" s="1150"/>
      <c r="I1169" s="1150"/>
      <c r="J1169" s="1150"/>
    </row>
    <row r="1170" spans="2:10">
      <c r="B1170" s="1156"/>
      <c r="C1170" s="1156"/>
      <c r="D1170" s="1180"/>
      <c r="E1170" s="1180"/>
      <c r="F1170" s="1180"/>
      <c r="G1170" s="1180"/>
      <c r="H1170" s="1150"/>
      <c r="I1170" s="1150"/>
      <c r="J1170" s="1150"/>
    </row>
    <row r="1171" spans="2:10">
      <c r="B1171" s="1156"/>
      <c r="C1171" s="1156"/>
      <c r="D1171" s="1180"/>
      <c r="E1171" s="1180"/>
      <c r="F1171" s="1180"/>
      <c r="G1171" s="1180"/>
      <c r="H1171" s="1150"/>
      <c r="I1171" s="1150"/>
      <c r="J1171" s="1150"/>
    </row>
    <row r="1172" spans="2:10">
      <c r="B1172" s="1156"/>
      <c r="C1172" s="1156"/>
      <c r="D1172" s="1180"/>
      <c r="E1172" s="1180"/>
      <c r="F1172" s="1180"/>
      <c r="G1172" s="1180"/>
      <c r="H1172" s="1150"/>
      <c r="I1172" s="1150"/>
      <c r="J1172" s="1150"/>
    </row>
    <row r="1173" spans="2:10">
      <c r="B1173" s="1156"/>
      <c r="C1173" s="1156"/>
      <c r="D1173" s="1180"/>
      <c r="E1173" s="1180"/>
      <c r="F1173" s="1180"/>
      <c r="G1173" s="1180"/>
      <c r="H1173" s="1150"/>
      <c r="I1173" s="1150"/>
      <c r="J1173" s="1150"/>
    </row>
    <row r="1174" spans="2:10">
      <c r="B1174" s="1156"/>
      <c r="C1174" s="1156"/>
      <c r="D1174" s="1180"/>
      <c r="E1174" s="1180"/>
      <c r="F1174" s="1180"/>
      <c r="G1174" s="1180"/>
      <c r="H1174" s="1150"/>
      <c r="I1174" s="1150"/>
      <c r="J1174" s="1150"/>
    </row>
    <row r="1175" spans="2:10">
      <c r="B1175" s="1156"/>
      <c r="C1175" s="1156"/>
      <c r="D1175" s="1180"/>
      <c r="E1175" s="1180"/>
      <c r="F1175" s="1180"/>
      <c r="G1175" s="1180"/>
      <c r="H1175" s="1150"/>
      <c r="I1175" s="1150"/>
      <c r="J1175" s="1150"/>
    </row>
    <row r="1176" spans="2:10">
      <c r="B1176" s="1156"/>
      <c r="C1176" s="1156"/>
      <c r="D1176" s="1180"/>
      <c r="E1176" s="1180"/>
      <c r="F1176" s="1180"/>
      <c r="G1176" s="1180"/>
      <c r="H1176" s="1150"/>
      <c r="I1176" s="1150"/>
      <c r="J1176" s="1150"/>
    </row>
    <row r="1177" spans="2:10">
      <c r="B1177" s="1156"/>
      <c r="C1177" s="1156"/>
      <c r="D1177" s="1180"/>
      <c r="E1177" s="1180"/>
      <c r="F1177" s="1180"/>
      <c r="G1177" s="1180"/>
      <c r="H1177" s="1150"/>
      <c r="I1177" s="1150"/>
      <c r="J1177" s="1150"/>
    </row>
    <row r="1178" spans="2:10">
      <c r="B1178" s="1156"/>
      <c r="C1178" s="1156"/>
      <c r="D1178" s="1180"/>
      <c r="E1178" s="1180"/>
      <c r="F1178" s="1180"/>
      <c r="G1178" s="1180"/>
      <c r="H1178" s="1150"/>
      <c r="I1178" s="1150"/>
      <c r="J1178" s="1150"/>
    </row>
    <row r="1179" spans="2:10">
      <c r="B1179" s="1156"/>
      <c r="C1179" s="1156"/>
      <c r="D1179" s="1180"/>
      <c r="E1179" s="1180"/>
      <c r="F1179" s="1180"/>
      <c r="G1179" s="1180"/>
      <c r="H1179" s="1150"/>
      <c r="I1179" s="1150"/>
      <c r="J1179" s="1150"/>
    </row>
    <row r="1180" spans="2:10">
      <c r="B1180" s="1156"/>
      <c r="C1180" s="1156"/>
      <c r="D1180" s="1180"/>
      <c r="E1180" s="1180"/>
      <c r="F1180" s="1180"/>
      <c r="G1180" s="1180"/>
      <c r="H1180" s="1150"/>
      <c r="I1180" s="1150"/>
      <c r="J1180" s="1150"/>
    </row>
    <row r="1181" spans="2:10">
      <c r="B1181" s="1156"/>
      <c r="C1181" s="1156"/>
      <c r="D1181" s="1180"/>
      <c r="E1181" s="1180"/>
      <c r="F1181" s="1180"/>
      <c r="G1181" s="1180"/>
      <c r="H1181" s="1150"/>
      <c r="I1181" s="1150"/>
      <c r="J1181" s="1150"/>
    </row>
    <row r="1182" spans="2:10">
      <c r="B1182" s="1156"/>
      <c r="C1182" s="1156"/>
      <c r="D1182" s="1180"/>
      <c r="E1182" s="1180"/>
      <c r="F1182" s="1180"/>
      <c r="G1182" s="1180"/>
      <c r="H1182" s="1150"/>
      <c r="I1182" s="1150"/>
      <c r="J1182" s="1150"/>
    </row>
    <row r="1183" spans="2:10">
      <c r="B1183" s="1156"/>
      <c r="C1183" s="1156"/>
      <c r="D1183" s="1180"/>
      <c r="E1183" s="1180"/>
      <c r="F1183" s="1180"/>
      <c r="G1183" s="1180"/>
      <c r="H1183" s="1150"/>
      <c r="I1183" s="1150"/>
      <c r="J1183" s="1150"/>
    </row>
    <row r="1184" spans="2:10">
      <c r="B1184" s="1156"/>
      <c r="C1184" s="1156"/>
      <c r="D1184" s="1180"/>
      <c r="E1184" s="1180"/>
      <c r="F1184" s="1180"/>
      <c r="G1184" s="1180"/>
      <c r="H1184" s="1150"/>
      <c r="I1184" s="1150"/>
      <c r="J1184" s="1150"/>
    </row>
    <row r="1185" spans="2:10">
      <c r="B1185" s="1156"/>
      <c r="C1185" s="1156"/>
      <c r="D1185" s="1180"/>
      <c r="E1185" s="1180"/>
      <c r="F1185" s="1180"/>
      <c r="G1185" s="1180"/>
      <c r="H1185" s="1150"/>
      <c r="I1185" s="1150"/>
      <c r="J1185" s="1150"/>
    </row>
    <row r="1186" spans="2:10">
      <c r="B1186" s="1156"/>
      <c r="C1186" s="1156"/>
      <c r="D1186" s="1180"/>
      <c r="E1186" s="1180"/>
      <c r="F1186" s="1180"/>
      <c r="G1186" s="1180"/>
      <c r="H1186" s="1150"/>
      <c r="I1186" s="1150"/>
      <c r="J1186" s="1150"/>
    </row>
    <row r="1187" spans="2:10">
      <c r="B1187" s="1156"/>
      <c r="C1187" s="1156"/>
      <c r="D1187" s="1180"/>
      <c r="E1187" s="1180"/>
      <c r="F1187" s="1180"/>
      <c r="G1187" s="1180"/>
      <c r="H1187" s="1150"/>
      <c r="I1187" s="1150"/>
      <c r="J1187" s="1150"/>
    </row>
    <row r="1188" spans="2:10">
      <c r="B1188" s="1156"/>
      <c r="C1188" s="1156"/>
      <c r="D1188" s="1180"/>
      <c r="E1188" s="1180"/>
      <c r="F1188" s="1180"/>
      <c r="G1188" s="1180"/>
      <c r="H1188" s="1150"/>
      <c r="I1188" s="1150"/>
      <c r="J1188" s="1150"/>
    </row>
    <row r="1189" spans="2:10">
      <c r="B1189" s="1156"/>
      <c r="C1189" s="1156"/>
      <c r="D1189" s="1180"/>
      <c r="E1189" s="1180"/>
      <c r="F1189" s="1180"/>
      <c r="G1189" s="1180"/>
      <c r="H1189" s="1150"/>
      <c r="I1189" s="1150"/>
      <c r="J1189" s="1150"/>
    </row>
    <row r="1190" spans="2:10">
      <c r="B1190" s="1156"/>
      <c r="C1190" s="1156"/>
      <c r="D1190" s="1180"/>
      <c r="E1190" s="1180"/>
      <c r="F1190" s="1180"/>
      <c r="G1190" s="1180"/>
      <c r="H1190" s="1150"/>
      <c r="I1190" s="1150"/>
      <c r="J1190" s="1150"/>
    </row>
    <row r="1191" spans="2:10">
      <c r="B1191" s="1156"/>
      <c r="C1191" s="1156"/>
      <c r="D1191" s="1180"/>
      <c r="E1191" s="1180"/>
      <c r="F1191" s="1180"/>
      <c r="G1191" s="1180"/>
      <c r="H1191" s="1150"/>
      <c r="I1191" s="1150"/>
      <c r="J1191" s="1150"/>
    </row>
    <row r="1192" spans="2:10">
      <c r="B1192" s="1156"/>
      <c r="C1192" s="1156"/>
      <c r="D1192" s="1180"/>
      <c r="E1192" s="1180"/>
      <c r="F1192" s="1180"/>
      <c r="G1192" s="1180"/>
      <c r="H1192" s="1150"/>
      <c r="I1192" s="1150"/>
      <c r="J1192" s="1150"/>
    </row>
    <row r="1193" spans="2:10">
      <c r="B1193" s="1156"/>
      <c r="C1193" s="1156"/>
      <c r="D1193" s="1180"/>
      <c r="E1193" s="1180"/>
      <c r="F1193" s="1180"/>
      <c r="G1193" s="1180"/>
      <c r="H1193" s="1150"/>
      <c r="I1193" s="1150"/>
      <c r="J1193" s="1150"/>
    </row>
    <row r="1194" spans="2:10">
      <c r="B1194" s="1156"/>
      <c r="C1194" s="1156"/>
      <c r="D1194" s="1180"/>
      <c r="E1194" s="1180"/>
      <c r="F1194" s="1180"/>
      <c r="G1194" s="1180"/>
      <c r="H1194" s="1150"/>
      <c r="I1194" s="1150"/>
      <c r="J1194" s="1150"/>
    </row>
    <row r="1195" spans="2:10">
      <c r="B1195" s="1156"/>
      <c r="C1195" s="1156"/>
      <c r="D1195" s="1180"/>
      <c r="E1195" s="1180"/>
      <c r="F1195" s="1180"/>
      <c r="G1195" s="1180"/>
      <c r="H1195" s="1150"/>
      <c r="I1195" s="1150"/>
      <c r="J1195" s="1150"/>
    </row>
    <row r="1196" spans="2:10">
      <c r="B1196" s="1156"/>
      <c r="C1196" s="1156"/>
      <c r="D1196" s="1180"/>
      <c r="E1196" s="1180"/>
      <c r="F1196" s="1180"/>
      <c r="G1196" s="1180"/>
      <c r="H1196" s="1150"/>
      <c r="I1196" s="1150"/>
      <c r="J1196" s="1150"/>
    </row>
    <row r="1197" spans="2:10">
      <c r="B1197" s="1156"/>
      <c r="C1197" s="1156"/>
      <c r="D1197" s="1180"/>
      <c r="E1197" s="1180"/>
      <c r="F1197" s="1180"/>
      <c r="G1197" s="1180"/>
      <c r="H1197" s="1150"/>
      <c r="I1197" s="1150"/>
      <c r="J1197" s="1150"/>
    </row>
    <row r="1198" spans="2:10">
      <c r="B1198" s="1156"/>
      <c r="C1198" s="1156"/>
      <c r="D1198" s="1180"/>
      <c r="E1198" s="1180"/>
      <c r="F1198" s="1180"/>
      <c r="G1198" s="1180"/>
      <c r="H1198" s="1150"/>
      <c r="I1198" s="1150"/>
      <c r="J1198" s="1150"/>
    </row>
    <row r="1199" spans="2:10">
      <c r="B1199" s="1156"/>
      <c r="C1199" s="1156"/>
      <c r="D1199" s="1180"/>
      <c r="E1199" s="1180"/>
      <c r="F1199" s="1180"/>
      <c r="G1199" s="1180"/>
      <c r="H1199" s="1150"/>
      <c r="I1199" s="1150"/>
      <c r="J1199" s="1150"/>
    </row>
    <row r="1200" spans="2:10">
      <c r="B1200" s="1156"/>
      <c r="C1200" s="1156"/>
      <c r="D1200" s="1180"/>
      <c r="E1200" s="1180"/>
      <c r="F1200" s="1180"/>
      <c r="G1200" s="1180"/>
      <c r="H1200" s="1150"/>
      <c r="I1200" s="1150"/>
      <c r="J1200" s="1150"/>
    </row>
    <row r="1201" spans="2:10">
      <c r="B1201" s="1156"/>
      <c r="C1201" s="1156"/>
      <c r="D1201" s="1180"/>
      <c r="E1201" s="1180"/>
      <c r="F1201" s="1180"/>
      <c r="G1201" s="1180"/>
      <c r="H1201" s="1150"/>
      <c r="I1201" s="1150"/>
      <c r="J1201" s="1150"/>
    </row>
    <row r="1202" spans="2:10">
      <c r="B1202" s="1156"/>
      <c r="C1202" s="1156"/>
      <c r="D1202" s="1180"/>
      <c r="E1202" s="1180"/>
      <c r="F1202" s="1180"/>
      <c r="G1202" s="1180"/>
      <c r="H1202" s="1150"/>
      <c r="I1202" s="1150"/>
      <c r="J1202" s="1150"/>
    </row>
    <row r="1203" spans="2:10">
      <c r="B1203" s="1156"/>
      <c r="C1203" s="1156"/>
      <c r="D1203" s="1180"/>
      <c r="E1203" s="1180"/>
      <c r="F1203" s="1180"/>
      <c r="G1203" s="1180"/>
      <c r="H1203" s="1150"/>
      <c r="I1203" s="1150"/>
      <c r="J1203" s="1150"/>
    </row>
    <row r="1204" spans="2:10">
      <c r="B1204" s="1156"/>
      <c r="C1204" s="1156"/>
      <c r="D1204" s="1180"/>
      <c r="E1204" s="1180"/>
      <c r="F1204" s="1180"/>
      <c r="G1204" s="1180"/>
      <c r="H1204" s="1150"/>
      <c r="I1204" s="1150"/>
      <c r="J1204" s="1150"/>
    </row>
    <row r="1205" spans="2:10">
      <c r="B1205" s="1156"/>
      <c r="C1205" s="1156"/>
      <c r="D1205" s="1180"/>
      <c r="E1205" s="1180"/>
      <c r="F1205" s="1180"/>
      <c r="G1205" s="1180"/>
      <c r="H1205" s="1150"/>
      <c r="I1205" s="1150"/>
      <c r="J1205" s="1150"/>
    </row>
    <row r="1206" spans="2:10">
      <c r="B1206" s="1156"/>
      <c r="C1206" s="1156"/>
      <c r="D1206" s="1180"/>
      <c r="E1206" s="1180"/>
      <c r="F1206" s="1180"/>
      <c r="G1206" s="1180"/>
      <c r="H1206" s="1150"/>
      <c r="I1206" s="1150"/>
      <c r="J1206" s="1150"/>
    </row>
    <row r="1207" spans="2:10">
      <c r="B1207" s="1156"/>
      <c r="C1207" s="1156"/>
      <c r="D1207" s="1180"/>
      <c r="E1207" s="1180"/>
      <c r="F1207" s="1180"/>
      <c r="G1207" s="1180"/>
      <c r="H1207" s="1150"/>
      <c r="I1207" s="1150"/>
      <c r="J1207" s="1150"/>
    </row>
    <row r="1208" spans="2:10">
      <c r="B1208" s="1156"/>
      <c r="C1208" s="1156"/>
      <c r="D1208" s="1180"/>
      <c r="E1208" s="1180"/>
      <c r="F1208" s="1180"/>
      <c r="G1208" s="1180"/>
      <c r="H1208" s="1150"/>
      <c r="I1208" s="1150"/>
      <c r="J1208" s="1150"/>
    </row>
    <row r="1209" spans="2:10">
      <c r="B1209" s="1156"/>
      <c r="C1209" s="1156"/>
      <c r="D1209" s="1180"/>
      <c r="E1209" s="1180"/>
      <c r="F1209" s="1180"/>
      <c r="G1209" s="1180"/>
      <c r="H1209" s="1150"/>
      <c r="I1209" s="1150"/>
      <c r="J1209" s="1150"/>
    </row>
    <row r="1210" spans="2:10">
      <c r="B1210" s="1156"/>
      <c r="C1210" s="1156"/>
      <c r="D1210" s="1180"/>
      <c r="E1210" s="1180"/>
      <c r="F1210" s="1180"/>
      <c r="G1210" s="1180"/>
      <c r="H1210" s="1150"/>
      <c r="I1210" s="1150"/>
      <c r="J1210" s="1150"/>
    </row>
    <row r="1211" spans="2:10">
      <c r="B1211" s="1156"/>
      <c r="C1211" s="1156"/>
      <c r="D1211" s="1180"/>
      <c r="E1211" s="1180"/>
      <c r="F1211" s="1180"/>
      <c r="G1211" s="1180"/>
      <c r="H1211" s="1150"/>
      <c r="I1211" s="1150"/>
      <c r="J1211" s="1150"/>
    </row>
    <row r="1212" spans="2:10">
      <c r="B1212" s="1156"/>
      <c r="C1212" s="1156"/>
      <c r="D1212" s="1180"/>
      <c r="E1212" s="1180"/>
      <c r="F1212" s="1180"/>
      <c r="G1212" s="1180"/>
      <c r="H1212" s="1150"/>
      <c r="I1212" s="1150"/>
      <c r="J1212" s="1150"/>
    </row>
    <row r="1213" spans="2:10">
      <c r="B1213" s="1156"/>
      <c r="C1213" s="1156"/>
      <c r="D1213" s="1180"/>
      <c r="E1213" s="1180"/>
      <c r="F1213" s="1180"/>
      <c r="G1213" s="1180"/>
      <c r="H1213" s="1150"/>
      <c r="I1213" s="1150"/>
      <c r="J1213" s="1150"/>
    </row>
    <row r="1214" spans="2:10">
      <c r="B1214" s="1156"/>
      <c r="C1214" s="1156"/>
      <c r="D1214" s="1180"/>
      <c r="E1214" s="1180"/>
      <c r="F1214" s="1180"/>
      <c r="G1214" s="1180"/>
      <c r="H1214" s="1150"/>
      <c r="I1214" s="1150"/>
      <c r="J1214" s="1150"/>
    </row>
    <row r="1215" spans="2:10">
      <c r="B1215" s="1156"/>
      <c r="C1215" s="1156"/>
      <c r="D1215" s="1180"/>
      <c r="E1215" s="1180"/>
      <c r="F1215" s="1180"/>
      <c r="G1215" s="1180"/>
      <c r="H1215" s="1150"/>
      <c r="I1215" s="1150"/>
      <c r="J1215" s="1150"/>
    </row>
    <row r="1216" spans="2:10">
      <c r="B1216" s="1156"/>
      <c r="C1216" s="1156"/>
      <c r="D1216" s="1180"/>
      <c r="E1216" s="1180"/>
      <c r="F1216" s="1180"/>
      <c r="G1216" s="1180"/>
      <c r="H1216" s="1150"/>
      <c r="I1216" s="1150"/>
      <c r="J1216" s="1150"/>
    </row>
    <row r="1217" spans="2:10">
      <c r="B1217" s="1156"/>
      <c r="C1217" s="1156"/>
      <c r="D1217" s="1180"/>
      <c r="E1217" s="1180"/>
      <c r="F1217" s="1180"/>
      <c r="G1217" s="1180"/>
      <c r="H1217" s="1150"/>
      <c r="I1217" s="1150"/>
      <c r="J1217" s="1150"/>
    </row>
    <row r="1218" spans="2:10">
      <c r="B1218" s="1156"/>
      <c r="C1218" s="1156"/>
      <c r="D1218" s="1180"/>
      <c r="E1218" s="1180"/>
      <c r="F1218" s="1180"/>
      <c r="G1218" s="1180"/>
      <c r="H1218" s="1150"/>
      <c r="I1218" s="1150"/>
      <c r="J1218" s="1150"/>
    </row>
    <row r="1219" spans="2:10">
      <c r="B1219" s="1156"/>
      <c r="C1219" s="1156"/>
      <c r="D1219" s="1180"/>
      <c r="E1219" s="1180"/>
      <c r="F1219" s="1180"/>
      <c r="G1219" s="1180"/>
      <c r="H1219" s="1150"/>
      <c r="I1219" s="1150"/>
      <c r="J1219" s="1150"/>
    </row>
    <row r="1220" spans="2:10">
      <c r="B1220" s="1156"/>
      <c r="C1220" s="1156"/>
      <c r="D1220" s="1180"/>
      <c r="E1220" s="1180"/>
      <c r="F1220" s="1180"/>
      <c r="G1220" s="1180"/>
      <c r="H1220" s="1150"/>
      <c r="I1220" s="1150"/>
      <c r="J1220" s="1150"/>
    </row>
    <row r="1221" spans="2:10">
      <c r="B1221" s="1156"/>
      <c r="C1221" s="1156"/>
      <c r="D1221" s="1180"/>
      <c r="E1221" s="1180"/>
      <c r="F1221" s="1180"/>
      <c r="G1221" s="1180"/>
      <c r="H1221" s="1150"/>
      <c r="I1221" s="1150"/>
      <c r="J1221" s="1150"/>
    </row>
    <row r="1222" spans="2:10">
      <c r="B1222" s="1156"/>
      <c r="C1222" s="1156"/>
      <c r="D1222" s="1180"/>
      <c r="E1222" s="1180"/>
      <c r="F1222" s="1180"/>
      <c r="G1222" s="1180"/>
      <c r="H1222" s="1150"/>
      <c r="I1222" s="1150"/>
      <c r="J1222" s="1150"/>
    </row>
    <row r="1223" spans="2:10">
      <c r="B1223" s="1156"/>
      <c r="C1223" s="1156"/>
      <c r="D1223" s="1180"/>
      <c r="E1223" s="1180"/>
      <c r="F1223" s="1180"/>
      <c r="G1223" s="1180"/>
      <c r="H1223" s="1150"/>
      <c r="I1223" s="1150"/>
      <c r="J1223" s="1150"/>
    </row>
    <row r="1224" spans="2:10">
      <c r="B1224" s="1156"/>
      <c r="C1224" s="1156"/>
      <c r="D1224" s="1180"/>
      <c r="E1224" s="1180"/>
      <c r="F1224" s="1180"/>
      <c r="G1224" s="1180"/>
      <c r="H1224" s="1150"/>
      <c r="I1224" s="1150"/>
      <c r="J1224" s="1150"/>
    </row>
    <row r="1225" spans="2:10">
      <c r="B1225" s="1156"/>
      <c r="C1225" s="1156"/>
      <c r="D1225" s="1180"/>
      <c r="E1225" s="1180"/>
      <c r="F1225" s="1180"/>
      <c r="G1225" s="1180"/>
      <c r="H1225" s="1150"/>
      <c r="I1225" s="1150"/>
      <c r="J1225" s="1150"/>
    </row>
    <row r="1226" spans="2:10">
      <c r="B1226" s="1156"/>
      <c r="C1226" s="1156"/>
      <c r="D1226" s="1180"/>
      <c r="E1226" s="1180"/>
      <c r="F1226" s="1180"/>
      <c r="G1226" s="1180"/>
      <c r="H1226" s="1150"/>
      <c r="I1226" s="1150"/>
      <c r="J1226" s="1150"/>
    </row>
    <row r="1227" spans="2:10">
      <c r="B1227" s="1156"/>
      <c r="C1227" s="1156"/>
      <c r="D1227" s="1180"/>
      <c r="E1227" s="1180"/>
      <c r="F1227" s="1180"/>
      <c r="G1227" s="1180"/>
      <c r="H1227" s="1150"/>
      <c r="I1227" s="1150"/>
      <c r="J1227" s="1150"/>
    </row>
    <row r="1228" spans="2:10">
      <c r="B1228" s="1156"/>
      <c r="C1228" s="1156"/>
      <c r="D1228" s="1180"/>
      <c r="E1228" s="1180"/>
      <c r="F1228" s="1180"/>
      <c r="G1228" s="1180"/>
      <c r="H1228" s="1150"/>
      <c r="I1228" s="1150"/>
      <c r="J1228" s="1150"/>
    </row>
    <row r="1229" spans="2:10">
      <c r="B1229" s="1156"/>
      <c r="C1229" s="1156"/>
      <c r="D1229" s="1180"/>
      <c r="E1229" s="1180"/>
      <c r="F1229" s="1180"/>
      <c r="G1229" s="1180"/>
      <c r="H1229" s="1150"/>
      <c r="I1229" s="1150"/>
      <c r="J1229" s="1150"/>
    </row>
    <row r="1230" spans="2:10">
      <c r="B1230" s="1156"/>
      <c r="C1230" s="1156"/>
      <c r="D1230" s="1180"/>
      <c r="E1230" s="1180"/>
      <c r="F1230" s="1180"/>
      <c r="G1230" s="1180"/>
      <c r="H1230" s="1150"/>
      <c r="I1230" s="1150"/>
      <c r="J1230" s="1150"/>
    </row>
    <row r="1231" spans="2:10">
      <c r="B1231" s="1156"/>
      <c r="C1231" s="1156"/>
      <c r="D1231" s="1180"/>
      <c r="E1231" s="1180"/>
      <c r="F1231" s="1180"/>
      <c r="G1231" s="1180"/>
      <c r="H1231" s="1150"/>
      <c r="I1231" s="1150"/>
      <c r="J1231" s="1150"/>
    </row>
    <row r="1232" spans="2:10">
      <c r="B1232" s="1156"/>
      <c r="C1232" s="1156"/>
      <c r="D1232" s="1180"/>
      <c r="E1232" s="1180"/>
      <c r="F1232" s="1180"/>
      <c r="G1232" s="1180"/>
      <c r="H1232" s="1150"/>
      <c r="I1232" s="1150"/>
      <c r="J1232" s="1150"/>
    </row>
    <row r="1233" spans="2:10">
      <c r="B1233" s="1156"/>
      <c r="C1233" s="1156"/>
      <c r="D1233" s="1180"/>
      <c r="E1233" s="1180"/>
      <c r="F1233" s="1180"/>
      <c r="G1233" s="1180"/>
      <c r="H1233" s="1150"/>
      <c r="I1233" s="1150"/>
      <c r="J1233" s="1150"/>
    </row>
    <row r="1234" spans="2:10">
      <c r="B1234" s="1156"/>
      <c r="C1234" s="1156"/>
      <c r="D1234" s="1180"/>
      <c r="E1234" s="1180"/>
      <c r="F1234" s="1180"/>
      <c r="G1234" s="1180"/>
      <c r="H1234" s="1150"/>
      <c r="I1234" s="1150"/>
      <c r="J1234" s="1150"/>
    </row>
    <row r="1235" spans="2:10">
      <c r="B1235" s="1156"/>
      <c r="C1235" s="1156"/>
      <c r="D1235" s="1180"/>
      <c r="E1235" s="1180"/>
      <c r="F1235" s="1180"/>
      <c r="G1235" s="1180"/>
      <c r="H1235" s="1150"/>
      <c r="I1235" s="1150"/>
      <c r="J1235" s="1150"/>
    </row>
    <row r="1236" spans="2:10">
      <c r="B1236" s="1156"/>
      <c r="C1236" s="1156"/>
      <c r="D1236" s="1180"/>
      <c r="E1236" s="1180"/>
      <c r="F1236" s="1180"/>
      <c r="G1236" s="1180"/>
      <c r="H1236" s="1150"/>
      <c r="I1236" s="1150"/>
      <c r="J1236" s="1150"/>
    </row>
    <row r="1237" spans="2:10">
      <c r="B1237" s="1156"/>
      <c r="C1237" s="1156"/>
      <c r="D1237" s="1180"/>
      <c r="E1237" s="1180"/>
      <c r="F1237" s="1180"/>
      <c r="G1237" s="1180"/>
      <c r="H1237" s="1150"/>
      <c r="I1237" s="1150"/>
      <c r="J1237" s="1150"/>
    </row>
    <row r="1238" spans="2:10">
      <c r="B1238" s="1156"/>
      <c r="C1238" s="1156"/>
      <c r="D1238" s="1180"/>
      <c r="E1238" s="1180"/>
      <c r="F1238" s="1180"/>
      <c r="G1238" s="1180"/>
      <c r="H1238" s="1150"/>
      <c r="I1238" s="1150"/>
      <c r="J1238" s="1150"/>
    </row>
    <row r="1239" spans="2:10">
      <c r="B1239" s="1156"/>
      <c r="C1239" s="1156"/>
      <c r="D1239" s="1180"/>
      <c r="E1239" s="1180"/>
      <c r="F1239" s="1180"/>
      <c r="G1239" s="1180"/>
      <c r="H1239" s="1150"/>
      <c r="I1239" s="1150"/>
      <c r="J1239" s="1150"/>
    </row>
    <row r="1240" spans="2:10">
      <c r="B1240" s="1156"/>
      <c r="C1240" s="1156"/>
      <c r="D1240" s="1180"/>
      <c r="E1240" s="1180"/>
      <c r="F1240" s="1180"/>
      <c r="G1240" s="1180"/>
      <c r="H1240" s="1150"/>
      <c r="I1240" s="1150"/>
      <c r="J1240" s="1150"/>
    </row>
    <row r="1241" spans="2:10">
      <c r="B1241" s="1156"/>
      <c r="C1241" s="1156"/>
      <c r="D1241" s="1180"/>
      <c r="E1241" s="1180"/>
      <c r="F1241" s="1180"/>
      <c r="G1241" s="1180"/>
      <c r="H1241" s="1150"/>
      <c r="I1241" s="1150"/>
      <c r="J1241" s="1150"/>
    </row>
    <row r="1242" spans="2:10">
      <c r="B1242" s="1156"/>
      <c r="C1242" s="1156"/>
      <c r="D1242" s="1180"/>
      <c r="E1242" s="1180"/>
      <c r="F1242" s="1180"/>
      <c r="G1242" s="1180"/>
      <c r="H1242" s="1150"/>
      <c r="I1242" s="1150"/>
      <c r="J1242" s="1150"/>
    </row>
    <row r="1243" spans="2:10">
      <c r="B1243" s="1156"/>
      <c r="C1243" s="1156"/>
      <c r="D1243" s="1180"/>
      <c r="E1243" s="1180"/>
      <c r="F1243" s="1180"/>
      <c r="G1243" s="1180"/>
      <c r="H1243" s="1150"/>
      <c r="I1243" s="1150"/>
      <c r="J1243" s="1150"/>
    </row>
    <row r="1244" spans="2:10">
      <c r="B1244" s="1156"/>
      <c r="C1244" s="1156"/>
      <c r="D1244" s="1180"/>
      <c r="E1244" s="1180"/>
      <c r="F1244" s="1180"/>
      <c r="G1244" s="1180"/>
      <c r="H1244" s="1150"/>
      <c r="I1244" s="1150"/>
      <c r="J1244" s="1150"/>
    </row>
    <row r="1245" spans="2:10">
      <c r="B1245" s="1156"/>
      <c r="C1245" s="1156"/>
      <c r="D1245" s="1180"/>
      <c r="E1245" s="1180"/>
      <c r="F1245" s="1180"/>
      <c r="G1245" s="1180"/>
      <c r="H1245" s="1150"/>
      <c r="I1245" s="1150"/>
      <c r="J1245" s="1150"/>
    </row>
    <row r="1246" spans="2:10">
      <c r="B1246" s="1156"/>
      <c r="C1246" s="1156"/>
      <c r="D1246" s="1180"/>
      <c r="E1246" s="1180"/>
      <c r="F1246" s="1180"/>
      <c r="G1246" s="1180"/>
      <c r="H1246" s="1150"/>
      <c r="I1246" s="1150"/>
      <c r="J1246" s="1150"/>
    </row>
    <row r="1247" spans="2:10">
      <c r="B1247" s="1156"/>
      <c r="C1247" s="1156"/>
      <c r="D1247" s="1180"/>
      <c r="E1247" s="1180"/>
      <c r="F1247" s="1180"/>
      <c r="G1247" s="1180"/>
      <c r="H1247" s="1150"/>
      <c r="I1247" s="1150"/>
      <c r="J1247" s="1150"/>
    </row>
    <row r="1248" spans="2:10">
      <c r="B1248" s="1156"/>
      <c r="C1248" s="1156"/>
      <c r="D1248" s="1180"/>
      <c r="E1248" s="1180"/>
      <c r="F1248" s="1180"/>
      <c r="G1248" s="1180"/>
      <c r="H1248" s="1150"/>
      <c r="I1248" s="1150"/>
      <c r="J1248" s="1150"/>
    </row>
    <row r="1249" spans="2:10">
      <c r="B1249" s="1156"/>
      <c r="C1249" s="1156"/>
      <c r="D1249" s="1180"/>
      <c r="E1249" s="1180"/>
      <c r="F1249" s="1180"/>
      <c r="G1249" s="1180"/>
      <c r="H1249" s="1150"/>
      <c r="I1249" s="1150"/>
      <c r="J1249" s="1150"/>
    </row>
    <row r="1250" spans="2:10">
      <c r="B1250" s="1156"/>
      <c r="C1250" s="1156"/>
      <c r="D1250" s="1180"/>
      <c r="E1250" s="1180"/>
      <c r="F1250" s="1180"/>
      <c r="G1250" s="1180"/>
      <c r="H1250" s="1150"/>
      <c r="I1250" s="1150"/>
      <c r="J1250" s="1150"/>
    </row>
    <row r="1251" spans="2:10">
      <c r="B1251" s="1156"/>
      <c r="C1251" s="1156"/>
      <c r="D1251" s="1180"/>
      <c r="E1251" s="1180"/>
      <c r="F1251" s="1180"/>
      <c r="G1251" s="1180"/>
      <c r="H1251" s="1150"/>
      <c r="I1251" s="1150"/>
      <c r="J1251" s="1150"/>
    </row>
    <row r="1252" spans="2:10">
      <c r="B1252" s="1156"/>
      <c r="C1252" s="1156"/>
      <c r="D1252" s="1180"/>
      <c r="E1252" s="1180"/>
      <c r="F1252" s="1180"/>
      <c r="G1252" s="1180"/>
      <c r="H1252" s="1150"/>
      <c r="I1252" s="1150"/>
      <c r="J1252" s="1150"/>
    </row>
    <row r="1253" spans="2:10">
      <c r="B1253" s="1156"/>
      <c r="C1253" s="1156"/>
      <c r="D1253" s="1180"/>
      <c r="E1253" s="1180"/>
      <c r="F1253" s="1180"/>
      <c r="G1253" s="1180"/>
      <c r="H1253" s="1150"/>
      <c r="I1253" s="1150"/>
      <c r="J1253" s="1150"/>
    </row>
    <row r="1254" spans="2:10">
      <c r="B1254" s="1156"/>
      <c r="C1254" s="1156"/>
      <c r="D1254" s="1180"/>
      <c r="E1254" s="1180"/>
      <c r="F1254" s="1180"/>
      <c r="G1254" s="1180"/>
      <c r="H1254" s="1150"/>
      <c r="I1254" s="1150"/>
      <c r="J1254" s="1150"/>
    </row>
    <row r="1255" spans="2:10">
      <c r="B1255" s="1156"/>
      <c r="C1255" s="1156"/>
      <c r="D1255" s="1180"/>
      <c r="E1255" s="1180"/>
      <c r="F1255" s="1180"/>
      <c r="G1255" s="1180"/>
      <c r="H1255" s="1150"/>
      <c r="I1255" s="1150"/>
      <c r="J1255" s="1150"/>
    </row>
    <row r="1256" spans="2:10">
      <c r="B1256" s="1156"/>
      <c r="C1256" s="1156"/>
      <c r="D1256" s="1180"/>
      <c r="E1256" s="1180"/>
      <c r="F1256" s="1180"/>
      <c r="G1256" s="1180"/>
      <c r="H1256" s="1150"/>
      <c r="I1256" s="1150"/>
      <c r="J1256" s="1150"/>
    </row>
    <row r="1257" spans="2:10">
      <c r="B1257" s="1156"/>
      <c r="C1257" s="1156"/>
      <c r="D1257" s="1180"/>
      <c r="E1257" s="1180"/>
      <c r="F1257" s="1180"/>
      <c r="G1257" s="1180"/>
      <c r="H1257" s="1150"/>
      <c r="I1257" s="1150"/>
      <c r="J1257" s="1150"/>
    </row>
    <row r="1258" spans="2:10">
      <c r="B1258" s="1156"/>
      <c r="C1258" s="1156"/>
      <c r="D1258" s="1180"/>
      <c r="E1258" s="1180"/>
      <c r="F1258" s="1180"/>
      <c r="G1258" s="1180"/>
      <c r="H1258" s="1150"/>
      <c r="I1258" s="1150"/>
      <c r="J1258" s="1150"/>
    </row>
    <row r="1259" spans="2:10">
      <c r="B1259" s="1156"/>
      <c r="C1259" s="1156"/>
      <c r="D1259" s="1180"/>
      <c r="E1259" s="1180"/>
      <c r="F1259" s="1180"/>
      <c r="G1259" s="1180"/>
      <c r="H1259" s="1150"/>
      <c r="I1259" s="1150"/>
      <c r="J1259" s="1150"/>
    </row>
    <row r="1260" spans="2:10">
      <c r="B1260" s="1156"/>
      <c r="C1260" s="1156"/>
      <c r="D1260" s="1180"/>
      <c r="E1260" s="1180"/>
      <c r="F1260" s="1180"/>
      <c r="G1260" s="1180"/>
      <c r="H1260" s="1150"/>
      <c r="I1260" s="1150"/>
      <c r="J1260" s="1150"/>
    </row>
    <row r="1261" spans="2:10">
      <c r="B1261" s="1156"/>
      <c r="C1261" s="1156"/>
      <c r="D1261" s="1180"/>
      <c r="E1261" s="1180"/>
      <c r="F1261" s="1180"/>
      <c r="G1261" s="1180"/>
      <c r="H1261" s="1150"/>
      <c r="I1261" s="1150"/>
      <c r="J1261" s="1150"/>
    </row>
    <row r="1262" spans="2:10">
      <c r="B1262" s="1156"/>
      <c r="C1262" s="1156"/>
      <c r="D1262" s="1180"/>
      <c r="E1262" s="1180"/>
      <c r="F1262" s="1180"/>
      <c r="G1262" s="1180"/>
      <c r="H1262" s="1150"/>
      <c r="I1262" s="1150"/>
      <c r="J1262" s="1150"/>
    </row>
    <row r="1263" spans="2:10">
      <c r="B1263" s="1156"/>
      <c r="C1263" s="1156"/>
      <c r="D1263" s="1180"/>
      <c r="E1263" s="1180"/>
      <c r="F1263" s="1180"/>
      <c r="G1263" s="1180"/>
      <c r="H1263" s="1150"/>
      <c r="I1263" s="1150"/>
      <c r="J1263" s="1150"/>
    </row>
    <row r="1264" spans="2:10">
      <c r="B1264" s="1156"/>
      <c r="C1264" s="1156"/>
      <c r="D1264" s="1180"/>
      <c r="E1264" s="1180"/>
      <c r="F1264" s="1180"/>
      <c r="G1264" s="1180"/>
      <c r="H1264" s="1150"/>
      <c r="I1264" s="1150"/>
      <c r="J1264" s="1150"/>
    </row>
    <row r="1265" spans="2:10">
      <c r="B1265" s="1156"/>
      <c r="C1265" s="1156"/>
      <c r="D1265" s="1180"/>
      <c r="E1265" s="1180"/>
      <c r="F1265" s="1180"/>
      <c r="G1265" s="1180"/>
      <c r="H1265" s="1150"/>
      <c r="I1265" s="1150"/>
      <c r="J1265" s="1150"/>
    </row>
    <row r="1266" spans="2:10">
      <c r="B1266" s="1156"/>
      <c r="C1266" s="1156"/>
      <c r="D1266" s="1180"/>
      <c r="E1266" s="1180"/>
      <c r="F1266" s="1180"/>
      <c r="G1266" s="1180"/>
      <c r="H1266" s="1150"/>
      <c r="I1266" s="1150"/>
      <c r="J1266" s="1150"/>
    </row>
    <row r="1267" spans="2:10">
      <c r="B1267" s="1156"/>
      <c r="C1267" s="1156"/>
      <c r="D1267" s="1180"/>
      <c r="E1267" s="1180"/>
      <c r="F1267" s="1180"/>
      <c r="G1267" s="1180"/>
      <c r="H1267" s="1150"/>
      <c r="I1267" s="1150"/>
      <c r="J1267" s="1150"/>
    </row>
    <row r="1268" spans="2:10">
      <c r="B1268" s="1156"/>
      <c r="C1268" s="1156"/>
      <c r="D1268" s="1180"/>
      <c r="E1268" s="1180"/>
      <c r="F1268" s="1180"/>
      <c r="G1268" s="1180"/>
      <c r="H1268" s="1150"/>
      <c r="I1268" s="1150"/>
      <c r="J1268" s="1150"/>
    </row>
    <row r="1269" spans="2:10">
      <c r="B1269" s="1156"/>
      <c r="C1269" s="1156"/>
      <c r="D1269" s="1180"/>
      <c r="E1269" s="1180"/>
      <c r="F1269" s="1180"/>
      <c r="G1269" s="1180"/>
      <c r="H1269" s="1150"/>
      <c r="I1269" s="1150"/>
      <c r="J1269" s="1150"/>
    </row>
    <row r="1270" spans="2:10">
      <c r="B1270" s="1156"/>
      <c r="C1270" s="1156"/>
      <c r="D1270" s="1180"/>
      <c r="E1270" s="1180"/>
      <c r="F1270" s="1180"/>
      <c r="G1270" s="1180"/>
      <c r="H1270" s="1150"/>
      <c r="I1270" s="1150"/>
      <c r="J1270" s="1150"/>
    </row>
    <row r="1271" spans="2:10">
      <c r="B1271" s="1156"/>
      <c r="C1271" s="1156"/>
      <c r="D1271" s="1180"/>
      <c r="E1271" s="1180"/>
      <c r="F1271" s="1180"/>
      <c r="G1271" s="1180"/>
      <c r="H1271" s="1150"/>
      <c r="I1271" s="1150"/>
      <c r="J1271" s="1150"/>
    </row>
    <row r="1272" spans="2:10">
      <c r="B1272" s="1156"/>
      <c r="C1272" s="1156"/>
      <c r="D1272" s="1180"/>
      <c r="E1272" s="1180"/>
      <c r="F1272" s="1180"/>
      <c r="G1272" s="1180"/>
      <c r="H1272" s="1150"/>
      <c r="I1272" s="1150"/>
      <c r="J1272" s="1150"/>
    </row>
    <row r="1273" spans="2:10">
      <c r="B1273" s="1156"/>
      <c r="C1273" s="1156"/>
      <c r="D1273" s="1180"/>
      <c r="E1273" s="1180"/>
      <c r="F1273" s="1180"/>
      <c r="G1273" s="1180"/>
      <c r="H1273" s="1150"/>
      <c r="I1273" s="1150"/>
      <c r="J1273" s="1150"/>
    </row>
    <row r="1274" spans="2:10">
      <c r="B1274" s="1156"/>
      <c r="C1274" s="1156"/>
      <c r="D1274" s="1180"/>
      <c r="E1274" s="1180"/>
      <c r="F1274" s="1180"/>
      <c r="G1274" s="1180"/>
      <c r="H1274" s="1150"/>
      <c r="I1274" s="1150"/>
      <c r="J1274" s="1150"/>
    </row>
    <row r="1275" spans="2:10">
      <c r="B1275" s="1156"/>
      <c r="C1275" s="1156"/>
      <c r="D1275" s="1180"/>
      <c r="E1275" s="1180"/>
      <c r="F1275" s="1180"/>
      <c r="G1275" s="1180"/>
      <c r="H1275" s="1150"/>
      <c r="I1275" s="1150"/>
      <c r="J1275" s="1150"/>
    </row>
    <row r="1276" spans="2:10">
      <c r="B1276" s="1156"/>
      <c r="C1276" s="1156"/>
      <c r="D1276" s="1180"/>
      <c r="E1276" s="1180"/>
      <c r="F1276" s="1180"/>
      <c r="G1276" s="1180"/>
      <c r="H1276" s="1150"/>
      <c r="I1276" s="1150"/>
      <c r="J1276" s="1150"/>
    </row>
    <row r="1277" spans="2:10">
      <c r="B1277" s="1156"/>
      <c r="C1277" s="1156"/>
      <c r="D1277" s="1180"/>
      <c r="E1277" s="1180"/>
      <c r="F1277" s="1180"/>
      <c r="G1277" s="1180"/>
      <c r="H1277" s="1150"/>
      <c r="I1277" s="1150"/>
      <c r="J1277" s="1150"/>
    </row>
    <row r="1278" spans="2:10">
      <c r="B1278" s="1156"/>
      <c r="C1278" s="1156"/>
      <c r="D1278" s="1180"/>
      <c r="E1278" s="1180"/>
      <c r="F1278" s="1180"/>
      <c r="G1278" s="1180"/>
      <c r="H1278" s="1150"/>
      <c r="I1278" s="1150"/>
      <c r="J1278" s="1150"/>
    </row>
    <row r="1279" spans="2:10">
      <c r="B1279" s="1156"/>
      <c r="C1279" s="1156"/>
      <c r="D1279" s="1180"/>
      <c r="E1279" s="1180"/>
      <c r="F1279" s="1180"/>
      <c r="G1279" s="1180"/>
      <c r="H1279" s="1150"/>
      <c r="I1279" s="1150"/>
      <c r="J1279" s="1150"/>
    </row>
    <row r="1280" spans="2:10">
      <c r="B1280" s="1156"/>
      <c r="C1280" s="1156"/>
      <c r="D1280" s="1180"/>
      <c r="E1280" s="1180"/>
      <c r="F1280" s="1180"/>
      <c r="G1280" s="1180"/>
      <c r="H1280" s="1150"/>
      <c r="I1280" s="1150"/>
      <c r="J1280" s="1150"/>
    </row>
    <row r="1281" spans="2:10">
      <c r="B1281" s="1156"/>
      <c r="C1281" s="1156"/>
      <c r="D1281" s="1180"/>
      <c r="E1281" s="1180"/>
      <c r="F1281" s="1180"/>
      <c r="G1281" s="1180"/>
      <c r="H1281" s="1150"/>
      <c r="I1281" s="1150"/>
      <c r="J1281" s="1150"/>
    </row>
    <row r="1282" spans="2:10">
      <c r="B1282" s="1156"/>
      <c r="C1282" s="1156"/>
      <c r="D1282" s="1180"/>
      <c r="E1282" s="1180"/>
      <c r="F1282" s="1180"/>
      <c r="G1282" s="1180"/>
      <c r="H1282" s="1150"/>
      <c r="I1282" s="1150"/>
      <c r="J1282" s="1150"/>
    </row>
    <row r="1283" spans="2:10">
      <c r="B1283" s="1156"/>
      <c r="C1283" s="1156"/>
      <c r="D1283" s="1180"/>
      <c r="E1283" s="1180"/>
      <c r="F1283" s="1180"/>
      <c r="G1283" s="1180"/>
      <c r="H1283" s="1150"/>
      <c r="I1283" s="1150"/>
      <c r="J1283" s="1150"/>
    </row>
    <row r="1284" spans="2:10">
      <c r="B1284" s="1156"/>
      <c r="C1284" s="1156"/>
      <c r="D1284" s="1180"/>
      <c r="E1284" s="1180"/>
      <c r="F1284" s="1180"/>
      <c r="G1284" s="1180"/>
      <c r="H1284" s="1150"/>
      <c r="I1284" s="1150"/>
      <c r="J1284" s="1150"/>
    </row>
    <row r="1285" spans="2:10">
      <c r="B1285" s="1156"/>
      <c r="C1285" s="1156"/>
      <c r="D1285" s="1180"/>
      <c r="E1285" s="1180"/>
      <c r="F1285" s="1180"/>
      <c r="G1285" s="1180"/>
      <c r="H1285" s="1150"/>
      <c r="I1285" s="1150"/>
      <c r="J1285" s="1150"/>
    </row>
    <row r="1286" spans="2:10">
      <c r="B1286" s="1156"/>
      <c r="C1286" s="1156"/>
      <c r="D1286" s="1180"/>
      <c r="E1286" s="1180"/>
      <c r="F1286" s="1180"/>
      <c r="G1286" s="1180"/>
      <c r="H1286" s="1150"/>
      <c r="I1286" s="1150"/>
      <c r="J1286" s="1150"/>
    </row>
    <row r="1287" spans="2:10">
      <c r="B1287" s="1156"/>
      <c r="C1287" s="1156"/>
      <c r="D1287" s="1180"/>
      <c r="E1287" s="1180"/>
      <c r="F1287" s="1180"/>
      <c r="G1287" s="1180"/>
      <c r="H1287" s="1150"/>
      <c r="I1287" s="1150"/>
      <c r="J1287" s="1150"/>
    </row>
    <row r="1288" spans="2:10">
      <c r="B1288" s="1156"/>
      <c r="C1288" s="1156"/>
      <c r="D1288" s="1180"/>
      <c r="E1288" s="1180"/>
      <c r="F1288" s="1180"/>
      <c r="G1288" s="1180"/>
      <c r="H1288" s="1150"/>
      <c r="I1288" s="1150"/>
      <c r="J1288" s="1150"/>
    </row>
    <row r="1289" spans="2:10">
      <c r="B1289" s="1156"/>
      <c r="C1289" s="1156"/>
      <c r="D1289" s="1180"/>
      <c r="E1289" s="1180"/>
      <c r="F1289" s="1180"/>
      <c r="G1289" s="1180"/>
      <c r="H1289" s="1150"/>
      <c r="I1289" s="1150"/>
      <c r="J1289" s="1150"/>
    </row>
    <row r="1290" spans="2:10">
      <c r="B1290" s="1156"/>
      <c r="C1290" s="1156"/>
      <c r="D1290" s="1180"/>
      <c r="E1290" s="1180"/>
      <c r="F1290" s="1180"/>
      <c r="G1290" s="1180"/>
      <c r="H1290" s="1150"/>
      <c r="I1290" s="1150"/>
      <c r="J1290" s="1150"/>
    </row>
    <row r="1291" spans="2:10">
      <c r="B1291" s="1156"/>
      <c r="C1291" s="1156"/>
      <c r="D1291" s="1180"/>
      <c r="E1291" s="1180"/>
      <c r="F1291" s="1180"/>
      <c r="G1291" s="1180"/>
      <c r="H1291" s="1150"/>
      <c r="I1291" s="1150"/>
      <c r="J1291" s="1150"/>
    </row>
    <row r="1292" spans="2:10">
      <c r="B1292" s="1156"/>
      <c r="C1292" s="1156"/>
      <c r="D1292" s="1180"/>
      <c r="E1292" s="1180"/>
      <c r="F1292" s="1180"/>
      <c r="G1292" s="1180"/>
      <c r="H1292" s="1150"/>
      <c r="I1292" s="1150"/>
      <c r="J1292" s="1150"/>
    </row>
    <row r="1293" spans="2:10">
      <c r="B1293" s="1156"/>
      <c r="C1293" s="1156"/>
      <c r="D1293" s="1180"/>
      <c r="E1293" s="1180"/>
      <c r="F1293" s="1180"/>
      <c r="G1293" s="1180"/>
      <c r="H1293" s="1150"/>
      <c r="I1293" s="1150"/>
      <c r="J1293" s="1150"/>
    </row>
    <row r="1294" spans="2:10">
      <c r="B1294" s="1156"/>
      <c r="C1294" s="1156"/>
      <c r="D1294" s="1180"/>
      <c r="E1294" s="1180"/>
      <c r="F1294" s="1180"/>
      <c r="G1294" s="1180"/>
      <c r="H1294" s="1150"/>
      <c r="I1294" s="1150"/>
      <c r="J1294" s="1150"/>
    </row>
    <row r="1295" spans="2:10">
      <c r="B1295" s="1156"/>
      <c r="C1295" s="1156"/>
      <c r="D1295" s="1180"/>
      <c r="E1295" s="1180"/>
      <c r="F1295" s="1180"/>
      <c r="G1295" s="1180"/>
      <c r="H1295" s="1150"/>
      <c r="I1295" s="1150"/>
      <c r="J1295" s="1150"/>
    </row>
    <row r="1296" spans="2:10">
      <c r="B1296" s="1156"/>
      <c r="C1296" s="1156"/>
      <c r="D1296" s="1180"/>
      <c r="E1296" s="1180"/>
      <c r="F1296" s="1180"/>
      <c r="G1296" s="1180"/>
      <c r="H1296" s="1150"/>
      <c r="I1296" s="1150"/>
      <c r="J1296" s="1150"/>
    </row>
    <row r="1297" spans="2:10">
      <c r="B1297" s="1156"/>
      <c r="C1297" s="1156"/>
      <c r="D1297" s="1180"/>
      <c r="E1297" s="1180"/>
      <c r="F1297" s="1180"/>
      <c r="G1297" s="1180"/>
      <c r="H1297" s="1150"/>
      <c r="I1297" s="1150"/>
      <c r="J1297" s="1150"/>
    </row>
    <row r="1298" spans="2:10">
      <c r="B1298" s="1156"/>
      <c r="C1298" s="1156"/>
      <c r="D1298" s="1180"/>
      <c r="E1298" s="1180"/>
      <c r="F1298" s="1180"/>
      <c r="G1298" s="1180"/>
      <c r="H1298" s="1150"/>
      <c r="I1298" s="1150"/>
      <c r="J1298" s="1150"/>
    </row>
    <row r="1299" spans="2:10">
      <c r="B1299" s="1156"/>
      <c r="C1299" s="1156"/>
      <c r="D1299" s="1180"/>
      <c r="E1299" s="1180"/>
      <c r="F1299" s="1180"/>
      <c r="G1299" s="1180"/>
      <c r="H1299" s="1150"/>
      <c r="I1299" s="1150"/>
      <c r="J1299" s="1150"/>
    </row>
    <row r="1300" spans="2:10">
      <c r="B1300" s="1156"/>
      <c r="C1300" s="1156"/>
      <c r="D1300" s="1180"/>
      <c r="E1300" s="1180"/>
      <c r="F1300" s="1180"/>
      <c r="G1300" s="1180"/>
      <c r="H1300" s="1150"/>
      <c r="I1300" s="1150"/>
      <c r="J1300" s="1150"/>
    </row>
    <row r="1301" spans="2:10">
      <c r="B1301" s="1156"/>
      <c r="C1301" s="1156"/>
      <c r="D1301" s="1180"/>
      <c r="E1301" s="1180"/>
      <c r="F1301" s="1180"/>
      <c r="G1301" s="1180"/>
      <c r="H1301" s="1150"/>
      <c r="I1301" s="1150"/>
      <c r="J1301" s="1150"/>
    </row>
    <row r="1302" spans="2:10">
      <c r="B1302" s="1156"/>
      <c r="C1302" s="1156"/>
      <c r="D1302" s="1180"/>
      <c r="E1302" s="1180"/>
      <c r="F1302" s="1180"/>
      <c r="G1302" s="1180"/>
      <c r="H1302" s="1150"/>
      <c r="I1302" s="1150"/>
      <c r="J1302" s="1150"/>
    </row>
    <row r="1303" spans="2:10">
      <c r="B1303" s="1156"/>
      <c r="C1303" s="1156"/>
      <c r="D1303" s="1180"/>
      <c r="E1303" s="1180"/>
      <c r="F1303" s="1180"/>
      <c r="G1303" s="1180"/>
      <c r="H1303" s="1150"/>
      <c r="I1303" s="1150"/>
      <c r="J1303" s="1150"/>
    </row>
    <row r="1304" spans="2:10">
      <c r="B1304" s="1156"/>
      <c r="C1304" s="1156"/>
      <c r="D1304" s="1180"/>
      <c r="E1304" s="1180"/>
      <c r="F1304" s="1180"/>
      <c r="G1304" s="1180"/>
      <c r="H1304" s="1150"/>
      <c r="I1304" s="1150"/>
      <c r="J1304" s="1150"/>
    </row>
    <row r="1305" spans="2:10">
      <c r="B1305" s="1156"/>
      <c r="C1305" s="1156"/>
      <c r="D1305" s="1180"/>
      <c r="E1305" s="1180"/>
      <c r="F1305" s="1180"/>
      <c r="G1305" s="1180"/>
      <c r="H1305" s="1150"/>
      <c r="I1305" s="1150"/>
      <c r="J1305" s="1150"/>
    </row>
    <row r="1306" spans="2:10">
      <c r="B1306" s="1156"/>
      <c r="C1306" s="1156"/>
      <c r="D1306" s="1180"/>
      <c r="E1306" s="1180"/>
      <c r="F1306" s="1180"/>
      <c r="G1306" s="1180"/>
      <c r="H1306" s="1150"/>
      <c r="I1306" s="1150"/>
      <c r="J1306" s="1150"/>
    </row>
    <row r="1307" spans="2:10">
      <c r="B1307" s="1156"/>
      <c r="C1307" s="1156"/>
      <c r="D1307" s="1180"/>
      <c r="E1307" s="1180"/>
      <c r="F1307" s="1180"/>
      <c r="G1307" s="1180"/>
      <c r="H1307" s="1150"/>
      <c r="I1307" s="1150"/>
      <c r="J1307" s="1150"/>
    </row>
    <row r="1308" spans="2:10">
      <c r="B1308" s="1156"/>
      <c r="C1308" s="1156"/>
      <c r="D1308" s="1180"/>
      <c r="E1308" s="1180"/>
      <c r="F1308" s="1180"/>
      <c r="G1308" s="1180"/>
      <c r="H1308" s="1150"/>
      <c r="I1308" s="1150"/>
      <c r="J1308" s="1150"/>
    </row>
    <row r="1309" spans="2:10">
      <c r="B1309" s="1156"/>
      <c r="C1309" s="1156"/>
      <c r="D1309" s="1180"/>
      <c r="E1309" s="1180"/>
      <c r="F1309" s="1180"/>
      <c r="G1309" s="1180"/>
      <c r="H1309" s="1150"/>
      <c r="I1309" s="1150"/>
      <c r="J1309" s="1150"/>
    </row>
    <row r="1310" spans="2:10">
      <c r="B1310" s="1156"/>
      <c r="C1310" s="1156"/>
      <c r="D1310" s="1180"/>
      <c r="E1310" s="1180"/>
      <c r="F1310" s="1180"/>
      <c r="G1310" s="1180"/>
      <c r="H1310" s="1150"/>
      <c r="I1310" s="1150"/>
      <c r="J1310" s="1150"/>
    </row>
    <row r="1311" spans="2:10">
      <c r="B1311" s="1156"/>
      <c r="C1311" s="1156"/>
      <c r="D1311" s="1180"/>
      <c r="E1311" s="1180"/>
      <c r="F1311" s="1180"/>
      <c r="G1311" s="1180"/>
      <c r="H1311" s="1150"/>
      <c r="I1311" s="1150"/>
      <c r="J1311" s="1150"/>
    </row>
    <row r="1312" spans="2:10">
      <c r="B1312" s="1156"/>
      <c r="C1312" s="1156"/>
      <c r="D1312" s="1180"/>
      <c r="E1312" s="1180"/>
      <c r="F1312" s="1180"/>
      <c r="G1312" s="1180"/>
      <c r="H1312" s="1150"/>
      <c r="I1312" s="1150"/>
      <c r="J1312" s="1150"/>
    </row>
    <row r="1313" spans="2:10">
      <c r="B1313" s="1156"/>
      <c r="C1313" s="1156"/>
      <c r="D1313" s="1180"/>
      <c r="E1313" s="1180"/>
      <c r="F1313" s="1180"/>
      <c r="G1313" s="1180"/>
      <c r="H1313" s="1150"/>
      <c r="I1313" s="1150"/>
      <c r="J1313" s="1150"/>
    </row>
    <row r="1314" spans="2:10">
      <c r="B1314" s="1156"/>
      <c r="C1314" s="1156"/>
      <c r="D1314" s="1180"/>
      <c r="E1314" s="1180"/>
      <c r="F1314" s="1180"/>
      <c r="G1314" s="1180"/>
      <c r="H1314" s="1150"/>
      <c r="I1314" s="1150"/>
      <c r="J1314" s="1150"/>
    </row>
    <row r="1315" spans="2:10">
      <c r="B1315" s="1156"/>
      <c r="C1315" s="1156"/>
      <c r="D1315" s="1180"/>
      <c r="E1315" s="1180"/>
      <c r="F1315" s="1180"/>
      <c r="G1315" s="1180"/>
      <c r="H1315" s="1150"/>
      <c r="I1315" s="1150"/>
      <c r="J1315" s="1150"/>
    </row>
    <row r="1316" spans="2:10">
      <c r="B1316" s="1156"/>
      <c r="C1316" s="1156"/>
      <c r="D1316" s="1180"/>
      <c r="E1316" s="1180"/>
      <c r="F1316" s="1180"/>
      <c r="G1316" s="1180"/>
      <c r="H1316" s="1150"/>
      <c r="I1316" s="1150"/>
      <c r="J1316" s="1150"/>
    </row>
    <row r="1317" spans="2:10">
      <c r="B1317" s="1156"/>
      <c r="C1317" s="1156"/>
      <c r="D1317" s="1180"/>
      <c r="E1317" s="1180"/>
      <c r="F1317" s="1180"/>
      <c r="G1317" s="1180"/>
      <c r="H1317" s="1150"/>
      <c r="I1317" s="1150"/>
      <c r="J1317" s="1150"/>
    </row>
    <row r="1318" spans="2:10">
      <c r="B1318" s="1156"/>
      <c r="C1318" s="1156"/>
      <c r="D1318" s="1180"/>
      <c r="E1318" s="1180"/>
      <c r="F1318" s="1180"/>
      <c r="G1318" s="1180"/>
      <c r="H1318" s="1150"/>
      <c r="I1318" s="1150"/>
      <c r="J1318" s="1150"/>
    </row>
    <row r="1319" spans="2:10">
      <c r="B1319" s="1156"/>
      <c r="C1319" s="1156"/>
      <c r="D1319" s="1180"/>
      <c r="E1319" s="1180"/>
      <c r="F1319" s="1180"/>
      <c r="G1319" s="1180"/>
      <c r="H1319" s="1150"/>
      <c r="I1319" s="1150"/>
      <c r="J1319" s="1150"/>
    </row>
    <row r="1320" spans="2:10">
      <c r="B1320" s="1156"/>
      <c r="C1320" s="1156"/>
      <c r="D1320" s="1180"/>
      <c r="E1320" s="1180"/>
      <c r="F1320" s="1180"/>
      <c r="G1320" s="1180"/>
      <c r="H1320" s="1150"/>
      <c r="I1320" s="1150"/>
      <c r="J1320" s="1150"/>
    </row>
    <row r="1321" spans="2:10">
      <c r="B1321" s="1156"/>
      <c r="C1321" s="1156"/>
      <c r="D1321" s="1180"/>
      <c r="E1321" s="1180"/>
      <c r="F1321" s="1180"/>
      <c r="G1321" s="1180"/>
      <c r="H1321" s="1150"/>
      <c r="I1321" s="1150"/>
      <c r="J1321" s="1150"/>
    </row>
    <row r="1322" spans="2:10">
      <c r="B1322" s="1156"/>
      <c r="C1322" s="1156"/>
      <c r="D1322" s="1180"/>
      <c r="E1322" s="1180"/>
      <c r="F1322" s="1180"/>
      <c r="G1322" s="1180"/>
      <c r="H1322" s="1150"/>
      <c r="I1322" s="1150"/>
      <c r="J1322" s="1150"/>
    </row>
    <row r="1323" spans="2:10">
      <c r="B1323" s="1156"/>
      <c r="C1323" s="1156"/>
      <c r="D1323" s="1180"/>
      <c r="E1323" s="1180"/>
      <c r="F1323" s="1180"/>
      <c r="G1323" s="1180"/>
      <c r="H1323" s="1150"/>
      <c r="I1323" s="1150"/>
      <c r="J1323" s="1150"/>
    </row>
    <row r="1324" spans="2:10">
      <c r="B1324" s="1156"/>
      <c r="C1324" s="1156"/>
      <c r="D1324" s="1180"/>
      <c r="E1324" s="1180"/>
      <c r="F1324" s="1180"/>
      <c r="G1324" s="1180"/>
      <c r="H1324" s="1150"/>
      <c r="I1324" s="1150"/>
      <c r="J1324" s="1150"/>
    </row>
    <row r="1325" spans="2:10">
      <c r="B1325" s="1156"/>
      <c r="C1325" s="1156"/>
      <c r="D1325" s="1180"/>
      <c r="E1325" s="1180"/>
      <c r="F1325" s="1180"/>
      <c r="G1325" s="1180"/>
      <c r="H1325" s="1150"/>
      <c r="I1325" s="1150"/>
      <c r="J1325" s="1150"/>
    </row>
    <row r="1326" spans="2:10">
      <c r="B1326" s="1156"/>
      <c r="C1326" s="1156"/>
      <c r="D1326" s="1180"/>
      <c r="E1326" s="1180"/>
      <c r="F1326" s="1180"/>
      <c r="G1326" s="1180"/>
      <c r="H1326" s="1150"/>
      <c r="I1326" s="1150"/>
      <c r="J1326" s="1150"/>
    </row>
    <row r="1327" spans="2:10">
      <c r="B1327" s="1156"/>
      <c r="C1327" s="1156"/>
      <c r="D1327" s="1180"/>
      <c r="E1327" s="1180"/>
      <c r="F1327" s="1180"/>
      <c r="G1327" s="1180"/>
      <c r="H1327" s="1150"/>
      <c r="I1327" s="1150"/>
      <c r="J1327" s="1150"/>
    </row>
    <row r="1328" spans="2:10">
      <c r="B1328" s="1156"/>
      <c r="C1328" s="1156"/>
      <c r="D1328" s="1180"/>
      <c r="E1328" s="1180"/>
      <c r="F1328" s="1180"/>
      <c r="G1328" s="1180"/>
      <c r="H1328" s="1150"/>
      <c r="I1328" s="1150"/>
      <c r="J1328" s="1150"/>
    </row>
    <row r="1329" spans="2:10">
      <c r="B1329" s="1156"/>
      <c r="C1329" s="1156"/>
      <c r="D1329" s="1180"/>
      <c r="E1329" s="1180"/>
      <c r="F1329" s="1180"/>
      <c r="G1329" s="1180"/>
      <c r="H1329" s="1150"/>
      <c r="I1329" s="1150"/>
      <c r="J1329" s="1150"/>
    </row>
    <row r="1330" spans="2:10">
      <c r="B1330" s="1156"/>
      <c r="C1330" s="1156"/>
      <c r="D1330" s="1180"/>
      <c r="E1330" s="1180"/>
      <c r="F1330" s="1180"/>
      <c r="G1330" s="1180"/>
      <c r="H1330" s="1150"/>
      <c r="I1330" s="1150"/>
      <c r="J1330" s="1150"/>
    </row>
    <row r="1331" spans="2:10">
      <c r="B1331" s="1156"/>
      <c r="C1331" s="1156"/>
      <c r="D1331" s="1180"/>
      <c r="E1331" s="1180"/>
      <c r="F1331" s="1180"/>
      <c r="G1331" s="1180"/>
      <c r="H1331" s="1150"/>
      <c r="I1331" s="1150"/>
      <c r="J1331" s="1150"/>
    </row>
    <row r="1332" spans="2:10">
      <c r="B1332" s="1156"/>
      <c r="C1332" s="1156"/>
      <c r="D1332" s="1180"/>
      <c r="E1332" s="1180"/>
      <c r="F1332" s="1180"/>
      <c r="G1332" s="1180"/>
      <c r="H1332" s="1150"/>
      <c r="I1332" s="1150"/>
      <c r="J1332" s="1150"/>
    </row>
    <row r="1333" spans="2:10">
      <c r="B1333" s="1156"/>
      <c r="C1333" s="1156"/>
      <c r="D1333" s="1180"/>
      <c r="E1333" s="1180"/>
      <c r="F1333" s="1180"/>
      <c r="G1333" s="1180"/>
      <c r="H1333" s="1150"/>
      <c r="I1333" s="1150"/>
      <c r="J1333" s="1150"/>
    </row>
    <row r="1334" spans="2:10">
      <c r="B1334" s="1156"/>
      <c r="C1334" s="1156"/>
      <c r="D1334" s="1180"/>
      <c r="E1334" s="1180"/>
      <c r="F1334" s="1180"/>
      <c r="G1334" s="1180"/>
      <c r="H1334" s="1150"/>
      <c r="I1334" s="1150"/>
      <c r="J1334" s="1150"/>
    </row>
    <row r="1335" spans="2:10">
      <c r="B1335" s="1156"/>
      <c r="C1335" s="1156"/>
      <c r="D1335" s="1180"/>
      <c r="E1335" s="1180"/>
      <c r="F1335" s="1180"/>
      <c r="G1335" s="1180"/>
      <c r="H1335" s="1150"/>
      <c r="I1335" s="1150"/>
      <c r="J1335" s="1150"/>
    </row>
    <row r="1336" spans="2:10">
      <c r="B1336" s="1156"/>
      <c r="C1336" s="1156"/>
      <c r="D1336" s="1180"/>
      <c r="E1336" s="1180"/>
      <c r="F1336" s="1180"/>
      <c r="G1336" s="1180"/>
      <c r="H1336" s="1150"/>
      <c r="I1336" s="1150"/>
      <c r="J1336" s="1150"/>
    </row>
    <row r="1337" spans="2:10">
      <c r="B1337" s="1156"/>
      <c r="C1337" s="1156"/>
      <c r="D1337" s="1180"/>
      <c r="E1337" s="1180"/>
      <c r="F1337" s="1180"/>
      <c r="G1337" s="1180"/>
      <c r="H1337" s="1150"/>
      <c r="I1337" s="1150"/>
      <c r="J1337" s="1150"/>
    </row>
    <row r="1338" spans="2:10">
      <c r="B1338" s="1156"/>
      <c r="C1338" s="1156"/>
      <c r="D1338" s="1180"/>
      <c r="E1338" s="1180"/>
      <c r="F1338" s="1180"/>
      <c r="G1338" s="1180"/>
      <c r="H1338" s="1150"/>
      <c r="I1338" s="1150"/>
      <c r="J1338" s="1150"/>
    </row>
    <row r="1339" spans="2:10">
      <c r="B1339" s="1156"/>
      <c r="C1339" s="1156"/>
      <c r="D1339" s="1180"/>
      <c r="E1339" s="1180"/>
      <c r="F1339" s="1180"/>
      <c r="G1339" s="1180"/>
      <c r="H1339" s="1150"/>
      <c r="I1339" s="1150"/>
      <c r="J1339" s="1150"/>
    </row>
    <row r="1340" spans="2:10">
      <c r="B1340" s="1156"/>
      <c r="C1340" s="1156"/>
      <c r="D1340" s="1180"/>
      <c r="E1340" s="1180"/>
      <c r="F1340" s="1180"/>
      <c r="G1340" s="1180"/>
      <c r="H1340" s="1150"/>
      <c r="I1340" s="1150"/>
      <c r="J1340" s="1150"/>
    </row>
    <row r="1341" spans="2:10">
      <c r="B1341" s="1156"/>
      <c r="C1341" s="1156"/>
      <c r="D1341" s="1180"/>
      <c r="E1341" s="1180"/>
      <c r="F1341" s="1180"/>
      <c r="G1341" s="1180"/>
      <c r="H1341" s="1150"/>
      <c r="I1341" s="1150"/>
      <c r="J1341" s="1150"/>
    </row>
    <row r="1342" spans="2:10">
      <c r="B1342" s="1156"/>
      <c r="C1342" s="1156"/>
      <c r="D1342" s="1180"/>
      <c r="E1342" s="1180"/>
      <c r="F1342" s="1180"/>
      <c r="G1342" s="1180"/>
      <c r="H1342" s="1150"/>
      <c r="I1342" s="1150"/>
      <c r="J1342" s="1150"/>
    </row>
    <row r="1343" spans="2:10">
      <c r="B1343" s="1156"/>
      <c r="C1343" s="1156"/>
      <c r="D1343" s="1180"/>
      <c r="E1343" s="1180"/>
      <c r="F1343" s="1180"/>
      <c r="G1343" s="1180"/>
      <c r="H1343" s="1150"/>
      <c r="I1343" s="1150"/>
      <c r="J1343" s="1150"/>
    </row>
    <row r="1344" spans="2:10">
      <c r="B1344" s="1156"/>
      <c r="C1344" s="1156"/>
      <c r="D1344" s="1180"/>
      <c r="E1344" s="1180"/>
      <c r="F1344" s="1180"/>
      <c r="G1344" s="1180"/>
      <c r="H1344" s="1150"/>
      <c r="I1344" s="1150"/>
      <c r="J1344" s="1150"/>
    </row>
    <row r="1345" spans="2:10">
      <c r="B1345" s="1156"/>
      <c r="C1345" s="1156"/>
      <c r="D1345" s="1180"/>
      <c r="E1345" s="1180"/>
      <c r="F1345" s="1180"/>
      <c r="G1345" s="1180"/>
      <c r="H1345" s="1150"/>
      <c r="I1345" s="1150"/>
      <c r="J1345" s="1150"/>
    </row>
    <row r="1346" spans="2:10">
      <c r="B1346" s="1156"/>
      <c r="C1346" s="1156"/>
      <c r="D1346" s="1180"/>
      <c r="E1346" s="1180"/>
      <c r="F1346" s="1180"/>
      <c r="G1346" s="1180"/>
      <c r="H1346" s="1150"/>
      <c r="I1346" s="1150"/>
      <c r="J1346" s="1150"/>
    </row>
    <row r="1347" spans="2:10">
      <c r="B1347" s="1156"/>
      <c r="C1347" s="1156"/>
      <c r="D1347" s="1180"/>
      <c r="E1347" s="1180"/>
      <c r="F1347" s="1180"/>
      <c r="G1347" s="1180"/>
      <c r="H1347" s="1150"/>
      <c r="I1347" s="1150"/>
      <c r="J1347" s="1150"/>
    </row>
    <row r="1348" spans="2:10">
      <c r="B1348" s="1156"/>
      <c r="C1348" s="1156"/>
      <c r="D1348" s="1180"/>
      <c r="E1348" s="1180"/>
      <c r="F1348" s="1180"/>
      <c r="G1348" s="1180"/>
      <c r="H1348" s="1150"/>
      <c r="I1348" s="1150"/>
      <c r="J1348" s="1150"/>
    </row>
    <row r="1349" spans="2:10">
      <c r="B1349" s="1156"/>
      <c r="C1349" s="1156"/>
      <c r="D1349" s="1180"/>
      <c r="E1349" s="1180"/>
      <c r="F1349" s="1180"/>
      <c r="G1349" s="1180"/>
      <c r="H1349" s="1150"/>
      <c r="I1349" s="1150"/>
      <c r="J1349" s="1150"/>
    </row>
    <row r="1350" spans="2:10">
      <c r="B1350" s="1156"/>
      <c r="C1350" s="1156"/>
      <c r="D1350" s="1180"/>
      <c r="E1350" s="1180"/>
      <c r="F1350" s="1180"/>
      <c r="G1350" s="1180"/>
      <c r="H1350" s="1150"/>
      <c r="I1350" s="1150"/>
      <c r="J1350" s="1150"/>
    </row>
    <row r="1351" spans="2:10">
      <c r="B1351" s="1156"/>
      <c r="C1351" s="1156"/>
      <c r="D1351" s="1180"/>
      <c r="E1351" s="1180"/>
      <c r="F1351" s="1180"/>
      <c r="G1351" s="1180"/>
      <c r="H1351" s="1150"/>
      <c r="I1351" s="1150"/>
      <c r="J1351" s="1150"/>
    </row>
    <row r="1352" spans="2:10">
      <c r="B1352" s="1156"/>
      <c r="C1352" s="1156"/>
      <c r="D1352" s="1180"/>
      <c r="E1352" s="1180"/>
      <c r="F1352" s="1180"/>
      <c r="G1352" s="1180"/>
      <c r="H1352" s="1150"/>
      <c r="I1352" s="1150"/>
      <c r="J1352" s="1150"/>
    </row>
    <row r="1353" spans="2:10">
      <c r="B1353" s="1156"/>
      <c r="C1353" s="1156"/>
      <c r="D1353" s="1180"/>
      <c r="E1353" s="1180"/>
      <c r="F1353" s="1180"/>
      <c r="G1353" s="1180"/>
      <c r="H1353" s="1150"/>
      <c r="I1353" s="1150"/>
      <c r="J1353" s="1150"/>
    </row>
    <row r="1354" spans="2:10">
      <c r="B1354" s="1156"/>
      <c r="C1354" s="1156"/>
      <c r="D1354" s="1180"/>
      <c r="E1354" s="1180"/>
      <c r="F1354" s="1180"/>
      <c r="G1354" s="1180"/>
      <c r="H1354" s="1150"/>
      <c r="I1354" s="1150"/>
      <c r="J1354" s="1150"/>
    </row>
    <row r="1355" spans="2:10">
      <c r="B1355" s="1156"/>
      <c r="C1355" s="1156"/>
      <c r="D1355" s="1180"/>
      <c r="E1355" s="1180"/>
      <c r="F1355" s="1180"/>
      <c r="G1355" s="1180"/>
      <c r="H1355" s="1150"/>
      <c r="I1355" s="1150"/>
      <c r="J1355" s="1150"/>
    </row>
    <row r="1356" spans="2:10">
      <c r="B1356" s="1156"/>
      <c r="C1356" s="1156"/>
      <c r="D1356" s="1180"/>
      <c r="E1356" s="1180"/>
      <c r="F1356" s="1180"/>
      <c r="G1356" s="1180"/>
      <c r="H1356" s="1150"/>
      <c r="I1356" s="1150"/>
      <c r="J1356" s="1150"/>
    </row>
    <row r="1357" spans="2:10">
      <c r="B1357" s="1156"/>
      <c r="C1357" s="1156"/>
      <c r="D1357" s="1180"/>
      <c r="E1357" s="1180"/>
      <c r="F1357" s="1180"/>
      <c r="G1357" s="1180"/>
      <c r="H1357" s="1150"/>
      <c r="I1357" s="1150"/>
      <c r="J1357" s="1150"/>
    </row>
    <row r="1358" spans="2:10">
      <c r="B1358" s="1156"/>
      <c r="C1358" s="1156"/>
      <c r="D1358" s="1180"/>
      <c r="E1358" s="1180"/>
      <c r="F1358" s="1180"/>
      <c r="G1358" s="1180"/>
      <c r="H1358" s="1150"/>
      <c r="I1358" s="1150"/>
      <c r="J1358" s="1150"/>
    </row>
    <row r="1359" spans="2:10">
      <c r="B1359" s="1156"/>
      <c r="C1359" s="1156"/>
      <c r="D1359" s="1180"/>
      <c r="E1359" s="1180"/>
      <c r="F1359" s="1180"/>
      <c r="G1359" s="1180"/>
      <c r="H1359" s="1150"/>
      <c r="I1359" s="1150"/>
      <c r="J1359" s="1150"/>
    </row>
    <row r="1360" spans="2:10">
      <c r="B1360" s="1156"/>
      <c r="C1360" s="1156"/>
      <c r="D1360" s="1180"/>
      <c r="E1360" s="1180"/>
      <c r="F1360" s="1180"/>
      <c r="G1360" s="1180"/>
      <c r="H1360" s="1150"/>
      <c r="I1360" s="1150"/>
      <c r="J1360" s="1150"/>
    </row>
    <row r="1361" spans="2:10">
      <c r="B1361" s="1156"/>
      <c r="C1361" s="1156"/>
      <c r="D1361" s="1180"/>
      <c r="E1361" s="1180"/>
      <c r="F1361" s="1180"/>
      <c r="G1361" s="1180"/>
      <c r="H1361" s="1150"/>
      <c r="I1361" s="1150"/>
      <c r="J1361" s="1150"/>
    </row>
    <row r="1362" spans="2:10">
      <c r="B1362" s="1156"/>
      <c r="C1362" s="1156"/>
      <c r="D1362" s="1180"/>
      <c r="E1362" s="1180"/>
      <c r="F1362" s="1180"/>
      <c r="G1362" s="1180"/>
      <c r="H1362" s="1150"/>
      <c r="I1362" s="1150"/>
      <c r="J1362" s="1150"/>
    </row>
    <row r="1363" spans="2:10">
      <c r="B1363" s="1156"/>
      <c r="C1363" s="1156"/>
      <c r="D1363" s="1180"/>
      <c r="E1363" s="1180"/>
      <c r="F1363" s="1180"/>
      <c r="G1363" s="1180"/>
      <c r="H1363" s="1150"/>
      <c r="I1363" s="1150"/>
      <c r="J1363" s="1150"/>
    </row>
    <row r="1364" spans="2:10">
      <c r="B1364" s="1156"/>
      <c r="C1364" s="1156"/>
      <c r="D1364" s="1180"/>
      <c r="E1364" s="1180"/>
      <c r="F1364" s="1180"/>
      <c r="G1364" s="1180"/>
      <c r="H1364" s="1150"/>
      <c r="I1364" s="1150"/>
      <c r="J1364" s="1150"/>
    </row>
    <row r="1365" spans="2:10">
      <c r="B1365" s="1156"/>
      <c r="C1365" s="1156"/>
      <c r="D1365" s="1180"/>
      <c r="E1365" s="1180"/>
      <c r="F1365" s="1180"/>
      <c r="G1365" s="1180"/>
      <c r="H1365" s="1150"/>
      <c r="I1365" s="1150"/>
      <c r="J1365" s="1150"/>
    </row>
    <row r="1366" spans="2:10">
      <c r="B1366" s="1156"/>
      <c r="C1366" s="1156"/>
      <c r="D1366" s="1180"/>
      <c r="E1366" s="1180"/>
      <c r="F1366" s="1180"/>
      <c r="G1366" s="1180"/>
      <c r="H1366" s="1150"/>
      <c r="I1366" s="1150"/>
      <c r="J1366" s="1150"/>
    </row>
    <row r="1367" spans="2:10">
      <c r="B1367" s="1156"/>
      <c r="C1367" s="1156"/>
      <c r="D1367" s="1180"/>
      <c r="E1367" s="1180"/>
      <c r="F1367" s="1180"/>
      <c r="G1367" s="1180"/>
      <c r="H1367" s="1150"/>
      <c r="I1367" s="1150"/>
      <c r="J1367" s="1150"/>
    </row>
    <row r="1368" spans="2:10">
      <c r="B1368" s="1156"/>
      <c r="C1368" s="1156"/>
      <c r="D1368" s="1180"/>
      <c r="E1368" s="1180"/>
      <c r="F1368" s="1180"/>
      <c r="G1368" s="1180"/>
      <c r="H1368" s="1150"/>
      <c r="I1368" s="1150"/>
      <c r="J1368" s="1150"/>
    </row>
    <row r="1369" spans="2:10">
      <c r="B1369" s="1156"/>
      <c r="C1369" s="1156"/>
      <c r="D1369" s="1180"/>
      <c r="E1369" s="1180"/>
      <c r="F1369" s="1180"/>
      <c r="G1369" s="1180"/>
      <c r="H1369" s="1150"/>
      <c r="I1369" s="1150"/>
      <c r="J1369" s="1150"/>
    </row>
    <row r="1370" spans="2:10">
      <c r="B1370" s="1156"/>
      <c r="C1370" s="1156"/>
      <c r="D1370" s="1180"/>
      <c r="E1370" s="1180"/>
      <c r="F1370" s="1180"/>
      <c r="G1370" s="1180"/>
      <c r="H1370" s="1150"/>
      <c r="I1370" s="1150"/>
      <c r="J1370" s="1150"/>
    </row>
    <row r="1371" spans="2:10">
      <c r="B1371" s="1156"/>
      <c r="C1371" s="1156"/>
      <c r="D1371" s="1180"/>
      <c r="E1371" s="1180"/>
      <c r="F1371" s="1180"/>
      <c r="G1371" s="1180"/>
      <c r="H1371" s="1150"/>
      <c r="I1371" s="1150"/>
      <c r="J1371" s="1150"/>
    </row>
    <row r="1372" spans="2:10">
      <c r="B1372" s="1156"/>
      <c r="C1372" s="1156"/>
      <c r="D1372" s="1180"/>
      <c r="E1372" s="1180"/>
      <c r="F1372" s="1180"/>
      <c r="G1372" s="1180"/>
      <c r="H1372" s="1150"/>
      <c r="I1372" s="1150"/>
      <c r="J1372" s="1150"/>
    </row>
    <row r="1373" spans="2:10">
      <c r="B1373" s="1156"/>
      <c r="C1373" s="1156"/>
      <c r="D1373" s="1180"/>
      <c r="E1373" s="1180"/>
      <c r="F1373" s="1180"/>
      <c r="G1373" s="1180"/>
      <c r="H1373" s="1150"/>
      <c r="I1373" s="1150"/>
      <c r="J1373" s="1150"/>
    </row>
    <row r="1374" spans="2:10">
      <c r="B1374" s="1156"/>
      <c r="C1374" s="1156"/>
      <c r="D1374" s="1180"/>
      <c r="E1374" s="1180"/>
      <c r="F1374" s="1180"/>
      <c r="G1374" s="1180"/>
      <c r="H1374" s="1150"/>
      <c r="I1374" s="1150"/>
      <c r="J1374" s="1150"/>
    </row>
    <row r="1375" spans="2:10">
      <c r="B1375" s="1156"/>
      <c r="C1375" s="1156"/>
      <c r="D1375" s="1180"/>
      <c r="E1375" s="1180"/>
      <c r="F1375" s="1180"/>
      <c r="G1375" s="1180"/>
      <c r="H1375" s="1150"/>
      <c r="I1375" s="1150"/>
      <c r="J1375" s="1150"/>
    </row>
    <row r="1376" spans="2:10">
      <c r="B1376" s="1156"/>
      <c r="C1376" s="1156"/>
      <c r="D1376" s="1180"/>
      <c r="E1376" s="1180"/>
      <c r="F1376" s="1180"/>
      <c r="G1376" s="1180"/>
      <c r="H1376" s="1150"/>
      <c r="I1376" s="1150"/>
      <c r="J1376" s="1150"/>
    </row>
    <row r="1377" spans="2:10">
      <c r="B1377" s="1156"/>
      <c r="C1377" s="1156"/>
      <c r="D1377" s="1180"/>
      <c r="E1377" s="1180"/>
      <c r="F1377" s="1180"/>
      <c r="G1377" s="1180"/>
      <c r="H1377" s="1150"/>
      <c r="I1377" s="1150"/>
      <c r="J1377" s="1150"/>
    </row>
    <row r="1378" spans="2:10">
      <c r="B1378" s="1156"/>
      <c r="C1378" s="1156"/>
      <c r="D1378" s="1180"/>
      <c r="E1378" s="1180"/>
      <c r="F1378" s="1180"/>
      <c r="G1378" s="1180"/>
      <c r="H1378" s="1150"/>
      <c r="I1378" s="1150"/>
      <c r="J1378" s="1150"/>
    </row>
    <row r="1379" spans="2:10">
      <c r="B1379" s="1156"/>
      <c r="C1379" s="1156"/>
      <c r="D1379" s="1180"/>
      <c r="E1379" s="1180"/>
      <c r="F1379" s="1180"/>
      <c r="G1379" s="1180"/>
      <c r="H1379" s="1150"/>
      <c r="I1379" s="1150"/>
      <c r="J1379" s="1150"/>
    </row>
    <row r="1380" spans="2:10">
      <c r="B1380" s="1156"/>
      <c r="C1380" s="1156"/>
      <c r="D1380" s="1180"/>
      <c r="E1380" s="1180"/>
      <c r="F1380" s="1180"/>
      <c r="G1380" s="1180"/>
      <c r="H1380" s="1150"/>
      <c r="I1380" s="1150"/>
      <c r="J1380" s="1150"/>
    </row>
    <row r="1381" spans="2:10">
      <c r="B1381" s="1156"/>
      <c r="C1381" s="1156"/>
      <c r="D1381" s="1180"/>
      <c r="E1381" s="1180"/>
      <c r="F1381" s="1180"/>
      <c r="G1381" s="1180"/>
      <c r="H1381" s="1150"/>
      <c r="I1381" s="1150"/>
      <c r="J1381" s="1150"/>
    </row>
    <row r="1382" spans="2:10">
      <c r="B1382" s="1156"/>
      <c r="C1382" s="1156"/>
      <c r="D1382" s="1180"/>
      <c r="E1382" s="1180"/>
      <c r="F1382" s="1180"/>
      <c r="G1382" s="1180"/>
      <c r="H1382" s="1150"/>
      <c r="I1382" s="1150"/>
      <c r="J1382" s="1150"/>
    </row>
    <row r="1383" spans="2:10">
      <c r="B1383" s="1156"/>
      <c r="C1383" s="1156"/>
      <c r="D1383" s="1180"/>
      <c r="E1383" s="1180"/>
      <c r="F1383" s="1180"/>
      <c r="G1383" s="1180"/>
      <c r="H1383" s="1150"/>
      <c r="I1383" s="1150"/>
      <c r="J1383" s="1150"/>
    </row>
    <row r="1384" spans="2:10">
      <c r="B1384" s="1156"/>
      <c r="C1384" s="1156"/>
      <c r="D1384" s="1180"/>
      <c r="E1384" s="1180"/>
      <c r="F1384" s="1180"/>
      <c r="G1384" s="1180"/>
      <c r="H1384" s="1150"/>
      <c r="I1384" s="1150"/>
      <c r="J1384" s="1150"/>
    </row>
    <row r="1385" spans="2:10">
      <c r="B1385" s="1156"/>
      <c r="C1385" s="1156"/>
      <c r="D1385" s="1180"/>
      <c r="E1385" s="1180"/>
      <c r="F1385" s="1180"/>
      <c r="G1385" s="1180"/>
      <c r="H1385" s="1150"/>
      <c r="I1385" s="1150"/>
      <c r="J1385" s="1150"/>
    </row>
    <row r="1386" spans="2:10">
      <c r="B1386" s="1156"/>
      <c r="C1386" s="1156"/>
      <c r="D1386" s="1180"/>
      <c r="E1386" s="1180"/>
      <c r="F1386" s="1180"/>
      <c r="G1386" s="1180"/>
      <c r="H1386" s="1150"/>
      <c r="I1386" s="1150"/>
      <c r="J1386" s="1150"/>
    </row>
    <row r="1387" spans="2:10">
      <c r="B1387" s="1156"/>
      <c r="C1387" s="1156"/>
      <c r="D1387" s="1180"/>
      <c r="E1387" s="1180"/>
      <c r="F1387" s="1180"/>
      <c r="G1387" s="1180"/>
      <c r="H1387" s="1150"/>
      <c r="I1387" s="1150"/>
      <c r="J1387" s="1150"/>
    </row>
    <row r="1388" spans="2:10">
      <c r="B1388" s="1156"/>
      <c r="C1388" s="1156"/>
      <c r="D1388" s="1180"/>
      <c r="E1388" s="1180"/>
      <c r="F1388" s="1180"/>
      <c r="G1388" s="1180"/>
      <c r="H1388" s="1150"/>
      <c r="I1388" s="1150"/>
      <c r="J1388" s="1150"/>
    </row>
    <row r="1389" spans="2:10">
      <c r="B1389" s="1156"/>
      <c r="C1389" s="1156"/>
      <c r="D1389" s="1180"/>
      <c r="E1389" s="1180"/>
      <c r="F1389" s="1180"/>
      <c r="G1389" s="1180"/>
      <c r="H1389" s="1150"/>
      <c r="I1389" s="1150"/>
      <c r="J1389" s="1150"/>
    </row>
    <row r="1390" spans="2:10">
      <c r="B1390" s="1156"/>
      <c r="C1390" s="1156"/>
      <c r="D1390" s="1180"/>
      <c r="E1390" s="1180"/>
      <c r="F1390" s="1180"/>
      <c r="G1390" s="1180"/>
      <c r="H1390" s="1150"/>
      <c r="I1390" s="1150"/>
      <c r="J1390" s="1150"/>
    </row>
    <row r="1391" spans="2:10">
      <c r="B1391" s="1156"/>
      <c r="C1391" s="1156"/>
      <c r="D1391" s="1180"/>
      <c r="E1391" s="1180"/>
      <c r="F1391" s="1180"/>
      <c r="G1391" s="1180"/>
      <c r="H1391" s="1150"/>
      <c r="I1391" s="1150"/>
      <c r="J1391" s="1150"/>
    </row>
    <row r="1392" spans="2:10">
      <c r="B1392" s="1156"/>
      <c r="C1392" s="1156"/>
      <c r="D1392" s="1180"/>
      <c r="E1392" s="1180"/>
      <c r="F1392" s="1180"/>
      <c r="G1392" s="1180"/>
      <c r="H1392" s="1150"/>
      <c r="I1392" s="1150"/>
      <c r="J1392" s="1150"/>
    </row>
    <row r="1393" spans="2:10">
      <c r="B1393" s="1156"/>
      <c r="C1393" s="1156"/>
      <c r="D1393" s="1180"/>
      <c r="E1393" s="1180"/>
      <c r="F1393" s="1180"/>
      <c r="G1393" s="1180"/>
      <c r="H1393" s="1150"/>
      <c r="I1393" s="1150"/>
      <c r="J1393" s="1150"/>
    </row>
    <row r="1394" spans="2:10">
      <c r="B1394" s="1156"/>
      <c r="C1394" s="1156"/>
      <c r="D1394" s="1180"/>
      <c r="E1394" s="1180"/>
      <c r="F1394" s="1180"/>
      <c r="G1394" s="1180"/>
      <c r="H1394" s="1150"/>
      <c r="I1394" s="1150"/>
      <c r="J1394" s="1150"/>
    </row>
    <row r="1395" spans="2:10">
      <c r="B1395" s="1156"/>
      <c r="C1395" s="1156"/>
      <c r="D1395" s="1180"/>
      <c r="E1395" s="1180"/>
      <c r="F1395" s="1180"/>
      <c r="G1395" s="1180"/>
      <c r="H1395" s="1150"/>
      <c r="I1395" s="1150"/>
      <c r="J1395" s="1150"/>
    </row>
    <row r="1396" spans="2:10">
      <c r="B1396" s="1156"/>
      <c r="C1396" s="1156"/>
      <c r="D1396" s="1180"/>
      <c r="E1396" s="1180"/>
      <c r="F1396" s="1180"/>
      <c r="G1396" s="1180"/>
      <c r="H1396" s="1150"/>
      <c r="I1396" s="1150"/>
      <c r="J1396" s="1150"/>
    </row>
    <row r="1397" spans="2:10">
      <c r="B1397" s="1156"/>
      <c r="C1397" s="1156"/>
      <c r="D1397" s="1180"/>
      <c r="E1397" s="1180"/>
      <c r="F1397" s="1180"/>
      <c r="G1397" s="1180"/>
      <c r="H1397" s="1150"/>
      <c r="I1397" s="1150"/>
      <c r="J1397" s="1150"/>
    </row>
    <row r="1398" spans="2:10">
      <c r="B1398" s="1156"/>
      <c r="C1398" s="1156"/>
      <c r="D1398" s="1180"/>
      <c r="E1398" s="1180"/>
      <c r="F1398" s="1180"/>
      <c r="G1398" s="1180"/>
      <c r="H1398" s="1150"/>
      <c r="I1398" s="1150"/>
      <c r="J1398" s="1150"/>
    </row>
    <row r="1399" spans="2:10">
      <c r="B1399" s="1156"/>
      <c r="C1399" s="1156"/>
      <c r="D1399" s="1180"/>
      <c r="E1399" s="1180"/>
      <c r="F1399" s="1180"/>
      <c r="G1399" s="1180"/>
      <c r="H1399" s="1150"/>
      <c r="I1399" s="1150"/>
      <c r="J1399" s="1150"/>
    </row>
    <row r="1400" spans="2:10">
      <c r="B1400" s="1156"/>
      <c r="C1400" s="1156"/>
      <c r="D1400" s="1180"/>
      <c r="E1400" s="1180"/>
      <c r="F1400" s="1180"/>
      <c r="G1400" s="1180"/>
      <c r="H1400" s="1150"/>
      <c r="I1400" s="1150"/>
      <c r="J1400" s="1150"/>
    </row>
    <row r="1401" spans="2:10">
      <c r="B1401" s="1156"/>
      <c r="C1401" s="1156"/>
      <c r="D1401" s="1180"/>
      <c r="E1401" s="1180"/>
      <c r="F1401" s="1180"/>
      <c r="G1401" s="1180"/>
      <c r="H1401" s="1150"/>
      <c r="I1401" s="1150"/>
      <c r="J1401" s="1150"/>
    </row>
    <row r="1402" spans="2:10">
      <c r="B1402" s="1156"/>
      <c r="C1402" s="1156"/>
      <c r="D1402" s="1180"/>
      <c r="E1402" s="1180"/>
      <c r="F1402" s="1180"/>
      <c r="G1402" s="1180"/>
      <c r="H1402" s="1150"/>
      <c r="I1402" s="1150"/>
      <c r="J1402" s="1150"/>
    </row>
    <row r="1403" spans="2:10">
      <c r="B1403" s="1156"/>
      <c r="C1403" s="1156"/>
      <c r="D1403" s="1180"/>
      <c r="E1403" s="1180"/>
      <c r="F1403" s="1180"/>
      <c r="G1403" s="1180"/>
      <c r="H1403" s="1150"/>
      <c r="I1403" s="1150"/>
      <c r="J1403" s="1150"/>
    </row>
    <row r="1404" spans="2:10">
      <c r="B1404" s="1156"/>
      <c r="C1404" s="1156"/>
      <c r="D1404" s="1180"/>
      <c r="E1404" s="1180"/>
      <c r="F1404" s="1180"/>
      <c r="G1404" s="1180"/>
      <c r="H1404" s="1150"/>
      <c r="I1404" s="1150"/>
      <c r="J1404" s="1150"/>
    </row>
    <row r="1405" spans="2:10">
      <c r="B1405" s="1156"/>
      <c r="C1405" s="1156"/>
      <c r="D1405" s="1180"/>
      <c r="E1405" s="1180"/>
      <c r="F1405" s="1180"/>
      <c r="G1405" s="1180"/>
      <c r="H1405" s="1150"/>
      <c r="I1405" s="1150"/>
      <c r="J1405" s="1150"/>
    </row>
    <row r="1406" spans="2:10">
      <c r="B1406" s="1156"/>
      <c r="C1406" s="1156"/>
      <c r="D1406" s="1180"/>
      <c r="E1406" s="1180"/>
      <c r="F1406" s="1180"/>
      <c r="G1406" s="1180"/>
      <c r="H1406" s="1150"/>
      <c r="I1406" s="1150"/>
      <c r="J1406" s="1150"/>
    </row>
    <row r="1407" spans="2:10">
      <c r="B1407" s="1156"/>
      <c r="C1407" s="1156"/>
      <c r="D1407" s="1180"/>
      <c r="E1407" s="1180"/>
      <c r="F1407" s="1180"/>
      <c r="G1407" s="1180"/>
      <c r="H1407" s="1150"/>
      <c r="I1407" s="1150"/>
      <c r="J1407" s="1150"/>
    </row>
    <row r="1408" spans="2:10">
      <c r="B1408" s="1156"/>
      <c r="C1408" s="1156"/>
      <c r="D1408" s="1180"/>
      <c r="E1408" s="1180"/>
      <c r="F1408" s="1180"/>
      <c r="G1408" s="1180"/>
      <c r="H1408" s="1150"/>
      <c r="I1408" s="1150"/>
      <c r="J1408" s="1150"/>
    </row>
    <row r="1409" spans="2:10">
      <c r="B1409" s="1156"/>
      <c r="C1409" s="1156"/>
      <c r="D1409" s="1180"/>
      <c r="E1409" s="1180"/>
      <c r="F1409" s="1180"/>
      <c r="G1409" s="1180"/>
      <c r="H1409" s="1150"/>
      <c r="I1409" s="1150"/>
      <c r="J1409" s="1150"/>
    </row>
    <row r="1410" spans="2:10">
      <c r="B1410" s="1156"/>
      <c r="C1410" s="1156"/>
      <c r="D1410" s="1180"/>
      <c r="E1410" s="1180"/>
      <c r="F1410" s="1180"/>
      <c r="G1410" s="1180"/>
      <c r="H1410" s="1150"/>
      <c r="I1410" s="1150"/>
      <c r="J1410" s="1150"/>
    </row>
    <row r="1411" spans="2:10">
      <c r="B1411" s="1156"/>
      <c r="C1411" s="1156"/>
      <c r="D1411" s="1180"/>
      <c r="E1411" s="1180"/>
      <c r="F1411" s="1180"/>
      <c r="G1411" s="1180"/>
      <c r="H1411" s="1150"/>
      <c r="I1411" s="1150"/>
      <c r="J1411" s="1150"/>
    </row>
    <row r="1412" spans="2:10">
      <c r="B1412" s="1156"/>
      <c r="C1412" s="1156"/>
      <c r="D1412" s="1180"/>
      <c r="E1412" s="1180"/>
      <c r="F1412" s="1180"/>
      <c r="G1412" s="1180"/>
      <c r="H1412" s="1150"/>
      <c r="I1412" s="1150"/>
      <c r="J1412" s="1150"/>
    </row>
    <row r="1413" spans="2:10">
      <c r="B1413" s="1156"/>
      <c r="C1413" s="1156"/>
      <c r="D1413" s="1180"/>
      <c r="E1413" s="1180"/>
      <c r="F1413" s="1180"/>
      <c r="G1413" s="1180"/>
      <c r="H1413" s="1150"/>
      <c r="I1413" s="1150"/>
      <c r="J1413" s="1150"/>
    </row>
    <row r="1414" spans="2:10">
      <c r="B1414" s="1156"/>
      <c r="C1414" s="1156"/>
      <c r="D1414" s="1180"/>
      <c r="E1414" s="1180"/>
      <c r="F1414" s="1180"/>
      <c r="G1414" s="1180"/>
      <c r="H1414" s="1150"/>
      <c r="I1414" s="1150"/>
      <c r="J1414" s="1150"/>
    </row>
    <row r="1415" spans="2:10">
      <c r="B1415" s="1156"/>
      <c r="C1415" s="1156"/>
      <c r="D1415" s="1180"/>
      <c r="E1415" s="1180"/>
      <c r="F1415" s="1180"/>
      <c r="G1415" s="1180"/>
      <c r="H1415" s="1150"/>
      <c r="I1415" s="1150"/>
      <c r="J1415" s="1150"/>
    </row>
    <row r="1416" spans="2:10">
      <c r="B1416" s="1156"/>
      <c r="C1416" s="1156"/>
      <c r="D1416" s="1180"/>
      <c r="E1416" s="1180"/>
      <c r="F1416" s="1180"/>
      <c r="G1416" s="1180"/>
      <c r="H1416" s="1150"/>
      <c r="I1416" s="1150"/>
      <c r="J1416" s="1150"/>
    </row>
    <row r="1417" spans="2:10">
      <c r="B1417" s="1156"/>
      <c r="C1417" s="1156"/>
      <c r="D1417" s="1180"/>
      <c r="E1417" s="1180"/>
      <c r="F1417" s="1180"/>
      <c r="G1417" s="1180"/>
      <c r="H1417" s="1150"/>
      <c r="I1417" s="1150"/>
      <c r="J1417" s="1150"/>
    </row>
    <row r="1418" spans="2:10">
      <c r="B1418" s="1156"/>
      <c r="C1418" s="1156"/>
      <c r="D1418" s="1180"/>
      <c r="E1418" s="1180"/>
      <c r="F1418" s="1180"/>
      <c r="G1418" s="1180"/>
      <c r="H1418" s="1150"/>
      <c r="I1418" s="1150"/>
      <c r="J1418" s="1150"/>
    </row>
    <row r="1419" spans="2:10">
      <c r="B1419" s="1156"/>
      <c r="C1419" s="1156"/>
      <c r="D1419" s="1180"/>
      <c r="E1419" s="1180"/>
      <c r="F1419" s="1180"/>
      <c r="G1419" s="1180"/>
      <c r="H1419" s="1150"/>
      <c r="I1419" s="1150"/>
      <c r="J1419" s="1150"/>
    </row>
    <row r="1420" spans="2:10">
      <c r="B1420" s="1156"/>
      <c r="C1420" s="1156"/>
      <c r="D1420" s="1180"/>
      <c r="E1420" s="1180"/>
      <c r="F1420" s="1180"/>
      <c r="G1420" s="1180"/>
      <c r="H1420" s="1150"/>
      <c r="I1420" s="1150"/>
      <c r="J1420" s="1150"/>
    </row>
    <row r="1421" spans="2:10">
      <c r="B1421" s="1156"/>
      <c r="C1421" s="1156"/>
      <c r="D1421" s="1180"/>
      <c r="E1421" s="1180"/>
      <c r="F1421" s="1180"/>
      <c r="G1421" s="1180"/>
      <c r="H1421" s="1150"/>
      <c r="I1421" s="1150"/>
      <c r="J1421" s="1150"/>
    </row>
    <row r="1422" spans="2:10">
      <c r="B1422" s="1156"/>
      <c r="C1422" s="1156"/>
      <c r="D1422" s="1180"/>
      <c r="E1422" s="1180"/>
      <c r="F1422" s="1180"/>
      <c r="G1422" s="1180"/>
      <c r="H1422" s="1150"/>
      <c r="I1422" s="1150"/>
      <c r="J1422" s="1150"/>
    </row>
    <row r="1423" spans="2:10">
      <c r="B1423" s="1156"/>
      <c r="C1423" s="1156"/>
      <c r="D1423" s="1180"/>
      <c r="E1423" s="1180"/>
      <c r="F1423" s="1180"/>
      <c r="G1423" s="1180"/>
      <c r="H1423" s="1150"/>
      <c r="I1423" s="1150"/>
      <c r="J1423" s="1150"/>
    </row>
    <row r="1424" spans="2:10">
      <c r="B1424" s="1156"/>
      <c r="C1424" s="1156"/>
      <c r="D1424" s="1180"/>
      <c r="E1424" s="1180"/>
      <c r="F1424" s="1180"/>
      <c r="G1424" s="1180"/>
      <c r="H1424" s="1150"/>
      <c r="I1424" s="1150"/>
      <c r="J1424" s="1150"/>
    </row>
    <row r="1425" spans="2:10">
      <c r="B1425" s="1156"/>
      <c r="C1425" s="1156"/>
      <c r="D1425" s="1180"/>
      <c r="E1425" s="1180"/>
      <c r="F1425" s="1180"/>
      <c r="G1425" s="1180"/>
      <c r="H1425" s="1150"/>
      <c r="I1425" s="1150"/>
      <c r="J1425" s="1150"/>
    </row>
    <row r="1426" spans="2:10">
      <c r="B1426" s="1156"/>
      <c r="C1426" s="1156"/>
      <c r="D1426" s="1180"/>
      <c r="E1426" s="1180"/>
      <c r="F1426" s="1180"/>
      <c r="G1426" s="1180"/>
      <c r="H1426" s="1150"/>
      <c r="I1426" s="1150"/>
      <c r="J1426" s="1150"/>
    </row>
    <row r="1427" spans="2:10">
      <c r="B1427" s="1156"/>
      <c r="C1427" s="1156"/>
      <c r="D1427" s="1180"/>
      <c r="E1427" s="1180"/>
      <c r="F1427" s="1180"/>
      <c r="G1427" s="1180"/>
      <c r="H1427" s="1150"/>
      <c r="I1427" s="1150"/>
      <c r="J1427" s="1150"/>
    </row>
    <row r="1428" spans="2:10">
      <c r="B1428" s="1156"/>
      <c r="C1428" s="1156"/>
      <c r="D1428" s="1180"/>
      <c r="E1428" s="1180"/>
      <c r="F1428" s="1180"/>
      <c r="G1428" s="1180"/>
      <c r="H1428" s="1150"/>
      <c r="I1428" s="1150"/>
      <c r="J1428" s="1150"/>
    </row>
    <row r="1429" spans="2:10">
      <c r="B1429" s="1156"/>
      <c r="C1429" s="1156"/>
      <c r="D1429" s="1180"/>
      <c r="E1429" s="1180"/>
      <c r="F1429" s="1180"/>
      <c r="G1429" s="1180"/>
      <c r="H1429" s="1150"/>
      <c r="I1429" s="1150"/>
      <c r="J1429" s="1150"/>
    </row>
    <row r="1430" spans="2:10">
      <c r="B1430" s="1156"/>
      <c r="C1430" s="1156"/>
      <c r="D1430" s="1180"/>
      <c r="E1430" s="1180"/>
      <c r="F1430" s="1180"/>
      <c r="G1430" s="1180"/>
      <c r="H1430" s="1150"/>
      <c r="I1430" s="1150"/>
      <c r="J1430" s="1150"/>
    </row>
    <row r="1431" spans="2:10">
      <c r="B1431" s="1156"/>
      <c r="C1431" s="1156"/>
      <c r="D1431" s="1180"/>
      <c r="E1431" s="1180"/>
      <c r="F1431" s="1180"/>
      <c r="G1431" s="1180"/>
      <c r="H1431" s="1150"/>
      <c r="I1431" s="1150"/>
      <c r="J1431" s="1150"/>
    </row>
    <row r="1432" spans="2:10">
      <c r="B1432" s="1156"/>
      <c r="C1432" s="1156"/>
      <c r="D1432" s="1180"/>
      <c r="E1432" s="1180"/>
      <c r="F1432" s="1180"/>
      <c r="G1432" s="1180"/>
      <c r="H1432" s="1150"/>
      <c r="I1432" s="1150"/>
      <c r="J1432" s="1150"/>
    </row>
    <row r="1433" spans="2:10">
      <c r="B1433" s="1156"/>
      <c r="C1433" s="1156"/>
      <c r="D1433" s="1180"/>
      <c r="E1433" s="1180"/>
      <c r="F1433" s="1180"/>
      <c r="G1433" s="1180"/>
      <c r="H1433" s="1150"/>
      <c r="I1433" s="1150"/>
      <c r="J1433" s="1150"/>
    </row>
    <row r="1434" spans="2:10">
      <c r="B1434" s="1156"/>
      <c r="C1434" s="1156"/>
      <c r="D1434" s="1180"/>
      <c r="E1434" s="1180"/>
      <c r="F1434" s="1180"/>
      <c r="G1434" s="1180"/>
      <c r="H1434" s="1150"/>
      <c r="I1434" s="1150"/>
      <c r="J1434" s="1150"/>
    </row>
    <row r="1435" spans="2:10">
      <c r="B1435" s="1156"/>
      <c r="C1435" s="1156"/>
      <c r="D1435" s="1180"/>
      <c r="E1435" s="1180"/>
      <c r="F1435" s="1180"/>
      <c r="G1435" s="1180"/>
      <c r="H1435" s="1150"/>
      <c r="I1435" s="1150"/>
      <c r="J1435" s="1150"/>
    </row>
    <row r="1436" spans="2:10">
      <c r="B1436" s="1156"/>
      <c r="C1436" s="1156"/>
      <c r="D1436" s="1180"/>
      <c r="E1436" s="1180"/>
      <c r="F1436" s="1180"/>
      <c r="G1436" s="1180"/>
      <c r="H1436" s="1150"/>
      <c r="I1436" s="1150"/>
      <c r="J1436" s="1150"/>
    </row>
    <row r="1437" spans="2:10">
      <c r="B1437" s="1156"/>
      <c r="C1437" s="1156"/>
      <c r="D1437" s="1180"/>
      <c r="E1437" s="1180"/>
      <c r="F1437" s="1180"/>
      <c r="G1437" s="1180"/>
      <c r="H1437" s="1150"/>
      <c r="I1437" s="1150"/>
      <c r="J1437" s="1150"/>
    </row>
    <row r="1438" spans="2:10">
      <c r="B1438" s="1156"/>
      <c r="C1438" s="1156"/>
      <c r="D1438" s="1180"/>
      <c r="E1438" s="1180"/>
      <c r="F1438" s="1180"/>
      <c r="G1438" s="1180"/>
      <c r="H1438" s="1150"/>
      <c r="I1438" s="1150"/>
      <c r="J1438" s="1150"/>
    </row>
    <row r="1439" spans="2:10">
      <c r="B1439" s="1156"/>
      <c r="C1439" s="1156"/>
      <c r="D1439" s="1180"/>
      <c r="E1439" s="1180"/>
      <c r="F1439" s="1180"/>
      <c r="G1439" s="1180"/>
      <c r="H1439" s="1150"/>
      <c r="I1439" s="1150"/>
      <c r="J1439" s="1150"/>
    </row>
    <row r="1440" spans="2:10">
      <c r="B1440" s="1156"/>
      <c r="C1440" s="1156"/>
      <c r="D1440" s="1180"/>
      <c r="E1440" s="1180"/>
      <c r="F1440" s="1180"/>
      <c r="G1440" s="1180"/>
      <c r="H1440" s="1150"/>
      <c r="I1440" s="1150"/>
      <c r="J1440" s="1150"/>
    </row>
    <row r="1441" spans="2:10">
      <c r="B1441" s="1156"/>
      <c r="C1441" s="1156"/>
      <c r="D1441" s="1180"/>
      <c r="E1441" s="1180"/>
      <c r="F1441" s="1180"/>
      <c r="G1441" s="1180"/>
      <c r="H1441" s="1150"/>
      <c r="I1441" s="1150"/>
      <c r="J1441" s="1150"/>
    </row>
    <row r="1442" spans="2:10">
      <c r="B1442" s="1156"/>
      <c r="C1442" s="1156"/>
      <c r="D1442" s="1180"/>
      <c r="E1442" s="1180"/>
      <c r="F1442" s="1180"/>
      <c r="G1442" s="1180"/>
      <c r="H1442" s="1150"/>
      <c r="I1442" s="1150"/>
      <c r="J1442" s="1150"/>
    </row>
    <row r="1443" spans="2:10">
      <c r="B1443" s="1156"/>
      <c r="C1443" s="1156"/>
      <c r="D1443" s="1180"/>
      <c r="E1443" s="1180"/>
      <c r="F1443" s="1180"/>
      <c r="G1443" s="1180"/>
      <c r="H1443" s="1150"/>
      <c r="I1443" s="1150"/>
      <c r="J1443" s="1150"/>
    </row>
    <row r="1444" spans="2:10">
      <c r="B1444" s="1156"/>
      <c r="C1444" s="1156"/>
      <c r="D1444" s="1180"/>
      <c r="E1444" s="1180"/>
      <c r="F1444" s="1180"/>
      <c r="G1444" s="1180"/>
      <c r="H1444" s="1150"/>
      <c r="I1444" s="1150"/>
      <c r="J1444" s="1150"/>
    </row>
    <row r="1445" spans="2:10">
      <c r="B1445" s="1156"/>
      <c r="C1445" s="1156"/>
      <c r="D1445" s="1180"/>
      <c r="E1445" s="1180"/>
      <c r="F1445" s="1180"/>
      <c r="G1445" s="1180"/>
      <c r="H1445" s="1150"/>
      <c r="I1445" s="1150"/>
      <c r="J1445" s="1150"/>
    </row>
    <row r="1446" spans="2:10">
      <c r="B1446" s="1156"/>
      <c r="C1446" s="1156"/>
      <c r="D1446" s="1180"/>
      <c r="E1446" s="1180"/>
      <c r="F1446" s="1180"/>
      <c r="G1446" s="1180"/>
      <c r="H1446" s="1150"/>
      <c r="I1446" s="1150"/>
      <c r="J1446" s="1150"/>
    </row>
    <row r="1447" spans="2:10">
      <c r="B1447" s="1156"/>
      <c r="C1447" s="1156"/>
      <c r="D1447" s="1180"/>
      <c r="E1447" s="1180"/>
      <c r="F1447" s="1180"/>
      <c r="G1447" s="1180"/>
      <c r="H1447" s="1150"/>
      <c r="I1447" s="1150"/>
      <c r="J1447" s="1150"/>
    </row>
    <row r="1448" spans="2:10">
      <c r="B1448" s="1156"/>
      <c r="C1448" s="1156"/>
      <c r="D1448" s="1180"/>
      <c r="E1448" s="1180"/>
      <c r="F1448" s="1180"/>
      <c r="G1448" s="1180"/>
      <c r="H1448" s="1150"/>
      <c r="I1448" s="1150"/>
      <c r="J1448" s="1150"/>
    </row>
    <row r="1449" spans="2:10">
      <c r="B1449" s="1156"/>
      <c r="C1449" s="1156"/>
      <c r="D1449" s="1180"/>
      <c r="E1449" s="1180"/>
      <c r="F1449" s="1180"/>
      <c r="G1449" s="1180"/>
      <c r="H1449" s="1150"/>
      <c r="I1449" s="1150"/>
      <c r="J1449" s="1150"/>
    </row>
    <row r="1450" spans="2:10">
      <c r="B1450" s="1156"/>
      <c r="C1450" s="1156"/>
      <c r="D1450" s="1180"/>
      <c r="E1450" s="1180"/>
      <c r="F1450" s="1180"/>
      <c r="G1450" s="1180"/>
      <c r="H1450" s="1150"/>
      <c r="I1450" s="1150"/>
      <c r="J1450" s="1150"/>
    </row>
    <row r="1451" spans="2:10">
      <c r="B1451" s="1156"/>
      <c r="C1451" s="1156"/>
      <c r="D1451" s="1180"/>
      <c r="E1451" s="1180"/>
      <c r="F1451" s="1180"/>
      <c r="G1451" s="1180"/>
      <c r="H1451" s="1150"/>
      <c r="I1451" s="1150"/>
      <c r="J1451" s="1150"/>
    </row>
    <row r="1452" spans="2:10">
      <c r="B1452" s="1156"/>
      <c r="C1452" s="1156"/>
      <c r="D1452" s="1180"/>
      <c r="E1452" s="1180"/>
      <c r="F1452" s="1180"/>
      <c r="G1452" s="1180"/>
      <c r="H1452" s="1150"/>
      <c r="I1452" s="1150"/>
      <c r="J1452" s="1150"/>
    </row>
    <row r="1453" spans="2:10">
      <c r="B1453" s="1156"/>
      <c r="C1453" s="1156"/>
      <c r="D1453" s="1180"/>
      <c r="E1453" s="1180"/>
      <c r="F1453" s="1180"/>
      <c r="G1453" s="1180"/>
      <c r="H1453" s="1150"/>
      <c r="I1453" s="1150"/>
      <c r="J1453" s="1150"/>
    </row>
    <row r="1454" spans="2:10">
      <c r="B1454" s="1156"/>
      <c r="C1454" s="1156"/>
      <c r="D1454" s="1180"/>
      <c r="E1454" s="1180"/>
      <c r="F1454" s="1180"/>
      <c r="G1454" s="1180"/>
      <c r="H1454" s="1150"/>
      <c r="I1454" s="1150"/>
      <c r="J1454" s="1150"/>
    </row>
    <row r="1455" spans="2:10">
      <c r="B1455" s="1156"/>
      <c r="C1455" s="1156"/>
      <c r="D1455" s="1180"/>
      <c r="E1455" s="1180"/>
      <c r="F1455" s="1180"/>
      <c r="G1455" s="1180"/>
      <c r="H1455" s="1150"/>
      <c r="I1455" s="1150"/>
      <c r="J1455" s="1150"/>
    </row>
    <row r="1456" spans="2:10">
      <c r="B1456" s="1156"/>
      <c r="C1456" s="1156"/>
      <c r="D1456" s="1180"/>
      <c r="E1456" s="1180"/>
      <c r="F1456" s="1180"/>
      <c r="G1456" s="1180"/>
      <c r="H1456" s="1150"/>
      <c r="I1456" s="1150"/>
      <c r="J1456" s="1150"/>
    </row>
    <row r="1457" spans="2:10">
      <c r="B1457" s="1156"/>
      <c r="C1457" s="1156"/>
      <c r="D1457" s="1180"/>
      <c r="E1457" s="1180"/>
      <c r="F1457" s="1180"/>
      <c r="G1457" s="1180"/>
      <c r="H1457" s="1150"/>
      <c r="I1457" s="1150"/>
      <c r="J1457" s="1150"/>
    </row>
    <row r="1458" spans="2:10">
      <c r="B1458" s="1156"/>
      <c r="C1458" s="1156"/>
      <c r="D1458" s="1180"/>
      <c r="E1458" s="1180"/>
      <c r="F1458" s="1180"/>
      <c r="G1458" s="1180"/>
      <c r="H1458" s="1150"/>
      <c r="I1458" s="1150"/>
      <c r="J1458" s="1150"/>
    </row>
    <row r="1459" spans="2:10">
      <c r="B1459" s="1156"/>
      <c r="C1459" s="1156"/>
      <c r="D1459" s="1180"/>
      <c r="E1459" s="1180"/>
      <c r="F1459" s="1180"/>
      <c r="G1459" s="1180"/>
      <c r="H1459" s="1150"/>
      <c r="I1459" s="1150"/>
      <c r="J1459" s="1150"/>
    </row>
    <row r="1460" spans="2:10">
      <c r="B1460" s="1156"/>
      <c r="C1460" s="1156"/>
      <c r="D1460" s="1180"/>
      <c r="E1460" s="1180"/>
      <c r="F1460" s="1180"/>
      <c r="G1460" s="1180"/>
      <c r="H1460" s="1150"/>
      <c r="I1460" s="1150"/>
      <c r="J1460" s="1150"/>
    </row>
    <row r="1461" spans="2:10">
      <c r="B1461" s="1156"/>
      <c r="C1461" s="1156"/>
      <c r="D1461" s="1180"/>
      <c r="E1461" s="1180"/>
      <c r="F1461" s="1180"/>
      <c r="G1461" s="1180"/>
      <c r="H1461" s="1150"/>
      <c r="I1461" s="1150"/>
      <c r="J1461" s="1150"/>
    </row>
    <row r="1462" spans="2:10">
      <c r="B1462" s="1156"/>
      <c r="C1462" s="1156"/>
      <c r="D1462" s="1180"/>
      <c r="E1462" s="1180"/>
      <c r="F1462" s="1180"/>
      <c r="G1462" s="1180"/>
      <c r="H1462" s="1150"/>
      <c r="I1462" s="1150"/>
      <c r="J1462" s="1150"/>
    </row>
    <row r="1463" spans="2:10">
      <c r="B1463" s="1156"/>
      <c r="C1463" s="1156"/>
      <c r="D1463" s="1180"/>
      <c r="E1463" s="1180"/>
      <c r="F1463" s="1180"/>
      <c r="G1463" s="1180"/>
      <c r="H1463" s="1150"/>
      <c r="I1463" s="1150"/>
      <c r="J1463" s="1150"/>
    </row>
    <row r="1464" spans="2:10">
      <c r="B1464" s="1156"/>
      <c r="C1464" s="1156"/>
      <c r="D1464" s="1180"/>
      <c r="E1464" s="1180"/>
      <c r="F1464" s="1180"/>
      <c r="G1464" s="1180"/>
      <c r="H1464" s="1150"/>
      <c r="I1464" s="1150"/>
      <c r="J1464" s="1150"/>
    </row>
    <row r="1465" spans="2:10">
      <c r="B1465" s="1156"/>
      <c r="C1465" s="1156"/>
      <c r="D1465" s="1180"/>
      <c r="E1465" s="1180"/>
      <c r="F1465" s="1180"/>
      <c r="G1465" s="1180"/>
      <c r="H1465" s="1150"/>
      <c r="I1465" s="1150"/>
      <c r="J1465" s="1150"/>
    </row>
    <row r="1466" spans="2:10">
      <c r="B1466" s="1156"/>
      <c r="C1466" s="1156"/>
      <c r="D1466" s="1180"/>
      <c r="E1466" s="1180"/>
      <c r="F1466" s="1180"/>
      <c r="G1466" s="1180"/>
      <c r="H1466" s="1150"/>
      <c r="I1466" s="1150"/>
      <c r="J1466" s="1150"/>
    </row>
    <row r="1467" spans="2:10">
      <c r="B1467" s="1156"/>
      <c r="C1467" s="1156"/>
      <c r="D1467" s="1180"/>
      <c r="E1467" s="1180"/>
      <c r="F1467" s="1180"/>
      <c r="G1467" s="1180"/>
      <c r="H1467" s="1150"/>
      <c r="I1467" s="1150"/>
      <c r="J1467" s="1150"/>
    </row>
    <row r="1468" spans="2:10">
      <c r="B1468" s="1156"/>
      <c r="C1468" s="1156"/>
      <c r="D1468" s="1180"/>
      <c r="E1468" s="1180"/>
      <c r="F1468" s="1180"/>
      <c r="G1468" s="1180"/>
      <c r="H1468" s="1150"/>
      <c r="I1468" s="1150"/>
      <c r="J1468" s="1150"/>
    </row>
    <row r="1469" spans="2:10">
      <c r="B1469" s="1156"/>
      <c r="C1469" s="1156"/>
      <c r="D1469" s="1180"/>
      <c r="E1469" s="1180"/>
      <c r="F1469" s="1180"/>
      <c r="G1469" s="1180"/>
      <c r="H1469" s="1150"/>
      <c r="I1469" s="1150"/>
      <c r="J1469" s="1150"/>
    </row>
    <row r="1470" spans="2:10">
      <c r="B1470" s="1156"/>
      <c r="C1470" s="1156"/>
      <c r="D1470" s="1180"/>
      <c r="E1470" s="1180"/>
      <c r="F1470" s="1180"/>
      <c r="G1470" s="1180"/>
      <c r="H1470" s="1150"/>
      <c r="I1470" s="1150"/>
      <c r="J1470" s="1150"/>
    </row>
    <row r="1471" spans="2:10">
      <c r="B1471" s="1156"/>
      <c r="C1471" s="1156"/>
      <c r="D1471" s="1180"/>
      <c r="E1471" s="1180"/>
      <c r="F1471" s="1180"/>
      <c r="G1471" s="1180"/>
      <c r="H1471" s="1150"/>
      <c r="I1471" s="1150"/>
      <c r="J1471" s="1150"/>
    </row>
    <row r="1472" spans="2:10">
      <c r="B1472" s="1156"/>
      <c r="C1472" s="1156"/>
      <c r="D1472" s="1180"/>
      <c r="E1472" s="1180"/>
      <c r="F1472" s="1180"/>
      <c r="G1472" s="1180"/>
      <c r="H1472" s="1150"/>
      <c r="I1472" s="1150"/>
      <c r="J1472" s="1150"/>
    </row>
    <row r="1473" spans="2:10">
      <c r="B1473" s="1156"/>
      <c r="C1473" s="1156"/>
      <c r="D1473" s="1180"/>
      <c r="E1473" s="1180"/>
      <c r="F1473" s="1180"/>
      <c r="G1473" s="1180"/>
      <c r="H1473" s="1150"/>
      <c r="I1473" s="1150"/>
      <c r="J1473" s="1150"/>
    </row>
    <row r="1474" spans="2:10">
      <c r="B1474" s="1156"/>
      <c r="C1474" s="1156"/>
      <c r="D1474" s="1180"/>
      <c r="E1474" s="1180"/>
      <c r="F1474" s="1180"/>
      <c r="G1474" s="1180"/>
      <c r="H1474" s="1150"/>
      <c r="I1474" s="1150"/>
      <c r="J1474" s="1150"/>
    </row>
    <row r="1475" spans="2:10">
      <c r="B1475" s="1156"/>
      <c r="C1475" s="1156"/>
      <c r="D1475" s="1180"/>
      <c r="E1475" s="1180"/>
      <c r="F1475" s="1180"/>
      <c r="G1475" s="1180"/>
      <c r="H1475" s="1150"/>
      <c r="I1475" s="1150"/>
      <c r="J1475" s="1150"/>
    </row>
    <row r="1476" spans="2:10">
      <c r="B1476" s="1156"/>
      <c r="C1476" s="1156"/>
      <c r="D1476" s="1180"/>
      <c r="E1476" s="1180"/>
      <c r="F1476" s="1180"/>
      <c r="G1476" s="1180"/>
      <c r="H1476" s="1150"/>
      <c r="I1476" s="1150"/>
      <c r="J1476" s="1150"/>
    </row>
    <row r="1477" spans="2:10">
      <c r="B1477" s="1156"/>
      <c r="C1477" s="1156"/>
      <c r="D1477" s="1180"/>
      <c r="E1477" s="1180"/>
      <c r="F1477" s="1180"/>
      <c r="G1477" s="1180"/>
      <c r="H1477" s="1150"/>
      <c r="I1477" s="1150"/>
      <c r="J1477" s="1150"/>
    </row>
    <row r="1478" spans="2:10">
      <c r="B1478" s="1156"/>
      <c r="C1478" s="1156"/>
      <c r="D1478" s="1180"/>
      <c r="E1478" s="1180"/>
      <c r="F1478" s="1180"/>
      <c r="G1478" s="1180"/>
      <c r="H1478" s="1150"/>
      <c r="I1478" s="1150"/>
      <c r="J1478" s="1150"/>
    </row>
    <row r="1479" spans="2:10">
      <c r="B1479" s="1156"/>
      <c r="C1479" s="1156"/>
      <c r="D1479" s="1180"/>
      <c r="E1479" s="1180"/>
      <c r="F1479" s="1180"/>
      <c r="G1479" s="1180"/>
      <c r="H1479" s="1150"/>
      <c r="I1479" s="1150"/>
      <c r="J1479" s="1150"/>
    </row>
    <row r="1480" spans="2:10">
      <c r="B1480" s="1156"/>
      <c r="C1480" s="1156"/>
      <c r="D1480" s="1180"/>
      <c r="E1480" s="1180"/>
      <c r="F1480" s="1180"/>
      <c r="G1480" s="1180"/>
      <c r="H1480" s="1150"/>
      <c r="I1480" s="1150"/>
      <c r="J1480" s="1150"/>
    </row>
    <row r="1481" spans="2:10">
      <c r="B1481" s="1156"/>
      <c r="C1481" s="1156"/>
      <c r="D1481" s="1180"/>
      <c r="E1481" s="1180"/>
      <c r="F1481" s="1180"/>
      <c r="G1481" s="1180"/>
      <c r="H1481" s="1150"/>
      <c r="I1481" s="1150"/>
      <c r="J1481" s="1150"/>
    </row>
    <row r="1482" spans="2:10">
      <c r="B1482" s="1156"/>
      <c r="C1482" s="1156"/>
      <c r="D1482" s="1180"/>
      <c r="E1482" s="1180"/>
      <c r="F1482" s="1180"/>
      <c r="G1482" s="1180"/>
      <c r="H1482" s="1150"/>
      <c r="I1482" s="1150"/>
      <c r="J1482" s="1150"/>
    </row>
    <row r="1483" spans="2:10">
      <c r="B1483" s="1156"/>
      <c r="C1483" s="1156"/>
      <c r="D1483" s="1180"/>
      <c r="E1483" s="1180"/>
      <c r="F1483" s="1180"/>
      <c r="G1483" s="1180"/>
      <c r="H1483" s="1150"/>
      <c r="I1483" s="1150"/>
      <c r="J1483" s="1150"/>
    </row>
    <row r="1484" spans="2:10">
      <c r="B1484" s="1156"/>
      <c r="C1484" s="1156"/>
      <c r="D1484" s="1180"/>
      <c r="E1484" s="1180"/>
      <c r="F1484" s="1180"/>
      <c r="G1484" s="1180"/>
      <c r="H1484" s="1150"/>
      <c r="I1484" s="1150"/>
      <c r="J1484" s="1150"/>
    </row>
    <row r="1485" spans="2:10">
      <c r="B1485" s="1156"/>
      <c r="C1485" s="1156"/>
      <c r="D1485" s="1180"/>
      <c r="E1485" s="1180"/>
      <c r="F1485" s="1180"/>
      <c r="G1485" s="1180"/>
      <c r="H1485" s="1150"/>
      <c r="I1485" s="1150"/>
      <c r="J1485" s="1150"/>
    </row>
    <row r="1486" spans="2:10">
      <c r="B1486" s="1156"/>
      <c r="C1486" s="1156"/>
      <c r="D1486" s="1180"/>
      <c r="E1486" s="1180"/>
      <c r="F1486" s="1180"/>
      <c r="G1486" s="1180"/>
      <c r="H1486" s="1150"/>
      <c r="I1486" s="1150"/>
      <c r="J1486" s="1150"/>
    </row>
    <row r="1487" spans="2:10">
      <c r="B1487" s="1156"/>
      <c r="C1487" s="1156"/>
      <c r="D1487" s="1180"/>
      <c r="E1487" s="1180"/>
      <c r="F1487" s="1180"/>
      <c r="G1487" s="1180"/>
      <c r="H1487" s="1150"/>
      <c r="I1487" s="1150"/>
      <c r="J1487" s="1150"/>
    </row>
    <row r="1488" spans="2:10">
      <c r="B1488" s="1156"/>
      <c r="C1488" s="1156"/>
      <c r="D1488" s="1180"/>
      <c r="E1488" s="1180"/>
      <c r="F1488" s="1180"/>
      <c r="G1488" s="1180"/>
      <c r="H1488" s="1150"/>
      <c r="I1488" s="1150"/>
      <c r="J1488" s="1150"/>
    </row>
    <row r="1489" spans="2:10">
      <c r="B1489" s="1156"/>
      <c r="C1489" s="1156"/>
      <c r="D1489" s="1180"/>
      <c r="E1489" s="1180"/>
      <c r="F1489" s="1180"/>
      <c r="G1489" s="1180"/>
      <c r="H1489" s="1150"/>
      <c r="I1489" s="1150"/>
      <c r="J1489" s="1150"/>
    </row>
    <row r="1490" spans="2:10">
      <c r="B1490" s="1156"/>
      <c r="C1490" s="1156"/>
      <c r="D1490" s="1180"/>
      <c r="E1490" s="1180"/>
      <c r="F1490" s="1180"/>
      <c r="G1490" s="1180"/>
      <c r="H1490" s="1150"/>
      <c r="I1490" s="1150"/>
      <c r="J1490" s="1150"/>
    </row>
    <row r="1491" spans="2:10">
      <c r="B1491" s="1156"/>
      <c r="C1491" s="1156"/>
      <c r="D1491" s="1180"/>
      <c r="E1491" s="1180"/>
      <c r="F1491" s="1180"/>
      <c r="G1491" s="1180"/>
      <c r="H1491" s="1150"/>
      <c r="I1491" s="1150"/>
      <c r="J1491" s="1150"/>
    </row>
    <row r="1492" spans="2:10">
      <c r="B1492" s="1156"/>
      <c r="C1492" s="1156"/>
      <c r="D1492" s="1180"/>
      <c r="E1492" s="1180"/>
      <c r="F1492" s="1180"/>
      <c r="G1492" s="1180"/>
      <c r="H1492" s="1150"/>
      <c r="I1492" s="1150"/>
      <c r="J1492" s="1150"/>
    </row>
    <row r="1493" spans="2:10">
      <c r="B1493" s="1156"/>
      <c r="C1493" s="1156"/>
      <c r="D1493" s="1180"/>
      <c r="E1493" s="1180"/>
      <c r="F1493" s="1180"/>
      <c r="G1493" s="1180"/>
      <c r="H1493" s="1150"/>
      <c r="I1493" s="1150"/>
      <c r="J1493" s="1150"/>
    </row>
    <row r="1494" spans="2:10">
      <c r="B1494" s="1156"/>
      <c r="C1494" s="1156"/>
      <c r="D1494" s="1180"/>
      <c r="E1494" s="1180"/>
      <c r="F1494" s="1180"/>
      <c r="G1494" s="1180"/>
      <c r="H1494" s="1150"/>
      <c r="I1494" s="1150"/>
      <c r="J1494" s="1150"/>
    </row>
    <row r="1495" spans="2:10">
      <c r="B1495" s="1156"/>
      <c r="C1495" s="1156"/>
      <c r="D1495" s="1180"/>
      <c r="E1495" s="1180"/>
      <c r="F1495" s="1180"/>
      <c r="G1495" s="1180"/>
      <c r="H1495" s="1150"/>
      <c r="I1495" s="1150"/>
      <c r="J1495" s="1150"/>
    </row>
    <row r="1496" spans="2:10">
      <c r="B1496" s="1156"/>
      <c r="C1496" s="1156"/>
      <c r="D1496" s="1180"/>
      <c r="E1496" s="1180"/>
      <c r="F1496" s="1180"/>
      <c r="G1496" s="1180"/>
      <c r="H1496" s="1150"/>
      <c r="I1496" s="1150"/>
      <c r="J1496" s="1150"/>
    </row>
    <row r="1497" spans="2:10">
      <c r="B1497" s="1156"/>
      <c r="C1497" s="1156"/>
      <c r="D1497" s="1180"/>
      <c r="E1497" s="1180"/>
      <c r="F1497" s="1180"/>
      <c r="G1497" s="1180"/>
      <c r="H1497" s="1150"/>
      <c r="I1497" s="1150"/>
      <c r="J1497" s="1150"/>
    </row>
    <row r="1498" spans="2:10">
      <c r="B1498" s="1156"/>
      <c r="C1498" s="1156"/>
      <c r="D1498" s="1180"/>
      <c r="E1498" s="1180"/>
      <c r="F1498" s="1180"/>
      <c r="G1498" s="1180"/>
      <c r="H1498" s="1150"/>
      <c r="I1498" s="1150"/>
      <c r="J1498" s="1150"/>
    </row>
    <row r="1499" spans="2:10">
      <c r="B1499" s="1156"/>
      <c r="C1499" s="1156"/>
      <c r="D1499" s="1180"/>
      <c r="E1499" s="1180"/>
      <c r="F1499" s="1180"/>
      <c r="G1499" s="1180"/>
      <c r="H1499" s="1150"/>
      <c r="I1499" s="1150"/>
      <c r="J1499" s="1150"/>
    </row>
    <row r="1500" spans="2:10">
      <c r="B1500" s="1156"/>
      <c r="C1500" s="1156"/>
      <c r="D1500" s="1180"/>
      <c r="E1500" s="1180"/>
      <c r="F1500" s="1180"/>
      <c r="G1500" s="1180"/>
      <c r="H1500" s="1150"/>
      <c r="I1500" s="1150"/>
      <c r="J1500" s="1150"/>
    </row>
    <row r="1501" spans="2:10">
      <c r="B1501" s="1156"/>
      <c r="C1501" s="1156"/>
      <c r="D1501" s="1180"/>
      <c r="E1501" s="1180"/>
      <c r="F1501" s="1180"/>
      <c r="G1501" s="1180"/>
      <c r="H1501" s="1150"/>
      <c r="I1501" s="1150"/>
      <c r="J1501" s="1150"/>
    </row>
    <row r="1502" spans="2:10">
      <c r="B1502" s="1156"/>
      <c r="C1502" s="1156"/>
      <c r="D1502" s="1180"/>
      <c r="E1502" s="1180"/>
      <c r="F1502" s="1180"/>
      <c r="G1502" s="1180"/>
      <c r="H1502" s="1150"/>
      <c r="I1502" s="1150"/>
      <c r="J1502" s="1150"/>
    </row>
    <row r="1503" spans="2:10">
      <c r="B1503" s="1156"/>
      <c r="C1503" s="1156"/>
      <c r="D1503" s="1180"/>
      <c r="E1503" s="1180"/>
      <c r="F1503" s="1180"/>
      <c r="G1503" s="1180"/>
      <c r="H1503" s="1150"/>
      <c r="I1503" s="1150"/>
      <c r="J1503" s="1150"/>
    </row>
    <row r="1504" spans="2:10">
      <c r="B1504" s="1156"/>
      <c r="C1504" s="1156"/>
      <c r="D1504" s="1180"/>
      <c r="E1504" s="1180"/>
      <c r="F1504" s="1180"/>
      <c r="G1504" s="1180"/>
      <c r="H1504" s="1150"/>
      <c r="I1504" s="1150"/>
      <c r="J1504" s="1150"/>
    </row>
    <row r="1505" spans="2:10">
      <c r="B1505" s="1156"/>
      <c r="C1505" s="1156"/>
      <c r="D1505" s="1180"/>
      <c r="E1505" s="1180"/>
      <c r="F1505" s="1180"/>
      <c r="G1505" s="1180"/>
      <c r="H1505" s="1150"/>
      <c r="I1505" s="1150"/>
      <c r="J1505" s="1150"/>
    </row>
    <row r="1506" spans="2:10">
      <c r="B1506" s="1156"/>
      <c r="C1506" s="1156"/>
      <c r="D1506" s="1180"/>
      <c r="E1506" s="1180"/>
      <c r="F1506" s="1180"/>
      <c r="G1506" s="1180"/>
      <c r="H1506" s="1150"/>
      <c r="I1506" s="1150"/>
      <c r="J1506" s="1150"/>
    </row>
    <row r="1507" spans="2:10">
      <c r="B1507" s="1156"/>
      <c r="C1507" s="1156"/>
      <c r="D1507" s="1180"/>
      <c r="E1507" s="1180"/>
      <c r="F1507" s="1180"/>
      <c r="G1507" s="1180"/>
      <c r="H1507" s="1150"/>
      <c r="I1507" s="1150"/>
      <c r="J1507" s="1150"/>
    </row>
    <row r="1508" spans="2:10">
      <c r="B1508" s="1156"/>
      <c r="C1508" s="1156"/>
      <c r="D1508" s="1180"/>
      <c r="E1508" s="1180"/>
      <c r="F1508" s="1180"/>
      <c r="G1508" s="1180"/>
      <c r="H1508" s="1150"/>
      <c r="I1508" s="1150"/>
      <c r="J1508" s="1150"/>
    </row>
    <row r="1509" spans="2:10">
      <c r="B1509" s="1156"/>
      <c r="C1509" s="1156"/>
      <c r="D1509" s="1180"/>
      <c r="E1509" s="1180"/>
      <c r="F1509" s="1180"/>
      <c r="G1509" s="1180"/>
      <c r="H1509" s="1150"/>
      <c r="I1509" s="1150"/>
      <c r="J1509" s="1150"/>
    </row>
    <row r="1510" spans="2:10">
      <c r="B1510" s="1156"/>
      <c r="C1510" s="1156"/>
      <c r="D1510" s="1180"/>
      <c r="E1510" s="1180"/>
      <c r="F1510" s="1180"/>
      <c r="G1510" s="1180"/>
      <c r="H1510" s="1150"/>
      <c r="I1510" s="1150"/>
      <c r="J1510" s="1150"/>
    </row>
    <row r="1511" spans="2:10">
      <c r="B1511" s="1156"/>
      <c r="C1511" s="1156"/>
      <c r="D1511" s="1180"/>
      <c r="E1511" s="1180"/>
      <c r="F1511" s="1180"/>
      <c r="G1511" s="1180"/>
      <c r="H1511" s="1150"/>
      <c r="I1511" s="1150"/>
      <c r="J1511" s="1150"/>
    </row>
    <row r="1512" spans="2:10">
      <c r="B1512" s="1156"/>
      <c r="C1512" s="1156"/>
      <c r="D1512" s="1180"/>
      <c r="E1512" s="1180"/>
      <c r="F1512" s="1180"/>
      <c r="G1512" s="1180"/>
      <c r="H1512" s="1150"/>
      <c r="I1512" s="1150"/>
      <c r="J1512" s="1150"/>
    </row>
    <row r="1513" spans="2:10">
      <c r="B1513" s="1156"/>
      <c r="C1513" s="1156"/>
      <c r="D1513" s="1180"/>
      <c r="E1513" s="1180"/>
      <c r="F1513" s="1180"/>
      <c r="G1513" s="1180"/>
      <c r="H1513" s="1150"/>
      <c r="I1513" s="1150"/>
      <c r="J1513" s="1150"/>
    </row>
    <row r="1514" spans="2:10">
      <c r="B1514" s="1156"/>
      <c r="C1514" s="1156"/>
      <c r="D1514" s="1180"/>
      <c r="E1514" s="1180"/>
      <c r="F1514" s="1180"/>
      <c r="G1514" s="1180"/>
      <c r="H1514" s="1150"/>
      <c r="I1514" s="1150"/>
      <c r="J1514" s="1150"/>
    </row>
    <row r="1515" spans="2:10">
      <c r="B1515" s="1156"/>
      <c r="C1515" s="1156"/>
      <c r="D1515" s="1180"/>
      <c r="E1515" s="1180"/>
      <c r="F1515" s="1180"/>
      <c r="G1515" s="1180"/>
      <c r="H1515" s="1150"/>
      <c r="I1515" s="1150"/>
      <c r="J1515" s="1150"/>
    </row>
    <row r="1516" spans="2:10">
      <c r="B1516" s="1156"/>
      <c r="C1516" s="1156"/>
      <c r="D1516" s="1180"/>
      <c r="E1516" s="1180"/>
      <c r="F1516" s="1180"/>
      <c r="G1516" s="1180"/>
      <c r="H1516" s="1150"/>
      <c r="I1516" s="1150"/>
      <c r="J1516" s="1150"/>
    </row>
    <row r="1517" spans="2:10">
      <c r="B1517" s="1156"/>
      <c r="C1517" s="1156"/>
      <c r="D1517" s="1180"/>
      <c r="E1517" s="1180"/>
      <c r="F1517" s="1180"/>
      <c r="G1517" s="1180"/>
      <c r="H1517" s="1150"/>
      <c r="I1517" s="1150"/>
      <c r="J1517" s="1150"/>
    </row>
    <row r="1518" spans="2:10">
      <c r="B1518" s="1156"/>
      <c r="C1518" s="1156"/>
      <c r="D1518" s="1180"/>
      <c r="E1518" s="1180"/>
      <c r="F1518" s="1180"/>
      <c r="G1518" s="1180"/>
      <c r="H1518" s="1150"/>
      <c r="I1518" s="1150"/>
      <c r="J1518" s="1150"/>
    </row>
    <row r="1519" spans="2:10">
      <c r="B1519" s="1156"/>
      <c r="C1519" s="1156"/>
      <c r="D1519" s="1180"/>
      <c r="E1519" s="1180"/>
      <c r="F1519" s="1180"/>
      <c r="G1519" s="1180"/>
      <c r="H1519" s="1150"/>
      <c r="I1519" s="1150"/>
      <c r="J1519" s="1150"/>
    </row>
    <row r="1520" spans="2:10">
      <c r="B1520" s="1156"/>
      <c r="C1520" s="1156"/>
      <c r="D1520" s="1180"/>
      <c r="E1520" s="1180"/>
      <c r="F1520" s="1180"/>
      <c r="G1520" s="1180"/>
      <c r="H1520" s="1150"/>
      <c r="I1520" s="1150"/>
      <c r="J1520" s="1150"/>
    </row>
    <row r="1521" spans="2:10">
      <c r="B1521" s="1156"/>
      <c r="C1521" s="1156"/>
      <c r="D1521" s="1180"/>
      <c r="E1521" s="1180"/>
      <c r="F1521" s="1180"/>
      <c r="G1521" s="1180"/>
      <c r="H1521" s="1150"/>
      <c r="I1521" s="1150"/>
      <c r="J1521" s="1150"/>
    </row>
    <row r="1522" spans="2:10">
      <c r="B1522" s="1156"/>
      <c r="C1522" s="1156"/>
      <c r="D1522" s="1180"/>
      <c r="E1522" s="1180"/>
      <c r="F1522" s="1180"/>
      <c r="G1522" s="1180"/>
      <c r="H1522" s="1150"/>
      <c r="I1522" s="1150"/>
      <c r="J1522" s="1150"/>
    </row>
    <row r="1523" spans="2:10">
      <c r="B1523" s="1156"/>
      <c r="C1523" s="1156"/>
      <c r="D1523" s="1180"/>
      <c r="E1523" s="1180"/>
      <c r="F1523" s="1180"/>
      <c r="G1523" s="1180"/>
      <c r="H1523" s="1150"/>
      <c r="I1523" s="1150"/>
      <c r="J1523" s="1150"/>
    </row>
    <row r="1524" spans="2:10">
      <c r="B1524" s="1156"/>
      <c r="C1524" s="1156"/>
      <c r="D1524" s="1180"/>
      <c r="E1524" s="1180"/>
      <c r="F1524" s="1180"/>
      <c r="G1524" s="1180"/>
      <c r="H1524" s="1150"/>
      <c r="I1524" s="1150"/>
      <c r="J1524" s="1150"/>
    </row>
    <row r="1525" spans="2:10">
      <c r="B1525" s="1156"/>
      <c r="C1525" s="1156"/>
      <c r="D1525" s="1180"/>
      <c r="E1525" s="1180"/>
      <c r="F1525" s="1180"/>
      <c r="G1525" s="1180"/>
      <c r="H1525" s="1150"/>
      <c r="I1525" s="1150"/>
      <c r="J1525" s="1150"/>
    </row>
    <row r="1526" spans="2:10">
      <c r="B1526" s="1156"/>
      <c r="C1526" s="1156"/>
      <c r="D1526" s="1180"/>
      <c r="E1526" s="1180"/>
      <c r="F1526" s="1180"/>
      <c r="G1526" s="1180"/>
      <c r="H1526" s="1150"/>
      <c r="I1526" s="1150"/>
      <c r="J1526" s="1150"/>
    </row>
    <row r="1527" spans="2:10">
      <c r="B1527" s="1156"/>
      <c r="C1527" s="1156"/>
      <c r="D1527" s="1180"/>
      <c r="E1527" s="1180"/>
      <c r="F1527" s="1180"/>
      <c r="G1527" s="1180"/>
      <c r="H1527" s="1150"/>
      <c r="I1527" s="1150"/>
      <c r="J1527" s="1150"/>
    </row>
    <row r="1528" spans="2:10">
      <c r="B1528" s="1156"/>
      <c r="C1528" s="1156"/>
      <c r="D1528" s="1180"/>
      <c r="E1528" s="1180"/>
      <c r="F1528" s="1180"/>
      <c r="G1528" s="1180"/>
      <c r="H1528" s="1150"/>
      <c r="I1528" s="1150"/>
      <c r="J1528" s="1150"/>
    </row>
    <row r="1529" spans="2:10">
      <c r="B1529" s="1156"/>
      <c r="C1529" s="1156"/>
      <c r="D1529" s="1180"/>
      <c r="E1529" s="1180"/>
      <c r="F1529" s="1180"/>
      <c r="G1529" s="1180"/>
      <c r="H1529" s="1150"/>
      <c r="I1529" s="1150"/>
      <c r="J1529" s="1150"/>
    </row>
    <row r="1530" spans="2:10">
      <c r="B1530" s="1156"/>
      <c r="C1530" s="1156"/>
      <c r="D1530" s="1180"/>
      <c r="E1530" s="1180"/>
      <c r="F1530" s="1180"/>
      <c r="G1530" s="1180"/>
      <c r="H1530" s="1150"/>
      <c r="I1530" s="1150"/>
      <c r="J1530" s="1150"/>
    </row>
    <row r="1531" spans="2:10">
      <c r="B1531" s="1156"/>
      <c r="C1531" s="1156"/>
      <c r="D1531" s="1180"/>
      <c r="E1531" s="1180"/>
      <c r="F1531" s="1180"/>
      <c r="G1531" s="1180"/>
      <c r="H1531" s="1150"/>
      <c r="I1531" s="1150"/>
      <c r="J1531" s="1150"/>
    </row>
    <row r="1532" spans="2:10">
      <c r="B1532" s="1156"/>
      <c r="C1532" s="1156"/>
      <c r="D1532" s="1180"/>
      <c r="E1532" s="1180"/>
      <c r="F1532" s="1180"/>
      <c r="G1532" s="1180"/>
      <c r="H1532" s="1150"/>
      <c r="I1532" s="1150"/>
      <c r="J1532" s="1150"/>
    </row>
    <row r="1533" spans="2:10">
      <c r="B1533" s="1156"/>
      <c r="C1533" s="1156"/>
      <c r="D1533" s="1180"/>
      <c r="E1533" s="1180"/>
      <c r="F1533" s="1180"/>
      <c r="G1533" s="1180"/>
      <c r="H1533" s="1150"/>
      <c r="I1533" s="1150"/>
      <c r="J1533" s="1150"/>
    </row>
    <row r="1534" spans="2:10">
      <c r="B1534" s="1156"/>
      <c r="C1534" s="1156"/>
      <c r="D1534" s="1180"/>
      <c r="E1534" s="1180"/>
      <c r="F1534" s="1180"/>
      <c r="G1534" s="1180"/>
      <c r="H1534" s="1150"/>
      <c r="I1534" s="1150"/>
      <c r="J1534" s="1150"/>
    </row>
    <row r="1535" spans="2:10">
      <c r="B1535" s="1156"/>
      <c r="C1535" s="1156"/>
      <c r="D1535" s="1180"/>
      <c r="E1535" s="1180"/>
      <c r="F1535" s="1180"/>
      <c r="G1535" s="1180"/>
      <c r="H1535" s="1150"/>
      <c r="I1535" s="1150"/>
      <c r="J1535" s="1150"/>
    </row>
    <row r="1536" spans="2:10">
      <c r="B1536" s="1156"/>
      <c r="C1536" s="1156"/>
      <c r="D1536" s="1180"/>
      <c r="E1536" s="1180"/>
      <c r="F1536" s="1180"/>
      <c r="G1536" s="1180"/>
      <c r="H1536" s="1150"/>
      <c r="I1536" s="1150"/>
      <c r="J1536" s="1150"/>
    </row>
    <row r="1537" spans="2:10">
      <c r="B1537" s="1156"/>
      <c r="C1537" s="1156"/>
      <c r="D1537" s="1180"/>
      <c r="E1537" s="1180"/>
      <c r="F1537" s="1180"/>
      <c r="G1537" s="1180"/>
      <c r="H1537" s="1150"/>
      <c r="I1537" s="1150"/>
      <c r="J1537" s="1150"/>
    </row>
    <row r="1538" spans="2:10">
      <c r="B1538" s="1156"/>
      <c r="C1538" s="1156"/>
      <c r="D1538" s="1180"/>
      <c r="E1538" s="1180"/>
      <c r="F1538" s="1180"/>
      <c r="G1538" s="1180"/>
      <c r="H1538" s="1150"/>
      <c r="I1538" s="1150"/>
      <c r="J1538" s="1150"/>
    </row>
    <row r="1539" spans="2:10">
      <c r="B1539" s="1156"/>
      <c r="C1539" s="1156"/>
      <c r="D1539" s="1180"/>
      <c r="E1539" s="1180"/>
      <c r="F1539" s="1180"/>
      <c r="G1539" s="1180"/>
      <c r="H1539" s="1150"/>
      <c r="I1539" s="1150"/>
      <c r="J1539" s="1150"/>
    </row>
    <row r="1540" spans="2:10">
      <c r="B1540" s="1156"/>
      <c r="C1540" s="1156"/>
      <c r="D1540" s="1180"/>
      <c r="E1540" s="1180"/>
      <c r="F1540" s="1180"/>
      <c r="G1540" s="1180"/>
      <c r="H1540" s="1150"/>
      <c r="I1540" s="1150"/>
      <c r="J1540" s="1150"/>
    </row>
    <row r="1541" spans="2:10">
      <c r="B1541" s="1156"/>
      <c r="C1541" s="1156"/>
      <c r="D1541" s="1180"/>
      <c r="E1541" s="1180"/>
      <c r="F1541" s="1180"/>
      <c r="G1541" s="1180"/>
      <c r="H1541" s="1150"/>
      <c r="I1541" s="1150"/>
      <c r="J1541" s="1150"/>
    </row>
    <row r="1542" spans="2:10">
      <c r="B1542" s="1156"/>
      <c r="C1542" s="1156"/>
      <c r="D1542" s="1180"/>
      <c r="E1542" s="1180"/>
      <c r="F1542" s="1180"/>
      <c r="G1542" s="1180"/>
      <c r="H1542" s="1150"/>
      <c r="I1542" s="1150"/>
      <c r="J1542" s="1150"/>
    </row>
    <row r="1543" spans="2:10">
      <c r="B1543" s="1156"/>
      <c r="C1543" s="1156"/>
      <c r="D1543" s="1180"/>
      <c r="E1543" s="1180"/>
      <c r="F1543" s="1180"/>
      <c r="G1543" s="1180"/>
      <c r="H1543" s="1150"/>
      <c r="I1543" s="1150"/>
      <c r="J1543" s="1150"/>
    </row>
    <row r="1544" spans="2:10">
      <c r="B1544" s="1156"/>
      <c r="C1544" s="1156"/>
      <c r="D1544" s="1180"/>
      <c r="E1544" s="1180"/>
      <c r="F1544" s="1180"/>
      <c r="G1544" s="1180"/>
      <c r="H1544" s="1150"/>
      <c r="I1544" s="1150"/>
      <c r="J1544" s="1150"/>
    </row>
    <row r="1545" spans="2:10">
      <c r="B1545" s="1156"/>
      <c r="C1545" s="1156"/>
      <c r="D1545" s="1180"/>
      <c r="E1545" s="1180"/>
      <c r="F1545" s="1180"/>
      <c r="G1545" s="1180"/>
      <c r="H1545" s="1150"/>
      <c r="I1545" s="1150"/>
      <c r="J1545" s="1150"/>
    </row>
    <row r="1546" spans="2:10">
      <c r="B1546" s="1156"/>
      <c r="C1546" s="1156"/>
      <c r="D1546" s="1180"/>
      <c r="E1546" s="1180"/>
      <c r="F1546" s="1180"/>
      <c r="G1546" s="1180"/>
      <c r="H1546" s="1150"/>
      <c r="I1546" s="1150"/>
      <c r="J1546" s="1150"/>
    </row>
    <row r="1547" spans="2:10">
      <c r="B1547" s="1156"/>
      <c r="C1547" s="1156"/>
      <c r="D1547" s="1180"/>
      <c r="E1547" s="1180"/>
      <c r="F1547" s="1180"/>
      <c r="G1547" s="1180"/>
      <c r="H1547" s="1150"/>
      <c r="I1547" s="1150"/>
      <c r="J1547" s="1150"/>
    </row>
    <row r="1548" spans="2:10">
      <c r="B1548" s="1156"/>
      <c r="C1548" s="1156"/>
      <c r="D1548" s="1180"/>
      <c r="E1548" s="1180"/>
      <c r="F1548" s="1180"/>
      <c r="G1548" s="1180"/>
      <c r="H1548" s="1150"/>
      <c r="I1548" s="1150"/>
      <c r="J1548" s="1150"/>
    </row>
    <row r="1549" spans="2:10">
      <c r="B1549" s="1156"/>
      <c r="C1549" s="1156"/>
      <c r="D1549" s="1180"/>
      <c r="E1549" s="1180"/>
      <c r="F1549" s="1180"/>
      <c r="G1549" s="1180"/>
      <c r="H1549" s="1150"/>
      <c r="I1549" s="1150"/>
      <c r="J1549" s="1150"/>
    </row>
    <row r="1550" spans="2:10">
      <c r="B1550" s="1156"/>
      <c r="C1550" s="1156"/>
      <c r="D1550" s="1180"/>
      <c r="E1550" s="1180"/>
      <c r="F1550" s="1180"/>
      <c r="G1550" s="1180"/>
      <c r="H1550" s="1150"/>
      <c r="I1550" s="1150"/>
      <c r="J1550" s="1150"/>
    </row>
    <row r="1551" spans="2:10">
      <c r="B1551" s="1156"/>
      <c r="C1551" s="1156"/>
      <c r="D1551" s="1180"/>
      <c r="E1551" s="1180"/>
      <c r="F1551" s="1180"/>
      <c r="G1551" s="1180"/>
      <c r="H1551" s="1150"/>
      <c r="I1551" s="1150"/>
      <c r="J1551" s="1150"/>
    </row>
    <row r="1552" spans="2:10">
      <c r="B1552" s="1156"/>
      <c r="C1552" s="1156"/>
      <c r="D1552" s="1180"/>
      <c r="E1552" s="1180"/>
      <c r="F1552" s="1180"/>
      <c r="G1552" s="1180"/>
      <c r="H1552" s="1150"/>
      <c r="I1552" s="1150"/>
      <c r="J1552" s="1150"/>
    </row>
    <row r="1553" spans="2:10">
      <c r="B1553" s="1156"/>
      <c r="C1553" s="1156"/>
      <c r="D1553" s="1180"/>
      <c r="E1553" s="1180"/>
      <c r="F1553" s="1180"/>
      <c r="G1553" s="1180"/>
      <c r="H1553" s="1150"/>
      <c r="I1553" s="1150"/>
      <c r="J1553" s="1150"/>
    </row>
    <row r="1554" spans="2:10">
      <c r="B1554" s="1156"/>
      <c r="C1554" s="1156"/>
      <c r="D1554" s="1180"/>
      <c r="E1554" s="1180"/>
      <c r="F1554" s="1180"/>
      <c r="G1554" s="1180"/>
      <c r="H1554" s="1150"/>
      <c r="I1554" s="1150"/>
      <c r="J1554" s="1150"/>
    </row>
    <row r="1555" spans="2:10">
      <c r="B1555" s="1156"/>
      <c r="C1555" s="1156"/>
      <c r="D1555" s="1180"/>
      <c r="E1555" s="1180"/>
      <c r="F1555" s="1180"/>
      <c r="G1555" s="1180"/>
      <c r="H1555" s="1150"/>
      <c r="I1555" s="1150"/>
      <c r="J1555" s="1150"/>
    </row>
    <row r="1556" spans="2:10">
      <c r="B1556" s="1156"/>
      <c r="C1556" s="1156"/>
      <c r="D1556" s="1180"/>
      <c r="E1556" s="1180"/>
      <c r="F1556" s="1180"/>
      <c r="G1556" s="1180"/>
      <c r="H1556" s="1150"/>
      <c r="I1556" s="1150"/>
      <c r="J1556" s="1150"/>
    </row>
    <row r="1557" spans="2:10">
      <c r="B1557" s="1156"/>
      <c r="C1557" s="1156"/>
      <c r="D1557" s="1180"/>
      <c r="E1557" s="1180"/>
      <c r="F1557" s="1180"/>
      <c r="G1557" s="1180"/>
      <c r="H1557" s="1150"/>
      <c r="I1557" s="1150"/>
      <c r="J1557" s="1150"/>
    </row>
    <row r="1558" spans="2:10">
      <c r="B1558" s="1156"/>
      <c r="C1558" s="1156"/>
      <c r="D1558" s="1180"/>
      <c r="E1558" s="1180"/>
      <c r="F1558" s="1180"/>
      <c r="G1558" s="1180"/>
      <c r="H1558" s="1150"/>
      <c r="I1558" s="1150"/>
      <c r="J1558" s="1150"/>
    </row>
    <row r="1559" spans="2:10">
      <c r="B1559" s="1156"/>
      <c r="C1559" s="1156"/>
      <c r="D1559" s="1180"/>
      <c r="E1559" s="1180"/>
      <c r="F1559" s="1180"/>
      <c r="G1559" s="1180"/>
      <c r="H1559" s="1150"/>
      <c r="I1559" s="1150"/>
      <c r="J1559" s="1150"/>
    </row>
    <row r="1560" spans="2:10">
      <c r="B1560" s="1156"/>
      <c r="C1560" s="1156"/>
      <c r="D1560" s="1180"/>
      <c r="E1560" s="1180"/>
      <c r="F1560" s="1180"/>
      <c r="G1560" s="1180"/>
      <c r="H1560" s="1150"/>
      <c r="I1560" s="1150"/>
      <c r="J1560" s="1150"/>
    </row>
    <row r="1561" spans="2:10">
      <c r="B1561" s="1156"/>
      <c r="C1561" s="1156"/>
      <c r="D1561" s="1180"/>
      <c r="E1561" s="1180"/>
      <c r="F1561" s="1180"/>
      <c r="G1561" s="1180"/>
      <c r="H1561" s="1150"/>
      <c r="I1561" s="1150"/>
      <c r="J1561" s="1150"/>
    </row>
    <row r="1562" spans="2:10">
      <c r="B1562" s="1156"/>
      <c r="C1562" s="1156"/>
      <c r="D1562" s="1180"/>
      <c r="E1562" s="1180"/>
      <c r="F1562" s="1180"/>
      <c r="G1562" s="1180"/>
      <c r="H1562" s="1150"/>
      <c r="I1562" s="1150"/>
      <c r="J1562" s="1150"/>
    </row>
    <row r="1563" spans="2:10">
      <c r="B1563" s="1156"/>
      <c r="C1563" s="1156"/>
      <c r="D1563" s="1180"/>
      <c r="E1563" s="1180"/>
      <c r="F1563" s="1180"/>
      <c r="G1563" s="1180"/>
      <c r="H1563" s="1150"/>
      <c r="I1563" s="1150"/>
      <c r="J1563" s="1150"/>
    </row>
    <row r="1564" spans="2:10">
      <c r="B1564" s="1156"/>
      <c r="C1564" s="1156"/>
      <c r="D1564" s="1180"/>
      <c r="E1564" s="1180"/>
      <c r="F1564" s="1180"/>
      <c r="G1564" s="1180"/>
      <c r="H1564" s="1150"/>
      <c r="I1564" s="1150"/>
      <c r="J1564" s="1150"/>
    </row>
    <row r="1565" spans="2:10">
      <c r="B1565" s="1156"/>
      <c r="C1565" s="1156"/>
      <c r="D1565" s="1180"/>
      <c r="E1565" s="1180"/>
      <c r="F1565" s="1180"/>
      <c r="G1565" s="1180"/>
      <c r="H1565" s="1150"/>
      <c r="I1565" s="1150"/>
      <c r="J1565" s="1150"/>
    </row>
    <row r="1566" spans="2:10">
      <c r="B1566" s="1156"/>
      <c r="C1566" s="1156"/>
      <c r="D1566" s="1180"/>
      <c r="E1566" s="1180"/>
      <c r="F1566" s="1180"/>
      <c r="G1566" s="1180"/>
      <c r="H1566" s="1150"/>
      <c r="I1566" s="1150"/>
      <c r="J1566" s="1150"/>
    </row>
    <row r="1567" spans="2:10">
      <c r="B1567" s="1156"/>
      <c r="C1567" s="1156"/>
      <c r="D1567" s="1180"/>
      <c r="E1567" s="1180"/>
      <c r="F1567" s="1180"/>
      <c r="G1567" s="1180"/>
      <c r="H1567" s="1150"/>
      <c r="I1567" s="1150"/>
      <c r="J1567" s="1150"/>
    </row>
    <row r="1568" spans="2:10">
      <c r="B1568" s="1156"/>
      <c r="C1568" s="1156"/>
      <c r="D1568" s="1180"/>
      <c r="E1568" s="1180"/>
      <c r="F1568" s="1180"/>
      <c r="G1568" s="1180"/>
      <c r="H1568" s="1150"/>
      <c r="I1568" s="1150"/>
      <c r="J1568" s="1150"/>
    </row>
    <row r="1569" spans="2:10">
      <c r="B1569" s="1156"/>
      <c r="C1569" s="1156"/>
      <c r="D1569" s="1180"/>
      <c r="E1569" s="1180"/>
      <c r="F1569" s="1180"/>
      <c r="G1569" s="1180"/>
      <c r="H1569" s="1150"/>
      <c r="I1569" s="1150"/>
      <c r="J1569" s="1150"/>
    </row>
    <row r="1570" spans="2:10">
      <c r="B1570" s="1156"/>
      <c r="C1570" s="1156"/>
      <c r="D1570" s="1180"/>
      <c r="E1570" s="1180"/>
      <c r="F1570" s="1180"/>
      <c r="G1570" s="1180"/>
      <c r="H1570" s="1150"/>
      <c r="I1570" s="1150"/>
      <c r="J1570" s="1150"/>
    </row>
    <row r="1571" spans="2:10">
      <c r="B1571" s="1156"/>
      <c r="C1571" s="1156"/>
      <c r="D1571" s="1180"/>
      <c r="E1571" s="1180"/>
      <c r="F1571" s="1180"/>
      <c r="G1571" s="1180"/>
      <c r="H1571" s="1150"/>
      <c r="I1571" s="1150"/>
      <c r="J1571" s="1150"/>
    </row>
    <row r="1572" spans="2:10">
      <c r="B1572" s="1156"/>
      <c r="C1572" s="1156"/>
      <c r="D1572" s="1180"/>
      <c r="E1572" s="1180"/>
      <c r="F1572" s="1180"/>
      <c r="G1572" s="1180"/>
      <c r="H1572" s="1150"/>
      <c r="I1572" s="1150"/>
      <c r="J1572" s="1150"/>
    </row>
    <row r="1573" spans="2:10">
      <c r="B1573" s="1156"/>
      <c r="C1573" s="1156"/>
      <c r="D1573" s="1180"/>
      <c r="E1573" s="1180"/>
      <c r="F1573" s="1180"/>
      <c r="G1573" s="1180"/>
      <c r="H1573" s="1150"/>
      <c r="I1573" s="1150"/>
      <c r="J1573" s="1150"/>
    </row>
    <row r="1574" spans="2:10">
      <c r="B1574" s="1156"/>
      <c r="C1574" s="1156"/>
      <c r="D1574" s="1180"/>
      <c r="E1574" s="1180"/>
      <c r="F1574" s="1180"/>
      <c r="G1574" s="1180"/>
      <c r="H1574" s="1150"/>
      <c r="I1574" s="1150"/>
      <c r="J1574" s="1150"/>
    </row>
    <row r="1575" spans="2:10">
      <c r="B1575" s="1156"/>
      <c r="C1575" s="1156"/>
      <c r="D1575" s="1180"/>
      <c r="E1575" s="1180"/>
      <c r="F1575" s="1180"/>
      <c r="G1575" s="1180"/>
      <c r="H1575" s="1150"/>
      <c r="I1575" s="1150"/>
      <c r="J1575" s="1150"/>
    </row>
    <row r="1576" spans="2:10">
      <c r="B1576" s="1156"/>
      <c r="C1576" s="1156"/>
      <c r="D1576" s="1180"/>
      <c r="E1576" s="1180"/>
      <c r="F1576" s="1180"/>
      <c r="G1576" s="1180"/>
      <c r="H1576" s="1150"/>
      <c r="I1576" s="1150"/>
      <c r="J1576" s="1150"/>
    </row>
    <row r="1577" spans="2:10">
      <c r="B1577" s="1156"/>
      <c r="C1577" s="1156"/>
      <c r="D1577" s="1180"/>
      <c r="E1577" s="1180"/>
      <c r="F1577" s="1180"/>
      <c r="G1577" s="1180"/>
      <c r="H1577" s="1150"/>
      <c r="I1577" s="1150"/>
      <c r="J1577" s="1150"/>
    </row>
    <row r="1578" spans="2:10">
      <c r="B1578" s="1156"/>
      <c r="C1578" s="1156"/>
      <c r="D1578" s="1180"/>
      <c r="E1578" s="1180"/>
      <c r="F1578" s="1180"/>
      <c r="G1578" s="1180"/>
      <c r="H1578" s="1150"/>
      <c r="I1578" s="1150"/>
      <c r="J1578" s="1150"/>
    </row>
    <row r="1579" spans="2:10">
      <c r="B1579" s="1156"/>
      <c r="C1579" s="1156"/>
      <c r="D1579" s="1180"/>
      <c r="E1579" s="1180"/>
      <c r="F1579" s="1180"/>
      <c r="G1579" s="1180"/>
      <c r="H1579" s="1150"/>
      <c r="I1579" s="1150"/>
      <c r="J1579" s="1150"/>
    </row>
    <row r="1580" spans="2:10">
      <c r="B1580" s="1156"/>
      <c r="C1580" s="1156"/>
      <c r="D1580" s="1180"/>
      <c r="E1580" s="1180"/>
      <c r="F1580" s="1180"/>
      <c r="G1580" s="1180"/>
      <c r="H1580" s="1150"/>
      <c r="I1580" s="1150"/>
      <c r="J1580" s="1150"/>
    </row>
    <row r="1581" spans="2:10">
      <c r="B1581" s="1156"/>
      <c r="C1581" s="1156"/>
      <c r="D1581" s="1180"/>
      <c r="E1581" s="1180"/>
      <c r="F1581" s="1180"/>
      <c r="G1581" s="1180"/>
      <c r="H1581" s="1150"/>
      <c r="I1581" s="1150"/>
      <c r="J1581" s="1150"/>
    </row>
    <row r="1582" spans="2:10">
      <c r="B1582" s="1156"/>
      <c r="C1582" s="1156"/>
      <c r="D1582" s="1180"/>
      <c r="E1582" s="1180"/>
      <c r="F1582" s="1180"/>
      <c r="G1582" s="1180"/>
      <c r="H1582" s="1150"/>
      <c r="I1582" s="1150"/>
      <c r="J1582" s="1150"/>
    </row>
    <row r="1583" spans="2:10">
      <c r="B1583" s="1156"/>
      <c r="C1583" s="1156"/>
      <c r="D1583" s="1180"/>
      <c r="E1583" s="1180"/>
      <c r="F1583" s="1180"/>
      <c r="G1583" s="1180"/>
      <c r="H1583" s="1150"/>
      <c r="I1583" s="1150"/>
      <c r="J1583" s="1150"/>
    </row>
    <row r="1584" spans="2:10">
      <c r="B1584" s="1156"/>
      <c r="C1584" s="1156"/>
      <c r="D1584" s="1180"/>
      <c r="E1584" s="1180"/>
      <c r="F1584" s="1180"/>
      <c r="G1584" s="1180"/>
      <c r="H1584" s="1150"/>
      <c r="I1584" s="1150"/>
      <c r="J1584" s="1150"/>
    </row>
    <row r="1585" spans="2:10">
      <c r="B1585" s="1156"/>
      <c r="C1585" s="1156"/>
      <c r="D1585" s="1180"/>
      <c r="E1585" s="1180"/>
      <c r="F1585" s="1180"/>
      <c r="G1585" s="1180"/>
      <c r="H1585" s="1150"/>
      <c r="I1585" s="1150"/>
      <c r="J1585" s="1150"/>
    </row>
    <row r="1586" spans="2:10">
      <c r="B1586" s="1156"/>
      <c r="C1586" s="1156"/>
      <c r="D1586" s="1180"/>
      <c r="E1586" s="1180"/>
      <c r="F1586" s="1180"/>
      <c r="G1586" s="1180"/>
      <c r="H1586" s="1150"/>
      <c r="I1586" s="1150"/>
      <c r="J1586" s="1150"/>
    </row>
    <row r="1587" spans="2:10">
      <c r="B1587" s="1156"/>
      <c r="C1587" s="1156"/>
      <c r="D1587" s="1180"/>
      <c r="E1587" s="1180"/>
      <c r="F1587" s="1180"/>
      <c r="G1587" s="1180"/>
      <c r="H1587" s="1150"/>
      <c r="I1587" s="1150"/>
      <c r="J1587" s="1150"/>
    </row>
    <row r="1588" spans="2:10">
      <c r="B1588" s="1156"/>
      <c r="C1588" s="1156"/>
      <c r="D1588" s="1180"/>
      <c r="E1588" s="1180"/>
      <c r="F1588" s="1180"/>
      <c r="G1588" s="1180"/>
      <c r="H1588" s="1150"/>
      <c r="I1588" s="1150"/>
      <c r="J1588" s="1150"/>
    </row>
    <row r="1589" spans="2:10">
      <c r="B1589" s="1156"/>
      <c r="C1589" s="1156"/>
      <c r="D1589" s="1180"/>
      <c r="E1589" s="1180"/>
      <c r="F1589" s="1180"/>
      <c r="G1589" s="1180"/>
      <c r="H1589" s="1150"/>
      <c r="I1589" s="1150"/>
      <c r="J1589" s="1150"/>
    </row>
    <row r="1590" spans="2:10">
      <c r="B1590" s="1156"/>
      <c r="C1590" s="1156"/>
      <c r="D1590" s="1180"/>
      <c r="E1590" s="1180"/>
      <c r="F1590" s="1180"/>
      <c r="G1590" s="1180"/>
      <c r="H1590" s="1150"/>
      <c r="I1590" s="1150"/>
      <c r="J1590" s="1150"/>
    </row>
    <row r="1591" spans="2:10">
      <c r="B1591" s="1156"/>
      <c r="C1591" s="1156"/>
      <c r="D1591" s="1180"/>
      <c r="E1591" s="1180"/>
      <c r="F1591" s="1180"/>
      <c r="G1591" s="1180"/>
      <c r="H1591" s="1150"/>
      <c r="I1591" s="1150"/>
      <c r="J1591" s="1150"/>
    </row>
    <row r="1592" spans="2:10">
      <c r="B1592" s="1156"/>
      <c r="C1592" s="1156"/>
      <c r="D1592" s="1180"/>
      <c r="E1592" s="1180"/>
      <c r="F1592" s="1180"/>
      <c r="G1592" s="1180"/>
      <c r="H1592" s="1150"/>
      <c r="I1592" s="1150"/>
      <c r="J1592" s="1150"/>
    </row>
    <row r="1593" spans="2:10">
      <c r="B1593" s="1156"/>
      <c r="C1593" s="1156"/>
      <c r="D1593" s="1180"/>
      <c r="E1593" s="1180"/>
      <c r="F1593" s="1180"/>
      <c r="G1593" s="1180"/>
      <c r="H1593" s="1150"/>
      <c r="I1593" s="1150"/>
      <c r="J1593" s="1150"/>
    </row>
    <row r="1594" spans="2:10">
      <c r="B1594" s="1156"/>
      <c r="C1594" s="1156"/>
      <c r="D1594" s="1180"/>
      <c r="E1594" s="1180"/>
      <c r="F1594" s="1180"/>
      <c r="G1594" s="1180"/>
      <c r="H1594" s="1150"/>
      <c r="I1594" s="1150"/>
      <c r="J1594" s="1150"/>
    </row>
    <row r="1595" spans="2:10">
      <c r="B1595" s="1156"/>
      <c r="C1595" s="1156"/>
      <c r="D1595" s="1180"/>
      <c r="E1595" s="1180"/>
      <c r="F1595" s="1180"/>
      <c r="G1595" s="1180"/>
      <c r="H1595" s="1150"/>
      <c r="I1595" s="1150"/>
      <c r="J1595" s="1150"/>
    </row>
    <row r="1596" spans="2:10">
      <c r="B1596" s="1156"/>
      <c r="C1596" s="1156"/>
      <c r="D1596" s="1180"/>
      <c r="E1596" s="1180"/>
      <c r="F1596" s="1180"/>
      <c r="G1596" s="1180"/>
      <c r="H1596" s="1150"/>
      <c r="I1596" s="1150"/>
      <c r="J1596" s="1150"/>
    </row>
    <row r="1597" spans="2:10">
      <c r="B1597" s="1156"/>
      <c r="C1597" s="1156"/>
      <c r="D1597" s="1180"/>
      <c r="E1597" s="1180"/>
      <c r="F1597" s="1180"/>
      <c r="G1597" s="1180"/>
      <c r="H1597" s="1150"/>
      <c r="I1597" s="1150"/>
      <c r="J1597" s="1150"/>
    </row>
    <row r="1598" spans="2:10">
      <c r="B1598" s="1156"/>
      <c r="C1598" s="1156"/>
      <c r="D1598" s="1180"/>
      <c r="E1598" s="1180"/>
      <c r="F1598" s="1180"/>
      <c r="G1598" s="1180"/>
      <c r="H1598" s="1150"/>
      <c r="I1598" s="1150"/>
      <c r="J1598" s="1150"/>
    </row>
    <row r="1599" spans="2:10">
      <c r="B1599" s="1156"/>
      <c r="C1599" s="1156"/>
      <c r="D1599" s="1180"/>
      <c r="E1599" s="1180"/>
      <c r="F1599" s="1180"/>
      <c r="G1599" s="1180"/>
      <c r="H1599" s="1150"/>
      <c r="I1599" s="1150"/>
      <c r="J1599" s="1150"/>
    </row>
    <row r="1600" spans="2:10">
      <c r="B1600" s="1156"/>
      <c r="C1600" s="1156"/>
      <c r="D1600" s="1180"/>
      <c r="E1600" s="1180"/>
      <c r="F1600" s="1180"/>
      <c r="G1600" s="1180"/>
      <c r="H1600" s="1150"/>
      <c r="I1600" s="1150"/>
      <c r="J1600" s="1150"/>
    </row>
    <row r="1601" spans="2:10">
      <c r="B1601" s="1156"/>
      <c r="C1601" s="1156"/>
      <c r="D1601" s="1180"/>
      <c r="E1601" s="1180"/>
      <c r="F1601" s="1180"/>
      <c r="G1601" s="1180"/>
      <c r="H1601" s="1150"/>
      <c r="I1601" s="1150"/>
      <c r="J1601" s="1150"/>
    </row>
    <row r="1602" spans="2:10">
      <c r="B1602" s="1156"/>
      <c r="C1602" s="1156"/>
      <c r="D1602" s="1180"/>
      <c r="E1602" s="1180"/>
      <c r="F1602" s="1180"/>
      <c r="G1602" s="1180"/>
      <c r="H1602" s="1150"/>
      <c r="I1602" s="1150"/>
      <c r="J1602" s="1150"/>
    </row>
    <row r="1603" spans="2:10">
      <c r="B1603" s="1156"/>
      <c r="C1603" s="1156"/>
      <c r="D1603" s="1180"/>
      <c r="E1603" s="1180"/>
      <c r="F1603" s="1180"/>
      <c r="G1603" s="1180"/>
      <c r="H1603" s="1150"/>
      <c r="I1603" s="1150"/>
      <c r="J1603" s="1150"/>
    </row>
    <row r="1604" spans="2:10">
      <c r="B1604" s="1156"/>
      <c r="C1604" s="1156"/>
      <c r="D1604" s="1180"/>
      <c r="E1604" s="1180"/>
      <c r="F1604" s="1180"/>
      <c r="G1604" s="1180"/>
      <c r="H1604" s="1150"/>
      <c r="I1604" s="1150"/>
      <c r="J1604" s="1150"/>
    </row>
    <row r="1605" spans="2:10">
      <c r="B1605" s="1156"/>
      <c r="C1605" s="1156"/>
      <c r="D1605" s="1180"/>
      <c r="E1605" s="1180"/>
      <c r="F1605" s="1180"/>
      <c r="G1605" s="1180"/>
      <c r="H1605" s="1150"/>
      <c r="I1605" s="1150"/>
      <c r="J1605" s="1150"/>
    </row>
    <row r="1606" spans="2:10">
      <c r="B1606" s="1156"/>
      <c r="C1606" s="1156"/>
      <c r="D1606" s="1180"/>
      <c r="E1606" s="1180"/>
      <c r="F1606" s="1180"/>
      <c r="G1606" s="1180"/>
      <c r="H1606" s="1150"/>
      <c r="I1606" s="1150"/>
      <c r="J1606" s="1150"/>
    </row>
    <row r="1607" spans="2:10">
      <c r="B1607" s="1156"/>
      <c r="C1607" s="1156"/>
      <c r="D1607" s="1180"/>
      <c r="E1607" s="1180"/>
      <c r="F1607" s="1180"/>
      <c r="G1607" s="1180"/>
      <c r="H1607" s="1150"/>
      <c r="I1607" s="1150"/>
      <c r="J1607" s="1150"/>
    </row>
    <row r="1608" spans="2:10">
      <c r="B1608" s="1156"/>
      <c r="C1608" s="1156"/>
      <c r="D1608" s="1180"/>
      <c r="E1608" s="1180"/>
      <c r="F1608" s="1180"/>
      <c r="G1608" s="1180"/>
      <c r="H1608" s="1150"/>
      <c r="I1608" s="1150"/>
      <c r="J1608" s="1150"/>
    </row>
    <row r="1609" spans="2:10">
      <c r="B1609" s="1156"/>
      <c r="C1609" s="1156"/>
      <c r="D1609" s="1180"/>
      <c r="E1609" s="1180"/>
      <c r="F1609" s="1180"/>
      <c r="G1609" s="1180"/>
      <c r="H1609" s="1150"/>
      <c r="I1609" s="1150"/>
      <c r="J1609" s="1150"/>
    </row>
    <row r="1610" spans="2:10">
      <c r="B1610" s="1156"/>
      <c r="C1610" s="1156"/>
      <c r="D1610" s="1180"/>
      <c r="E1610" s="1180"/>
      <c r="F1610" s="1180"/>
      <c r="G1610" s="1180"/>
      <c r="H1610" s="1150"/>
      <c r="I1610" s="1150"/>
      <c r="J1610" s="1150"/>
    </row>
    <row r="1611" spans="2:10">
      <c r="B1611" s="1156"/>
      <c r="C1611" s="1156"/>
      <c r="D1611" s="1180"/>
      <c r="E1611" s="1180"/>
      <c r="F1611" s="1180"/>
      <c r="G1611" s="1180"/>
      <c r="H1611" s="1150"/>
      <c r="I1611" s="1150"/>
      <c r="J1611" s="1150"/>
    </row>
    <row r="1612" spans="2:10">
      <c r="B1612" s="1156"/>
      <c r="C1612" s="1156"/>
      <c r="D1612" s="1180"/>
      <c r="E1612" s="1180"/>
      <c r="F1612" s="1180"/>
      <c r="G1612" s="1180"/>
      <c r="H1612" s="1150"/>
      <c r="I1612" s="1150"/>
      <c r="J1612" s="1150"/>
    </row>
    <row r="1613" spans="2:10">
      <c r="B1613" s="1156"/>
      <c r="C1613" s="1156"/>
      <c r="D1613" s="1180"/>
      <c r="E1613" s="1180"/>
      <c r="F1613" s="1180"/>
      <c r="G1613" s="1180"/>
      <c r="H1613" s="1150"/>
      <c r="I1613" s="1150"/>
      <c r="J1613" s="1150"/>
    </row>
    <row r="1614" spans="2:10">
      <c r="B1614" s="1156"/>
      <c r="C1614" s="1156"/>
      <c r="D1614" s="1180"/>
      <c r="E1614" s="1180"/>
      <c r="F1614" s="1180"/>
      <c r="G1614" s="1180"/>
      <c r="H1614" s="1150"/>
      <c r="I1614" s="1150"/>
      <c r="J1614" s="1150"/>
    </row>
    <row r="1615" spans="2:10">
      <c r="B1615" s="1156"/>
      <c r="C1615" s="1156"/>
      <c r="D1615" s="1180"/>
      <c r="E1615" s="1180"/>
      <c r="F1615" s="1180"/>
      <c r="G1615" s="1180"/>
      <c r="H1615" s="1150"/>
      <c r="I1615" s="1150"/>
      <c r="J1615" s="1150"/>
    </row>
    <row r="1616" spans="2:10">
      <c r="B1616" s="1156"/>
      <c r="C1616" s="1156"/>
      <c r="D1616" s="1180"/>
      <c r="E1616" s="1180"/>
      <c r="F1616" s="1180"/>
      <c r="G1616" s="1180"/>
      <c r="H1616" s="1150"/>
      <c r="I1616" s="1150"/>
      <c r="J1616" s="1150"/>
    </row>
    <row r="1617" spans="2:10">
      <c r="B1617" s="1156"/>
      <c r="C1617" s="1156"/>
      <c r="D1617" s="1180"/>
      <c r="E1617" s="1180"/>
      <c r="F1617" s="1180"/>
      <c r="G1617" s="1180"/>
      <c r="H1617" s="1150"/>
      <c r="I1617" s="1150"/>
      <c r="J1617" s="1150"/>
    </row>
    <row r="1618" spans="2:10">
      <c r="B1618" s="1156"/>
      <c r="C1618" s="1156"/>
      <c r="D1618" s="1180"/>
      <c r="E1618" s="1180"/>
      <c r="F1618" s="1180"/>
      <c r="G1618" s="1180"/>
      <c r="H1618" s="1150"/>
      <c r="I1618" s="1150"/>
      <c r="J1618" s="1150"/>
    </row>
    <row r="1619" spans="2:10">
      <c r="B1619" s="1156"/>
      <c r="C1619" s="1156"/>
      <c r="D1619" s="1180"/>
      <c r="E1619" s="1180"/>
      <c r="F1619" s="1180"/>
      <c r="G1619" s="1180"/>
      <c r="H1619" s="1150"/>
      <c r="I1619" s="1150"/>
      <c r="J1619" s="1150"/>
    </row>
    <row r="1620" spans="2:10">
      <c r="B1620" s="1156"/>
      <c r="C1620" s="1156"/>
      <c r="D1620" s="1180"/>
      <c r="E1620" s="1180"/>
      <c r="F1620" s="1180"/>
      <c r="G1620" s="1180"/>
      <c r="H1620" s="1150"/>
      <c r="I1620" s="1150"/>
      <c r="J1620" s="1150"/>
    </row>
    <row r="1621" spans="2:10">
      <c r="B1621" s="1156"/>
      <c r="C1621" s="1156"/>
      <c r="D1621" s="1180"/>
      <c r="E1621" s="1180"/>
      <c r="F1621" s="1180"/>
      <c r="G1621" s="1180"/>
      <c r="H1621" s="1150"/>
      <c r="I1621" s="1150"/>
      <c r="J1621" s="1150"/>
    </row>
    <row r="1622" spans="2:10">
      <c r="B1622" s="1156"/>
      <c r="C1622" s="1156"/>
      <c r="D1622" s="1180"/>
      <c r="E1622" s="1180"/>
      <c r="F1622" s="1180"/>
      <c r="G1622" s="1180"/>
      <c r="H1622" s="1150"/>
      <c r="I1622" s="1150"/>
      <c r="J1622" s="1150"/>
    </row>
    <row r="1623" spans="2:10">
      <c r="B1623" s="1156"/>
      <c r="C1623" s="1156"/>
      <c r="D1623" s="1180"/>
      <c r="E1623" s="1180"/>
      <c r="F1623" s="1180"/>
      <c r="G1623" s="1180"/>
      <c r="H1623" s="1150"/>
      <c r="I1623" s="1150"/>
      <c r="J1623" s="1150"/>
    </row>
    <row r="1624" spans="2:10">
      <c r="B1624" s="1156"/>
      <c r="C1624" s="1156"/>
      <c r="D1624" s="1180"/>
      <c r="E1624" s="1180"/>
      <c r="F1624" s="1180"/>
      <c r="G1624" s="1180"/>
      <c r="H1624" s="1150"/>
      <c r="I1624" s="1150"/>
      <c r="J1624" s="1150"/>
    </row>
    <row r="1625" spans="2:10">
      <c r="B1625" s="1156"/>
      <c r="C1625" s="1156"/>
      <c r="D1625" s="1180"/>
      <c r="E1625" s="1180"/>
      <c r="F1625" s="1180"/>
      <c r="G1625" s="1180"/>
      <c r="H1625" s="1150"/>
      <c r="I1625" s="1150"/>
      <c r="J1625" s="1150"/>
    </row>
    <row r="1626" spans="2:10">
      <c r="B1626" s="1156"/>
      <c r="C1626" s="1156"/>
      <c r="D1626" s="1180"/>
      <c r="E1626" s="1180"/>
      <c r="F1626" s="1180"/>
      <c r="G1626" s="1180"/>
      <c r="H1626" s="1150"/>
      <c r="I1626" s="1150"/>
      <c r="J1626" s="1150"/>
    </row>
    <row r="1627" spans="2:10">
      <c r="B1627" s="1156"/>
      <c r="C1627" s="1156"/>
      <c r="D1627" s="1180"/>
      <c r="E1627" s="1180"/>
      <c r="F1627" s="1180"/>
      <c r="G1627" s="1180"/>
      <c r="H1627" s="1150"/>
      <c r="I1627" s="1150"/>
      <c r="J1627" s="1150"/>
    </row>
    <row r="1628" spans="2:10">
      <c r="B1628" s="1156"/>
      <c r="C1628" s="1156"/>
      <c r="D1628" s="1180"/>
      <c r="E1628" s="1180"/>
      <c r="F1628" s="1180"/>
      <c r="G1628" s="1180"/>
      <c r="H1628" s="1150"/>
      <c r="I1628" s="1150"/>
      <c r="J1628" s="1150"/>
    </row>
    <row r="1629" spans="2:10">
      <c r="B1629" s="1156"/>
      <c r="C1629" s="1156"/>
      <c r="D1629" s="1180"/>
      <c r="E1629" s="1180"/>
      <c r="F1629" s="1180"/>
      <c r="G1629" s="1180"/>
      <c r="H1629" s="1150"/>
      <c r="I1629" s="1150"/>
      <c r="J1629" s="1150"/>
    </row>
    <row r="1630" spans="2:10">
      <c r="B1630" s="1156"/>
      <c r="C1630" s="1156"/>
      <c r="D1630" s="1180"/>
      <c r="E1630" s="1180"/>
      <c r="F1630" s="1180"/>
      <c r="G1630" s="1180"/>
      <c r="H1630" s="1150"/>
      <c r="I1630" s="1150"/>
      <c r="J1630" s="1150"/>
    </row>
  </sheetData>
  <mergeCells count="2">
    <mergeCell ref="R3:S3"/>
    <mergeCell ref="T3:U3"/>
  </mergeCells>
  <hyperlinks>
    <hyperlink ref="H106" r:id="rId1" location="content" display="content" xr:uid="{4A97E40B-0CE5-4575-A292-275425C88B65}"/>
  </hyperlinks>
  <pageMargins left="0.75" right="0.75" top="1" bottom="1" header="0.5" footer="0.5"/>
  <pageSetup paperSize="9" orientation="portrait" horizontalDpi="300" verticalDpi="300" r:id="rId2"/>
  <headerFooter alignWithMargins="0"/>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theme="9" tint="0.59999389629810485"/>
  </sheetPr>
  <dimension ref="A1:AG1738"/>
  <sheetViews>
    <sheetView topLeftCell="F1" zoomScale="55" zoomScaleNormal="55" workbookViewId="0">
      <selection activeCell="T45" sqref="T45"/>
    </sheetView>
  </sheetViews>
  <sheetFormatPr defaultColWidth="9.109375" defaultRowHeight="13.2"/>
  <cols>
    <col min="1" max="1" width="2" style="207" bestFit="1" customWidth="1"/>
    <col min="2" max="2" width="12.44140625" style="207" customWidth="1"/>
    <col min="3" max="3" width="63.88671875" style="207" customWidth="1"/>
    <col min="4" max="4" width="44" style="218" customWidth="1"/>
    <col min="5" max="5" width="22" style="218" customWidth="1"/>
    <col min="6" max="6" width="13.88671875" style="218" customWidth="1"/>
    <col min="7" max="7" width="14.33203125" style="218" customWidth="1"/>
    <col min="8" max="8" width="15.88671875" style="218" customWidth="1"/>
    <col min="9" max="9" width="14.109375" style="217" bestFit="1" customWidth="1"/>
    <col min="10" max="10" width="12.6640625" style="217" customWidth="1"/>
    <col min="11" max="11" width="13.6640625" style="217" bestFit="1" customWidth="1"/>
    <col min="12" max="13" width="13.33203125" style="207" bestFit="1" customWidth="1"/>
    <col min="14" max="14" width="10.6640625" style="207" bestFit="1" customWidth="1"/>
    <col min="15" max="16" width="9.33203125" style="207" bestFit="1" customWidth="1"/>
    <col min="17" max="17" width="13.109375" style="207" bestFit="1" customWidth="1"/>
    <col min="18" max="18" width="13.33203125" style="207" bestFit="1" customWidth="1"/>
    <col min="19" max="19" width="7.6640625" style="207" customWidth="1"/>
    <col min="20" max="20" width="11.5546875" style="207" bestFit="1" customWidth="1"/>
    <col min="21" max="22" width="12.6640625" style="207" customWidth="1"/>
    <col min="23" max="23" width="12.44140625" style="207" customWidth="1"/>
    <col min="24" max="16384" width="9.109375" style="207"/>
  </cols>
  <sheetData>
    <row r="1" spans="1:33">
      <c r="D1" s="216"/>
      <c r="E1" s="216"/>
      <c r="F1" s="216"/>
      <c r="G1" s="216"/>
      <c r="H1" s="216"/>
      <c r="J1" s="217" t="s">
        <v>1309</v>
      </c>
      <c r="L1" s="207">
        <v>0.8</v>
      </c>
    </row>
    <row r="2" spans="1:33">
      <c r="D2" s="216"/>
      <c r="E2" s="216"/>
      <c r="F2" s="216"/>
      <c r="G2" s="216"/>
      <c r="H2" s="216"/>
    </row>
    <row r="3" spans="1:33">
      <c r="E3" s="219"/>
      <c r="F3" s="219"/>
      <c r="G3" s="219"/>
      <c r="H3" s="219"/>
      <c r="I3" s="220"/>
    </row>
    <row r="4" spans="1:33">
      <c r="F4" s="221" t="s">
        <v>8</v>
      </c>
      <c r="G4" s="221"/>
      <c r="H4" s="221"/>
      <c r="K4" s="593"/>
    </row>
    <row r="5" spans="1:33" ht="18.75" customHeight="1">
      <c r="B5" s="223" t="s">
        <v>2</v>
      </c>
      <c r="C5" s="223" t="s">
        <v>26</v>
      </c>
      <c r="D5" s="223" t="s">
        <v>14</v>
      </c>
      <c r="E5" s="223" t="s">
        <v>15</v>
      </c>
      <c r="F5" s="223" t="s">
        <v>184</v>
      </c>
      <c r="G5" s="223" t="s">
        <v>88</v>
      </c>
      <c r="H5" s="686" t="s">
        <v>1012</v>
      </c>
      <c r="I5" s="686" t="s">
        <v>1013</v>
      </c>
      <c r="J5" s="687" t="s">
        <v>1014</v>
      </c>
      <c r="K5" s="687" t="s">
        <v>1015</v>
      </c>
      <c r="L5" s="223" t="s">
        <v>174</v>
      </c>
      <c r="M5" s="223" t="s">
        <v>186</v>
      </c>
      <c r="N5" s="223" t="s">
        <v>162</v>
      </c>
      <c r="O5" s="672"/>
      <c r="P5" s="673"/>
      <c r="Q5" s="770" t="s">
        <v>1016</v>
      </c>
      <c r="R5" s="771" t="s">
        <v>1016</v>
      </c>
      <c r="S5" s="772"/>
      <c r="T5" s="771" t="s">
        <v>1017</v>
      </c>
      <c r="U5" s="773" t="s">
        <v>1017</v>
      </c>
      <c r="W5" s="676"/>
      <c r="X5" s="676"/>
      <c r="Y5" s="676"/>
      <c r="Z5" s="676"/>
      <c r="AA5" s="676"/>
      <c r="AB5" s="676"/>
      <c r="AC5" s="676"/>
      <c r="AD5" s="676"/>
      <c r="AE5" s="676"/>
      <c r="AF5" s="676"/>
      <c r="AG5" s="676"/>
    </row>
    <row r="6" spans="1:33" ht="13.8" thickBot="1">
      <c r="B6" s="225" t="s">
        <v>27</v>
      </c>
      <c r="C6" s="225" t="s">
        <v>267</v>
      </c>
      <c r="D6" s="225"/>
      <c r="E6" s="225"/>
      <c r="F6" s="225"/>
      <c r="G6" s="225"/>
      <c r="H6" s="688" t="s">
        <v>48</v>
      </c>
      <c r="I6" s="688" t="s">
        <v>48</v>
      </c>
      <c r="J6" s="688" t="s">
        <v>168</v>
      </c>
      <c r="K6" s="688" t="s">
        <v>168</v>
      </c>
      <c r="L6" s="225"/>
      <c r="M6" s="225"/>
      <c r="N6" s="225"/>
      <c r="O6" s="674"/>
      <c r="P6" s="673"/>
      <c r="Q6" s="774" t="s">
        <v>89</v>
      </c>
      <c r="R6" s="766" t="s">
        <v>50</v>
      </c>
      <c r="S6" s="767"/>
      <c r="T6" s="766" t="s">
        <v>89</v>
      </c>
      <c r="U6" s="775" t="s">
        <v>50</v>
      </c>
      <c r="W6" s="676"/>
      <c r="X6" s="676"/>
      <c r="Y6" s="676"/>
      <c r="Z6" s="676"/>
      <c r="AA6" s="676"/>
      <c r="AB6" s="676"/>
      <c r="AC6" s="676"/>
      <c r="AD6" s="676"/>
      <c r="AE6" s="676"/>
      <c r="AF6" s="676"/>
      <c r="AG6" s="676"/>
    </row>
    <row r="7" spans="1:33" ht="13.8" thickBot="1">
      <c r="B7" s="224" t="s">
        <v>428</v>
      </c>
      <c r="C7" s="224" t="s">
        <v>429</v>
      </c>
      <c r="D7" s="226" t="s">
        <v>1032</v>
      </c>
      <c r="E7" s="226" t="s">
        <v>58</v>
      </c>
      <c r="G7" s="226"/>
      <c r="H7" s="1030">
        <f>E54</f>
        <v>1.1379951478727888</v>
      </c>
      <c r="I7" s="1030">
        <f>H54</f>
        <v>0.51558121787343392</v>
      </c>
      <c r="J7" s="1031">
        <f>1/E107</f>
        <v>1.720009583439071</v>
      </c>
      <c r="K7" s="1031">
        <f>1/G107</f>
        <v>1.5278031280854809</v>
      </c>
      <c r="L7" s="227">
        <v>1</v>
      </c>
      <c r="M7" s="224">
        <v>1</v>
      </c>
      <c r="N7" s="224"/>
      <c r="O7" s="236"/>
      <c r="P7" s="673"/>
      <c r="Q7" s="683">
        <f>H7*L7*M7</f>
        <v>1.1379951478727888</v>
      </c>
      <c r="R7" s="685">
        <f>Q7/J7</f>
        <v>0.66162139957233601</v>
      </c>
      <c r="S7" s="768"/>
      <c r="T7" s="684">
        <f t="shared" ref="T7:T42" si="0">I7*L7*M7</f>
        <v>0.51558121787343392</v>
      </c>
      <c r="U7" s="776">
        <f t="shared" ref="U7:U42" si="1">T7/K7</f>
        <v>0.33746574306305976</v>
      </c>
      <c r="W7" s="676"/>
      <c r="X7" s="676"/>
      <c r="Y7" s="676"/>
      <c r="Z7" s="676"/>
      <c r="AA7" s="676"/>
      <c r="AB7" s="676"/>
      <c r="AC7" s="676"/>
      <c r="AD7" s="676"/>
      <c r="AE7" s="676"/>
      <c r="AF7" s="676"/>
      <c r="AG7" s="676"/>
    </row>
    <row r="8" spans="1:33">
      <c r="B8" s="228" t="s">
        <v>430</v>
      </c>
      <c r="C8" s="228" t="s">
        <v>431</v>
      </c>
      <c r="D8" s="594" t="s">
        <v>1033</v>
      </c>
      <c r="E8" s="594" t="s">
        <v>58</v>
      </c>
      <c r="G8" s="594"/>
      <c r="H8" s="67">
        <f>F54</f>
        <v>1.4061583389625385</v>
      </c>
      <c r="I8" s="67">
        <f>I54</f>
        <v>0.7014729177517488</v>
      </c>
      <c r="J8" s="1032">
        <f>1/F107</f>
        <v>1.9416947564341325</v>
      </c>
      <c r="K8" s="1032">
        <f>1/H107</f>
        <v>1.7247155778840626</v>
      </c>
      <c r="L8" s="230">
        <v>1</v>
      </c>
      <c r="M8" s="228">
        <v>1</v>
      </c>
      <c r="N8" s="224"/>
      <c r="O8" s="236"/>
      <c r="P8" s="673"/>
      <c r="Q8" s="683">
        <f t="shared" ref="Q8:Q42" si="2">H8*L8*M8</f>
        <v>1.4061583389625385</v>
      </c>
      <c r="R8" s="685">
        <f t="shared" ref="R7:R42" si="3">Q8/J8</f>
        <v>0.72419124288356662</v>
      </c>
      <c r="S8" s="768"/>
      <c r="T8" s="684">
        <f t="shared" si="0"/>
        <v>0.7014729177517488</v>
      </c>
      <c r="U8" s="776">
        <f t="shared" si="1"/>
        <v>0.40671802745142399</v>
      </c>
      <c r="W8" s="676"/>
      <c r="X8" s="676"/>
      <c r="Y8" s="676"/>
      <c r="Z8" s="676"/>
      <c r="AA8" s="676"/>
      <c r="AB8" s="676"/>
      <c r="AC8" s="676"/>
      <c r="AD8" s="676"/>
      <c r="AE8" s="676"/>
      <c r="AF8" s="676"/>
      <c r="AG8" s="676"/>
    </row>
    <row r="9" spans="1:33">
      <c r="B9" s="228" t="s">
        <v>66</v>
      </c>
      <c r="C9" s="228" t="s">
        <v>178</v>
      </c>
      <c r="D9" s="594" t="s">
        <v>1034</v>
      </c>
      <c r="E9" s="594" t="s">
        <v>58</v>
      </c>
      <c r="F9" s="218">
        <v>2011</v>
      </c>
      <c r="G9" s="594">
        <v>2011</v>
      </c>
      <c r="H9" s="67"/>
      <c r="I9" s="67"/>
      <c r="J9" s="249">
        <v>4.0085204671169699</v>
      </c>
      <c r="K9" s="249">
        <v>4.0012804259827899</v>
      </c>
      <c r="L9" s="230">
        <v>1</v>
      </c>
      <c r="M9" s="228">
        <v>1</v>
      </c>
      <c r="N9" s="228">
        <v>100</v>
      </c>
      <c r="O9" s="236"/>
      <c r="P9" s="673"/>
      <c r="Q9" s="683">
        <f t="shared" si="2"/>
        <v>0</v>
      </c>
      <c r="R9" s="685">
        <f t="shared" si="3"/>
        <v>0</v>
      </c>
      <c r="S9" s="768"/>
      <c r="T9" s="684">
        <f t="shared" si="0"/>
        <v>0</v>
      </c>
      <c r="U9" s="776">
        <f t="shared" si="1"/>
        <v>0</v>
      </c>
      <c r="W9" s="676"/>
      <c r="X9" s="676"/>
      <c r="Y9" s="676"/>
      <c r="Z9" s="676"/>
      <c r="AA9" s="676"/>
      <c r="AB9" s="676"/>
      <c r="AC9" s="676"/>
      <c r="AD9" s="676"/>
      <c r="AE9" s="676"/>
      <c r="AF9" s="676"/>
      <c r="AG9" s="676"/>
    </row>
    <row r="10" spans="1:33">
      <c r="B10" s="228"/>
      <c r="C10" s="228"/>
      <c r="D10" s="594"/>
      <c r="E10" s="594"/>
      <c r="F10" s="218">
        <v>2016</v>
      </c>
      <c r="H10" s="67"/>
      <c r="I10" s="1033"/>
      <c r="J10" s="249">
        <v>4.7570449265143875</v>
      </c>
      <c r="K10" s="249">
        <v>4.7480445400205626</v>
      </c>
      <c r="L10" s="230">
        <v>1</v>
      </c>
      <c r="M10" s="228">
        <v>1</v>
      </c>
      <c r="N10" s="228">
        <v>100</v>
      </c>
      <c r="O10" s="673"/>
      <c r="P10" s="675"/>
      <c r="Q10" s="683">
        <f t="shared" si="2"/>
        <v>0</v>
      </c>
      <c r="R10" s="685">
        <f t="shared" si="3"/>
        <v>0</v>
      </c>
      <c r="S10" s="769"/>
      <c r="T10" s="684">
        <f t="shared" si="0"/>
        <v>0</v>
      </c>
      <c r="U10" s="776">
        <f t="shared" si="1"/>
        <v>0</v>
      </c>
      <c r="W10" s="676"/>
      <c r="X10" s="676"/>
      <c r="Y10" s="676"/>
      <c r="Z10" s="676"/>
      <c r="AA10" s="676"/>
      <c r="AB10" s="676"/>
      <c r="AC10" s="676"/>
      <c r="AD10" s="676"/>
      <c r="AE10" s="676"/>
      <c r="AF10" s="676"/>
      <c r="AG10" s="676"/>
    </row>
    <row r="11" spans="1:33">
      <c r="B11" s="228"/>
      <c r="C11" s="228"/>
      <c r="D11" s="594"/>
      <c r="E11" s="594"/>
      <c r="F11" s="218">
        <v>2021</v>
      </c>
      <c r="H11" s="67"/>
      <c r="I11" s="67"/>
      <c r="J11" s="249">
        <v>6.0763888888888884</v>
      </c>
      <c r="K11" s="249">
        <v>6.0763888888888884</v>
      </c>
      <c r="L11" s="230">
        <v>1</v>
      </c>
      <c r="M11" s="228">
        <v>1</v>
      </c>
      <c r="N11" s="228">
        <v>100</v>
      </c>
      <c r="Q11" s="683">
        <f t="shared" si="2"/>
        <v>0</v>
      </c>
      <c r="R11" s="685">
        <f t="shared" si="3"/>
        <v>0</v>
      </c>
      <c r="S11" s="768"/>
      <c r="T11" s="684">
        <f t="shared" si="0"/>
        <v>0</v>
      </c>
      <c r="U11" s="776">
        <f t="shared" si="1"/>
        <v>0</v>
      </c>
      <c r="W11" s="676"/>
      <c r="X11" s="676"/>
      <c r="Y11" s="676"/>
      <c r="Z11" s="676"/>
      <c r="AA11" s="676"/>
      <c r="AB11" s="676"/>
      <c r="AC11" s="676"/>
      <c r="AD11" s="676"/>
      <c r="AE11" s="676"/>
      <c r="AF11" s="676"/>
      <c r="AG11" s="676"/>
    </row>
    <row r="12" spans="1:33" ht="13.8" thickBot="1">
      <c r="B12" s="228"/>
      <c r="C12" s="228"/>
      <c r="D12" s="594"/>
      <c r="E12" s="594"/>
      <c r="F12" s="232">
        <v>2031</v>
      </c>
      <c r="G12" s="232"/>
      <c r="H12" s="67"/>
      <c r="I12" s="67"/>
      <c r="J12" s="249">
        <v>6.9444444444444446</v>
      </c>
      <c r="K12" s="249">
        <v>6.9444444444444446</v>
      </c>
      <c r="L12" s="230">
        <v>1</v>
      </c>
      <c r="M12" s="228">
        <v>1</v>
      </c>
      <c r="N12" s="228">
        <v>100</v>
      </c>
      <c r="O12" s="228"/>
      <c r="Q12" s="683">
        <f t="shared" si="2"/>
        <v>0</v>
      </c>
      <c r="R12" s="685">
        <f t="shared" si="3"/>
        <v>0</v>
      </c>
      <c r="S12" s="768"/>
      <c r="T12" s="684">
        <f t="shared" si="0"/>
        <v>0</v>
      </c>
      <c r="U12" s="776">
        <f t="shared" si="1"/>
        <v>0</v>
      </c>
      <c r="W12" s="676"/>
      <c r="X12" s="676"/>
      <c r="Y12" s="676"/>
      <c r="Z12" s="676"/>
      <c r="AA12" s="676"/>
      <c r="AB12" s="676"/>
      <c r="AC12" s="676"/>
      <c r="AD12" s="676"/>
      <c r="AE12" s="676"/>
      <c r="AF12" s="676"/>
      <c r="AG12" s="676"/>
    </row>
    <row r="13" spans="1:33" ht="13.8" thickBot="1">
      <c r="B13" s="233" t="s">
        <v>432</v>
      </c>
      <c r="C13" s="233" t="s">
        <v>433</v>
      </c>
      <c r="D13" s="234" t="s">
        <v>1035</v>
      </c>
      <c r="E13" s="234" t="s">
        <v>59</v>
      </c>
      <c r="G13" s="234"/>
      <c r="H13" s="1034">
        <f>E55</f>
        <v>0.48934126531890754</v>
      </c>
      <c r="I13" s="1034">
        <f>H55</f>
        <v>6.5538998161871156E-2</v>
      </c>
      <c r="J13" s="1035">
        <f>1/E108</f>
        <v>1.720009583439071</v>
      </c>
      <c r="K13" s="1035">
        <f>1/G108</f>
        <v>1.5278031280854809</v>
      </c>
      <c r="L13" s="235">
        <v>1</v>
      </c>
      <c r="M13" s="233">
        <v>1</v>
      </c>
      <c r="N13" s="224"/>
      <c r="O13" s="228"/>
      <c r="P13" s="673"/>
      <c r="Q13" s="683">
        <f t="shared" si="2"/>
        <v>0.48934126531890754</v>
      </c>
      <c r="R13" s="685">
        <f t="shared" si="3"/>
        <v>0.2844991504875774</v>
      </c>
      <c r="S13" s="768"/>
      <c r="T13" s="684">
        <f t="shared" si="0"/>
        <v>6.5538998161871156E-2</v>
      </c>
      <c r="U13" s="776">
        <f t="shared" si="1"/>
        <v>4.2897541546468305E-2</v>
      </c>
      <c r="W13" s="676"/>
      <c r="X13" s="676"/>
      <c r="Y13" s="676"/>
      <c r="Z13" s="676"/>
      <c r="AA13" s="676"/>
      <c r="AB13" s="676"/>
      <c r="AC13" s="676"/>
      <c r="AD13" s="676"/>
      <c r="AE13" s="676"/>
      <c r="AF13" s="676"/>
      <c r="AG13" s="676"/>
    </row>
    <row r="14" spans="1:33">
      <c r="A14" s="228"/>
      <c r="B14" s="228" t="s">
        <v>434</v>
      </c>
      <c r="C14" s="228" t="s">
        <v>435</v>
      </c>
      <c r="D14" s="594" t="s">
        <v>1036</v>
      </c>
      <c r="E14" s="594" t="s">
        <v>59</v>
      </c>
      <c r="G14" s="594"/>
      <c r="H14" s="67">
        <f>F55</f>
        <v>0.6731037521190546</v>
      </c>
      <c r="I14" s="67">
        <f>I55</f>
        <v>9.6734146688186418E-2</v>
      </c>
      <c r="J14" s="1032">
        <f>1/F108</f>
        <v>1.9416947564341325</v>
      </c>
      <c r="K14" s="1032">
        <f>1/H108</f>
        <v>1.7247155778840626</v>
      </c>
      <c r="L14" s="230">
        <v>1</v>
      </c>
      <c r="M14" s="228">
        <v>1</v>
      </c>
      <c r="N14" s="224"/>
      <c r="O14" s="228"/>
      <c r="P14" s="673"/>
      <c r="Q14" s="683">
        <f t="shared" si="2"/>
        <v>0.6731037521190546</v>
      </c>
      <c r="R14" s="685">
        <f t="shared" si="3"/>
        <v>0.3466578615864373</v>
      </c>
      <c r="S14" s="768"/>
      <c r="T14" s="684">
        <f t="shared" si="0"/>
        <v>9.6734146688186418E-2</v>
      </c>
      <c r="U14" s="776">
        <f t="shared" si="1"/>
        <v>5.6087013956737743E-2</v>
      </c>
      <c r="W14" s="676"/>
      <c r="X14" s="676"/>
      <c r="Y14" s="676"/>
      <c r="Z14" s="676"/>
      <c r="AA14" s="676"/>
      <c r="AB14" s="676"/>
      <c r="AC14" s="676"/>
      <c r="AD14" s="676"/>
      <c r="AE14" s="676"/>
      <c r="AF14" s="676"/>
      <c r="AG14" s="676"/>
    </row>
    <row r="15" spans="1:33">
      <c r="B15" s="228" t="s">
        <v>69</v>
      </c>
      <c r="C15" s="228" t="s">
        <v>179</v>
      </c>
      <c r="D15" s="594" t="s">
        <v>1037</v>
      </c>
      <c r="E15" s="594" t="s">
        <v>59</v>
      </c>
      <c r="F15" s="218">
        <v>2011</v>
      </c>
      <c r="G15" s="594">
        <v>2011</v>
      </c>
      <c r="H15" s="67"/>
      <c r="I15" s="67"/>
      <c r="J15" s="249">
        <v>3.1390555577411314</v>
      </c>
      <c r="K15" s="249">
        <v>3.4705146316810898</v>
      </c>
      <c r="L15" s="230">
        <v>1</v>
      </c>
      <c r="M15" s="236">
        <v>1</v>
      </c>
      <c r="N15" s="228">
        <v>100</v>
      </c>
      <c r="O15" s="228"/>
      <c r="Q15" s="683">
        <f t="shared" si="2"/>
        <v>0</v>
      </c>
      <c r="R15" s="685">
        <f t="shared" si="3"/>
        <v>0</v>
      </c>
      <c r="S15" s="768"/>
      <c r="T15" s="684">
        <f t="shared" si="0"/>
        <v>0</v>
      </c>
      <c r="U15" s="776">
        <f t="shared" si="1"/>
        <v>0</v>
      </c>
      <c r="W15" s="676"/>
      <c r="X15" s="676"/>
      <c r="Y15" s="676"/>
      <c r="Z15" s="676"/>
      <c r="AA15" s="676"/>
      <c r="AB15" s="676"/>
      <c r="AC15" s="676"/>
      <c r="AD15" s="676"/>
      <c r="AE15" s="676"/>
      <c r="AF15" s="676"/>
      <c r="AG15" s="676"/>
    </row>
    <row r="16" spans="1:33">
      <c r="B16" s="228"/>
      <c r="C16" s="228"/>
      <c r="D16" s="594"/>
      <c r="E16" s="594"/>
      <c r="F16" s="218">
        <v>2016</v>
      </c>
      <c r="H16" s="67"/>
      <c r="I16" s="1033"/>
      <c r="J16" s="249">
        <v>3.6871365087455148</v>
      </c>
      <c r="K16" s="249">
        <v>4.0924186695740659</v>
      </c>
      <c r="L16" s="230">
        <v>1</v>
      </c>
      <c r="M16" s="236">
        <v>1</v>
      </c>
      <c r="N16" s="228">
        <v>100</v>
      </c>
      <c r="O16" s="228"/>
      <c r="Q16" s="683">
        <f t="shared" si="2"/>
        <v>0</v>
      </c>
      <c r="R16" s="685">
        <f t="shared" si="3"/>
        <v>0</v>
      </c>
      <c r="S16" s="768"/>
      <c r="T16" s="684">
        <f t="shared" si="0"/>
        <v>0</v>
      </c>
      <c r="U16" s="776">
        <f t="shared" si="1"/>
        <v>0</v>
      </c>
      <c r="W16" s="676"/>
      <c r="X16" s="676"/>
      <c r="Y16" s="676"/>
      <c r="Z16" s="676"/>
      <c r="AA16" s="676"/>
      <c r="AB16" s="676"/>
      <c r="AC16" s="676"/>
      <c r="AD16" s="676"/>
      <c r="AE16" s="676"/>
      <c r="AF16" s="676"/>
      <c r="AG16" s="676"/>
    </row>
    <row r="17" spans="1:33">
      <c r="B17" s="228"/>
      <c r="C17" s="228"/>
      <c r="D17" s="594"/>
      <c r="E17" s="594"/>
      <c r="F17" s="218">
        <v>2021</v>
      </c>
      <c r="H17" s="67"/>
      <c r="I17" s="67"/>
      <c r="J17" s="249">
        <v>6.0763888888888884</v>
      </c>
      <c r="K17" s="249">
        <v>6.0763888888888884</v>
      </c>
      <c r="L17" s="230">
        <v>1</v>
      </c>
      <c r="M17" s="236">
        <v>1</v>
      </c>
      <c r="N17" s="228">
        <v>100</v>
      </c>
      <c r="O17" s="228"/>
      <c r="Q17" s="683">
        <f t="shared" si="2"/>
        <v>0</v>
      </c>
      <c r="R17" s="685">
        <f t="shared" si="3"/>
        <v>0</v>
      </c>
      <c r="S17" s="768"/>
      <c r="T17" s="684">
        <f t="shared" si="0"/>
        <v>0</v>
      </c>
      <c r="U17" s="776">
        <f t="shared" si="1"/>
        <v>0</v>
      </c>
      <c r="W17" s="676"/>
      <c r="X17" s="676"/>
      <c r="Y17" s="676"/>
      <c r="Z17" s="676"/>
      <c r="AA17" s="676"/>
      <c r="AB17" s="676"/>
      <c r="AC17" s="676"/>
      <c r="AD17" s="676"/>
      <c r="AE17" s="676"/>
      <c r="AF17" s="676"/>
      <c r="AG17" s="676"/>
    </row>
    <row r="18" spans="1:33" ht="13.8" thickBot="1">
      <c r="B18" s="228"/>
      <c r="C18" s="228"/>
      <c r="D18" s="594"/>
      <c r="E18" s="594"/>
      <c r="F18" s="232">
        <v>2031</v>
      </c>
      <c r="G18" s="232"/>
      <c r="H18" s="67"/>
      <c r="I18" s="67"/>
      <c r="J18" s="249">
        <v>6.9444444444444446</v>
      </c>
      <c r="K18" s="249">
        <v>6.9444444444444446</v>
      </c>
      <c r="L18" s="230">
        <v>1</v>
      </c>
      <c r="M18" s="236">
        <v>1</v>
      </c>
      <c r="N18" s="228">
        <v>100</v>
      </c>
      <c r="O18" s="228"/>
      <c r="Q18" s="683">
        <f t="shared" si="2"/>
        <v>0</v>
      </c>
      <c r="R18" s="685">
        <f t="shared" si="3"/>
        <v>0</v>
      </c>
      <c r="S18" s="768"/>
      <c r="T18" s="684">
        <f t="shared" si="0"/>
        <v>0</v>
      </c>
      <c r="U18" s="776">
        <f t="shared" si="1"/>
        <v>0</v>
      </c>
      <c r="W18" s="676"/>
      <c r="X18" s="676"/>
      <c r="Y18" s="676"/>
      <c r="Z18" s="676"/>
      <c r="AA18" s="676"/>
      <c r="AB18" s="676"/>
      <c r="AC18" s="676"/>
      <c r="AD18" s="676"/>
      <c r="AE18" s="676"/>
      <c r="AF18" s="676"/>
      <c r="AG18" s="676"/>
    </row>
    <row r="19" spans="1:33" ht="13.8" thickBot="1">
      <c r="B19" s="233" t="s">
        <v>436</v>
      </c>
      <c r="C19" s="233" t="s">
        <v>437</v>
      </c>
      <c r="D19" s="234" t="s">
        <v>1038</v>
      </c>
      <c r="E19" s="234" t="s">
        <v>60</v>
      </c>
      <c r="G19" s="234"/>
      <c r="H19" s="1034">
        <f>E56</f>
        <v>79.739484246393118</v>
      </c>
      <c r="I19" s="1034">
        <f>H56</f>
        <v>28.474890585729948</v>
      </c>
      <c r="J19" s="1035">
        <f>1/E109</f>
        <v>1.720009583439071</v>
      </c>
      <c r="K19" s="1035">
        <f>1/G109</f>
        <v>1.5278031280854809</v>
      </c>
      <c r="L19" s="235">
        <v>1</v>
      </c>
      <c r="M19" s="233">
        <v>1</v>
      </c>
      <c r="N19" s="224"/>
      <c r="O19" s="228"/>
      <c r="P19" s="673"/>
      <c r="Q19" s="683">
        <f t="shared" si="2"/>
        <v>79.739484246393118</v>
      </c>
      <c r="R19" s="685">
        <f t="shared" si="3"/>
        <v>46.359906952935752</v>
      </c>
      <c r="S19" s="768"/>
      <c r="T19" s="684">
        <f t="shared" si="0"/>
        <v>28.474890585729948</v>
      </c>
      <c r="U19" s="776">
        <f t="shared" si="1"/>
        <v>18.637800945866875</v>
      </c>
      <c r="W19" s="676"/>
      <c r="X19" s="676"/>
      <c r="Y19" s="676"/>
      <c r="Z19" s="676"/>
      <c r="AA19" s="676"/>
      <c r="AB19" s="676"/>
      <c r="AC19" s="676"/>
      <c r="AD19" s="676"/>
      <c r="AE19" s="676"/>
      <c r="AF19" s="676"/>
      <c r="AG19" s="676"/>
    </row>
    <row r="20" spans="1:33">
      <c r="A20" s="228"/>
      <c r="B20" s="228" t="s">
        <v>438</v>
      </c>
      <c r="C20" s="228" t="s">
        <v>439</v>
      </c>
      <c r="D20" s="594" t="s">
        <v>1039</v>
      </c>
      <c r="E20" s="594" t="s">
        <v>60</v>
      </c>
      <c r="G20" s="594"/>
      <c r="H20" s="67">
        <f>F56</f>
        <v>101.88384246299806</v>
      </c>
      <c r="I20" s="67">
        <f>I56</f>
        <v>39.112146157556829</v>
      </c>
      <c r="J20" s="1032">
        <f>1/F109</f>
        <v>1.9416947564341325</v>
      </c>
      <c r="K20" s="1032">
        <f>1/H109</f>
        <v>1.7247155778840626</v>
      </c>
      <c r="L20" s="230">
        <v>1</v>
      </c>
      <c r="M20" s="228">
        <v>1</v>
      </c>
      <c r="N20" s="224"/>
      <c r="O20" s="228"/>
      <c r="P20" s="673"/>
      <c r="Q20" s="683">
        <f t="shared" si="2"/>
        <v>101.88384246299806</v>
      </c>
      <c r="R20" s="685">
        <f t="shared" si="3"/>
        <v>52.471606119030191</v>
      </c>
      <c r="S20" s="768"/>
      <c r="T20" s="684">
        <f t="shared" si="0"/>
        <v>39.112146157556829</v>
      </c>
      <c r="U20" s="776">
        <f t="shared" si="1"/>
        <v>22.677447028999929</v>
      </c>
      <c r="W20" s="676"/>
      <c r="X20" s="676"/>
      <c r="Y20" s="676"/>
      <c r="Z20" s="676"/>
      <c r="AA20" s="676"/>
      <c r="AB20" s="676"/>
      <c r="AC20" s="676"/>
      <c r="AD20" s="676"/>
      <c r="AE20" s="676"/>
      <c r="AF20" s="676"/>
      <c r="AG20" s="676"/>
    </row>
    <row r="21" spans="1:33">
      <c r="B21" s="228" t="s">
        <v>72</v>
      </c>
      <c r="C21" s="228" t="s">
        <v>180</v>
      </c>
      <c r="D21" s="594" t="s">
        <v>1040</v>
      </c>
      <c r="E21" s="594" t="s">
        <v>60</v>
      </c>
      <c r="F21" s="218">
        <v>2011</v>
      </c>
      <c r="G21" s="594">
        <v>2011</v>
      </c>
      <c r="H21" s="67"/>
      <c r="I21" s="67"/>
      <c r="J21" s="249">
        <v>4.0042464835309755</v>
      </c>
      <c r="K21" s="249">
        <v>4.0012688407482342</v>
      </c>
      <c r="L21" s="230">
        <v>1</v>
      </c>
      <c r="M21" s="236">
        <v>1</v>
      </c>
      <c r="N21" s="228">
        <v>100</v>
      </c>
      <c r="O21" s="228"/>
      <c r="Q21" s="683">
        <f t="shared" si="2"/>
        <v>0</v>
      </c>
      <c r="R21" s="685">
        <f t="shared" si="3"/>
        <v>0</v>
      </c>
      <c r="S21" s="768"/>
      <c r="T21" s="684">
        <f t="shared" si="0"/>
        <v>0</v>
      </c>
      <c r="U21" s="776">
        <f t="shared" si="1"/>
        <v>0</v>
      </c>
      <c r="W21" s="676"/>
      <c r="X21" s="676"/>
      <c r="Y21" s="676"/>
      <c r="Z21" s="676"/>
      <c r="AA21" s="1452"/>
      <c r="AB21" s="1452"/>
      <c r="AC21" s="1452"/>
      <c r="AD21" s="676"/>
      <c r="AE21" s="676"/>
      <c r="AF21" s="676"/>
      <c r="AG21" s="676"/>
    </row>
    <row r="22" spans="1:33">
      <c r="B22" s="228"/>
      <c r="C22" s="228"/>
      <c r="D22" s="594"/>
      <c r="E22" s="594"/>
      <c r="F22" s="218">
        <v>2016</v>
      </c>
      <c r="H22" s="67"/>
      <c r="I22" s="1033"/>
      <c r="J22" s="249">
        <v>4.7517315783118361</v>
      </c>
      <c r="K22" s="249">
        <v>4.7480301391898871</v>
      </c>
      <c r="L22" s="230">
        <v>1</v>
      </c>
      <c r="M22" s="236">
        <v>1</v>
      </c>
      <c r="N22" s="228">
        <v>100</v>
      </c>
      <c r="O22" s="228"/>
      <c r="Q22" s="683">
        <f t="shared" si="2"/>
        <v>0</v>
      </c>
      <c r="R22" s="685">
        <f t="shared" si="3"/>
        <v>0</v>
      </c>
      <c r="S22" s="768"/>
      <c r="T22" s="684">
        <f t="shared" si="0"/>
        <v>0</v>
      </c>
      <c r="U22" s="776">
        <f t="shared" si="1"/>
        <v>0</v>
      </c>
      <c r="W22" s="676"/>
      <c r="X22" s="676"/>
      <c r="Y22" s="676"/>
      <c r="Z22" s="676"/>
      <c r="AA22" s="676"/>
      <c r="AB22" s="676"/>
      <c r="AC22" s="676"/>
      <c r="AD22" s="676"/>
      <c r="AE22" s="676"/>
      <c r="AF22" s="676"/>
      <c r="AG22" s="676"/>
    </row>
    <row r="23" spans="1:33">
      <c r="B23" s="228"/>
      <c r="C23" s="228"/>
      <c r="D23" s="594"/>
      <c r="E23" s="594"/>
      <c r="F23" s="218">
        <v>2021</v>
      </c>
      <c r="H23" s="67"/>
      <c r="I23" s="67"/>
      <c r="J23" s="249">
        <v>6.0763888888888884</v>
      </c>
      <c r="K23" s="249">
        <v>6.0763888888888884</v>
      </c>
      <c r="L23" s="230">
        <v>1</v>
      </c>
      <c r="M23" s="236">
        <v>1</v>
      </c>
      <c r="N23" s="228">
        <v>100</v>
      </c>
      <c r="O23" s="228"/>
      <c r="Q23" s="683">
        <f t="shared" si="2"/>
        <v>0</v>
      </c>
      <c r="R23" s="685">
        <f t="shared" si="3"/>
        <v>0</v>
      </c>
      <c r="S23" s="768"/>
      <c r="T23" s="684">
        <f t="shared" si="0"/>
        <v>0</v>
      </c>
      <c r="U23" s="776">
        <f t="shared" si="1"/>
        <v>0</v>
      </c>
      <c r="W23" s="676"/>
      <c r="X23" s="676"/>
      <c r="Y23" s="676"/>
      <c r="Z23" s="676"/>
      <c r="AA23" s="676"/>
      <c r="AB23" s="676"/>
      <c r="AC23" s="676"/>
      <c r="AD23" s="676"/>
      <c r="AE23" s="676"/>
      <c r="AF23" s="676"/>
      <c r="AG23" s="676"/>
    </row>
    <row r="24" spans="1:33" ht="13.8" thickBot="1">
      <c r="B24" s="228"/>
      <c r="C24" s="228"/>
      <c r="D24" s="594"/>
      <c r="E24" s="594"/>
      <c r="F24" s="232">
        <v>2031</v>
      </c>
      <c r="G24" s="232"/>
      <c r="H24" s="67"/>
      <c r="I24" s="67"/>
      <c r="J24" s="249">
        <v>6.9444444444444446</v>
      </c>
      <c r="K24" s="249">
        <v>6.9444444444444446</v>
      </c>
      <c r="L24" s="230">
        <v>1</v>
      </c>
      <c r="M24" s="236">
        <v>1</v>
      </c>
      <c r="N24" s="228">
        <v>100</v>
      </c>
      <c r="O24" s="228"/>
      <c r="P24" s="673"/>
      <c r="Q24" s="683">
        <f t="shared" si="2"/>
        <v>0</v>
      </c>
      <c r="R24" s="685">
        <f t="shared" si="3"/>
        <v>0</v>
      </c>
      <c r="S24" s="768"/>
      <c r="T24" s="684">
        <f t="shared" si="0"/>
        <v>0</v>
      </c>
      <c r="U24" s="776">
        <f t="shared" si="1"/>
        <v>0</v>
      </c>
      <c r="W24" s="676"/>
      <c r="X24" s="676"/>
      <c r="Y24" s="676"/>
      <c r="Z24" s="676"/>
      <c r="AA24" s="676"/>
      <c r="AB24" s="676"/>
      <c r="AC24" s="676"/>
      <c r="AD24" s="676"/>
      <c r="AE24" s="676"/>
      <c r="AF24" s="676"/>
      <c r="AG24" s="676"/>
    </row>
    <row r="25" spans="1:33" ht="13.8" thickBot="1">
      <c r="B25" s="233" t="s">
        <v>440</v>
      </c>
      <c r="C25" s="233" t="s">
        <v>441</v>
      </c>
      <c r="D25" s="234" t="s">
        <v>1041</v>
      </c>
      <c r="E25" s="234" t="s">
        <v>61</v>
      </c>
      <c r="G25" s="234"/>
      <c r="H25" s="1034">
        <f>E57</f>
        <v>5.9314723792751725E-2</v>
      </c>
      <c r="I25" s="1034">
        <f>H57</f>
        <v>3.9668277678426712E-2</v>
      </c>
      <c r="J25" s="1035">
        <f>1/E110</f>
        <v>2.0466401297408408</v>
      </c>
      <c r="K25" s="1035">
        <f>1/G110</f>
        <v>1.8166110522294352</v>
      </c>
      <c r="L25" s="235">
        <v>1</v>
      </c>
      <c r="M25" s="233">
        <v>1</v>
      </c>
      <c r="N25" s="224"/>
      <c r="O25" s="228"/>
      <c r="P25" s="673"/>
      <c r="Q25" s="683">
        <f t="shared" si="2"/>
        <v>5.9314723792751725E-2</v>
      </c>
      <c r="R25" s="685">
        <f t="shared" si="3"/>
        <v>2.8981511175715367E-2</v>
      </c>
      <c r="S25" s="768"/>
      <c r="T25" s="684">
        <f t="shared" si="0"/>
        <v>3.9668277678426712E-2</v>
      </c>
      <c r="U25" s="776">
        <f t="shared" si="1"/>
        <v>2.1836417668902673E-2</v>
      </c>
      <c r="W25" s="676"/>
      <c r="X25" s="676"/>
      <c r="Y25" s="676"/>
      <c r="Z25" s="676"/>
      <c r="AA25" s="676"/>
      <c r="AB25" s="676"/>
      <c r="AC25" s="676"/>
      <c r="AD25" s="676"/>
      <c r="AE25" s="676"/>
      <c r="AF25" s="676"/>
      <c r="AG25" s="676"/>
    </row>
    <row r="26" spans="1:33">
      <c r="A26" s="228"/>
      <c r="B26" s="228" t="s">
        <v>442</v>
      </c>
      <c r="C26" s="228" t="s">
        <v>443</v>
      </c>
      <c r="D26" s="594" t="s">
        <v>1042</v>
      </c>
      <c r="E26" s="594" t="s">
        <v>61</v>
      </c>
      <c r="G26" s="594"/>
      <c r="H26" s="67">
        <f>F57</f>
        <v>0.15063790527601717</v>
      </c>
      <c r="I26" s="67">
        <f>I57</f>
        <v>7.7265575078910076E-2</v>
      </c>
      <c r="J26" s="1032">
        <f>1/F110</f>
        <v>2.3104234107113255</v>
      </c>
      <c r="K26" s="1032">
        <f>1/H110</f>
        <v>2.0507468031320628</v>
      </c>
      <c r="L26" s="230">
        <v>1</v>
      </c>
      <c r="M26" s="228">
        <v>1</v>
      </c>
      <c r="N26" s="224"/>
      <c r="O26" s="228"/>
      <c r="P26" s="673"/>
      <c r="Q26" s="683">
        <f t="shared" si="2"/>
        <v>0.15063790527601717</v>
      </c>
      <c r="R26" s="685">
        <f t="shared" si="3"/>
        <v>6.5199263727006324E-2</v>
      </c>
      <c r="S26" s="768"/>
      <c r="T26" s="684">
        <f t="shared" si="0"/>
        <v>7.7265575078910076E-2</v>
      </c>
      <c r="U26" s="776">
        <f t="shared" si="1"/>
        <v>3.7676798988984878E-2</v>
      </c>
      <c r="W26" s="676"/>
      <c r="X26" s="676"/>
      <c r="Y26" s="676"/>
      <c r="Z26" s="676"/>
      <c r="AA26" s="676"/>
      <c r="AB26" s="676"/>
      <c r="AC26" s="676"/>
      <c r="AD26" s="676"/>
      <c r="AE26" s="676"/>
      <c r="AF26" s="676"/>
      <c r="AG26" s="676"/>
    </row>
    <row r="27" spans="1:33">
      <c r="B27" s="228" t="s">
        <v>75</v>
      </c>
      <c r="C27" s="228" t="s">
        <v>181</v>
      </c>
      <c r="D27" s="594" t="s">
        <v>1043</v>
      </c>
      <c r="E27" s="594" t="s">
        <v>61</v>
      </c>
      <c r="F27" s="218">
        <v>2011</v>
      </c>
      <c r="G27" s="594">
        <v>2011</v>
      </c>
      <c r="H27" s="67"/>
      <c r="I27" s="67"/>
      <c r="J27" s="249">
        <v>3.2669034295895392</v>
      </c>
      <c r="K27" s="249">
        <v>3.3560689618336919</v>
      </c>
      <c r="L27" s="230">
        <v>1</v>
      </c>
      <c r="M27" s="236">
        <v>1</v>
      </c>
      <c r="N27" s="228">
        <v>100</v>
      </c>
      <c r="O27" s="228"/>
      <c r="Q27" s="683">
        <f t="shared" si="2"/>
        <v>0</v>
      </c>
      <c r="R27" s="685">
        <f t="shared" si="3"/>
        <v>0</v>
      </c>
      <c r="S27" s="768"/>
      <c r="T27" s="684">
        <f t="shared" si="0"/>
        <v>0</v>
      </c>
      <c r="U27" s="776">
        <f t="shared" si="1"/>
        <v>0</v>
      </c>
      <c r="W27" s="676"/>
      <c r="X27" s="676"/>
      <c r="Y27" s="676"/>
      <c r="Z27" s="676"/>
      <c r="AA27" s="676"/>
      <c r="AB27" s="676"/>
      <c r="AC27" s="676"/>
      <c r="AD27" s="676"/>
      <c r="AE27" s="676"/>
      <c r="AF27" s="676"/>
      <c r="AG27" s="676"/>
    </row>
    <row r="28" spans="1:33">
      <c r="B28" s="228"/>
      <c r="C28" s="228"/>
      <c r="D28" s="594"/>
      <c r="E28" s="594"/>
      <c r="F28" s="218">
        <v>2016</v>
      </c>
      <c r="H28" s="67"/>
      <c r="I28" s="1033"/>
      <c r="J28" s="249">
        <v>3.8430840331887297</v>
      </c>
      <c r="K28" s="249">
        <v>3.9521254844072797</v>
      </c>
      <c r="L28" s="230">
        <v>1</v>
      </c>
      <c r="M28" s="236">
        <v>1</v>
      </c>
      <c r="N28" s="228">
        <v>100</v>
      </c>
      <c r="O28" s="228"/>
      <c r="Q28" s="683">
        <f t="shared" si="2"/>
        <v>0</v>
      </c>
      <c r="R28" s="685">
        <f t="shared" si="3"/>
        <v>0</v>
      </c>
      <c r="S28" s="768"/>
      <c r="T28" s="684">
        <f t="shared" si="0"/>
        <v>0</v>
      </c>
      <c r="U28" s="776">
        <f t="shared" si="1"/>
        <v>0</v>
      </c>
      <c r="W28" s="676"/>
      <c r="X28" s="676"/>
      <c r="Y28" s="676"/>
      <c r="Z28" s="676"/>
      <c r="AA28" s="676"/>
      <c r="AB28" s="676"/>
      <c r="AC28" s="676"/>
      <c r="AD28" s="676"/>
      <c r="AE28" s="676"/>
      <c r="AF28" s="676"/>
      <c r="AG28" s="676"/>
    </row>
    <row r="29" spans="1:33">
      <c r="B29" s="228"/>
      <c r="C29" s="228"/>
      <c r="D29" s="594"/>
      <c r="E29" s="594"/>
      <c r="F29" s="218">
        <v>2021</v>
      </c>
      <c r="H29" s="67"/>
      <c r="I29" s="67"/>
      <c r="J29" s="249">
        <v>6.0763888888888884</v>
      </c>
      <c r="K29" s="249">
        <v>6.0763888888888884</v>
      </c>
      <c r="L29" s="230">
        <v>1</v>
      </c>
      <c r="M29" s="236">
        <v>1</v>
      </c>
      <c r="N29" s="228">
        <v>100</v>
      </c>
      <c r="O29" s="228"/>
      <c r="Q29" s="683">
        <f t="shared" si="2"/>
        <v>0</v>
      </c>
      <c r="R29" s="685">
        <f t="shared" si="3"/>
        <v>0</v>
      </c>
      <c r="S29" s="768"/>
      <c r="T29" s="684">
        <f t="shared" si="0"/>
        <v>0</v>
      </c>
      <c r="U29" s="776">
        <f t="shared" si="1"/>
        <v>0</v>
      </c>
      <c r="W29" s="676"/>
      <c r="X29" s="676"/>
      <c r="Y29" s="676"/>
      <c r="Z29" s="676"/>
      <c r="AA29" s="676"/>
      <c r="AB29" s="676"/>
      <c r="AC29" s="676"/>
      <c r="AD29" s="676"/>
      <c r="AE29" s="676"/>
      <c r="AF29" s="676"/>
      <c r="AG29" s="676"/>
    </row>
    <row r="30" spans="1:33" ht="13.8" thickBot="1">
      <c r="B30" s="228"/>
      <c r="C30" s="228"/>
      <c r="D30" s="594"/>
      <c r="E30" s="594"/>
      <c r="F30" s="232">
        <v>2031</v>
      </c>
      <c r="G30" s="232"/>
      <c r="H30" s="67"/>
      <c r="I30" s="67"/>
      <c r="J30" s="249">
        <v>6.9444444444444446</v>
      </c>
      <c r="K30" s="249">
        <v>6.9444444444444446</v>
      </c>
      <c r="L30" s="230">
        <v>1</v>
      </c>
      <c r="M30" s="236">
        <v>1</v>
      </c>
      <c r="N30" s="228">
        <v>100</v>
      </c>
      <c r="O30" s="228"/>
      <c r="Q30" s="683">
        <f t="shared" si="2"/>
        <v>0</v>
      </c>
      <c r="R30" s="685">
        <f t="shared" si="3"/>
        <v>0</v>
      </c>
      <c r="S30" s="768"/>
      <c r="T30" s="684">
        <f t="shared" si="0"/>
        <v>0</v>
      </c>
      <c r="U30" s="776">
        <f t="shared" si="1"/>
        <v>0</v>
      </c>
      <c r="W30" s="676"/>
      <c r="X30" s="676"/>
      <c r="Y30" s="676"/>
      <c r="Z30" s="676"/>
      <c r="AA30" s="676"/>
      <c r="AB30" s="676"/>
      <c r="AC30" s="676"/>
      <c r="AD30" s="676"/>
      <c r="AE30" s="676"/>
      <c r="AF30" s="676"/>
      <c r="AG30" s="676"/>
    </row>
    <row r="31" spans="1:33" ht="13.8" thickBot="1">
      <c r="B31" s="233" t="s">
        <v>444</v>
      </c>
      <c r="C31" s="233" t="s">
        <v>445</v>
      </c>
      <c r="D31" s="234" t="s">
        <v>1044</v>
      </c>
      <c r="E31" s="234" t="s">
        <v>62</v>
      </c>
      <c r="G31" s="234"/>
      <c r="H31" s="1034">
        <f>E58</f>
        <v>0.22855568321355449</v>
      </c>
      <c r="I31" s="1034">
        <f>H58</f>
        <v>9.6658384158927442E-4</v>
      </c>
      <c r="J31" s="1035">
        <f>1/E111</f>
        <v>2.0466401297408408</v>
      </c>
      <c r="K31" s="1035">
        <f>1/G111</f>
        <v>1.8166110522294352</v>
      </c>
      <c r="L31" s="235">
        <v>1</v>
      </c>
      <c r="M31" s="233">
        <v>1</v>
      </c>
      <c r="N31" s="224"/>
      <c r="O31" s="228"/>
      <c r="P31" s="673"/>
      <c r="Q31" s="683">
        <f t="shared" si="2"/>
        <v>0.22855568321355449</v>
      </c>
      <c r="R31" s="685">
        <f t="shared" si="3"/>
        <v>0.11167360587349362</v>
      </c>
      <c r="S31" s="768"/>
      <c r="T31" s="684">
        <f t="shared" si="0"/>
        <v>9.6658384158927442E-4</v>
      </c>
      <c r="U31" s="776">
        <f t="shared" si="1"/>
        <v>5.3208078878691988E-4</v>
      </c>
      <c r="W31" s="676"/>
      <c r="X31" s="676"/>
      <c r="Y31" s="676"/>
      <c r="Z31" s="676"/>
      <c r="AA31" s="676"/>
      <c r="AB31" s="676"/>
      <c r="AC31" s="676"/>
      <c r="AD31" s="676"/>
      <c r="AE31" s="676"/>
      <c r="AF31" s="676"/>
      <c r="AG31" s="676"/>
    </row>
    <row r="32" spans="1:33">
      <c r="A32" s="228"/>
      <c r="B32" s="228" t="s">
        <v>446</v>
      </c>
      <c r="C32" s="228" t="s">
        <v>447</v>
      </c>
      <c r="D32" s="594" t="s">
        <v>1045</v>
      </c>
      <c r="E32" s="594" t="s">
        <v>62</v>
      </c>
      <c r="G32" s="594"/>
      <c r="H32" s="67">
        <f>F58</f>
        <v>0.20460811550820812</v>
      </c>
      <c r="I32" s="67">
        <f>I58</f>
        <v>7.6302380761784309E-3</v>
      </c>
      <c r="J32" s="1032">
        <f>1/F111</f>
        <v>2.3104234107113255</v>
      </c>
      <c r="K32" s="1032">
        <f>1/H111</f>
        <v>2.0507468031320628</v>
      </c>
      <c r="L32" s="230">
        <v>1</v>
      </c>
      <c r="M32" s="228">
        <v>1</v>
      </c>
      <c r="N32" s="224"/>
      <c r="O32" s="228"/>
      <c r="P32" s="673"/>
      <c r="Q32" s="683">
        <f t="shared" si="2"/>
        <v>0.20460811550820812</v>
      </c>
      <c r="R32" s="685">
        <f t="shared" si="3"/>
        <v>8.855870943811725E-2</v>
      </c>
      <c r="S32" s="768"/>
      <c r="T32" s="684">
        <f t="shared" si="0"/>
        <v>7.6302380761784309E-3</v>
      </c>
      <c r="U32" s="776">
        <f t="shared" si="1"/>
        <v>3.720711920420857E-3</v>
      </c>
      <c r="W32" s="676"/>
      <c r="X32" s="676"/>
      <c r="Y32" s="676"/>
      <c r="Z32" s="676"/>
      <c r="AA32" s="676"/>
      <c r="AB32" s="676"/>
      <c r="AC32" s="676"/>
      <c r="AD32" s="676"/>
      <c r="AE32" s="676"/>
      <c r="AF32" s="676"/>
      <c r="AG32" s="676"/>
    </row>
    <row r="33" spans="1:33">
      <c r="B33" s="228" t="s">
        <v>78</v>
      </c>
      <c r="C33" s="228" t="s">
        <v>182</v>
      </c>
      <c r="D33" s="594" t="s">
        <v>1046</v>
      </c>
      <c r="E33" s="594" t="s">
        <v>62</v>
      </c>
      <c r="F33" s="218">
        <v>2011</v>
      </c>
      <c r="G33" s="594">
        <v>2011</v>
      </c>
      <c r="H33" s="67"/>
      <c r="I33" s="67"/>
      <c r="J33" s="249">
        <v>4.0054008414882007</v>
      </c>
      <c r="K33" s="249">
        <v>4.0012712764469018</v>
      </c>
      <c r="L33" s="230">
        <v>1</v>
      </c>
      <c r="M33" s="236">
        <v>1</v>
      </c>
      <c r="N33" s="228">
        <v>100</v>
      </c>
      <c r="O33" s="228"/>
      <c r="Q33" s="683">
        <f t="shared" si="2"/>
        <v>0</v>
      </c>
      <c r="R33" s="685">
        <f t="shared" si="3"/>
        <v>0</v>
      </c>
      <c r="S33" s="768"/>
      <c r="T33" s="684">
        <f t="shared" si="0"/>
        <v>0</v>
      </c>
      <c r="U33" s="776">
        <f t="shared" si="1"/>
        <v>0</v>
      </c>
      <c r="W33" s="676"/>
      <c r="X33" s="676"/>
      <c r="Y33" s="676"/>
      <c r="Z33" s="676"/>
      <c r="AA33" s="676"/>
      <c r="AB33" s="676"/>
      <c r="AC33" s="676"/>
      <c r="AD33" s="676"/>
      <c r="AE33" s="676"/>
      <c r="AF33" s="676"/>
      <c r="AG33" s="676"/>
    </row>
    <row r="34" spans="1:33">
      <c r="B34" s="228"/>
      <c r="C34" s="228"/>
      <c r="D34" s="594"/>
      <c r="E34" s="594"/>
      <c r="F34" s="218">
        <v>2016</v>
      </c>
      <c r="H34" s="67"/>
      <c r="I34" s="1033"/>
      <c r="J34" s="249">
        <v>4.7531666045225966</v>
      </c>
      <c r="K34" s="249">
        <v>4.7480331668437605</v>
      </c>
      <c r="L34" s="230">
        <v>1</v>
      </c>
      <c r="M34" s="236">
        <v>1</v>
      </c>
      <c r="N34" s="228">
        <v>100</v>
      </c>
      <c r="O34" s="228"/>
      <c r="Q34" s="683">
        <f t="shared" si="2"/>
        <v>0</v>
      </c>
      <c r="R34" s="685">
        <f t="shared" si="3"/>
        <v>0</v>
      </c>
      <c r="S34" s="768"/>
      <c r="T34" s="684">
        <f t="shared" si="0"/>
        <v>0</v>
      </c>
      <c r="U34" s="776">
        <f t="shared" si="1"/>
        <v>0</v>
      </c>
      <c r="W34" s="676"/>
      <c r="X34" s="676"/>
      <c r="Y34" s="676"/>
      <c r="Z34" s="676"/>
      <c r="AA34" s="676"/>
      <c r="AB34" s="676"/>
      <c r="AC34" s="676"/>
      <c r="AD34" s="676"/>
      <c r="AE34" s="676"/>
      <c r="AF34" s="676"/>
      <c r="AG34" s="676"/>
    </row>
    <row r="35" spans="1:33">
      <c r="B35" s="228"/>
      <c r="C35" s="228"/>
      <c r="D35" s="594"/>
      <c r="E35" s="594"/>
      <c r="F35" s="218">
        <v>2021</v>
      </c>
      <c r="H35" s="67"/>
      <c r="I35" s="67"/>
      <c r="J35" s="249">
        <v>6.0763888888888884</v>
      </c>
      <c r="K35" s="249">
        <v>6.0763888888888884</v>
      </c>
      <c r="L35" s="230">
        <v>1</v>
      </c>
      <c r="M35" s="236">
        <v>1</v>
      </c>
      <c r="N35" s="228">
        <v>100</v>
      </c>
      <c r="O35" s="228"/>
      <c r="Q35" s="683">
        <f t="shared" si="2"/>
        <v>0</v>
      </c>
      <c r="R35" s="685">
        <f t="shared" si="3"/>
        <v>0</v>
      </c>
      <c r="S35" s="768"/>
      <c r="T35" s="684">
        <f t="shared" si="0"/>
        <v>0</v>
      </c>
      <c r="U35" s="776">
        <f t="shared" si="1"/>
        <v>0</v>
      </c>
      <c r="W35" s="676"/>
      <c r="X35" s="676"/>
      <c r="Y35" s="676"/>
      <c r="Z35" s="676"/>
      <c r="AA35" s="676"/>
      <c r="AB35" s="676"/>
      <c r="AC35" s="676"/>
      <c r="AD35" s="676"/>
      <c r="AE35" s="676"/>
      <c r="AF35" s="676"/>
      <c r="AG35" s="676"/>
    </row>
    <row r="36" spans="1:33" ht="13.8" thickBot="1">
      <c r="B36" s="228"/>
      <c r="C36" s="228"/>
      <c r="D36" s="594"/>
      <c r="E36" s="594"/>
      <c r="F36" s="232">
        <v>2031</v>
      </c>
      <c r="G36" s="232"/>
      <c r="H36" s="67"/>
      <c r="I36" s="67"/>
      <c r="J36" s="249">
        <v>6.9444444444444446</v>
      </c>
      <c r="K36" s="249">
        <v>6.9444444444444446</v>
      </c>
      <c r="L36" s="230">
        <v>1</v>
      </c>
      <c r="M36" s="236">
        <v>1</v>
      </c>
      <c r="N36" s="228">
        <v>100</v>
      </c>
      <c r="O36" s="228"/>
      <c r="Q36" s="683">
        <f t="shared" si="2"/>
        <v>0</v>
      </c>
      <c r="R36" s="685">
        <f t="shared" si="3"/>
        <v>0</v>
      </c>
      <c r="S36" s="768"/>
      <c r="T36" s="684">
        <f t="shared" si="0"/>
        <v>0</v>
      </c>
      <c r="U36" s="776">
        <f t="shared" si="1"/>
        <v>0</v>
      </c>
      <c r="W36" s="676"/>
      <c r="X36" s="676"/>
      <c r="Y36" s="676"/>
      <c r="Z36" s="676"/>
      <c r="AA36" s="676"/>
      <c r="AB36" s="676"/>
      <c r="AC36" s="676"/>
      <c r="AD36" s="676"/>
      <c r="AE36" s="676"/>
      <c r="AF36" s="676"/>
      <c r="AG36" s="676"/>
    </row>
    <row r="37" spans="1:33" ht="13.8" thickBot="1">
      <c r="B37" s="707" t="s">
        <v>448</v>
      </c>
      <c r="C37" s="707" t="s">
        <v>449</v>
      </c>
      <c r="D37" s="708" t="s">
        <v>1047</v>
      </c>
      <c r="E37" s="708" t="s">
        <v>63</v>
      </c>
      <c r="F37" s="708"/>
      <c r="G37" s="708"/>
      <c r="H37" s="1036">
        <f>E59</f>
        <v>14.105649943309002</v>
      </c>
      <c r="I37" s="1036">
        <f>H59</f>
        <v>1.9911082144807832</v>
      </c>
      <c r="J37" s="1037">
        <f>1/E112</f>
        <v>2.0466401297408408</v>
      </c>
      <c r="K37" s="1037">
        <f>1/G112</f>
        <v>1.8166110522294352</v>
      </c>
      <c r="L37" s="711">
        <v>1</v>
      </c>
      <c r="M37" s="707">
        <v>1</v>
      </c>
      <c r="N37" s="224"/>
      <c r="O37" s="228"/>
      <c r="P37" s="673"/>
      <c r="Q37" s="683">
        <f t="shared" si="2"/>
        <v>14.105649943309002</v>
      </c>
      <c r="R37" s="685">
        <f t="shared" si="3"/>
        <v>6.8921007354112387</v>
      </c>
      <c r="S37" s="768"/>
      <c r="T37" s="684">
        <f t="shared" si="0"/>
        <v>1.9911082144807832</v>
      </c>
      <c r="U37" s="776">
        <f t="shared" si="1"/>
        <v>1.0960564244267899</v>
      </c>
      <c r="W37" s="676"/>
      <c r="X37" s="676"/>
      <c r="Y37" s="676"/>
      <c r="Z37" s="676"/>
      <c r="AA37" s="676"/>
      <c r="AB37" s="676"/>
      <c r="AC37" s="676"/>
      <c r="AD37" s="676"/>
      <c r="AE37" s="676"/>
      <c r="AF37" s="676"/>
      <c r="AG37" s="676"/>
    </row>
    <row r="38" spans="1:33">
      <c r="A38" s="228"/>
      <c r="B38" s="228" t="s">
        <v>450</v>
      </c>
      <c r="C38" s="228" t="s">
        <v>451</v>
      </c>
      <c r="D38" s="594" t="s">
        <v>1048</v>
      </c>
      <c r="E38" s="594" t="s">
        <v>63</v>
      </c>
      <c r="F38" s="594"/>
      <c r="G38" s="594"/>
      <c r="H38" s="67">
        <f>F59</f>
        <v>17.407055018427034</v>
      </c>
      <c r="I38" s="67">
        <f>I59</f>
        <v>4.1598948445993367</v>
      </c>
      <c r="J38" s="1032">
        <f>1/F112</f>
        <v>2.3104234107113255</v>
      </c>
      <c r="K38" s="1032">
        <f>1/H112</f>
        <v>2.0507468031320628</v>
      </c>
      <c r="L38" s="230">
        <v>1</v>
      </c>
      <c r="M38" s="228">
        <v>1</v>
      </c>
      <c r="N38" s="224"/>
      <c r="O38" s="228"/>
      <c r="P38" s="673"/>
      <c r="Q38" s="683">
        <f t="shared" si="2"/>
        <v>17.407055018427034</v>
      </c>
      <c r="R38" s="685">
        <f t="shared" si="3"/>
        <v>7.5341406850910531</v>
      </c>
      <c r="S38" s="768"/>
      <c r="T38" s="684">
        <f t="shared" si="0"/>
        <v>4.1598948445993367</v>
      </c>
      <c r="U38" s="776">
        <f t="shared" si="1"/>
        <v>2.028478034560881</v>
      </c>
      <c r="W38" s="676"/>
      <c r="X38" s="676"/>
      <c r="Y38" s="676"/>
      <c r="Z38" s="676"/>
      <c r="AA38" s="676"/>
      <c r="AB38" s="676"/>
      <c r="AC38" s="676"/>
      <c r="AD38" s="676"/>
      <c r="AE38" s="676"/>
      <c r="AF38" s="676"/>
      <c r="AG38" s="676"/>
    </row>
    <row r="39" spans="1:33">
      <c r="B39" s="228" t="s">
        <v>81</v>
      </c>
      <c r="C39" s="228" t="s">
        <v>183</v>
      </c>
      <c r="D39" s="594" t="s">
        <v>1049</v>
      </c>
      <c r="E39" s="594" t="s">
        <v>63</v>
      </c>
      <c r="F39" s="594">
        <v>2011</v>
      </c>
      <c r="G39" s="594">
        <v>2011</v>
      </c>
      <c r="H39" s="67"/>
      <c r="I39" s="67"/>
      <c r="J39" s="231">
        <v>3.1913321418472385</v>
      </c>
      <c r="K39" s="231">
        <v>3.3769107499905475</v>
      </c>
      <c r="L39" s="230">
        <v>1</v>
      </c>
      <c r="M39" s="236">
        <v>1</v>
      </c>
      <c r="N39" s="228">
        <v>100</v>
      </c>
      <c r="O39" s="228"/>
      <c r="Q39" s="683">
        <f t="shared" si="2"/>
        <v>0</v>
      </c>
      <c r="R39" s="685">
        <f t="shared" si="3"/>
        <v>0</v>
      </c>
      <c r="S39" s="768"/>
      <c r="T39" s="684">
        <f t="shared" si="0"/>
        <v>0</v>
      </c>
      <c r="U39" s="776">
        <f t="shared" si="1"/>
        <v>0</v>
      </c>
      <c r="W39" s="676"/>
      <c r="X39" s="676"/>
      <c r="Y39" s="676"/>
      <c r="Z39" s="676"/>
      <c r="AA39" s="676"/>
      <c r="AB39" s="676"/>
      <c r="AC39" s="676"/>
      <c r="AD39" s="676"/>
      <c r="AE39" s="676"/>
      <c r="AF39" s="676"/>
      <c r="AG39" s="676"/>
    </row>
    <row r="40" spans="1:33">
      <c r="B40" s="228"/>
      <c r="C40" s="228"/>
      <c r="D40" s="594"/>
      <c r="E40" s="594"/>
      <c r="F40" s="594">
        <v>2016</v>
      </c>
      <c r="G40" s="594"/>
      <c r="H40" s="67"/>
      <c r="I40" s="593"/>
      <c r="J40" s="231">
        <v>3.7508462521711179</v>
      </c>
      <c r="K40" s="231">
        <v>3.9776461840736572</v>
      </c>
      <c r="L40" s="230">
        <v>1</v>
      </c>
      <c r="M40" s="236">
        <v>1</v>
      </c>
      <c r="N40" s="228">
        <v>100</v>
      </c>
      <c r="O40" s="228"/>
      <c r="Q40" s="683">
        <f t="shared" si="2"/>
        <v>0</v>
      </c>
      <c r="R40" s="685">
        <f t="shared" si="3"/>
        <v>0</v>
      </c>
      <c r="S40" s="767"/>
      <c r="T40" s="684">
        <f t="shared" si="0"/>
        <v>0</v>
      </c>
      <c r="U40" s="776">
        <f t="shared" si="1"/>
        <v>0</v>
      </c>
      <c r="W40" s="676"/>
      <c r="X40" s="676"/>
      <c r="Y40" s="676"/>
      <c r="Z40" s="676"/>
      <c r="AA40" s="676"/>
      <c r="AB40" s="676"/>
      <c r="AC40" s="676"/>
      <c r="AD40" s="676"/>
      <c r="AE40" s="676"/>
      <c r="AF40" s="676"/>
      <c r="AG40" s="676"/>
    </row>
    <row r="41" spans="1:33">
      <c r="B41" s="228"/>
      <c r="C41" s="228"/>
      <c r="D41" s="594"/>
      <c r="E41" s="594"/>
      <c r="F41" s="594">
        <v>2021</v>
      </c>
      <c r="G41" s="594"/>
      <c r="H41" s="67"/>
      <c r="I41" s="594"/>
      <c r="J41" s="231">
        <v>6.0763888888888884</v>
      </c>
      <c r="K41" s="231">
        <v>6.0763888888888884</v>
      </c>
      <c r="L41" s="230">
        <v>1</v>
      </c>
      <c r="M41" s="236">
        <v>1</v>
      </c>
      <c r="N41" s="228">
        <v>100</v>
      </c>
      <c r="O41" s="228"/>
      <c r="Q41" s="683">
        <f t="shared" si="2"/>
        <v>0</v>
      </c>
      <c r="R41" s="685">
        <f t="shared" si="3"/>
        <v>0</v>
      </c>
      <c r="S41" s="767"/>
      <c r="T41" s="684">
        <f t="shared" si="0"/>
        <v>0</v>
      </c>
      <c r="U41" s="776">
        <f t="shared" si="1"/>
        <v>0</v>
      </c>
      <c r="W41" s="676"/>
      <c r="X41" s="676"/>
      <c r="Y41" s="676"/>
      <c r="Z41" s="676"/>
      <c r="AA41" s="676"/>
      <c r="AB41" s="676"/>
      <c r="AC41" s="676"/>
      <c r="AD41" s="676"/>
      <c r="AE41" s="676"/>
      <c r="AF41" s="676"/>
      <c r="AG41" s="676"/>
    </row>
    <row r="42" spans="1:33">
      <c r="B42" s="712"/>
      <c r="C42" s="712"/>
      <c r="D42" s="713"/>
      <c r="E42" s="713"/>
      <c r="F42" s="713">
        <v>2031</v>
      </c>
      <c r="G42" s="713"/>
      <c r="H42" s="713"/>
      <c r="I42" s="714"/>
      <c r="J42" s="715">
        <v>6.9444444444444446</v>
      </c>
      <c r="K42" s="715">
        <v>6.9444444444444446</v>
      </c>
      <c r="L42" s="716">
        <v>1</v>
      </c>
      <c r="M42" s="717">
        <v>1</v>
      </c>
      <c r="N42" s="712">
        <v>100</v>
      </c>
      <c r="O42" s="228"/>
      <c r="Q42" s="778">
        <f t="shared" si="2"/>
        <v>0</v>
      </c>
      <c r="R42" s="779">
        <f t="shared" si="3"/>
        <v>0</v>
      </c>
      <c r="S42" s="777"/>
      <c r="T42" s="780">
        <f t="shared" si="0"/>
        <v>0</v>
      </c>
      <c r="U42" s="781">
        <f t="shared" si="1"/>
        <v>0</v>
      </c>
      <c r="W42" s="676"/>
      <c r="X42" s="676"/>
      <c r="Y42" s="676"/>
      <c r="Z42" s="676"/>
      <c r="AA42" s="676"/>
      <c r="AB42" s="676"/>
      <c r="AC42" s="676"/>
      <c r="AD42" s="676"/>
      <c r="AE42" s="676"/>
      <c r="AF42" s="676"/>
      <c r="AG42" s="676"/>
    </row>
    <row r="43" spans="1:33">
      <c r="B43" s="228"/>
      <c r="C43" s="228"/>
      <c r="D43" s="594"/>
      <c r="E43" s="594"/>
      <c r="F43" s="594"/>
      <c r="G43" s="594"/>
      <c r="J43" s="593"/>
      <c r="K43" s="593"/>
      <c r="P43" s="1333" t="s">
        <v>1231</v>
      </c>
      <c r="R43" s="1335">
        <f>Boilers_DR!S26</f>
        <v>100.49300883490503</v>
      </c>
      <c r="S43" s="1335"/>
      <c r="T43" s="1335"/>
      <c r="U43" s="1335">
        <f>Boilers_DR!U26</f>
        <v>42.100872957391253</v>
      </c>
      <c r="V43" s="1333" t="s">
        <v>176</v>
      </c>
      <c r="W43" s="676"/>
      <c r="X43" s="676"/>
      <c r="Y43" s="676"/>
      <c r="Z43" s="676"/>
      <c r="AA43" s="676"/>
      <c r="AB43" s="676"/>
      <c r="AC43" s="676"/>
      <c r="AD43" s="676"/>
      <c r="AE43" s="676"/>
      <c r="AF43" s="676"/>
      <c r="AG43" s="676"/>
    </row>
    <row r="44" spans="1:33">
      <c r="B44" s="228"/>
      <c r="C44" s="228"/>
      <c r="D44" s="594"/>
      <c r="E44" s="594"/>
      <c r="F44" s="594"/>
      <c r="G44" s="594"/>
      <c r="H44" s="1038" t="s">
        <v>147</v>
      </c>
      <c r="I44" s="1039">
        <f>SUM(H7:I42)</f>
        <v>292.72864436070836</v>
      </c>
      <c r="J44" s="593"/>
      <c r="K44" s="593"/>
      <c r="R44" s="1335">
        <f>Boilers_DR!S27</f>
        <v>14.653429798706608</v>
      </c>
      <c r="S44" s="1335"/>
      <c r="T44" s="1335"/>
      <c r="U44" s="1335">
        <f>Boilers_DR!U27</f>
        <v>3.2223972699555827</v>
      </c>
      <c r="V44" s="1334" t="s">
        <v>348</v>
      </c>
      <c r="W44" s="676"/>
      <c r="X44" s="676"/>
      <c r="Y44" s="676"/>
      <c r="Z44" s="676"/>
      <c r="AA44" s="676"/>
      <c r="AB44" s="676"/>
      <c r="AC44" s="676"/>
      <c r="AD44" s="676"/>
      <c r="AE44" s="676"/>
      <c r="AF44" s="676"/>
      <c r="AG44" s="676"/>
    </row>
    <row r="45" spans="1:33">
      <c r="B45" s="228"/>
      <c r="C45" s="228"/>
      <c r="D45" s="594"/>
      <c r="E45" s="594"/>
      <c r="F45" s="594"/>
      <c r="G45" s="594"/>
      <c r="H45" s="1038"/>
      <c r="I45" s="1039"/>
      <c r="J45" s="593"/>
      <c r="K45" s="593"/>
      <c r="P45" s="1328" t="s">
        <v>1230</v>
      </c>
      <c r="Q45"/>
      <c r="R45" s="1329">
        <f>SUM(R7:R24)</f>
        <v>100.84848272649586</v>
      </c>
      <c r="S45" s="1330"/>
      <c r="T45" s="1330"/>
      <c r="U45" s="1329">
        <f>SUM(U19:U30)</f>
        <v>41.374761191524691</v>
      </c>
      <c r="V45" s="1331" t="s">
        <v>176</v>
      </c>
      <c r="W45" s="676"/>
      <c r="X45" s="676"/>
      <c r="Y45" s="676"/>
      <c r="Z45" s="676"/>
      <c r="AA45" s="676"/>
      <c r="AB45" s="676"/>
      <c r="AC45" s="676"/>
      <c r="AD45" s="676"/>
      <c r="AE45" s="676"/>
      <c r="AF45" s="676"/>
      <c r="AG45" s="676"/>
    </row>
    <row r="46" spans="1:33">
      <c r="B46" s="228"/>
      <c r="C46" s="228"/>
      <c r="D46" s="594"/>
      <c r="E46" s="594"/>
      <c r="F46" s="594"/>
      <c r="G46" s="594"/>
      <c r="H46" s="1038"/>
      <c r="I46" s="1039"/>
      <c r="J46" s="593"/>
      <c r="K46" s="593"/>
      <c r="P46"/>
      <c r="Q46"/>
      <c r="R46" s="1329">
        <f>SUM(R25:R42)</f>
        <v>14.720654510716624</v>
      </c>
      <c r="S46" s="1330"/>
      <c r="T46" s="1330"/>
      <c r="U46" s="1329">
        <f>SUM(U31:U42)</f>
        <v>3.1287872516968784</v>
      </c>
      <c r="V46" s="1332" t="s">
        <v>348</v>
      </c>
      <c r="W46" s="676"/>
      <c r="X46" s="676"/>
      <c r="Y46" s="676"/>
      <c r="Z46" s="676"/>
      <c r="AA46" s="676"/>
      <c r="AB46" s="676"/>
      <c r="AC46" s="676"/>
      <c r="AD46" s="676"/>
      <c r="AE46" s="676"/>
      <c r="AF46" s="676"/>
      <c r="AG46" s="676"/>
    </row>
    <row r="47" spans="1:33">
      <c r="B47" s="228"/>
      <c r="C47" s="228"/>
      <c r="D47" s="594"/>
      <c r="E47" s="594"/>
      <c r="F47" s="594"/>
      <c r="G47" s="594"/>
      <c r="H47" s="1038"/>
      <c r="I47" s="1039"/>
      <c r="J47" s="593"/>
      <c r="K47" s="593"/>
      <c r="P47"/>
      <c r="Q47"/>
      <c r="R47" s="793">
        <f>R43-R45</f>
        <v>-0.35547389159083309</v>
      </c>
      <c r="S47" s="793"/>
      <c r="T47" s="793"/>
      <c r="U47" s="793">
        <f t="shared" ref="U47:U48" si="4">U43-U45</f>
        <v>0.72611176586656256</v>
      </c>
      <c r="W47" s="676"/>
      <c r="X47" s="676"/>
      <c r="Y47" s="676"/>
      <c r="Z47" s="676"/>
      <c r="AA47" s="676"/>
      <c r="AB47" s="676"/>
      <c r="AC47" s="676"/>
      <c r="AD47" s="676"/>
      <c r="AE47" s="676"/>
      <c r="AF47" s="676"/>
      <c r="AG47" s="676"/>
    </row>
    <row r="48" spans="1:33">
      <c r="B48" s="228"/>
      <c r="C48" s="228"/>
      <c r="D48" s="594"/>
      <c r="E48" s="594"/>
      <c r="F48" s="594"/>
      <c r="G48" s="594"/>
      <c r="J48" s="593"/>
      <c r="K48" s="593"/>
      <c r="P48"/>
      <c r="Q48"/>
      <c r="R48" s="793">
        <f>R44-R46</f>
        <v>-6.7224712010016674E-2</v>
      </c>
      <c r="S48" s="793"/>
      <c r="T48" s="793"/>
      <c r="U48" s="793">
        <f t="shared" si="4"/>
        <v>9.3610018258704297E-2</v>
      </c>
      <c r="W48" s="676"/>
      <c r="X48" s="676"/>
      <c r="Y48" s="676"/>
      <c r="Z48" s="676"/>
      <c r="AA48" s="676"/>
      <c r="AB48" s="676"/>
      <c r="AC48" s="676"/>
      <c r="AD48" s="676"/>
      <c r="AE48" s="676"/>
      <c r="AF48" s="676"/>
      <c r="AG48" s="676"/>
    </row>
    <row r="49" spans="2:29" ht="13.8">
      <c r="B49" s="228"/>
      <c r="C49" s="228"/>
      <c r="D49" s="594"/>
      <c r="E49" s="594"/>
      <c r="F49" s="594"/>
      <c r="G49" s="594"/>
      <c r="I49" s="237"/>
      <c r="J49" s="207"/>
      <c r="K49" s="207"/>
      <c r="P49" s="783"/>
      <c r="Q49" s="1012"/>
      <c r="R49" s="1010"/>
      <c r="S49" s="676"/>
      <c r="T49" s="676"/>
      <c r="U49" s="676"/>
      <c r="V49" s="676"/>
      <c r="W49" s="676"/>
      <c r="X49" s="676"/>
      <c r="Y49" s="676"/>
      <c r="Z49" s="676"/>
      <c r="AA49" s="676"/>
      <c r="AB49" s="676"/>
      <c r="AC49" s="676"/>
    </row>
    <row r="50" spans="2:29" ht="13.8">
      <c r="B50" s="228"/>
      <c r="D50" s="238"/>
      <c r="E50" s="594"/>
      <c r="F50" s="594"/>
      <c r="G50" s="594"/>
      <c r="H50" s="594"/>
      <c r="I50" s="593"/>
      <c r="J50" s="593"/>
      <c r="K50" s="593"/>
      <c r="L50" s="593"/>
      <c r="M50" s="593"/>
      <c r="N50" s="593"/>
      <c r="X50" s="1011"/>
      <c r="Y50" s="1010"/>
    </row>
    <row r="51" spans="2:29" ht="15.6" thickBot="1">
      <c r="B51" s="228"/>
      <c r="C51" s="228"/>
      <c r="D51" s="207"/>
      <c r="E51" s="592" t="s">
        <v>268</v>
      </c>
      <c r="F51" s="592"/>
      <c r="G51" s="592"/>
      <c r="H51" s="592"/>
      <c r="I51" s="592"/>
      <c r="J51" s="592"/>
      <c r="K51" s="593"/>
      <c r="T51" s="1009"/>
    </row>
    <row r="52" spans="2:29" ht="14.4" thickTop="1" thickBot="1">
      <c r="B52" s="228"/>
      <c r="D52" s="239"/>
      <c r="E52" s="1453" t="s">
        <v>1020</v>
      </c>
      <c r="F52" s="1454"/>
      <c r="G52" s="1455"/>
      <c r="H52" s="1456" t="s">
        <v>1021</v>
      </c>
      <c r="I52" s="1454"/>
      <c r="J52" s="1457"/>
      <c r="K52" s="593"/>
      <c r="L52" s="593"/>
      <c r="U52" s="1009"/>
    </row>
    <row r="53" spans="2:29" ht="13.8" thickBot="1">
      <c r="B53" s="228"/>
      <c r="D53" s="689" t="s">
        <v>238</v>
      </c>
      <c r="E53" s="692" t="s">
        <v>452</v>
      </c>
      <c r="F53" s="693" t="s">
        <v>356</v>
      </c>
      <c r="G53" s="694" t="s">
        <v>57</v>
      </c>
      <c r="H53" s="692" t="s">
        <v>452</v>
      </c>
      <c r="I53" s="693" t="s">
        <v>356</v>
      </c>
      <c r="J53" s="695" t="s">
        <v>57</v>
      </c>
      <c r="K53" s="593"/>
      <c r="L53" s="593"/>
    </row>
    <row r="54" spans="2:29">
      <c r="B54" s="228"/>
      <c r="D54" s="243" t="s">
        <v>240</v>
      </c>
      <c r="E54" s="697">
        <f>J69</f>
        <v>1.1379951478727888</v>
      </c>
      <c r="F54" s="698">
        <f>K69</f>
        <v>1.4061583389625385</v>
      </c>
      <c r="G54" s="699">
        <v>0</v>
      </c>
      <c r="H54" s="697">
        <f>J70</f>
        <v>0.51558121787343392</v>
      </c>
      <c r="I54" s="698">
        <f>K70</f>
        <v>0.7014729177517488</v>
      </c>
      <c r="J54" s="699">
        <v>0</v>
      </c>
      <c r="K54" s="593"/>
      <c r="L54" s="593"/>
    </row>
    <row r="55" spans="2:29">
      <c r="B55" s="228"/>
      <c r="D55" s="243" t="s">
        <v>241</v>
      </c>
      <c r="E55" s="690">
        <f>D69</f>
        <v>0.48934126531890754</v>
      </c>
      <c r="F55" s="696">
        <f>E69</f>
        <v>0.6731037521190546</v>
      </c>
      <c r="G55" s="700">
        <v>0</v>
      </c>
      <c r="H55" s="690">
        <f>D70</f>
        <v>6.5538998161871156E-2</v>
      </c>
      <c r="I55" s="696">
        <f>E70</f>
        <v>9.6734146688186418E-2</v>
      </c>
      <c r="J55" s="700">
        <v>0</v>
      </c>
      <c r="K55" s="593"/>
      <c r="L55" s="593"/>
    </row>
    <row r="56" spans="2:29">
      <c r="B56" s="228"/>
      <c r="D56" s="243" t="s">
        <v>242</v>
      </c>
      <c r="E56" s="690">
        <f>P69</f>
        <v>79.739484246393118</v>
      </c>
      <c r="F56" s="696">
        <f>Q69</f>
        <v>101.88384246299806</v>
      </c>
      <c r="G56" s="700">
        <v>0</v>
      </c>
      <c r="H56" s="690">
        <f>P70</f>
        <v>28.474890585729948</v>
      </c>
      <c r="I56" s="696">
        <f>Q70</f>
        <v>39.112146157556829</v>
      </c>
      <c r="J56" s="700">
        <v>0</v>
      </c>
      <c r="K56" s="593"/>
      <c r="L56" s="593"/>
    </row>
    <row r="57" spans="2:29">
      <c r="B57" s="228"/>
      <c r="D57" s="243" t="s">
        <v>243</v>
      </c>
      <c r="E57" s="690">
        <f>M69</f>
        <v>5.9314723792751725E-2</v>
      </c>
      <c r="F57" s="696">
        <f>N69</f>
        <v>0.15063790527601717</v>
      </c>
      <c r="G57" s="700">
        <v>0</v>
      </c>
      <c r="H57" s="690">
        <f>M70</f>
        <v>3.9668277678426712E-2</v>
      </c>
      <c r="I57" s="696">
        <f>N70</f>
        <v>7.7265575078910076E-2</v>
      </c>
      <c r="J57" s="700">
        <v>0</v>
      </c>
      <c r="K57" s="593"/>
      <c r="L57" s="593"/>
    </row>
    <row r="58" spans="2:29">
      <c r="B58" s="228"/>
      <c r="D58" s="243" t="s">
        <v>244</v>
      </c>
      <c r="E58" s="690">
        <f>G69</f>
        <v>0.22855568321355449</v>
      </c>
      <c r="F58" s="696">
        <f>H69</f>
        <v>0.20460811550820812</v>
      </c>
      <c r="G58" s="700">
        <v>0</v>
      </c>
      <c r="H58" s="690">
        <f>G70</f>
        <v>9.6658384158927442E-4</v>
      </c>
      <c r="I58" s="696">
        <f>H70</f>
        <v>7.6302380761784309E-3</v>
      </c>
      <c r="J58" s="700">
        <v>0</v>
      </c>
      <c r="K58" s="593"/>
      <c r="L58" s="593"/>
    </row>
    <row r="59" spans="2:29" ht="13.8" thickBot="1">
      <c r="B59" s="228"/>
      <c r="D59" s="691" t="s">
        <v>245</v>
      </c>
      <c r="E59" s="701">
        <f>S69</f>
        <v>14.105649943309002</v>
      </c>
      <c r="F59" s="702">
        <f>T69</f>
        <v>17.407055018427034</v>
      </c>
      <c r="G59" s="703">
        <v>0</v>
      </c>
      <c r="H59" s="701">
        <f>S70</f>
        <v>1.9911082144807832</v>
      </c>
      <c r="I59" s="702">
        <f>T70</f>
        <v>4.1598948445993367</v>
      </c>
      <c r="J59" s="703">
        <v>0</v>
      </c>
      <c r="K59" s="593"/>
      <c r="L59" s="593"/>
    </row>
    <row r="60" spans="2:29" ht="13.8" thickTop="1">
      <c r="B60" s="228"/>
      <c r="D60" s="240"/>
      <c r="E60" s="184"/>
      <c r="F60" s="184"/>
      <c r="G60" s="68"/>
      <c r="H60" s="184"/>
      <c r="I60" s="184"/>
      <c r="J60" s="68"/>
      <c r="K60" s="593"/>
      <c r="L60" s="593"/>
    </row>
    <row r="61" spans="2:29">
      <c r="B61" s="228"/>
      <c r="D61" s="240"/>
      <c r="E61" s="184"/>
      <c r="F61" s="184"/>
      <c r="G61" s="68"/>
      <c r="H61" s="184"/>
      <c r="I61" s="184"/>
      <c r="J61" s="68"/>
      <c r="K61" s="593"/>
      <c r="L61" s="593"/>
    </row>
    <row r="62" spans="2:29">
      <c r="B62" s="228"/>
      <c r="D62" s="240"/>
      <c r="E62" s="184"/>
      <c r="F62" s="184"/>
      <c r="G62" s="68"/>
      <c r="H62" s="184"/>
      <c r="I62" s="184"/>
      <c r="J62" s="68"/>
      <c r="K62" s="593"/>
      <c r="L62" s="593"/>
    </row>
    <row r="63" spans="2:29">
      <c r="B63" s="228"/>
      <c r="L63" s="593"/>
    </row>
    <row r="64" spans="2:29">
      <c r="D64" s="741"/>
      <c r="E64" s="594"/>
      <c r="F64" s="594"/>
      <c r="G64" s="594"/>
      <c r="H64" s="594"/>
      <c r="I64" s="594"/>
      <c r="J64" s="594"/>
      <c r="K64" s="594"/>
      <c r="L64" s="594"/>
    </row>
    <row r="65" spans="3:24" ht="13.8" thickBot="1">
      <c r="C65" s="741"/>
      <c r="D65" s="751" t="str">
        <f>Service_Demand_2010!C136</f>
        <v>Table 6: Calculated heated area of the dwelling stock, over 2 regions, building type, construction year and share of centralization,   m2</v>
      </c>
      <c r="E65" s="310"/>
      <c r="F65" s="310"/>
      <c r="G65" s="310"/>
      <c r="H65" s="310"/>
      <c r="I65" s="310"/>
      <c r="J65" s="310"/>
      <c r="K65" s="310"/>
      <c r="L65" s="310"/>
      <c r="M65" s="310"/>
      <c r="N65" s="310"/>
      <c r="O65" s="310"/>
      <c r="P65" s="310"/>
      <c r="Q65" s="310"/>
      <c r="R65" s="310"/>
      <c r="S65" s="310"/>
      <c r="T65" s="310"/>
      <c r="U65" s="310"/>
    </row>
    <row r="66" spans="3:24">
      <c r="C66" s="741"/>
      <c r="D66" s="1458" t="str">
        <f>'Building Stock &amp; Specific Heat '!C150</f>
        <v>Central</v>
      </c>
      <c r="E66" s="1459"/>
      <c r="F66" s="1459"/>
      <c r="G66" s="1459"/>
      <c r="H66" s="1459"/>
      <c r="I66" s="1460"/>
      <c r="J66" s="1458" t="str">
        <f>'Building Stock &amp; Specific Heat '!I150</f>
        <v>Decentral</v>
      </c>
      <c r="K66" s="1459"/>
      <c r="L66" s="1459"/>
      <c r="M66" s="1459"/>
      <c r="N66" s="1459"/>
      <c r="O66" s="1460"/>
      <c r="P66" s="1458" t="str">
        <f>'Building Stock &amp; Specific Heat '!O150</f>
        <v>Individual</v>
      </c>
      <c r="Q66" s="1459"/>
      <c r="R66" s="1459"/>
      <c r="S66" s="1459"/>
      <c r="T66" s="1459"/>
      <c r="U66" s="1460"/>
      <c r="W66" s="594"/>
    </row>
    <row r="67" spans="3:24">
      <c r="C67" s="741"/>
      <c r="D67" s="1461" t="str">
        <f>'Building Stock &amp; Specific Heat '!C151</f>
        <v>Detached</v>
      </c>
      <c r="E67" s="1462"/>
      <c r="F67" s="1462"/>
      <c r="G67" s="1462" t="str">
        <f>'Building Stock &amp; Specific Heat '!F151</f>
        <v>Multi S</v>
      </c>
      <c r="H67" s="1462"/>
      <c r="I67" s="1463"/>
      <c r="J67" s="1461" t="str">
        <f>'Building Stock &amp; Specific Heat '!I151</f>
        <v>Detached</v>
      </c>
      <c r="K67" s="1462"/>
      <c r="L67" s="1462"/>
      <c r="M67" s="1462" t="str">
        <f>'Building Stock &amp; Specific Heat '!L151</f>
        <v>Multi S</v>
      </c>
      <c r="N67" s="1462"/>
      <c r="O67" s="1463"/>
      <c r="P67" s="1461" t="str">
        <f>'Building Stock &amp; Specific Heat '!O151</f>
        <v>Detached</v>
      </c>
      <c r="Q67" s="1462"/>
      <c r="R67" s="1462"/>
      <c r="S67" s="1462" t="str">
        <f>'Building Stock &amp; Specific Heat '!R151</f>
        <v>Multi S</v>
      </c>
      <c r="T67" s="1462"/>
      <c r="U67" s="1463"/>
      <c r="W67" s="594"/>
    </row>
    <row r="68" spans="3:24" ht="13.8" thickBot="1">
      <c r="C68" s="741"/>
      <c r="D68" s="969" t="str">
        <f>'Building Stock &amp; Specific Heat '!C152</f>
        <v>before 71</v>
      </c>
      <c r="E68" s="970" t="str">
        <f>'Building Stock &amp; Specific Heat '!D152</f>
        <v>after 71</v>
      </c>
      <c r="F68" s="971" t="str">
        <f>'Building Stock &amp; Specific Heat '!E152</f>
        <v>after 2011</v>
      </c>
      <c r="G68" s="963" t="str">
        <f>'Building Stock &amp; Specific Heat '!F152</f>
        <v>before 71</v>
      </c>
      <c r="H68" s="963" t="str">
        <f>'Building Stock &amp; Specific Heat '!G152</f>
        <v>after 71</v>
      </c>
      <c r="I68" s="964" t="str">
        <f>'Building Stock &amp; Specific Heat '!H152</f>
        <v>after 2011</v>
      </c>
      <c r="J68" s="969" t="str">
        <f>'Building Stock &amp; Specific Heat '!I152</f>
        <v>before 71</v>
      </c>
      <c r="K68" s="970" t="str">
        <f>'Building Stock &amp; Specific Heat '!J152</f>
        <v>after 71</v>
      </c>
      <c r="L68" s="971" t="str">
        <f>'Building Stock &amp; Specific Heat '!K152</f>
        <v>after 2011</v>
      </c>
      <c r="M68" s="963" t="str">
        <f>'Building Stock &amp; Specific Heat '!L152</f>
        <v>before 71</v>
      </c>
      <c r="N68" s="963" t="str">
        <f>'Building Stock &amp; Specific Heat '!M152</f>
        <v>after 71</v>
      </c>
      <c r="O68" s="964" t="str">
        <f>'Building Stock &amp; Specific Heat '!N152</f>
        <v>after 2011</v>
      </c>
      <c r="P68" s="969" t="str">
        <f>'Building Stock &amp; Specific Heat '!O152</f>
        <v>before 71</v>
      </c>
      <c r="Q68" s="970" t="str">
        <f>'Building Stock &amp; Specific Heat '!P152</f>
        <v>after 71</v>
      </c>
      <c r="R68" s="971" t="str">
        <f>'Building Stock &amp; Specific Heat '!Q152</f>
        <v>after 2011</v>
      </c>
      <c r="S68" s="963" t="str">
        <f>'Building Stock &amp; Specific Heat '!R152</f>
        <v>before 71</v>
      </c>
      <c r="T68" s="963" t="str">
        <f>'Building Stock &amp; Specific Heat '!S152</f>
        <v>after 71</v>
      </c>
      <c r="U68" s="964" t="str">
        <f>'Building Stock &amp; Specific Heat '!T152</f>
        <v>after 2011</v>
      </c>
      <c r="W68" s="594"/>
    </row>
    <row r="69" spans="3:24">
      <c r="C69" s="741" t="str">
        <f>'Building Stock &amp; Specific Heat '!B153</f>
        <v>NO1</v>
      </c>
      <c r="D69" s="965">
        <f>Service_Demand_2010!C143</f>
        <v>0.48934126531890754</v>
      </c>
      <c r="E69" s="966">
        <f>Service_Demand_2010!D143</f>
        <v>0.6731037521190546</v>
      </c>
      <c r="F69" s="972">
        <f>Service_Demand_2010!E143</f>
        <v>0</v>
      </c>
      <c r="G69" s="966">
        <f>Service_Demand_2010!F143</f>
        <v>0.22855568321355449</v>
      </c>
      <c r="H69" s="966">
        <f>Service_Demand_2010!G143</f>
        <v>0.20460811550820812</v>
      </c>
      <c r="I69" s="966">
        <f>Service_Demand_2010!H143</f>
        <v>0</v>
      </c>
      <c r="J69" s="965">
        <f>Service_Demand_2010!I143</f>
        <v>1.1379951478727888</v>
      </c>
      <c r="K69" s="966">
        <f>Service_Demand_2010!J143</f>
        <v>1.4061583389625385</v>
      </c>
      <c r="L69" s="972">
        <f>Service_Demand_2010!K143</f>
        <v>0</v>
      </c>
      <c r="M69" s="966">
        <f>Service_Demand_2010!L143</f>
        <v>5.9314723792751725E-2</v>
      </c>
      <c r="N69" s="966">
        <f>Service_Demand_2010!M143</f>
        <v>0.15063790527601717</v>
      </c>
      <c r="O69" s="967">
        <f>Service_Demand_2010!N143</f>
        <v>0</v>
      </c>
      <c r="P69" s="965">
        <f>Service_Demand_2010!O143</f>
        <v>79.739484246393118</v>
      </c>
      <c r="Q69" s="966">
        <f>Service_Demand_2010!P143</f>
        <v>101.88384246299806</v>
      </c>
      <c r="R69" s="972">
        <f>Service_Demand_2010!Q143</f>
        <v>0</v>
      </c>
      <c r="S69" s="966">
        <f>Service_Demand_2010!R143</f>
        <v>14.105649943309002</v>
      </c>
      <c r="T69" s="966">
        <f>Service_Demand_2010!S143</f>
        <v>17.407055018427034</v>
      </c>
      <c r="U69" s="967">
        <f>Service_Demand_2010!T143</f>
        <v>0</v>
      </c>
      <c r="V69" s="962">
        <f>SUM(D69:U70)</f>
        <v>292.72864436070836</v>
      </c>
      <c r="W69" s="594" t="s">
        <v>48</v>
      </c>
    </row>
    <row r="70" spans="3:24" ht="13.8" thickBot="1">
      <c r="C70" s="741" t="str">
        <f>'Building Stock &amp; Specific Heat '!B154</f>
        <v>NO2</v>
      </c>
      <c r="D70" s="968">
        <f>Service_Demand_2010!C144</f>
        <v>6.5538998161871156E-2</v>
      </c>
      <c r="E70" s="682">
        <f>Service_Demand_2010!D144</f>
        <v>9.6734146688186418E-2</v>
      </c>
      <c r="F70" s="973">
        <f>Service_Demand_2010!E144</f>
        <v>0</v>
      </c>
      <c r="G70" s="682">
        <f>Service_Demand_2010!F144</f>
        <v>9.6658384158927442E-4</v>
      </c>
      <c r="H70" s="682">
        <f>Service_Demand_2010!G144</f>
        <v>7.6302380761784309E-3</v>
      </c>
      <c r="I70" s="682">
        <f>Service_Demand_2010!H144</f>
        <v>0</v>
      </c>
      <c r="J70" s="968">
        <f>Service_Demand_2010!I144</f>
        <v>0.51558121787343392</v>
      </c>
      <c r="K70" s="682">
        <f>Service_Demand_2010!J144</f>
        <v>0.7014729177517488</v>
      </c>
      <c r="L70" s="973">
        <f>Service_Demand_2010!K144</f>
        <v>0</v>
      </c>
      <c r="M70" s="682">
        <f>Service_Demand_2010!L144</f>
        <v>3.9668277678426712E-2</v>
      </c>
      <c r="N70" s="682">
        <f>Service_Demand_2010!M144</f>
        <v>7.7265575078910076E-2</v>
      </c>
      <c r="O70" s="680">
        <f>Service_Demand_2010!N144</f>
        <v>0</v>
      </c>
      <c r="P70" s="968">
        <f>Service_Demand_2010!O144</f>
        <v>28.474890585729948</v>
      </c>
      <c r="Q70" s="682">
        <f>Service_Demand_2010!P144</f>
        <v>39.112146157556829</v>
      </c>
      <c r="R70" s="973">
        <f>Service_Demand_2010!Q144</f>
        <v>0</v>
      </c>
      <c r="S70" s="682">
        <f>Service_Demand_2010!R144</f>
        <v>1.9911082144807832</v>
      </c>
      <c r="T70" s="682">
        <f>Service_Demand_2010!S144</f>
        <v>4.1598948445993367</v>
      </c>
      <c r="U70" s="680">
        <f>Service_Demand_2010!T144</f>
        <v>0</v>
      </c>
      <c r="W70" s="594"/>
    </row>
    <row r="71" spans="3:24">
      <c r="D71" s="594"/>
      <c r="E71" s="744"/>
      <c r="F71" s="744"/>
      <c r="G71" s="744"/>
      <c r="H71" s="744"/>
      <c r="I71" s="744"/>
      <c r="J71" s="744"/>
      <c r="K71" s="744"/>
      <c r="L71" s="744"/>
      <c r="M71" s="744"/>
      <c r="N71" s="744"/>
      <c r="O71" s="744"/>
      <c r="P71" s="744"/>
      <c r="Q71" s="744"/>
      <c r="R71" s="744"/>
      <c r="S71" s="744"/>
      <c r="T71" s="744"/>
      <c r="U71" s="744"/>
      <c r="V71" s="745"/>
      <c r="W71" s="752"/>
      <c r="X71" s="594"/>
    </row>
    <row r="72" spans="3:24">
      <c r="D72" s="594"/>
      <c r="E72" s="744"/>
      <c r="F72" s="744"/>
      <c r="G72" s="744"/>
      <c r="H72" s="744"/>
      <c r="I72" s="744"/>
      <c r="J72" s="744"/>
      <c r="K72" s="744"/>
      <c r="L72" s="744"/>
      <c r="M72" s="744"/>
      <c r="N72" s="744"/>
      <c r="O72" s="744"/>
      <c r="P72" s="744"/>
      <c r="Q72" s="744"/>
      <c r="R72" s="744"/>
      <c r="S72" s="744"/>
      <c r="T72" s="744"/>
      <c r="U72" s="744"/>
      <c r="V72" s="745"/>
      <c r="W72" s="752"/>
      <c r="X72" s="594"/>
    </row>
    <row r="73" spans="3:24">
      <c r="D73" s="594"/>
      <c r="E73" s="744"/>
      <c r="F73" s="744"/>
      <c r="G73" s="744"/>
      <c r="H73" s="744"/>
      <c r="I73" s="744"/>
      <c r="J73" s="744"/>
      <c r="K73" s="744"/>
      <c r="L73" s="744"/>
      <c r="M73" s="744"/>
      <c r="N73" s="744"/>
      <c r="O73" s="744"/>
      <c r="P73" s="744"/>
      <c r="Q73" s="744"/>
      <c r="R73" s="744"/>
      <c r="S73" s="744"/>
      <c r="T73" s="744"/>
      <c r="U73" s="744"/>
      <c r="V73" s="745"/>
      <c r="W73" s="752"/>
      <c r="X73" s="594"/>
    </row>
    <row r="74" spans="3:24" ht="13.8">
      <c r="D74" s="1336" t="s">
        <v>1239</v>
      </c>
      <c r="E74" s="1337"/>
      <c r="F74" s="1337"/>
      <c r="G74" s="1337"/>
      <c r="H74" s="1337"/>
      <c r="I74" s="1337"/>
      <c r="J74" s="1337"/>
      <c r="K74" s="1337"/>
      <c r="L74" s="1123"/>
      <c r="M74" s="1123"/>
      <c r="N74" s="1123"/>
      <c r="O74" s="1123"/>
      <c r="P74" s="1123"/>
      <c r="Q74" s="744"/>
      <c r="R74" s="744"/>
      <c r="S74" s="744"/>
      <c r="T74" s="744"/>
      <c r="U74" s="744"/>
      <c r="V74" s="745"/>
      <c r="W74" s="752"/>
      <c r="X74" s="594"/>
    </row>
    <row r="75" spans="3:24">
      <c r="D75"/>
      <c r="E75" s="6"/>
      <c r="F75" s="6"/>
      <c r="G75" s="6"/>
      <c r="H75" s="6"/>
      <c r="I75" s="6"/>
      <c r="J75" s="6"/>
      <c r="K75" s="6"/>
      <c r="L75" s="4"/>
      <c r="M75" s="4"/>
      <c r="N75" s="4"/>
      <c r="O75" s="4"/>
      <c r="P75" s="4"/>
      <c r="Q75" s="744"/>
      <c r="R75" s="744"/>
      <c r="S75" s="744"/>
      <c r="T75" s="744"/>
      <c r="U75" s="744"/>
      <c r="V75" s="745"/>
      <c r="W75" s="752"/>
      <c r="X75" s="594"/>
    </row>
    <row r="76" spans="3:24">
      <c r="D76"/>
      <c r="E76" s="6"/>
      <c r="F76" s="791" t="s">
        <v>1016</v>
      </c>
      <c r="G76" s="791" t="s">
        <v>1017</v>
      </c>
      <c r="H76" s="791"/>
      <c r="I76" s="791"/>
      <c r="J76" s="6"/>
      <c r="K76" s="6"/>
      <c r="L76" s="4"/>
      <c r="M76" s="4"/>
      <c r="N76" s="4"/>
      <c r="O76" s="4"/>
      <c r="P76" s="4"/>
      <c r="Q76" s="744"/>
      <c r="R76" s="744"/>
      <c r="S76" s="744"/>
      <c r="T76" s="744"/>
      <c r="U76" s="744"/>
      <c r="V76" s="745"/>
      <c r="W76" s="752"/>
      <c r="X76" s="594"/>
    </row>
    <row r="77" spans="3:24">
      <c r="D77" s="1338" t="s">
        <v>1232</v>
      </c>
      <c r="E77" s="790" t="s">
        <v>1101</v>
      </c>
      <c r="F77" s="1339">
        <f>SUM(Q7:Q24)/R43</f>
        <v>1.8442071479632358</v>
      </c>
      <c r="G77" s="1339">
        <f>SUM(T7:T24)/U43</f>
        <v>1.6381219480546247</v>
      </c>
      <c r="H77" s="1340" t="s">
        <v>1233</v>
      </c>
      <c r="I77" s="1339"/>
      <c r="J77" s="207"/>
      <c r="K77" s="6"/>
      <c r="L77" s="4"/>
      <c r="M77" s="4"/>
      <c r="N77" s="4"/>
      <c r="O77" s="4"/>
      <c r="P77" s="4"/>
      <c r="Q77" s="744"/>
      <c r="R77" s="744"/>
      <c r="S77" s="744"/>
      <c r="T77" s="744"/>
      <c r="U77" s="744"/>
      <c r="V77" s="745"/>
      <c r="W77" s="752"/>
      <c r="X77" s="594"/>
    </row>
    <row r="78" spans="3:24">
      <c r="D78" s="1338"/>
      <c r="E78" s="790" t="s">
        <v>348</v>
      </c>
      <c r="F78" s="1339">
        <f>SUM(Q25:Q42)/R44</f>
        <v>2.1944228642201442</v>
      </c>
      <c r="G78" s="1339">
        <f>SUM(T25:T42)/U44</f>
        <v>1.9477839657683609</v>
      </c>
      <c r="H78" s="1339"/>
      <c r="I78" s="1339"/>
      <c r="J78" s="1340"/>
      <c r="K78" s="6"/>
      <c r="L78" s="4"/>
      <c r="M78" s="4"/>
      <c r="N78" s="4"/>
      <c r="O78" s="4"/>
      <c r="P78" s="4"/>
      <c r="Q78" s="744"/>
      <c r="R78" s="744"/>
      <c r="S78" s="744"/>
      <c r="T78" s="744"/>
      <c r="U78" s="744"/>
      <c r="V78" s="745"/>
      <c r="W78" s="752"/>
      <c r="X78" s="594"/>
    </row>
    <row r="79" spans="3:24">
      <c r="D79" s="1338"/>
      <c r="E79" s="6"/>
      <c r="F79" s="792"/>
      <c r="G79" s="6"/>
      <c r="H79" s="6"/>
      <c r="I79" s="6"/>
      <c r="J79" s="1340"/>
      <c r="K79" s="6"/>
      <c r="L79" s="4"/>
      <c r="M79" s="4"/>
      <c r="N79" s="4"/>
      <c r="O79" s="4"/>
      <c r="P79" s="4"/>
      <c r="Q79" s="744"/>
      <c r="R79" s="744"/>
      <c r="S79" s="744"/>
      <c r="T79" s="744"/>
      <c r="U79" s="744"/>
      <c r="V79" s="745"/>
      <c r="W79" s="752"/>
      <c r="X79" s="594"/>
    </row>
    <row r="80" spans="3:24">
      <c r="D80" s="1338"/>
      <c r="E80" s="6"/>
      <c r="F80" s="6"/>
      <c r="G80" s="6"/>
      <c r="H80" s="6"/>
      <c r="I80" s="6"/>
      <c r="J80" s="1340"/>
      <c r="K80" s="6"/>
      <c r="L80" s="4"/>
      <c r="M80" s="4"/>
      <c r="N80" s="4"/>
      <c r="O80" s="4"/>
      <c r="P80" s="4"/>
      <c r="Q80" s="744"/>
      <c r="R80" s="744"/>
      <c r="S80" s="744"/>
      <c r="T80" s="744"/>
      <c r="U80" s="744"/>
      <c r="V80" s="745"/>
      <c r="W80" s="752"/>
      <c r="X80" s="594"/>
    </row>
    <row r="81" spans="4:24">
      <c r="D81" s="1338"/>
      <c r="E81" s="6"/>
      <c r="F81" s="791" t="s">
        <v>1016</v>
      </c>
      <c r="G81" s="791" t="s">
        <v>1017</v>
      </c>
      <c r="H81" s="1340" t="s">
        <v>1234</v>
      </c>
      <c r="I81" s="791"/>
      <c r="J81" s="207"/>
      <c r="K81" s="6"/>
      <c r="L81" s="4"/>
      <c r="M81" s="4"/>
      <c r="N81" s="4"/>
      <c r="O81" s="4"/>
      <c r="P81" s="4"/>
      <c r="Q81" s="744"/>
      <c r="R81" s="744"/>
      <c r="S81" s="744"/>
      <c r="T81" s="744"/>
      <c r="U81" s="744"/>
      <c r="V81" s="745"/>
      <c r="W81" s="752"/>
      <c r="X81" s="594"/>
    </row>
    <row r="82" spans="4:24">
      <c r="D82" s="1338" t="s">
        <v>1235</v>
      </c>
      <c r="E82" s="790" t="s">
        <v>1101</v>
      </c>
      <c r="F82" s="1339">
        <f>1/F77</f>
        <v>0.54223843623229195</v>
      </c>
      <c r="G82" s="1339">
        <f t="shared" ref="G82:G83" si="5">1/G77</f>
        <v>0.61045516250335596</v>
      </c>
      <c r="H82" s="1340"/>
      <c r="I82" s="1339"/>
      <c r="J82" s="207"/>
      <c r="K82" s="6"/>
      <c r="L82" s="4"/>
      <c r="M82" s="4"/>
      <c r="N82" s="4"/>
      <c r="O82" s="4"/>
      <c r="P82" s="4"/>
      <c r="Q82" s="744"/>
      <c r="R82" s="744"/>
      <c r="S82" s="744"/>
      <c r="T82" s="744"/>
      <c r="U82" s="744"/>
      <c r="V82" s="745"/>
      <c r="W82" s="752"/>
      <c r="X82" s="594"/>
    </row>
    <row r="83" spans="4:24">
      <c r="D83" s="1338"/>
      <c r="E83" s="790" t="s">
        <v>348</v>
      </c>
      <c r="F83" s="1339">
        <f>1/F78</f>
        <v>0.45570068390413931</v>
      </c>
      <c r="G83" s="1339">
        <f t="shared" si="5"/>
        <v>0.51340395935825489</v>
      </c>
      <c r="H83" s="1340"/>
      <c r="I83" s="1339"/>
      <c r="J83" s="207"/>
      <c r="K83" s="6"/>
      <c r="L83" s="4"/>
      <c r="M83" s="4"/>
      <c r="N83" s="4"/>
      <c r="O83" s="4"/>
      <c r="P83" s="4"/>
      <c r="Q83" s="744"/>
      <c r="R83" s="744"/>
      <c r="S83" s="744"/>
      <c r="T83" s="744"/>
      <c r="U83" s="744"/>
      <c r="V83" s="745"/>
      <c r="W83" s="752"/>
      <c r="X83" s="594"/>
    </row>
    <row r="84" spans="4:24">
      <c r="D84" s="1338"/>
      <c r="E84" s="6"/>
      <c r="F84" s="6"/>
      <c r="G84" s="6"/>
      <c r="H84" s="1340"/>
      <c r="I84" s="6"/>
      <c r="J84" s="207"/>
      <c r="K84" s="6"/>
      <c r="L84" s="4"/>
      <c r="M84" s="4"/>
      <c r="N84" s="4"/>
      <c r="O84" s="4"/>
      <c r="P84" s="4"/>
      <c r="Q84" s="744"/>
      <c r="R84" s="744"/>
      <c r="S84" s="744"/>
      <c r="T84" s="744"/>
      <c r="U84" s="744"/>
      <c r="V84" s="745"/>
      <c r="W84" s="752"/>
      <c r="X84" s="594"/>
    </row>
    <row r="85" spans="4:24">
      <c r="D85" s="1338"/>
      <c r="E85" s="6"/>
      <c r="F85" s="6"/>
      <c r="G85" s="6"/>
      <c r="H85" s="1340"/>
      <c r="I85" s="6"/>
      <c r="J85" s="207"/>
      <c r="K85" s="6"/>
      <c r="L85" s="4"/>
      <c r="M85" s="4"/>
      <c r="N85" s="4"/>
      <c r="O85" s="4"/>
      <c r="P85" s="4"/>
      <c r="Q85" s="744"/>
      <c r="R85" s="744"/>
      <c r="S85" s="744"/>
      <c r="T85" s="744"/>
      <c r="U85" s="744"/>
      <c r="V85" s="745"/>
      <c r="W85" s="752"/>
      <c r="X85" s="594"/>
    </row>
    <row r="86" spans="4:24">
      <c r="D86"/>
      <c r="E86" s="6"/>
      <c r="F86" s="791" t="s">
        <v>1016</v>
      </c>
      <c r="G86" s="791" t="s">
        <v>1017</v>
      </c>
      <c r="H86" s="1340" t="s">
        <v>1184</v>
      </c>
      <c r="I86" s="790" t="s">
        <v>1236</v>
      </c>
      <c r="J86" s="207"/>
      <c r="K86" s="6"/>
      <c r="M86" s="4"/>
      <c r="N86" s="4"/>
      <c r="O86" s="4"/>
      <c r="P86" s="4"/>
      <c r="Q86" s="744"/>
      <c r="R86" s="744"/>
      <c r="S86" s="744"/>
      <c r="T86" s="744"/>
      <c r="U86" s="744"/>
      <c r="V86" s="745"/>
      <c r="W86" s="752"/>
      <c r="X86" s="594"/>
    </row>
    <row r="87" spans="4:24">
      <c r="D87" s="1338" t="s">
        <v>1237</v>
      </c>
      <c r="E87" s="790" t="s">
        <v>1101</v>
      </c>
      <c r="F87" s="1341">
        <f>F82/I87</f>
        <v>150.62178784230332</v>
      </c>
      <c r="G87" s="1341">
        <f>G82/I87</f>
        <v>169.57087847315444</v>
      </c>
      <c r="H87" s="1341"/>
      <c r="I87" s="6">
        <v>3.5999999999999999E-3</v>
      </c>
      <c r="J87" s="1340"/>
      <c r="K87" s="6">
        <f>AVERAGE(F87:F88)/AVERAGE(G87:G88)</f>
        <v>0.88795748570639355</v>
      </c>
      <c r="M87" s="4"/>
      <c r="N87" s="4"/>
      <c r="O87" s="4"/>
      <c r="P87" s="4"/>
      <c r="Q87" s="744"/>
      <c r="R87" s="744"/>
      <c r="S87" s="744"/>
      <c r="T87" s="744"/>
      <c r="U87" s="744"/>
      <c r="V87" s="745"/>
      <c r="W87" s="752"/>
      <c r="X87" s="594"/>
    </row>
    <row r="88" spans="4:24">
      <c r="D88"/>
      <c r="E88" s="790" t="s">
        <v>348</v>
      </c>
      <c r="F88" s="1341">
        <f>F83/I87</f>
        <v>126.58352330670537</v>
      </c>
      <c r="G88" s="1341">
        <f>G83/I87</f>
        <v>142.6122109328486</v>
      </c>
      <c r="H88" s="1341"/>
      <c r="I88" s="1341"/>
      <c r="J88" s="1340"/>
      <c r="K88" s="6"/>
      <c r="L88" s="4"/>
      <c r="M88" s="4"/>
      <c r="N88" s="4"/>
      <c r="O88" s="4"/>
      <c r="P88" s="4"/>
      <c r="Q88" s="744"/>
      <c r="R88" s="744"/>
      <c r="S88" s="744"/>
      <c r="T88" s="744"/>
      <c r="U88" s="744"/>
      <c r="V88" s="745"/>
      <c r="W88" s="752"/>
      <c r="X88" s="594"/>
    </row>
    <row r="89" spans="4:24">
      <c r="D89" s="594"/>
      <c r="E89" s="744"/>
      <c r="F89" s="744"/>
      <c r="G89" s="744"/>
      <c r="H89" s="1362">
        <f>G88/G87</f>
        <v>0.84101829404290196</v>
      </c>
      <c r="I89" s="744"/>
      <c r="J89" s="744"/>
      <c r="K89" s="744"/>
      <c r="L89" s="744"/>
      <c r="M89" s="744"/>
      <c r="N89" s="744"/>
      <c r="O89" s="744"/>
      <c r="P89" s="744"/>
      <c r="Q89" s="744"/>
      <c r="R89" s="744"/>
      <c r="S89" s="744"/>
      <c r="T89" s="744"/>
      <c r="U89" s="744"/>
      <c r="V89" s="745"/>
      <c r="W89" s="752"/>
      <c r="X89" s="594"/>
    </row>
    <row r="90" spans="4:24">
      <c r="D90" s="594"/>
      <c r="E90" s="744"/>
      <c r="F90" s="744"/>
      <c r="G90" s="744"/>
      <c r="H90" s="744"/>
      <c r="I90" s="744"/>
      <c r="J90" s="744"/>
      <c r="K90" s="744"/>
      <c r="L90" s="744"/>
      <c r="M90" s="744"/>
      <c r="N90" s="744"/>
      <c r="O90" s="744"/>
      <c r="P90" s="744"/>
      <c r="Q90" s="744"/>
      <c r="R90" s="744"/>
      <c r="S90" s="744"/>
      <c r="T90" s="744"/>
      <c r="U90" s="744"/>
      <c r="V90" s="745"/>
      <c r="W90" s="752"/>
      <c r="X90" s="594"/>
    </row>
    <row r="91" spans="4:24" ht="13.8">
      <c r="D91" s="1336" t="s">
        <v>1238</v>
      </c>
      <c r="E91" s="1342"/>
      <c r="F91" s="1342"/>
      <c r="G91" s="1342"/>
      <c r="H91" s="1342"/>
      <c r="I91" s="1342"/>
      <c r="J91" s="1342"/>
      <c r="K91" s="1342"/>
      <c r="L91" s="1342"/>
      <c r="M91" s="1342"/>
      <c r="N91" s="1342"/>
      <c r="O91" s="1342"/>
      <c r="Q91" s="1343" t="s">
        <v>1240</v>
      </c>
      <c r="R91" s="1344">
        <v>1.0109999999999999</v>
      </c>
      <c r="S91" s="744"/>
      <c r="T91" s="744"/>
      <c r="U91" s="744"/>
      <c r="V91" s="745"/>
      <c r="W91" s="752"/>
      <c r="X91" s="594"/>
    </row>
    <row r="92" spans="4:24">
      <c r="D92" s="594"/>
      <c r="E92" s="744"/>
      <c r="F92" s="744"/>
      <c r="G92" s="744"/>
      <c r="H92" s="744"/>
      <c r="I92" s="744"/>
      <c r="J92" s="744"/>
      <c r="K92" s="744"/>
      <c r="L92" s="744"/>
      <c r="M92" s="744"/>
      <c r="N92" s="744"/>
      <c r="O92" s="744"/>
      <c r="P92" s="744"/>
      <c r="Q92" s="744"/>
      <c r="R92" s="744"/>
      <c r="S92" s="744"/>
      <c r="T92" s="744"/>
      <c r="U92" s="744"/>
      <c r="V92" s="745"/>
      <c r="W92" s="752"/>
      <c r="X92" s="594"/>
    </row>
    <row r="93" spans="4:24">
      <c r="D93" s="594"/>
      <c r="E93" s="744"/>
      <c r="F93" s="744"/>
      <c r="G93" s="744"/>
      <c r="H93" s="744"/>
      <c r="I93" s="744"/>
      <c r="J93" s="744"/>
      <c r="K93" s="744"/>
      <c r="L93" s="744"/>
      <c r="M93" s="744"/>
      <c r="N93" s="744"/>
      <c r="O93" s="744"/>
      <c r="P93" s="744"/>
      <c r="Q93" s="744"/>
      <c r="R93" s="744"/>
      <c r="S93" s="744"/>
      <c r="T93" s="744"/>
      <c r="U93" s="744"/>
      <c r="V93" s="745"/>
      <c r="W93" s="752"/>
      <c r="X93" s="594"/>
    </row>
    <row r="94" spans="4:24">
      <c r="D94"/>
      <c r="E94" s="1340"/>
      <c r="F94" s="1345" t="s">
        <v>1016</v>
      </c>
      <c r="G94" s="1345" t="s">
        <v>1017</v>
      </c>
      <c r="H94" s="1340" t="s">
        <v>1184</v>
      </c>
      <c r="I94" s="1345"/>
      <c r="J94" s="1347" t="s">
        <v>1246</v>
      </c>
      <c r="K94" s="744"/>
      <c r="L94" s="744"/>
      <c r="M94" s="744"/>
      <c r="N94" s="744"/>
      <c r="O94" s="744"/>
      <c r="P94" s="744"/>
      <c r="Q94" s="744"/>
      <c r="R94" s="744"/>
      <c r="S94" s="744"/>
      <c r="T94" s="744"/>
      <c r="U94" s="744"/>
      <c r="V94" s="745"/>
      <c r="W94" s="752"/>
      <c r="X94" s="594"/>
    </row>
    <row r="95" spans="4:24" ht="13.8">
      <c r="D95" s="1338" t="s">
        <v>1241</v>
      </c>
      <c r="E95" s="182" t="s">
        <v>1242</v>
      </c>
      <c r="F95" s="1346">
        <f>F87*K98/AVERAGE(K98:K99)*$R$91</f>
        <v>161.49780818219361</v>
      </c>
      <c r="G95" s="1346">
        <f>G87*K98/AVERAGE(K98:K99)*$R$91</f>
        <v>181.8151649721168</v>
      </c>
      <c r="H95" s="1346"/>
      <c r="I95" s="1346"/>
      <c r="J95" s="1369" t="s">
        <v>1101</v>
      </c>
      <c r="K95" s="1364">
        <f>'Statistics Norway - ENERGY USE'!F83</f>
        <v>197.88888888888891</v>
      </c>
      <c r="L95" s="744"/>
      <c r="M95" s="744"/>
      <c r="N95" s="744"/>
      <c r="O95" s="744"/>
      <c r="P95" s="744"/>
      <c r="Q95" s="744"/>
      <c r="R95" s="744"/>
      <c r="S95" s="744"/>
      <c r="T95" s="744"/>
      <c r="U95" s="744"/>
      <c r="V95" s="745"/>
      <c r="W95" s="752"/>
      <c r="X95" s="594"/>
    </row>
    <row r="96" spans="4:24" ht="13.8">
      <c r="D96"/>
      <c r="E96" s="182" t="s">
        <v>1243</v>
      </c>
      <c r="F96" s="1346">
        <f>F87*K99/AVERAGE(K98:K99)*$R$91</f>
        <v>143.05944683494371</v>
      </c>
      <c r="G96" s="1346">
        <f>G87*K99/AVERAGE(K98:K99)*$R$91</f>
        <v>161.05715130060148</v>
      </c>
      <c r="H96" s="1346"/>
      <c r="I96" s="1346"/>
      <c r="J96" s="1370" t="s">
        <v>1102</v>
      </c>
      <c r="K96" s="1365">
        <f>'Statistics Norway - ENERGY USE'!F86</f>
        <v>162.66666666666666</v>
      </c>
      <c r="L96" s="744"/>
      <c r="M96" s="744"/>
      <c r="N96" s="744"/>
      <c r="O96" s="744"/>
      <c r="P96" s="744"/>
      <c r="Q96" s="744"/>
      <c r="R96" s="744"/>
      <c r="S96" s="744"/>
      <c r="T96" s="744"/>
      <c r="U96" s="744"/>
      <c r="V96" s="745"/>
      <c r="W96" s="752"/>
      <c r="X96" s="594"/>
    </row>
    <row r="97" spans="2:27" ht="13.8">
      <c r="D97"/>
      <c r="E97" s="182" t="s">
        <v>1244</v>
      </c>
      <c r="F97" s="1346">
        <f>F88*K98/AVERAGE(K98:K99)*$R$91</f>
        <v>135.72380104408089</v>
      </c>
      <c r="G97" s="1346">
        <f>G88*K98/AVERAGE(K98:K99)*$R$91</f>
        <v>152.90987987597845</v>
      </c>
      <c r="H97" s="1346"/>
      <c r="I97" s="1346"/>
      <c r="J97" s="1366"/>
      <c r="K97" s="1363"/>
      <c r="L97" s="744"/>
      <c r="M97" s="744"/>
      <c r="N97" s="744"/>
      <c r="O97" s="744"/>
      <c r="P97" s="744"/>
      <c r="Q97" s="744"/>
      <c r="R97" s="744"/>
      <c r="S97" s="744"/>
      <c r="T97" s="744"/>
      <c r="U97" s="744"/>
      <c r="V97" s="745"/>
      <c r="W97" s="752"/>
      <c r="X97" s="594"/>
    </row>
    <row r="98" spans="2:27" ht="13.8">
      <c r="D98"/>
      <c r="E98" s="182" t="s">
        <v>1245</v>
      </c>
      <c r="F98" s="1346">
        <f>F88*K99/AVERAGE(K98:K99)*$R$91</f>
        <v>120.22808308207736</v>
      </c>
      <c r="G98" s="1346">
        <f>G88*K99/AVERAGE(K98:K99)*$R$91</f>
        <v>135.4520106302414</v>
      </c>
      <c r="H98" s="1346"/>
      <c r="I98" s="1346"/>
      <c r="J98" s="1367" t="s">
        <v>1247</v>
      </c>
      <c r="K98" s="1364">
        <f>'Statistics Norway - ENERGY USE'!F94</f>
        <v>193.66666666666666</v>
      </c>
      <c r="L98" s="594"/>
      <c r="M98" s="594"/>
      <c r="N98" s="594"/>
      <c r="O98" s="594"/>
      <c r="P98" s="594"/>
      <c r="Q98" s="594"/>
      <c r="R98" s="594"/>
      <c r="S98" s="594"/>
      <c r="T98" s="594"/>
      <c r="U98" s="594"/>
      <c r="V98" s="594"/>
    </row>
    <row r="99" spans="2:27" ht="13.8">
      <c r="D99"/>
      <c r="E99" s="182"/>
      <c r="F99" s="1346"/>
      <c r="G99" s="1346"/>
      <c r="H99" s="1346"/>
      <c r="I99" s="1346"/>
      <c r="J99" s="1368" t="s">
        <v>1248</v>
      </c>
      <c r="K99" s="1365">
        <f>'Statistics Norway - ENERGY USE'!F97</f>
        <v>171.55555555555554</v>
      </c>
      <c r="L99" s="594"/>
      <c r="M99" s="594"/>
      <c r="N99" s="594"/>
      <c r="O99" s="594"/>
      <c r="P99" s="594"/>
      <c r="Q99" s="594"/>
      <c r="R99" s="594"/>
      <c r="S99" s="594"/>
      <c r="T99" s="594"/>
      <c r="U99" s="594"/>
      <c r="V99" s="594"/>
    </row>
    <row r="100" spans="2:27" ht="14.4">
      <c r="G100" s="207"/>
      <c r="H100" s="207"/>
      <c r="I100" s="207"/>
      <c r="L100" s="860"/>
      <c r="M100" s="859"/>
      <c r="N100" s="860"/>
      <c r="O100" s="859"/>
      <c r="P100" s="859"/>
      <c r="Q100" s="859"/>
      <c r="R100" s="859"/>
      <c r="S100" s="859"/>
      <c r="T100" s="859"/>
      <c r="U100" s="859"/>
      <c r="V100" s="859"/>
      <c r="W100" s="859"/>
      <c r="X100" s="817"/>
      <c r="Y100" s="266"/>
      <c r="Z100" s="266"/>
      <c r="AA100" s="266"/>
    </row>
    <row r="101" spans="2:27" ht="14.4">
      <c r="B101" s="228"/>
      <c r="C101" s="228"/>
      <c r="D101" s="207"/>
      <c r="E101" s="207"/>
      <c r="F101" s="207"/>
      <c r="G101" s="207"/>
      <c r="H101" s="207"/>
      <c r="I101" s="594"/>
      <c r="L101" s="860"/>
      <c r="M101" s="859"/>
      <c r="N101" s="860"/>
      <c r="O101" s="1351"/>
      <c r="P101" s="860"/>
      <c r="Q101" s="860"/>
      <c r="R101" s="859"/>
      <c r="S101" s="859"/>
      <c r="T101" s="859"/>
      <c r="U101" s="859"/>
      <c r="V101" s="859"/>
      <c r="W101" s="859"/>
      <c r="X101" s="817"/>
      <c r="Y101" s="266"/>
      <c r="Z101" s="266"/>
      <c r="AA101" s="266"/>
    </row>
    <row r="102" spans="2:27" ht="14.4">
      <c r="B102" s="228"/>
      <c r="C102" s="228"/>
      <c r="D102" s="207"/>
      <c r="E102" s="207"/>
      <c r="F102" s="207"/>
      <c r="G102" s="207"/>
      <c r="H102" s="207"/>
      <c r="I102" s="593"/>
      <c r="J102" s="950"/>
      <c r="K102" s="1350"/>
      <c r="L102" s="900"/>
      <c r="M102" s="859"/>
      <c r="N102" s="859"/>
      <c r="O102" s="1350"/>
      <c r="P102" s="1352"/>
      <c r="Q102" s="859"/>
      <c r="R102" s="859"/>
      <c r="S102" s="859"/>
      <c r="T102" s="1350"/>
      <c r="U102" s="1352"/>
      <c r="V102" s="859"/>
      <c r="W102" s="859"/>
      <c r="X102" s="817"/>
      <c r="Y102" s="266"/>
      <c r="Z102" s="187"/>
      <c r="AA102" s="784"/>
    </row>
    <row r="103" spans="2:27" ht="16.2" thickBot="1">
      <c r="B103" s="228"/>
      <c r="C103" s="228"/>
      <c r="D103" s="591" t="s">
        <v>112</v>
      </c>
      <c r="F103" s="591"/>
      <c r="G103" s="591"/>
      <c r="H103" s="591"/>
      <c r="I103" s="591"/>
      <c r="J103" s="950"/>
      <c r="K103" s="1350"/>
      <c r="L103" s="900"/>
      <c r="M103" s="900"/>
      <c r="N103" s="859"/>
      <c r="O103" s="1350"/>
      <c r="P103" s="1352"/>
      <c r="Q103" s="901"/>
      <c r="R103" s="859"/>
      <c r="S103" s="859"/>
      <c r="T103" s="1350"/>
      <c r="U103" s="1352"/>
      <c r="V103" s="859"/>
      <c r="W103" s="859"/>
      <c r="X103" s="817"/>
      <c r="Y103" s="266"/>
      <c r="Z103" s="187"/>
      <c r="AA103" s="784"/>
    </row>
    <row r="104" spans="2:27" ht="15.6" thickTop="1" thickBot="1">
      <c r="B104" s="228"/>
      <c r="C104" s="228"/>
      <c r="D104" s="241"/>
      <c r="E104" s="1472" t="s">
        <v>1020</v>
      </c>
      <c r="F104" s="1473"/>
      <c r="G104" s="1472" t="s">
        <v>1021</v>
      </c>
      <c r="H104" s="1473"/>
      <c r="I104" s="719"/>
      <c r="J104" s="950"/>
      <c r="K104" s="859"/>
      <c r="L104" s="859"/>
      <c r="M104" s="859"/>
      <c r="N104" s="859"/>
      <c r="O104" s="1350"/>
      <c r="P104" s="1352"/>
      <c r="Q104" s="900"/>
      <c r="R104" s="859"/>
      <c r="S104" s="859"/>
      <c r="T104" s="1350"/>
      <c r="U104" s="1352"/>
      <c r="V104" s="859"/>
      <c r="W104" s="859"/>
      <c r="X104" s="817"/>
      <c r="Y104" s="266"/>
      <c r="Z104" s="187"/>
      <c r="AA104" s="784"/>
    </row>
    <row r="105" spans="2:27" ht="15" thickBot="1">
      <c r="B105" s="228"/>
      <c r="C105" s="228"/>
      <c r="D105" s="242" t="s">
        <v>238</v>
      </c>
      <c r="E105" s="725" t="s">
        <v>452</v>
      </c>
      <c r="F105" s="726" t="s">
        <v>453</v>
      </c>
      <c r="G105" s="726" t="str">
        <f t="shared" ref="G105:H106" si="6">E105</f>
        <v>&lt;71</v>
      </c>
      <c r="H105" s="727" t="str">
        <f t="shared" si="6"/>
        <v>1971-2009</v>
      </c>
      <c r="I105" s="720"/>
      <c r="J105" s="950"/>
      <c r="K105" s="859"/>
      <c r="L105" s="859"/>
      <c r="M105" s="859"/>
      <c r="N105" s="859"/>
      <c r="O105" s="1350"/>
      <c r="P105" s="1352"/>
      <c r="Q105" s="859"/>
      <c r="R105" s="859"/>
      <c r="S105" s="859"/>
      <c r="T105" s="1350"/>
      <c r="U105" s="1352"/>
      <c r="V105" s="859"/>
      <c r="W105" s="859"/>
      <c r="X105" s="817"/>
      <c r="Y105" s="266"/>
      <c r="Z105" s="187"/>
      <c r="AA105" s="784"/>
    </row>
    <row r="106" spans="2:27" ht="15" thickBot="1">
      <c r="B106" s="228"/>
      <c r="C106" s="228"/>
      <c r="D106" s="728"/>
      <c r="E106" s="729" t="s">
        <v>338</v>
      </c>
      <c r="F106" s="730" t="s">
        <v>338</v>
      </c>
      <c r="G106" s="730" t="str">
        <f t="shared" si="6"/>
        <v>PJ/m2</v>
      </c>
      <c r="H106" s="731" t="str">
        <f t="shared" si="6"/>
        <v>PJ/m2</v>
      </c>
      <c r="I106" s="238"/>
      <c r="J106" s="950"/>
      <c r="K106" s="859"/>
      <c r="L106" s="859"/>
      <c r="M106" s="859"/>
      <c r="N106" s="859"/>
      <c r="O106" s="859"/>
      <c r="P106" s="859"/>
      <c r="Q106" s="859"/>
      <c r="R106" s="859"/>
      <c r="S106" s="901"/>
      <c r="T106" s="1350"/>
      <c r="U106" s="1352"/>
      <c r="V106" s="900"/>
      <c r="W106" s="859"/>
      <c r="X106" s="817"/>
      <c r="Y106" s="266"/>
      <c r="Z106" s="187"/>
      <c r="AA106" s="784"/>
    </row>
    <row r="107" spans="2:27" ht="14.4">
      <c r="B107" s="228"/>
      <c r="C107" s="228"/>
      <c r="D107" s="243" t="s">
        <v>240</v>
      </c>
      <c r="E107" s="723">
        <f>F95*I87</f>
        <v>0.58139210945589692</v>
      </c>
      <c r="F107" s="732">
        <f>F96*I87</f>
        <v>0.51501400860579738</v>
      </c>
      <c r="G107" s="733">
        <f>G95*I87</f>
        <v>0.65453459389962043</v>
      </c>
      <c r="H107" s="734">
        <f>G96*I87</f>
        <v>0.57980574468216528</v>
      </c>
      <c r="I107" s="718"/>
      <c r="J107" s="950"/>
      <c r="K107" s="859"/>
      <c r="L107" s="859"/>
      <c r="M107" s="859"/>
      <c r="N107" s="859"/>
      <c r="O107" s="859"/>
      <c r="P107" s="859"/>
      <c r="Q107" s="859"/>
      <c r="R107" s="859"/>
      <c r="S107" s="859"/>
      <c r="T107" s="1350"/>
      <c r="U107" s="1352"/>
      <c r="V107" s="859"/>
      <c r="W107" s="859"/>
      <c r="X107" s="817"/>
      <c r="Y107" s="266"/>
      <c r="Z107" s="187"/>
      <c r="AA107" s="784"/>
    </row>
    <row r="108" spans="2:27" ht="14.4">
      <c r="B108" s="228"/>
      <c r="C108" s="228"/>
      <c r="D108" s="243" t="s">
        <v>241</v>
      </c>
      <c r="E108" s="722">
        <f>E107</f>
        <v>0.58139210945589692</v>
      </c>
      <c r="F108" s="735">
        <f>F107</f>
        <v>0.51501400860579738</v>
      </c>
      <c r="G108" s="736">
        <f>G107</f>
        <v>0.65453459389962043</v>
      </c>
      <c r="H108" s="737">
        <f>H107</f>
        <v>0.57980574468216528</v>
      </c>
      <c r="I108" s="718"/>
      <c r="J108" s="949"/>
      <c r="K108" s="859"/>
      <c r="L108" s="859"/>
      <c r="M108" s="859"/>
      <c r="N108" s="859"/>
      <c r="O108" s="859"/>
      <c r="P108" s="859"/>
      <c r="Q108" s="859"/>
      <c r="R108" s="859"/>
      <c r="S108" s="859"/>
      <c r="T108" s="859"/>
      <c r="U108" s="859"/>
      <c r="V108" s="859"/>
      <c r="W108" s="859"/>
      <c r="X108" s="266"/>
      <c r="Y108" s="266"/>
      <c r="Z108" s="187"/>
      <c r="AA108" s="784"/>
    </row>
    <row r="109" spans="2:27" ht="14.4">
      <c r="B109" s="228"/>
      <c r="C109" s="228"/>
      <c r="D109" s="243" t="s">
        <v>242</v>
      </c>
      <c r="E109" s="722">
        <f>E108</f>
        <v>0.58139210945589692</v>
      </c>
      <c r="F109" s="735">
        <f>F107</f>
        <v>0.51501400860579738</v>
      </c>
      <c r="G109" s="736">
        <f>G107</f>
        <v>0.65453459389962043</v>
      </c>
      <c r="H109" s="737">
        <f>H107</f>
        <v>0.57980574468216528</v>
      </c>
      <c r="I109" s="718"/>
      <c r="J109" s="950"/>
      <c r="K109" s="327"/>
      <c r="L109" s="864"/>
      <c r="M109" s="864"/>
      <c r="N109" s="859"/>
      <c r="O109" s="859"/>
      <c r="P109" s="859"/>
      <c r="Q109" s="859"/>
      <c r="R109" s="1013"/>
      <c r="S109" s="1013"/>
      <c r="T109" s="1013"/>
      <c r="U109" s="1013"/>
      <c r="V109" s="1013"/>
      <c r="W109" s="1013"/>
      <c r="X109" s="1013"/>
      <c r="Y109" s="1013"/>
      <c r="Z109" s="1013"/>
      <c r="AA109" s="1013"/>
    </row>
    <row r="110" spans="2:27" ht="14.4">
      <c r="B110" s="228"/>
      <c r="C110" s="228"/>
      <c r="D110" s="243" t="s">
        <v>243</v>
      </c>
      <c r="E110" s="722">
        <f>F97*I87</f>
        <v>0.48860568375869118</v>
      </c>
      <c r="F110" s="735">
        <f>F98*I87</f>
        <v>0.4328210990954785</v>
      </c>
      <c r="G110" s="736">
        <f>G97*I87</f>
        <v>0.55047556755352245</v>
      </c>
      <c r="H110" s="737">
        <f>G98*I87</f>
        <v>0.48762723826886906</v>
      </c>
      <c r="I110" s="718"/>
      <c r="J110" s="68"/>
      <c r="K110" s="327"/>
      <c r="L110" s="864"/>
      <c r="M110" s="864"/>
      <c r="N110" s="859"/>
      <c r="O110" s="859"/>
      <c r="P110" s="859"/>
      <c r="Q110" s="859"/>
      <c r="R110" s="859"/>
      <c r="S110" s="859"/>
      <c r="T110" s="859"/>
      <c r="U110" s="859"/>
      <c r="V110" s="859"/>
      <c r="W110" s="859"/>
      <c r="X110" s="859"/>
      <c r="Y110" s="859"/>
      <c r="Z110" s="859"/>
      <c r="AA110" s="859"/>
    </row>
    <row r="111" spans="2:27" ht="15.6">
      <c r="B111" s="228"/>
      <c r="C111" s="228"/>
      <c r="D111" s="243" t="s">
        <v>244</v>
      </c>
      <c r="E111" s="722">
        <f>E110</f>
        <v>0.48860568375869118</v>
      </c>
      <c r="F111" s="735">
        <f>F110</f>
        <v>0.4328210990954785</v>
      </c>
      <c r="G111" s="736">
        <f>G110</f>
        <v>0.55047556755352245</v>
      </c>
      <c r="H111" s="737">
        <f>H110</f>
        <v>0.48762723826886906</v>
      </c>
      <c r="I111" s="718"/>
      <c r="J111" s="591"/>
      <c r="K111" s="327"/>
      <c r="L111" s="864"/>
      <c r="M111" s="864"/>
      <c r="N111" s="1002"/>
      <c r="O111" s="859"/>
      <c r="P111" s="859"/>
      <c r="Q111" s="859"/>
      <c r="R111" s="859"/>
      <c r="S111" s="859"/>
      <c r="T111" s="859"/>
      <c r="U111" s="859"/>
      <c r="V111" s="859"/>
      <c r="W111" s="859"/>
      <c r="X111" s="859"/>
      <c r="Y111" s="859"/>
      <c r="Z111" s="859"/>
      <c r="AA111" s="859"/>
    </row>
    <row r="112" spans="2:27" ht="15" thickBot="1">
      <c r="B112" s="228"/>
      <c r="C112" s="228"/>
      <c r="D112" s="244" t="s">
        <v>245</v>
      </c>
      <c r="E112" s="724">
        <f>E110</f>
        <v>0.48860568375869118</v>
      </c>
      <c r="F112" s="738">
        <f>F110</f>
        <v>0.4328210990954785</v>
      </c>
      <c r="G112" s="739">
        <f>G110</f>
        <v>0.55047556755352245</v>
      </c>
      <c r="H112" s="740">
        <f>H110</f>
        <v>0.48762723826886906</v>
      </c>
      <c r="I112" s="718"/>
      <c r="J112" s="719"/>
      <c r="K112" s="3"/>
      <c r="L112" s="154"/>
      <c r="M112" s="3"/>
      <c r="N112" s="3"/>
      <c r="O112" s="3"/>
      <c r="P112" s="154"/>
      <c r="Q112" s="859"/>
      <c r="R112" s="947"/>
      <c r="S112" s="3"/>
      <c r="T112" s="901"/>
      <c r="U112" s="901"/>
      <c r="V112" s="947"/>
      <c r="W112" s="947"/>
      <c r="X112" s="947"/>
      <c r="Y112" s="947"/>
      <c r="Z112" s="947"/>
      <c r="AA112" s="947"/>
    </row>
    <row r="113" spans="2:27" ht="15" thickTop="1">
      <c r="B113" s="228"/>
      <c r="C113" s="228"/>
      <c r="D113" s="228"/>
      <c r="E113" s="594"/>
      <c r="F113" s="594"/>
      <c r="I113" s="238"/>
      <c r="J113" s="720"/>
      <c r="K113" s="154"/>
      <c r="L113" s="1017"/>
      <c r="M113" s="3"/>
      <c r="N113" s="1353"/>
      <c r="O113" s="154"/>
      <c r="P113" s="1017"/>
      <c r="Q113" s="3"/>
      <c r="R113" s="1353"/>
      <c r="S113" s="154"/>
      <c r="T113" s="1017"/>
      <c r="U113" s="1017"/>
      <c r="V113" s="154"/>
      <c r="W113" s="859"/>
      <c r="X113" s="859"/>
      <c r="Y113" s="859"/>
      <c r="Z113" s="859"/>
      <c r="AA113" s="859"/>
    </row>
    <row r="114" spans="2:27" ht="14.4">
      <c r="B114" s="228"/>
      <c r="C114" s="228"/>
      <c r="D114" s="207"/>
      <c r="I114" s="218"/>
      <c r="J114" s="238"/>
      <c r="K114" s="154"/>
      <c r="L114" s="1017"/>
      <c r="M114" s="3"/>
      <c r="N114" s="3"/>
      <c r="O114" s="154"/>
      <c r="P114" s="1017"/>
      <c r="Q114" s="3"/>
      <c r="R114" s="3"/>
      <c r="S114" s="154"/>
      <c r="T114" s="1017"/>
      <c r="U114" s="1017"/>
      <c r="V114" s="864"/>
      <c r="W114" s="864"/>
      <c r="X114" s="864"/>
      <c r="Y114" s="864"/>
      <c r="Z114" s="864"/>
      <c r="AA114" s="864"/>
    </row>
    <row r="115" spans="2:27" ht="14.4">
      <c r="B115" s="228"/>
      <c r="C115" s="228"/>
      <c r="J115" s="718"/>
      <c r="K115" s="154"/>
      <c r="L115" s="1017"/>
      <c r="M115" s="3"/>
      <c r="N115" s="3"/>
      <c r="O115" s="154"/>
      <c r="P115" s="1017"/>
      <c r="Q115" s="3"/>
      <c r="R115" s="3"/>
      <c r="S115" s="154"/>
      <c r="T115" s="1017"/>
      <c r="U115" s="1017"/>
      <c r="V115" s="864"/>
      <c r="W115" s="864"/>
      <c r="X115" s="864"/>
      <c r="Y115" s="864"/>
      <c r="Z115" s="864"/>
      <c r="AA115" s="864"/>
    </row>
    <row r="116" spans="2:27" ht="14.4">
      <c r="B116" s="228"/>
      <c r="C116" s="228"/>
      <c r="J116" s="718"/>
      <c r="K116" s="154"/>
      <c r="L116" s="1017"/>
      <c r="M116" s="3"/>
      <c r="N116" s="3"/>
      <c r="O116" s="154"/>
      <c r="P116" s="1017"/>
      <c r="Q116" s="859"/>
      <c r="R116" s="859"/>
      <c r="S116" s="154"/>
      <c r="T116" s="1017"/>
      <c r="U116" s="1017"/>
      <c r="V116" s="864"/>
      <c r="W116" s="864"/>
      <c r="X116" s="864"/>
      <c r="Y116" s="864"/>
      <c r="Z116" s="864"/>
      <c r="AA116" s="864"/>
    </row>
    <row r="117" spans="2:27" ht="14.4">
      <c r="B117" s="228"/>
      <c r="C117" s="228"/>
      <c r="J117" s="718"/>
      <c r="K117" s="3"/>
      <c r="L117" s="3"/>
      <c r="M117" s="3"/>
      <c r="N117" s="3"/>
      <c r="O117" s="859"/>
      <c r="P117" s="859"/>
      <c r="Q117" s="859"/>
      <c r="R117" s="859"/>
      <c r="S117" s="864"/>
      <c r="T117" s="864"/>
      <c r="U117" s="864"/>
      <c r="V117" s="864"/>
      <c r="W117" s="864"/>
      <c r="X117" s="864"/>
      <c r="Y117" s="864"/>
      <c r="Z117" s="864"/>
      <c r="AA117" s="1014"/>
    </row>
    <row r="118" spans="2:27" ht="14.4">
      <c r="B118" s="228"/>
      <c r="C118" s="228"/>
      <c r="J118" s="718"/>
      <c r="K118" s="327"/>
      <c r="L118" s="1004"/>
      <c r="M118" s="860"/>
      <c r="N118" s="859"/>
      <c r="O118" s="901"/>
      <c r="P118" s="1018"/>
      <c r="Q118" s="859"/>
      <c r="R118" s="859"/>
      <c r="S118" s="864"/>
      <c r="T118" s="1019"/>
      <c r="U118" s="864"/>
      <c r="V118" s="864"/>
      <c r="W118" s="864"/>
      <c r="X118" s="864"/>
      <c r="Y118" s="864"/>
      <c r="Z118" s="864"/>
      <c r="AA118" s="864"/>
    </row>
    <row r="119" spans="2:27" ht="14.4">
      <c r="B119" s="228"/>
      <c r="C119" s="228"/>
      <c r="J119" s="718"/>
      <c r="K119" s="327"/>
      <c r="L119" s="860"/>
      <c r="M119" s="860"/>
      <c r="N119" s="859"/>
      <c r="O119" s="859"/>
      <c r="P119" s="859"/>
      <c r="Q119" s="859"/>
      <c r="R119" s="859"/>
      <c r="S119" s="859"/>
      <c r="T119" s="859"/>
      <c r="U119" s="859"/>
      <c r="V119" s="859"/>
      <c r="W119" s="859"/>
      <c r="X119" s="859"/>
      <c r="Y119" s="859"/>
      <c r="Z119" s="859"/>
      <c r="AA119" s="859"/>
    </row>
    <row r="120" spans="2:27" ht="14.4">
      <c r="B120" s="228"/>
      <c r="C120" s="228"/>
      <c r="J120" s="718"/>
      <c r="K120" s="327"/>
      <c r="L120" s="860"/>
      <c r="M120" s="860"/>
      <c r="N120" s="859"/>
      <c r="O120" s="859"/>
      <c r="P120" s="859"/>
      <c r="Q120" s="859"/>
      <c r="R120" s="859"/>
      <c r="S120" s="947"/>
      <c r="T120" s="1020"/>
      <c r="U120" s="1020"/>
      <c r="V120" s="947"/>
      <c r="W120" s="947"/>
      <c r="X120" s="947"/>
      <c r="Y120" s="947"/>
      <c r="Z120" s="859"/>
      <c r="AA120" s="859"/>
    </row>
    <row r="121" spans="2:27" ht="14.4">
      <c r="B121" s="228"/>
      <c r="C121" s="228"/>
      <c r="J121" s="721"/>
      <c r="K121" s="327"/>
      <c r="L121" s="327"/>
      <c r="M121" s="327"/>
      <c r="N121" s="859"/>
      <c r="O121" s="859"/>
      <c r="P121" s="859"/>
      <c r="Q121" s="859"/>
      <c r="R121" s="859"/>
      <c r="S121" s="859"/>
      <c r="T121" s="1020"/>
      <c r="U121" s="1020"/>
      <c r="V121" s="1016"/>
      <c r="W121" s="860"/>
      <c r="X121" s="1015"/>
      <c r="Y121" s="860"/>
      <c r="Z121" s="859"/>
      <c r="AA121" s="859"/>
    </row>
    <row r="122" spans="2:27" ht="14.4">
      <c r="B122" s="228"/>
      <c r="C122" s="228"/>
      <c r="J122" s="218"/>
      <c r="K122" s="948"/>
      <c r="L122" s="864"/>
      <c r="M122" s="864"/>
      <c r="N122" s="859"/>
      <c r="O122" s="859"/>
      <c r="P122" s="859"/>
      <c r="Q122" s="859"/>
      <c r="R122" s="859"/>
      <c r="S122" s="859"/>
      <c r="T122" s="1020"/>
      <c r="U122" s="1020"/>
      <c r="V122" s="859"/>
      <c r="W122" s="859"/>
      <c r="X122" s="859"/>
      <c r="Y122" s="859"/>
      <c r="Z122" s="859"/>
      <c r="AA122" s="859"/>
    </row>
    <row r="123" spans="2:27" ht="14.4">
      <c r="B123" s="228"/>
      <c r="C123" s="228"/>
      <c r="D123" s="594"/>
      <c r="E123" s="594"/>
      <c r="F123" s="594"/>
      <c r="G123" s="594"/>
      <c r="H123" s="594"/>
      <c r="I123" s="593"/>
      <c r="J123" s="859"/>
      <c r="K123" s="859"/>
      <c r="L123" s="859"/>
      <c r="M123" s="859"/>
      <c r="N123" s="859"/>
      <c r="O123" s="859"/>
      <c r="P123" s="859"/>
      <c r="Q123" s="859"/>
      <c r="R123" s="859"/>
      <c r="S123" s="859"/>
      <c r="T123" s="1020"/>
      <c r="U123" s="1020"/>
      <c r="V123" s="864"/>
      <c r="W123" s="864"/>
      <c r="X123" s="864"/>
      <c r="Y123" s="864"/>
      <c r="Z123" s="859"/>
      <c r="AA123" s="266"/>
    </row>
    <row r="124" spans="2:27" ht="14.4">
      <c r="B124" s="228"/>
      <c r="C124" s="228"/>
      <c r="D124" s="594"/>
      <c r="E124" s="594"/>
      <c r="F124" s="594"/>
      <c r="G124" s="594"/>
      <c r="H124" s="594"/>
      <c r="I124" s="593"/>
      <c r="J124" s="872"/>
      <c r="K124" s="859"/>
      <c r="L124" s="859"/>
      <c r="M124" s="859"/>
      <c r="N124" s="859"/>
      <c r="O124" s="1003"/>
      <c r="P124" s="1003"/>
      <c r="Q124" s="864"/>
      <c r="R124" s="1003"/>
      <c r="S124" s="1003"/>
      <c r="T124" s="864"/>
      <c r="U124" s="1003"/>
      <c r="V124" s="1003"/>
      <c r="W124" s="864"/>
      <c r="X124" s="1003"/>
      <c r="Y124" s="1003"/>
      <c r="Z124" s="864"/>
      <c r="AA124" s="1003"/>
    </row>
    <row r="125" spans="2:27" ht="14.4">
      <c r="B125" s="228"/>
      <c r="C125" s="228"/>
      <c r="D125" s="594"/>
      <c r="E125" s="594"/>
      <c r="F125" s="594"/>
      <c r="G125" s="594"/>
      <c r="H125" s="594"/>
      <c r="I125" s="593"/>
      <c r="J125" s="872"/>
      <c r="K125" s="859"/>
      <c r="L125" s="859"/>
      <c r="M125" s="859"/>
      <c r="N125" s="859"/>
      <c r="O125" s="859"/>
      <c r="P125" s="859"/>
      <c r="Q125" s="859"/>
      <c r="R125" s="859"/>
      <c r="S125" s="859"/>
      <c r="T125" s="859"/>
      <c r="U125" s="859"/>
      <c r="V125" s="859"/>
      <c r="W125" s="859"/>
      <c r="X125" s="859"/>
      <c r="Y125" s="859"/>
      <c r="Z125" s="859"/>
      <c r="AA125" s="859"/>
    </row>
    <row r="126" spans="2:27">
      <c r="B126" s="228"/>
      <c r="C126" s="228"/>
      <c r="D126" s="207"/>
      <c r="E126" s="207"/>
      <c r="F126" s="207"/>
      <c r="G126" s="207"/>
      <c r="H126" s="207"/>
      <c r="I126" s="207"/>
      <c r="J126" s="207"/>
      <c r="K126" s="593"/>
      <c r="L126" s="236"/>
      <c r="M126" s="238"/>
      <c r="N126" s="238"/>
      <c r="O126" s="238"/>
      <c r="P126" s="238"/>
      <c r="Q126" s="238"/>
      <c r="R126" s="236"/>
      <c r="S126" s="236"/>
    </row>
    <row r="127" spans="2:27" ht="15">
      <c r="B127" s="228"/>
      <c r="C127" s="228"/>
      <c r="D127" s="207"/>
      <c r="E127" s="207"/>
      <c r="F127" s="207"/>
      <c r="G127" s="207"/>
      <c r="H127" s="207"/>
      <c r="I127" s="207"/>
      <c r="J127" s="207"/>
      <c r="K127" s="591"/>
      <c r="L127" s="236"/>
      <c r="M127" s="238"/>
      <c r="N127" s="238"/>
      <c r="O127" s="238"/>
      <c r="P127" s="238"/>
      <c r="Q127" s="238"/>
      <c r="R127" s="236"/>
      <c r="S127" s="236"/>
    </row>
    <row r="128" spans="2:27">
      <c r="B128" s="228"/>
      <c r="C128" s="228"/>
      <c r="D128" s="207"/>
      <c r="E128" s="207"/>
      <c r="F128" s="207"/>
      <c r="G128" s="207"/>
      <c r="H128" s="207"/>
      <c r="I128" s="207"/>
      <c r="J128" s="207"/>
      <c r="K128" s="719"/>
      <c r="L128" s="236"/>
      <c r="M128" s="1354"/>
      <c r="N128" s="1355"/>
      <c r="O128" s="1355"/>
      <c r="P128" s="1355"/>
      <c r="Q128" s="1355"/>
      <c r="R128" s="236"/>
      <c r="S128" s="236"/>
    </row>
    <row r="129" spans="2:21">
      <c r="B129" s="228"/>
      <c r="C129" s="228"/>
      <c r="D129" s="207"/>
      <c r="E129" s="207"/>
      <c r="F129" s="207"/>
      <c r="G129" s="207"/>
      <c r="H129" s="207"/>
      <c r="I129" s="207"/>
      <c r="J129" s="207"/>
      <c r="K129" s="720"/>
      <c r="L129" s="236"/>
      <c r="M129" s="1354"/>
      <c r="N129" s="1355"/>
      <c r="O129" s="1355"/>
      <c r="P129" s="1355"/>
      <c r="Q129" s="1355"/>
      <c r="R129" s="236"/>
      <c r="S129" s="236"/>
    </row>
    <row r="130" spans="2:21">
      <c r="B130" s="228"/>
      <c r="C130" s="228"/>
      <c r="D130" s="207"/>
      <c r="E130" s="207"/>
      <c r="F130" s="207"/>
      <c r="G130" s="207"/>
      <c r="H130" s="207"/>
      <c r="I130" s="207"/>
      <c r="J130" s="207"/>
      <c r="K130" s="238"/>
      <c r="L130" s="236"/>
      <c r="M130" s="238"/>
      <c r="N130" s="238"/>
      <c r="O130" s="238"/>
      <c r="P130" s="238"/>
      <c r="Q130" s="238"/>
      <c r="R130" s="236"/>
      <c r="S130" s="236"/>
    </row>
    <row r="131" spans="2:21">
      <c r="B131" s="228"/>
      <c r="C131" s="228"/>
      <c r="D131" s="207"/>
      <c r="E131" s="207"/>
      <c r="F131" s="207"/>
      <c r="G131" s="207"/>
      <c r="H131" s="207"/>
      <c r="I131" s="207"/>
      <c r="J131" s="207"/>
      <c r="K131" s="718"/>
      <c r="L131" s="236"/>
      <c r="M131" s="238"/>
      <c r="N131" s="238"/>
      <c r="O131" s="238"/>
      <c r="P131" s="238"/>
      <c r="Q131" s="238"/>
      <c r="R131" s="236"/>
      <c r="S131" s="236"/>
    </row>
    <row r="132" spans="2:21">
      <c r="B132" s="228"/>
      <c r="C132" s="228"/>
      <c r="D132" s="207"/>
      <c r="E132" s="207"/>
      <c r="F132" s="207"/>
      <c r="G132" s="207"/>
      <c r="H132" s="207"/>
      <c r="I132" s="207"/>
      <c r="J132" s="207"/>
      <c r="K132" s="718"/>
      <c r="L132" s="236"/>
      <c r="M132" s="238"/>
      <c r="N132" s="238"/>
      <c r="O132" s="238"/>
      <c r="P132" s="238"/>
      <c r="Q132" s="238"/>
      <c r="R132" s="236"/>
      <c r="S132" s="236"/>
    </row>
    <row r="133" spans="2:21">
      <c r="B133" s="228"/>
      <c r="C133" s="228"/>
      <c r="D133" s="207"/>
      <c r="E133" s="207"/>
      <c r="F133" s="207"/>
      <c r="G133" s="207"/>
      <c r="H133" s="207"/>
      <c r="I133" s="207"/>
      <c r="J133" s="207"/>
      <c r="K133" s="718"/>
      <c r="L133" s="236"/>
      <c r="M133" s="238"/>
      <c r="N133" s="1356"/>
      <c r="O133" s="238"/>
      <c r="P133" s="238"/>
      <c r="Q133" s="238"/>
      <c r="R133" s="236"/>
      <c r="S133" s="236"/>
    </row>
    <row r="134" spans="2:21">
      <c r="B134" s="228"/>
      <c r="C134" s="228"/>
      <c r="D134" s="207"/>
      <c r="E134" s="207"/>
      <c r="F134" s="207"/>
      <c r="G134" s="207"/>
      <c r="H134" s="207"/>
      <c r="I134" s="207"/>
      <c r="J134" s="207"/>
      <c r="K134" s="718"/>
      <c r="L134" s="236"/>
      <c r="M134" s="238"/>
      <c r="N134" s="1474"/>
      <c r="O134" s="1474"/>
      <c r="P134" s="238"/>
      <c r="Q134" s="238"/>
      <c r="R134" s="236"/>
      <c r="S134" s="236"/>
    </row>
    <row r="135" spans="2:21">
      <c r="B135" s="228"/>
      <c r="C135" s="228"/>
      <c r="D135" s="207"/>
      <c r="E135" s="207"/>
      <c r="F135" s="207"/>
      <c r="G135" s="207"/>
      <c r="H135" s="207"/>
      <c r="I135" s="207"/>
      <c r="J135" s="207"/>
      <c r="K135" s="718"/>
      <c r="L135" s="236"/>
      <c r="M135" s="238"/>
      <c r="N135" s="721"/>
      <c r="O135" s="721"/>
      <c r="P135" s="238"/>
      <c r="Q135" s="238"/>
      <c r="R135" s="236"/>
      <c r="S135" s="236"/>
    </row>
    <row r="136" spans="2:21">
      <c r="B136" s="228"/>
      <c r="C136" s="228"/>
      <c r="D136" s="207"/>
      <c r="E136" s="207"/>
      <c r="F136" s="207"/>
      <c r="G136" s="207"/>
      <c r="H136" s="207"/>
      <c r="I136" s="207"/>
      <c r="J136" s="207"/>
      <c r="K136" s="718"/>
      <c r="L136" s="236"/>
      <c r="M136" s="1354"/>
      <c r="N136" s="1358"/>
      <c r="O136" s="1358"/>
      <c r="P136" s="238"/>
      <c r="Q136" s="238"/>
      <c r="R136" s="236"/>
      <c r="S136" s="236"/>
    </row>
    <row r="137" spans="2:21">
      <c r="B137" s="228"/>
      <c r="C137" s="228"/>
      <c r="D137" s="207"/>
      <c r="E137" s="207"/>
      <c r="F137" s="207"/>
      <c r="G137" s="207"/>
      <c r="H137" s="207"/>
      <c r="I137" s="207"/>
      <c r="J137" s="207"/>
      <c r="K137" s="721"/>
      <c r="L137" s="236"/>
      <c r="M137" s="1354"/>
      <c r="N137" s="1358"/>
      <c r="O137" s="1358"/>
      <c r="P137" s="238"/>
      <c r="Q137" s="238"/>
      <c r="R137" s="236"/>
      <c r="S137" s="236"/>
    </row>
    <row r="138" spans="2:21">
      <c r="B138" s="228"/>
      <c r="C138" s="228"/>
      <c r="D138" s="207"/>
      <c r="E138" s="207"/>
      <c r="F138" s="207"/>
      <c r="G138" s="207"/>
      <c r="H138" s="207"/>
      <c r="I138" s="207"/>
      <c r="J138" s="207"/>
      <c r="K138" s="218"/>
      <c r="L138" s="236"/>
      <c r="M138" s="1354"/>
      <c r="N138" s="1359"/>
      <c r="O138" s="1359"/>
      <c r="P138" s="238"/>
      <c r="Q138" s="238"/>
      <c r="R138" s="236"/>
      <c r="S138" s="236"/>
    </row>
    <row r="139" spans="2:21">
      <c r="B139" s="228"/>
      <c r="C139" s="228"/>
      <c r="D139" s="594"/>
      <c r="E139" s="594"/>
      <c r="F139" s="594"/>
      <c r="G139" s="594"/>
      <c r="H139" s="594"/>
      <c r="I139" s="593"/>
      <c r="J139" s="593"/>
      <c r="K139" s="593"/>
      <c r="L139" s="236"/>
      <c r="M139" s="1354"/>
      <c r="N139" s="1357"/>
      <c r="O139" s="238"/>
      <c r="P139" s="238"/>
      <c r="Q139" s="238"/>
      <c r="R139" s="236"/>
      <c r="S139" s="236"/>
    </row>
    <row r="140" spans="2:21">
      <c r="B140" s="228"/>
      <c r="C140" s="228"/>
      <c r="D140" s="594"/>
      <c r="E140" s="594"/>
      <c r="F140" s="594"/>
      <c r="G140" s="594"/>
      <c r="H140" s="594"/>
      <c r="I140" s="593"/>
      <c r="J140" s="593"/>
      <c r="K140" s="593"/>
      <c r="L140" s="236"/>
      <c r="M140" s="236"/>
      <c r="N140" s="236"/>
      <c r="O140" s="236"/>
      <c r="P140" s="236"/>
      <c r="Q140" s="236"/>
      <c r="R140" s="236"/>
      <c r="S140" s="236"/>
    </row>
    <row r="141" spans="2:21">
      <c r="B141" s="228"/>
      <c r="C141" s="228"/>
      <c r="D141" s="594"/>
      <c r="E141" s="594"/>
      <c r="F141" s="594"/>
      <c r="G141" s="594"/>
      <c r="H141" s="594"/>
      <c r="I141" s="593"/>
      <c r="J141" s="593"/>
      <c r="K141" s="593"/>
      <c r="L141" s="236"/>
      <c r="M141" s="236"/>
      <c r="N141" s="236"/>
      <c r="O141" s="236"/>
      <c r="P141" s="236"/>
      <c r="Q141" s="236"/>
      <c r="R141" s="236"/>
      <c r="S141" s="236"/>
    </row>
    <row r="142" spans="2:21">
      <c r="B142" s="228"/>
      <c r="C142" s="228"/>
      <c r="D142" s="594"/>
      <c r="E142" s="594"/>
      <c r="F142" s="594"/>
      <c r="G142" s="594"/>
      <c r="H142" s="594"/>
      <c r="I142" s="593"/>
      <c r="J142" s="593"/>
      <c r="K142" s="593"/>
    </row>
    <row r="143" spans="2:21">
      <c r="B143" s="228"/>
      <c r="C143" s="228"/>
      <c r="D143" s="594"/>
      <c r="E143" s="594"/>
      <c r="F143" s="594"/>
      <c r="G143" s="594"/>
      <c r="H143" s="594"/>
      <c r="I143" s="593"/>
      <c r="J143" s="593"/>
      <c r="K143" s="593"/>
    </row>
    <row r="144" spans="2:21" ht="14.4">
      <c r="B144" s="228"/>
      <c r="C144" s="228"/>
      <c r="D144" s="950"/>
      <c r="E144" s="266"/>
      <c r="F144" s="266"/>
      <c r="G144" s="266"/>
      <c r="H144" s="266"/>
      <c r="I144" s="266"/>
      <c r="J144" s="266"/>
      <c r="K144" s="266"/>
      <c r="L144" s="266"/>
      <c r="M144" s="266"/>
      <c r="N144" s="266"/>
      <c r="O144" s="266"/>
      <c r="P144" s="266"/>
      <c r="Q144" s="266"/>
      <c r="R144" s="266"/>
      <c r="S144" s="266"/>
      <c r="T144" s="266"/>
      <c r="U144" s="266"/>
    </row>
    <row r="145" spans="2:21" ht="15" thickBot="1">
      <c r="B145" s="228"/>
      <c r="C145" s="228"/>
      <c r="D145" s="950"/>
      <c r="E145" s="817"/>
      <c r="F145" s="861" t="s">
        <v>1168</v>
      </c>
      <c r="G145" s="858"/>
      <c r="H145" s="858"/>
      <c r="I145" s="858"/>
      <c r="J145" s="858"/>
      <c r="K145" s="858"/>
      <c r="L145" s="860"/>
      <c r="M145" s="860"/>
      <c r="N145" s="860"/>
      <c r="O145" s="860"/>
      <c r="P145" s="266"/>
      <c r="Q145" s="266"/>
      <c r="R145" s="266"/>
      <c r="S145" s="266"/>
      <c r="T145" s="266"/>
      <c r="U145" s="266"/>
    </row>
    <row r="146" spans="2:21" ht="14.4">
      <c r="B146" s="228"/>
      <c r="C146" s="228"/>
      <c r="D146" s="950"/>
      <c r="E146" s="817"/>
      <c r="F146" s="1466" t="s">
        <v>395</v>
      </c>
      <c r="G146" s="1467"/>
      <c r="H146" s="1468"/>
      <c r="I146" s="1466" t="s">
        <v>398</v>
      </c>
      <c r="J146" s="1467"/>
      <c r="K146" s="1468"/>
      <c r="L146" s="1469" t="s">
        <v>1164</v>
      </c>
      <c r="M146" s="1470"/>
      <c r="N146" s="1471"/>
      <c r="O146" s="860"/>
      <c r="P146" s="266"/>
      <c r="Q146" s="266"/>
      <c r="R146" s="266"/>
      <c r="S146" s="266"/>
      <c r="T146" s="266"/>
      <c r="U146" s="266"/>
    </row>
    <row r="147" spans="2:21" ht="14.4">
      <c r="B147" s="228"/>
      <c r="C147" s="228"/>
      <c r="D147" s="950"/>
      <c r="E147" s="817"/>
      <c r="F147" s="866" t="s">
        <v>345</v>
      </c>
      <c r="G147" s="867" t="s">
        <v>347</v>
      </c>
      <c r="H147" s="868" t="s">
        <v>350</v>
      </c>
      <c r="I147" s="866" t="s">
        <v>345</v>
      </c>
      <c r="J147" s="867" t="s">
        <v>347</v>
      </c>
      <c r="K147" s="867" t="s">
        <v>350</v>
      </c>
      <c r="L147" s="894" t="s">
        <v>345</v>
      </c>
      <c r="M147" s="895" t="s">
        <v>347</v>
      </c>
      <c r="N147" s="896" t="s">
        <v>350</v>
      </c>
      <c r="O147" s="859"/>
      <c r="P147" s="266"/>
      <c r="Q147" s="266"/>
      <c r="R147" s="266"/>
      <c r="S147" s="266"/>
      <c r="T147" s="266"/>
      <c r="U147" s="266"/>
    </row>
    <row r="148" spans="2:21" ht="14.4">
      <c r="B148" s="228"/>
      <c r="C148" s="228"/>
      <c r="D148" s="950"/>
      <c r="E148" s="817" t="s">
        <v>401</v>
      </c>
      <c r="F148" s="869">
        <v>200.9</v>
      </c>
      <c r="G148" s="870">
        <v>247</v>
      </c>
      <c r="H148" s="871">
        <v>155.9</v>
      </c>
      <c r="I148" s="869">
        <v>19.2</v>
      </c>
      <c r="J148" s="870">
        <v>19.2</v>
      </c>
      <c r="K148" s="870">
        <v>25.3</v>
      </c>
      <c r="L148" s="897">
        <f t="shared" ref="L148:N154" si="7">SUM(F148+I148)</f>
        <v>220.1</v>
      </c>
      <c r="M148" s="898">
        <f t="shared" si="7"/>
        <v>266.2</v>
      </c>
      <c r="N148" s="899">
        <f t="shared" si="7"/>
        <v>181.20000000000002</v>
      </c>
      <c r="O148" s="859"/>
      <c r="P148" s="266"/>
      <c r="Q148" s="266"/>
      <c r="R148" s="266"/>
      <c r="S148" s="266"/>
      <c r="T148" s="266"/>
      <c r="U148" s="266"/>
    </row>
    <row r="149" spans="2:21" ht="14.4">
      <c r="B149" s="228"/>
      <c r="C149" s="228"/>
      <c r="D149" s="950"/>
      <c r="E149" s="817" t="s">
        <v>402</v>
      </c>
      <c r="F149" s="869">
        <v>199.8</v>
      </c>
      <c r="G149" s="870">
        <v>163.9</v>
      </c>
      <c r="H149" s="871">
        <v>168.5</v>
      </c>
      <c r="I149" s="869">
        <v>19.2</v>
      </c>
      <c r="J149" s="870">
        <v>19.2</v>
      </c>
      <c r="K149" s="870">
        <v>25.3</v>
      </c>
      <c r="L149" s="897">
        <f t="shared" si="7"/>
        <v>219</v>
      </c>
      <c r="M149" s="898">
        <f t="shared" si="7"/>
        <v>183.1</v>
      </c>
      <c r="N149" s="899">
        <f t="shared" si="7"/>
        <v>193.8</v>
      </c>
      <c r="O149" s="859"/>
      <c r="P149" s="266"/>
      <c r="Q149" s="266"/>
      <c r="R149" s="266"/>
      <c r="S149" s="266"/>
      <c r="T149" s="266"/>
      <c r="U149" s="266"/>
    </row>
    <row r="150" spans="2:21" ht="14.4">
      <c r="B150" s="228"/>
      <c r="C150" s="228"/>
      <c r="D150" s="949"/>
      <c r="E150" s="817" t="s">
        <v>403</v>
      </c>
      <c r="F150" s="869">
        <v>159.6</v>
      </c>
      <c r="G150" s="870">
        <v>163.9</v>
      </c>
      <c r="H150" s="871">
        <v>126.4</v>
      </c>
      <c r="I150" s="869">
        <v>19.2</v>
      </c>
      <c r="J150" s="870">
        <v>19.2</v>
      </c>
      <c r="K150" s="870">
        <v>25.3</v>
      </c>
      <c r="L150" s="897">
        <f t="shared" si="7"/>
        <v>178.79999999999998</v>
      </c>
      <c r="M150" s="898">
        <f t="shared" si="7"/>
        <v>183.1</v>
      </c>
      <c r="N150" s="899">
        <f t="shared" si="7"/>
        <v>151.70000000000002</v>
      </c>
      <c r="O150" s="859"/>
      <c r="P150" s="266"/>
      <c r="Q150" s="266"/>
      <c r="R150" s="266"/>
      <c r="S150" s="266"/>
      <c r="T150" s="266"/>
      <c r="U150" s="266"/>
    </row>
    <row r="151" spans="2:21" ht="14.4">
      <c r="B151" s="228"/>
      <c r="C151" s="228"/>
      <c r="D151" s="950"/>
      <c r="E151" s="817" t="s">
        <v>408</v>
      </c>
      <c r="F151" s="869">
        <v>199.4</v>
      </c>
      <c r="G151" s="870">
        <v>137.1</v>
      </c>
      <c r="H151" s="871">
        <v>106.4</v>
      </c>
      <c r="I151" s="869">
        <v>19.2</v>
      </c>
      <c r="J151" s="870">
        <v>19.2</v>
      </c>
      <c r="K151" s="870">
        <v>25.3</v>
      </c>
      <c r="L151" s="897">
        <f t="shared" si="7"/>
        <v>218.6</v>
      </c>
      <c r="M151" s="898">
        <f t="shared" si="7"/>
        <v>156.29999999999998</v>
      </c>
      <c r="N151" s="899">
        <f t="shared" si="7"/>
        <v>131.70000000000002</v>
      </c>
      <c r="O151" s="859"/>
      <c r="P151" s="266"/>
      <c r="Q151" s="266"/>
      <c r="R151" s="266"/>
      <c r="S151" s="266"/>
      <c r="T151" s="266"/>
      <c r="U151" s="266"/>
    </row>
    <row r="152" spans="2:21" ht="14.4">
      <c r="B152" s="228"/>
      <c r="C152" s="228"/>
      <c r="D152" s="950"/>
      <c r="E152" s="817" t="s">
        <v>409</v>
      </c>
      <c r="F152" s="869">
        <v>137.1</v>
      </c>
      <c r="G152" s="870">
        <v>140.30000000000001</v>
      </c>
      <c r="H152" s="871">
        <v>112.2</v>
      </c>
      <c r="I152" s="869">
        <v>19.2</v>
      </c>
      <c r="J152" s="870">
        <v>19.2</v>
      </c>
      <c r="K152" s="870">
        <v>25.3</v>
      </c>
      <c r="L152" s="897">
        <f t="shared" si="7"/>
        <v>156.29999999999998</v>
      </c>
      <c r="M152" s="898">
        <f t="shared" si="7"/>
        <v>159.5</v>
      </c>
      <c r="N152" s="899">
        <f t="shared" si="7"/>
        <v>137.5</v>
      </c>
      <c r="O152" s="859"/>
      <c r="P152" s="266"/>
      <c r="Q152" s="266"/>
      <c r="R152" s="266"/>
      <c r="S152" s="266"/>
      <c r="T152" s="266"/>
      <c r="U152" s="266"/>
    </row>
    <row r="153" spans="2:21" ht="14.4">
      <c r="B153" s="228"/>
      <c r="C153" s="228"/>
      <c r="D153" s="950"/>
      <c r="E153" s="862" t="s">
        <v>372</v>
      </c>
      <c r="F153" s="869">
        <v>40.5</v>
      </c>
      <c r="G153" s="870">
        <v>82.9</v>
      </c>
      <c r="H153" s="871">
        <v>45.3</v>
      </c>
      <c r="I153" s="869">
        <v>19.2</v>
      </c>
      <c r="J153" s="870">
        <v>19.2</v>
      </c>
      <c r="K153" s="870">
        <v>25.3</v>
      </c>
      <c r="L153" s="897">
        <f t="shared" si="7"/>
        <v>59.7</v>
      </c>
      <c r="M153" s="898">
        <f t="shared" si="7"/>
        <v>102.10000000000001</v>
      </c>
      <c r="N153" s="899">
        <f t="shared" si="7"/>
        <v>70.599999999999994</v>
      </c>
      <c r="O153" s="859"/>
      <c r="P153" s="266"/>
      <c r="Q153" s="266"/>
      <c r="R153" s="266"/>
      <c r="S153" s="266"/>
      <c r="T153" s="266"/>
      <c r="U153" s="266"/>
    </row>
    <row r="154" spans="2:21" ht="15" thickBot="1">
      <c r="B154" s="228"/>
      <c r="C154" s="228"/>
      <c r="D154" s="950"/>
      <c r="E154" s="817" t="s">
        <v>407</v>
      </c>
      <c r="F154" s="902">
        <v>55.8</v>
      </c>
      <c r="G154" s="903">
        <v>57.9</v>
      </c>
      <c r="H154" s="904">
        <v>52.5</v>
      </c>
      <c r="I154" s="902">
        <v>19.2</v>
      </c>
      <c r="J154" s="903">
        <v>19.2</v>
      </c>
      <c r="K154" s="903">
        <v>22.4</v>
      </c>
      <c r="L154" s="905">
        <f t="shared" si="7"/>
        <v>75</v>
      </c>
      <c r="M154" s="903">
        <f t="shared" si="7"/>
        <v>77.099999999999994</v>
      </c>
      <c r="N154" s="904">
        <f t="shared" si="7"/>
        <v>74.900000000000006</v>
      </c>
      <c r="O154" s="859"/>
      <c r="P154" s="266"/>
      <c r="Q154" s="266"/>
      <c r="R154" s="266"/>
      <c r="S154" s="266"/>
      <c r="T154" s="266"/>
      <c r="U154" s="266"/>
    </row>
    <row r="155" spans="2:21" ht="14.4">
      <c r="B155" s="228"/>
      <c r="C155" s="228"/>
      <c r="D155" s="950"/>
      <c r="E155" s="266"/>
      <c r="F155" s="266"/>
      <c r="G155" s="266"/>
      <c r="H155" s="266"/>
      <c r="I155" s="266"/>
      <c r="J155" s="266"/>
      <c r="K155" s="266"/>
      <c r="L155" s="266"/>
      <c r="M155" s="266"/>
      <c r="N155" s="266"/>
      <c r="O155" s="266"/>
      <c r="P155" s="266"/>
      <c r="Q155" s="266"/>
      <c r="R155" s="266"/>
      <c r="S155" s="266"/>
      <c r="T155" s="266"/>
      <c r="U155" s="266"/>
    </row>
    <row r="156" spans="2:21" ht="14.4">
      <c r="B156" s="228"/>
      <c r="C156" s="228"/>
      <c r="D156" s="872"/>
      <c r="E156" s="266"/>
      <c r="F156" s="266"/>
      <c r="G156" s="266"/>
      <c r="H156" s="266"/>
      <c r="I156" s="266"/>
      <c r="J156" s="266"/>
      <c r="K156" s="266"/>
      <c r="L156" s="266"/>
      <c r="M156" s="266"/>
      <c r="N156" s="266"/>
      <c r="O156" s="266"/>
      <c r="P156" s="266"/>
      <c r="Q156" s="266"/>
      <c r="R156" s="266"/>
      <c r="S156" s="266"/>
      <c r="T156" s="266"/>
      <c r="U156" s="266"/>
    </row>
    <row r="157" spans="2:21" ht="15" thickBot="1">
      <c r="B157" s="228"/>
      <c r="C157" s="228"/>
      <c r="D157" s="872"/>
      <c r="E157" s="266"/>
      <c r="F157" s="266"/>
      <c r="G157" s="594"/>
      <c r="H157" s="753" t="s">
        <v>1059</v>
      </c>
      <c r="I157" s="594"/>
      <c r="J157" s="207"/>
      <c r="K157" s="266"/>
      <c r="L157" s="266"/>
      <c r="M157" s="266"/>
      <c r="N157" s="266"/>
      <c r="O157" s="266"/>
      <c r="P157" s="266"/>
      <c r="Q157" s="266"/>
      <c r="R157" s="266"/>
      <c r="S157" s="266"/>
      <c r="T157" s="266"/>
      <c r="U157" s="266"/>
    </row>
    <row r="158" spans="2:21" ht="14.4">
      <c r="B158" s="228"/>
      <c r="C158" s="228"/>
      <c r="D158" s="872"/>
      <c r="E158" s="266"/>
      <c r="F158" s="266"/>
      <c r="G158" s="594"/>
      <c r="H158" s="1464">
        <f>'Building Stock &amp; Specific Heat '!X154</f>
        <v>0</v>
      </c>
      <c r="I158" s="1465"/>
      <c r="J158" s="594"/>
      <c r="K158" s="266"/>
      <c r="L158" s="266"/>
      <c r="M158" s="266"/>
      <c r="N158" s="266"/>
      <c r="O158" s="266"/>
      <c r="P158" s="274"/>
      <c r="Q158" s="274"/>
      <c r="R158" s="274"/>
      <c r="S158" s="274"/>
      <c r="T158" s="266"/>
      <c r="U158" s="266"/>
    </row>
    <row r="159" spans="2:21" ht="14.4">
      <c r="B159" s="228"/>
      <c r="C159" s="228"/>
      <c r="D159" s="872"/>
      <c r="E159" s="266"/>
      <c r="F159" s="266"/>
      <c r="G159" s="594"/>
      <c r="H159" s="749" t="s">
        <v>1101</v>
      </c>
      <c r="I159" s="750" t="s">
        <v>348</v>
      </c>
      <c r="J159" s="594"/>
      <c r="K159" s="266"/>
      <c r="L159" s="266"/>
      <c r="M159" s="266"/>
      <c r="N159" s="266"/>
      <c r="O159" s="266"/>
      <c r="P159" s="266"/>
      <c r="Q159" s="266"/>
      <c r="R159" s="266"/>
      <c r="S159" s="266"/>
      <c r="T159" s="266"/>
      <c r="U159" s="266"/>
    </row>
    <row r="160" spans="2:21" ht="14.4">
      <c r="B160" s="228"/>
      <c r="C160" s="228"/>
      <c r="D160" s="872"/>
      <c r="E160" s="266"/>
      <c r="F160" s="266"/>
      <c r="G160" s="953" t="s">
        <v>424</v>
      </c>
      <c r="H160" s="754">
        <f>AVERAGE(L148:M149)</f>
        <v>222.1</v>
      </c>
      <c r="I160" s="755">
        <f>AVERAGE(N148:N149)</f>
        <v>187.5</v>
      </c>
      <c r="J160" s="594"/>
      <c r="K160" s="266"/>
      <c r="L160" s="266"/>
      <c r="M160" s="266"/>
      <c r="N160" s="266"/>
      <c r="O160" s="266"/>
      <c r="P160" s="266"/>
      <c r="Q160" s="266"/>
      <c r="R160" s="266"/>
      <c r="S160" s="266"/>
      <c r="T160" s="266"/>
      <c r="U160" s="266"/>
    </row>
    <row r="161" spans="2:21" ht="14.4">
      <c r="B161" s="228"/>
      <c r="C161" s="228"/>
      <c r="D161" s="872"/>
      <c r="E161" s="327"/>
      <c r="F161" s="859"/>
      <c r="G161" s="954" t="s">
        <v>425</v>
      </c>
      <c r="H161" s="754">
        <f>AVERAGE(L150:M153)</f>
        <v>151.79999999999998</v>
      </c>
      <c r="I161" s="755">
        <f>AVERAGE(N150:N153)</f>
        <v>122.875</v>
      </c>
      <c r="J161" s="594"/>
      <c r="K161" s="859"/>
      <c r="L161" s="859"/>
      <c r="M161" s="859"/>
      <c r="N161" s="859"/>
      <c r="O161" s="859"/>
      <c r="P161" s="266"/>
      <c r="Q161" s="266"/>
      <c r="R161" s="266"/>
      <c r="S161" s="266"/>
      <c r="T161" s="266"/>
      <c r="U161" s="859"/>
    </row>
    <row r="162" spans="2:21" ht="15" thickBot="1">
      <c r="B162" s="228"/>
      <c r="C162" s="228"/>
      <c r="D162" s="872"/>
      <c r="E162" s="327"/>
      <c r="F162" s="947"/>
      <c r="G162" s="954" t="s">
        <v>426</v>
      </c>
      <c r="H162" s="893"/>
      <c r="I162" s="743"/>
      <c r="J162" s="594"/>
      <c r="K162" s="947"/>
      <c r="L162" s="947"/>
      <c r="M162" s="947"/>
      <c r="N162" s="947"/>
      <c r="O162" s="947"/>
      <c r="P162" s="266"/>
      <c r="Q162" s="266"/>
      <c r="R162" s="266"/>
      <c r="S162" s="266"/>
      <c r="T162" s="266"/>
      <c r="U162" s="947"/>
    </row>
    <row r="163" spans="2:21" ht="14.4">
      <c r="B163" s="228"/>
      <c r="C163" s="228"/>
      <c r="D163" s="872"/>
      <c r="E163" s="327"/>
      <c r="F163" s="860"/>
      <c r="G163" s="741"/>
      <c r="H163" s="756" t="s">
        <v>1060</v>
      </c>
      <c r="I163" s="594"/>
      <c r="J163" s="594"/>
      <c r="K163" s="860"/>
      <c r="L163" s="860"/>
      <c r="M163" s="860"/>
      <c r="N163" s="860"/>
      <c r="O163" s="860"/>
      <c r="P163" s="266"/>
      <c r="Q163" s="266"/>
      <c r="R163" s="266"/>
      <c r="S163" s="266"/>
      <c r="T163" s="266"/>
      <c r="U163" s="860"/>
    </row>
    <row r="164" spans="2:21" ht="14.4">
      <c r="B164" s="228"/>
      <c r="C164" s="228"/>
      <c r="D164" s="872"/>
      <c r="E164" s="327"/>
      <c r="F164" s="860"/>
      <c r="G164" s="860"/>
      <c r="H164" s="860"/>
      <c r="I164" s="860"/>
      <c r="J164" s="860"/>
      <c r="K164" s="860"/>
      <c r="L164" s="860"/>
      <c r="M164" s="860"/>
      <c r="N164" s="860"/>
      <c r="O164" s="860"/>
      <c r="P164" s="860"/>
      <c r="Q164" s="860"/>
      <c r="R164" s="860"/>
      <c r="S164" s="860"/>
      <c r="T164" s="860"/>
      <c r="U164" s="860"/>
    </row>
    <row r="165" spans="2:21" ht="14.4">
      <c r="B165" s="228"/>
      <c r="C165" s="228"/>
      <c r="D165" s="859"/>
      <c r="E165" s="859"/>
      <c r="F165" s="327"/>
      <c r="G165" s="327"/>
      <c r="H165" s="327"/>
      <c r="I165" s="327"/>
      <c r="J165" s="327"/>
      <c r="K165" s="327"/>
      <c r="L165" s="327"/>
      <c r="M165" s="327"/>
      <c r="N165" s="327"/>
      <c r="O165" s="327"/>
      <c r="P165" s="327"/>
      <c r="Q165" s="327"/>
      <c r="R165" s="327"/>
      <c r="S165" s="327"/>
      <c r="T165" s="327"/>
      <c r="U165" s="327"/>
    </row>
    <row r="166" spans="2:21" ht="14.4">
      <c r="B166" s="228"/>
      <c r="C166" s="228"/>
      <c r="D166" s="949"/>
      <c r="E166" s="327"/>
      <c r="F166" s="864"/>
      <c r="G166" s="864"/>
      <c r="H166" s="864"/>
      <c r="I166" s="864"/>
      <c r="J166" s="864"/>
      <c r="K166" s="864"/>
      <c r="L166" s="864"/>
      <c r="M166" s="864"/>
      <c r="N166" s="864"/>
      <c r="O166" s="864"/>
      <c r="P166" s="864"/>
      <c r="Q166" s="864"/>
      <c r="R166" s="864"/>
      <c r="S166" s="864"/>
      <c r="T166" s="864"/>
      <c r="U166" s="864"/>
    </row>
    <row r="167" spans="2:21">
      <c r="B167" s="228"/>
      <c r="C167" s="228"/>
      <c r="D167" s="207"/>
      <c r="E167" s="207"/>
      <c r="F167" s="207"/>
      <c r="G167" s="207"/>
      <c r="H167" s="207"/>
      <c r="I167" s="207"/>
      <c r="J167" s="207"/>
      <c r="K167" s="207"/>
    </row>
    <row r="168" spans="2:21">
      <c r="B168" s="228"/>
      <c r="C168" s="228"/>
      <c r="D168" s="207"/>
      <c r="E168" s="207"/>
      <c r="F168" s="207"/>
      <c r="G168" s="207"/>
      <c r="H168" s="207"/>
      <c r="I168" s="207"/>
      <c r="J168" s="207"/>
      <c r="K168" s="207"/>
    </row>
    <row r="169" spans="2:21">
      <c r="B169" s="228"/>
      <c r="C169" s="228"/>
      <c r="D169" s="207"/>
      <c r="E169" s="207"/>
      <c r="F169" s="207"/>
      <c r="G169" s="207"/>
      <c r="H169" s="207"/>
      <c r="I169" s="207"/>
      <c r="J169" s="207"/>
      <c r="K169" s="207"/>
    </row>
    <row r="170" spans="2:21">
      <c r="B170" s="228"/>
      <c r="C170" s="228"/>
      <c r="D170" s="207"/>
      <c r="E170" s="207"/>
      <c r="F170" s="207"/>
      <c r="G170" s="207"/>
      <c r="H170" s="207"/>
      <c r="I170" s="207"/>
      <c r="J170" s="207"/>
      <c r="K170" s="207"/>
    </row>
    <row r="171" spans="2:21">
      <c r="B171" s="228"/>
      <c r="C171" s="228"/>
      <c r="D171" s="207"/>
      <c r="E171" s="207"/>
      <c r="F171" s="207"/>
      <c r="G171" s="207"/>
      <c r="H171" s="207"/>
      <c r="I171" s="207"/>
      <c r="J171" s="207"/>
      <c r="K171" s="207"/>
    </row>
    <row r="172" spans="2:21">
      <c r="B172" s="228"/>
      <c r="C172" s="228"/>
      <c r="D172" s="207"/>
      <c r="E172" s="207"/>
      <c r="F172" s="207"/>
      <c r="G172" s="207"/>
      <c r="H172" s="207"/>
      <c r="I172" s="207"/>
      <c r="J172" s="207"/>
      <c r="K172" s="207"/>
    </row>
    <row r="173" spans="2:21">
      <c r="B173" s="228"/>
      <c r="C173" s="228"/>
      <c r="D173" s="207"/>
      <c r="E173" s="207"/>
      <c r="F173" s="207"/>
      <c r="G173" s="207"/>
      <c r="H173" s="207"/>
      <c r="I173" s="207"/>
      <c r="J173" s="207"/>
      <c r="K173" s="207"/>
    </row>
    <row r="174" spans="2:21">
      <c r="B174" s="228"/>
      <c r="C174" s="228"/>
      <c r="D174" s="207"/>
      <c r="E174" s="207"/>
      <c r="F174" s="207"/>
      <c r="G174" s="207"/>
      <c r="H174" s="207"/>
      <c r="I174" s="207"/>
      <c r="J174" s="207"/>
      <c r="K174" s="207"/>
    </row>
    <row r="175" spans="2:21">
      <c r="B175" s="228"/>
      <c r="C175" s="228"/>
      <c r="D175" s="207"/>
      <c r="E175" s="207"/>
      <c r="F175" s="207"/>
      <c r="G175" s="207"/>
      <c r="H175" s="207"/>
      <c r="I175" s="207"/>
      <c r="J175" s="207"/>
      <c r="K175" s="207"/>
    </row>
    <row r="176" spans="2:21">
      <c r="B176" s="228"/>
      <c r="C176" s="228"/>
      <c r="D176" s="207"/>
      <c r="E176" s="207"/>
      <c r="F176" s="207"/>
      <c r="G176" s="207"/>
      <c r="H176" s="207"/>
      <c r="I176" s="207"/>
      <c r="J176" s="207"/>
      <c r="K176" s="207"/>
    </row>
    <row r="177" spans="2:11">
      <c r="B177" s="228"/>
      <c r="C177" s="228"/>
      <c r="D177" s="207"/>
      <c r="E177" s="207"/>
      <c r="F177" s="207"/>
      <c r="G177" s="207"/>
      <c r="H177" s="207"/>
      <c r="I177" s="207"/>
      <c r="J177" s="207"/>
      <c r="K177" s="207"/>
    </row>
    <row r="178" spans="2:11">
      <c r="B178" s="228"/>
      <c r="C178" s="228"/>
      <c r="D178" s="207"/>
      <c r="E178" s="207"/>
      <c r="F178" s="207"/>
      <c r="G178" s="207"/>
      <c r="H178" s="207"/>
      <c r="I178" s="207"/>
      <c r="J178" s="207"/>
      <c r="K178" s="207"/>
    </row>
    <row r="179" spans="2:11">
      <c r="B179" s="228"/>
      <c r="C179" s="228"/>
      <c r="D179" s="207"/>
      <c r="E179" s="207"/>
      <c r="F179" s="207"/>
      <c r="G179" s="207"/>
      <c r="H179" s="207"/>
      <c r="I179" s="207"/>
      <c r="J179" s="207"/>
      <c r="K179" s="207"/>
    </row>
    <row r="180" spans="2:11">
      <c r="B180" s="228"/>
      <c r="C180" s="228"/>
      <c r="D180" s="207"/>
      <c r="E180" s="207"/>
      <c r="F180" s="207"/>
      <c r="G180" s="207"/>
      <c r="H180" s="207"/>
      <c r="I180" s="207"/>
      <c r="J180" s="207"/>
      <c r="K180" s="207"/>
    </row>
    <row r="181" spans="2:11">
      <c r="B181" s="228"/>
      <c r="C181" s="228"/>
      <c r="D181" s="207"/>
      <c r="E181" s="207"/>
      <c r="F181" s="207"/>
      <c r="G181" s="207"/>
      <c r="H181" s="207"/>
      <c r="I181" s="207"/>
      <c r="J181" s="207"/>
      <c r="K181" s="207"/>
    </row>
    <row r="182" spans="2:11">
      <c r="B182" s="228"/>
      <c r="C182" s="228"/>
      <c r="D182" s="207"/>
      <c r="E182" s="207"/>
      <c r="F182" s="207"/>
      <c r="G182" s="207"/>
      <c r="H182" s="207"/>
      <c r="I182" s="207"/>
      <c r="J182" s="207"/>
      <c r="K182" s="207"/>
    </row>
    <row r="183" spans="2:11">
      <c r="B183" s="228"/>
      <c r="C183" s="228"/>
      <c r="D183" s="207"/>
      <c r="E183" s="207"/>
      <c r="F183" s="207"/>
      <c r="G183" s="207"/>
      <c r="H183" s="207"/>
      <c r="I183" s="207"/>
      <c r="J183" s="207"/>
      <c r="K183" s="207"/>
    </row>
    <row r="184" spans="2:11">
      <c r="B184" s="228"/>
      <c r="C184" s="228"/>
      <c r="D184" s="207"/>
      <c r="E184" s="207"/>
      <c r="F184" s="207"/>
      <c r="G184" s="207"/>
      <c r="H184" s="207"/>
      <c r="I184" s="207"/>
      <c r="J184" s="207"/>
      <c r="K184" s="207"/>
    </row>
    <row r="185" spans="2:11">
      <c r="B185" s="228"/>
      <c r="C185" s="228"/>
      <c r="D185" s="207"/>
      <c r="E185" s="207"/>
      <c r="F185" s="207"/>
      <c r="G185" s="207"/>
      <c r="H185" s="207"/>
      <c r="I185" s="207"/>
      <c r="J185" s="207"/>
      <c r="K185" s="207"/>
    </row>
    <row r="186" spans="2:11">
      <c r="B186" s="228"/>
      <c r="C186" s="228"/>
      <c r="D186" s="207"/>
      <c r="E186" s="207"/>
      <c r="F186" s="207"/>
      <c r="G186" s="207"/>
      <c r="H186" s="207"/>
      <c r="I186" s="207"/>
      <c r="J186" s="207"/>
      <c r="K186" s="207"/>
    </row>
    <row r="187" spans="2:11">
      <c r="B187" s="228"/>
      <c r="C187" s="228"/>
      <c r="D187" s="207"/>
      <c r="E187" s="207"/>
      <c r="F187" s="207"/>
      <c r="G187" s="207"/>
      <c r="H187" s="207"/>
      <c r="I187" s="207"/>
      <c r="J187" s="207"/>
      <c r="K187" s="207"/>
    </row>
    <row r="188" spans="2:11">
      <c r="B188" s="228"/>
      <c r="C188" s="228"/>
      <c r="D188" s="207"/>
      <c r="E188" s="207"/>
      <c r="F188" s="207"/>
      <c r="G188" s="207"/>
      <c r="H188" s="207"/>
      <c r="I188" s="207"/>
      <c r="J188" s="207"/>
      <c r="K188" s="207"/>
    </row>
    <row r="189" spans="2:11">
      <c r="B189" s="228"/>
      <c r="C189" s="228"/>
      <c r="D189" s="207"/>
      <c r="E189" s="207"/>
      <c r="F189" s="207"/>
      <c r="G189" s="207"/>
      <c r="H189" s="207"/>
      <c r="I189" s="207"/>
      <c r="J189" s="207"/>
      <c r="K189" s="207"/>
    </row>
    <row r="190" spans="2:11">
      <c r="B190" s="228"/>
      <c r="C190" s="228"/>
      <c r="D190" s="207"/>
      <c r="E190" s="207"/>
      <c r="F190" s="207"/>
      <c r="G190" s="207"/>
      <c r="H190" s="207"/>
      <c r="I190" s="207"/>
      <c r="J190" s="207"/>
      <c r="K190" s="207"/>
    </row>
    <row r="191" spans="2:11">
      <c r="B191" s="228"/>
      <c r="C191" s="228"/>
      <c r="D191" s="207"/>
      <c r="E191" s="207"/>
      <c r="F191" s="207"/>
      <c r="G191" s="207"/>
      <c r="H191" s="207"/>
      <c r="I191" s="207"/>
      <c r="J191" s="207"/>
      <c r="K191" s="207"/>
    </row>
    <row r="192" spans="2:11">
      <c r="B192" s="228"/>
      <c r="C192" s="228"/>
      <c r="D192" s="207"/>
      <c r="E192" s="207"/>
      <c r="F192" s="207"/>
      <c r="G192" s="207"/>
      <c r="H192" s="207"/>
      <c r="I192" s="207"/>
      <c r="J192" s="207"/>
      <c r="K192" s="207"/>
    </row>
    <row r="193" spans="2:21">
      <c r="B193" s="228"/>
      <c r="C193" s="228"/>
      <c r="D193" s="207"/>
      <c r="E193" s="207"/>
      <c r="F193" s="207"/>
      <c r="G193" s="207"/>
      <c r="H193" s="207"/>
      <c r="I193" s="207"/>
      <c r="J193" s="207"/>
      <c r="K193" s="207"/>
    </row>
    <row r="194" spans="2:21">
      <c r="B194" s="228"/>
      <c r="C194" s="228"/>
      <c r="D194" s="207"/>
      <c r="E194" s="207"/>
      <c r="F194" s="207"/>
      <c r="G194" s="207"/>
      <c r="H194" s="207"/>
      <c r="I194" s="207"/>
      <c r="J194" s="207"/>
      <c r="K194" s="207"/>
    </row>
    <row r="195" spans="2:21">
      <c r="B195" s="228"/>
      <c r="C195" s="228"/>
      <c r="D195" s="207"/>
      <c r="E195" s="207"/>
      <c r="F195" s="207"/>
      <c r="G195" s="207"/>
      <c r="H195" s="207"/>
      <c r="I195" s="207"/>
      <c r="J195" s="207"/>
      <c r="K195" s="207"/>
    </row>
    <row r="196" spans="2:21">
      <c r="B196" s="228"/>
      <c r="C196" s="228"/>
      <c r="D196" s="207"/>
      <c r="E196" s="207"/>
      <c r="F196" s="207"/>
      <c r="G196" s="207"/>
      <c r="H196" s="207"/>
      <c r="I196" s="207"/>
      <c r="J196" s="207"/>
      <c r="K196" s="207"/>
    </row>
    <row r="197" spans="2:21" ht="14.4">
      <c r="B197" s="228"/>
      <c r="C197" s="228"/>
      <c r="D197" s="872"/>
      <c r="E197" s="266"/>
      <c r="F197" s="266"/>
      <c r="G197" s="266"/>
      <c r="H197" s="266"/>
      <c r="I197" s="859"/>
      <c r="J197" s="859"/>
      <c r="K197" s="859"/>
      <c r="L197" s="859"/>
      <c r="M197" s="859"/>
      <c r="N197" s="859"/>
      <c r="O197" s="859"/>
      <c r="P197" s="859"/>
      <c r="Q197" s="859"/>
      <c r="R197" s="859"/>
      <c r="S197" s="859"/>
      <c r="T197" s="859"/>
      <c r="U197" s="859"/>
    </row>
    <row r="198" spans="2:21" ht="14.4">
      <c r="B198" s="228"/>
      <c r="C198" s="228"/>
      <c r="D198" s="872"/>
      <c r="E198" s="266"/>
      <c r="F198" s="266"/>
      <c r="G198" s="266"/>
      <c r="H198" s="266"/>
      <c r="I198" s="859"/>
      <c r="J198" s="859"/>
      <c r="K198" s="859"/>
      <c r="L198" s="859"/>
      <c r="M198" s="859"/>
      <c r="N198" s="859"/>
      <c r="O198" s="859"/>
      <c r="P198" s="859"/>
      <c r="Q198" s="859"/>
      <c r="R198" s="859"/>
      <c r="S198" s="859"/>
      <c r="T198" s="859"/>
      <c r="U198" s="859"/>
    </row>
    <row r="199" spans="2:21" ht="14.4">
      <c r="B199" s="228"/>
      <c r="C199" s="228"/>
      <c r="D199" s="872"/>
      <c r="E199" s="266"/>
      <c r="F199" s="266"/>
      <c r="G199" s="266"/>
      <c r="H199" s="266"/>
      <c r="I199" s="859"/>
      <c r="J199" s="859"/>
      <c r="K199" s="859"/>
      <c r="L199" s="859"/>
      <c r="M199" s="859"/>
      <c r="N199" s="859"/>
      <c r="O199" s="859"/>
      <c r="P199" s="859"/>
      <c r="Q199" s="859"/>
      <c r="R199" s="859"/>
      <c r="S199" s="859"/>
      <c r="T199" s="859"/>
      <c r="U199" s="859"/>
    </row>
    <row r="200" spans="2:21" ht="14.4">
      <c r="B200" s="228"/>
      <c r="C200" s="228"/>
      <c r="D200" s="872"/>
      <c r="E200" s="266"/>
      <c r="F200" s="266"/>
      <c r="G200" s="266"/>
      <c r="H200" s="266"/>
      <c r="I200" s="859"/>
      <c r="J200" s="859"/>
      <c r="K200" s="859"/>
      <c r="L200" s="859"/>
      <c r="M200" s="859"/>
      <c r="N200" s="859"/>
      <c r="O200" s="859"/>
      <c r="P200" s="859"/>
      <c r="Q200" s="859"/>
      <c r="R200" s="859"/>
      <c r="S200" s="859"/>
      <c r="T200" s="859"/>
      <c r="U200" s="859"/>
    </row>
    <row r="201" spans="2:21" ht="14.4">
      <c r="B201" s="228"/>
      <c r="C201" s="228"/>
      <c r="D201" s="872"/>
      <c r="E201" s="266"/>
      <c r="F201" s="266"/>
      <c r="G201" s="266"/>
      <c r="H201" s="266"/>
      <c r="I201" s="859"/>
      <c r="J201" s="859"/>
      <c r="K201" s="859"/>
      <c r="L201" s="859"/>
      <c r="M201" s="859"/>
      <c r="N201" s="859"/>
      <c r="O201" s="859"/>
      <c r="P201" s="859"/>
      <c r="Q201" s="859"/>
      <c r="R201" s="859"/>
      <c r="S201" s="859"/>
      <c r="T201" s="859"/>
      <c r="U201" s="859"/>
    </row>
    <row r="202" spans="2:21" ht="14.4">
      <c r="B202" s="228"/>
      <c r="C202" s="228"/>
      <c r="D202" s="859"/>
      <c r="E202" s="859"/>
      <c r="F202" s="859"/>
      <c r="G202" s="859"/>
      <c r="H202" s="859"/>
      <c r="I202" s="859"/>
      <c r="J202" s="859"/>
      <c r="K202" s="859"/>
      <c r="L202" s="859"/>
      <c r="M202" s="859"/>
      <c r="N202" s="859"/>
      <c r="O202" s="859"/>
      <c r="P202" s="859"/>
      <c r="Q202" s="859"/>
      <c r="R202" s="859"/>
      <c r="S202" s="859"/>
      <c r="T202" s="859"/>
      <c r="U202" s="859"/>
    </row>
    <row r="203" spans="2:21" ht="14.4">
      <c r="B203" s="228"/>
      <c r="C203" s="228"/>
      <c r="D203" s="859"/>
      <c r="E203" s="859"/>
      <c r="F203" s="860"/>
      <c r="G203" s="860"/>
      <c r="H203" s="860"/>
      <c r="I203" s="860"/>
      <c r="J203" s="860"/>
      <c r="K203" s="860"/>
      <c r="L203" s="860"/>
      <c r="M203" s="860"/>
      <c r="N203" s="860"/>
      <c r="O203" s="860"/>
      <c r="P203" s="860"/>
      <c r="Q203" s="860"/>
      <c r="R203" s="860"/>
      <c r="S203" s="860"/>
      <c r="T203" s="860"/>
      <c r="U203" s="859"/>
    </row>
    <row r="204" spans="2:21" ht="14.4">
      <c r="B204" s="228"/>
      <c r="C204" s="228"/>
      <c r="D204" s="859"/>
      <c r="E204" s="859"/>
      <c r="F204" s="860"/>
      <c r="G204" s="860"/>
      <c r="H204" s="860"/>
      <c r="I204" s="860"/>
      <c r="J204" s="860"/>
      <c r="K204" s="860"/>
      <c r="L204" s="860"/>
      <c r="M204" s="860"/>
      <c r="N204" s="860"/>
      <c r="O204" s="860"/>
      <c r="P204" s="860"/>
      <c r="Q204" s="860"/>
      <c r="R204" s="860"/>
      <c r="S204" s="860"/>
      <c r="T204" s="860"/>
      <c r="U204" s="859"/>
    </row>
    <row r="205" spans="2:21">
      <c r="B205" s="228"/>
      <c r="C205" s="228"/>
      <c r="D205" s="594"/>
      <c r="E205" s="594"/>
      <c r="F205" s="594"/>
      <c r="G205" s="594"/>
      <c r="H205" s="594"/>
      <c r="I205" s="593"/>
      <c r="J205" s="593"/>
      <c r="K205" s="593"/>
    </row>
    <row r="206" spans="2:21">
      <c r="B206" s="228"/>
      <c r="C206" s="228"/>
      <c r="D206" s="594"/>
      <c r="E206" s="594"/>
      <c r="F206" s="594"/>
      <c r="G206" s="594"/>
      <c r="H206" s="594"/>
      <c r="I206" s="593"/>
      <c r="J206" s="593"/>
      <c r="K206" s="593"/>
    </row>
    <row r="207" spans="2:21">
      <c r="B207" s="228"/>
      <c r="C207" s="228"/>
      <c r="D207" s="594"/>
      <c r="E207" s="594"/>
      <c r="F207" s="594"/>
      <c r="G207" s="594"/>
      <c r="H207" s="594"/>
      <c r="I207" s="593"/>
      <c r="J207" s="593"/>
      <c r="K207" s="593"/>
    </row>
    <row r="208" spans="2:21">
      <c r="B208" s="228"/>
      <c r="C208" s="228"/>
      <c r="D208" s="594"/>
      <c r="E208" s="594"/>
      <c r="F208" s="594"/>
      <c r="G208" s="594"/>
      <c r="H208" s="594"/>
      <c r="I208" s="593"/>
      <c r="J208" s="593"/>
      <c r="K208" s="593"/>
    </row>
    <row r="209" spans="2:11">
      <c r="B209" s="228"/>
      <c r="C209" s="228"/>
      <c r="D209" s="594"/>
      <c r="E209" s="594"/>
      <c r="F209" s="594"/>
      <c r="G209" s="594"/>
      <c r="H209" s="594"/>
      <c r="I209" s="593"/>
      <c r="J209" s="593"/>
      <c r="K209" s="593"/>
    </row>
    <row r="210" spans="2:11">
      <c r="B210" s="228"/>
      <c r="C210" s="228"/>
      <c r="D210" s="594"/>
      <c r="E210" s="594"/>
      <c r="F210" s="594"/>
      <c r="G210" s="594"/>
      <c r="H210" s="594"/>
      <c r="I210" s="593"/>
      <c r="J210" s="593"/>
      <c r="K210" s="593"/>
    </row>
    <row r="211" spans="2:11">
      <c r="B211" s="228"/>
      <c r="C211" s="228"/>
      <c r="D211" s="594"/>
      <c r="E211" s="594"/>
      <c r="F211" s="594"/>
      <c r="G211" s="594"/>
      <c r="H211" s="594"/>
      <c r="I211" s="593"/>
      <c r="J211" s="593"/>
      <c r="K211" s="593"/>
    </row>
    <row r="212" spans="2:11">
      <c r="B212" s="228"/>
      <c r="C212" s="228"/>
      <c r="D212" s="594"/>
      <c r="E212" s="594"/>
      <c r="F212" s="594"/>
      <c r="G212" s="594"/>
      <c r="H212" s="594"/>
      <c r="I212" s="593"/>
      <c r="J212" s="593"/>
      <c r="K212" s="593"/>
    </row>
    <row r="213" spans="2:11">
      <c r="B213" s="228"/>
      <c r="C213" s="228"/>
      <c r="D213" s="594"/>
      <c r="E213" s="594"/>
      <c r="F213" s="594"/>
      <c r="G213" s="594"/>
      <c r="H213" s="594"/>
      <c r="I213" s="593"/>
      <c r="J213" s="593"/>
      <c r="K213" s="593"/>
    </row>
    <row r="214" spans="2:11">
      <c r="B214" s="228"/>
      <c r="C214" s="228"/>
      <c r="D214" s="594"/>
      <c r="E214" s="594"/>
      <c r="F214" s="594"/>
      <c r="G214" s="594"/>
      <c r="H214" s="594"/>
      <c r="I214" s="593"/>
      <c r="J214" s="593"/>
      <c r="K214" s="593"/>
    </row>
    <row r="215" spans="2:11">
      <c r="B215" s="228"/>
      <c r="C215" s="228"/>
      <c r="D215" s="594"/>
      <c r="E215" s="594"/>
      <c r="F215" s="594"/>
      <c r="G215" s="594"/>
      <c r="H215" s="594"/>
      <c r="I215" s="593"/>
      <c r="J215" s="593"/>
      <c r="K215" s="593"/>
    </row>
    <row r="216" spans="2:11">
      <c r="B216" s="228"/>
      <c r="C216" s="228"/>
      <c r="D216" s="594"/>
      <c r="E216" s="594"/>
      <c r="F216" s="594"/>
      <c r="G216" s="594"/>
      <c r="H216" s="594"/>
      <c r="I216" s="593"/>
      <c r="J216" s="593"/>
      <c r="K216" s="593"/>
    </row>
    <row r="217" spans="2:11">
      <c r="B217" s="228"/>
      <c r="C217" s="228"/>
      <c r="D217" s="594"/>
      <c r="E217" s="594"/>
      <c r="F217" s="594"/>
      <c r="G217" s="594"/>
      <c r="H217" s="594"/>
      <c r="I217" s="593"/>
      <c r="J217" s="593"/>
      <c r="K217" s="593"/>
    </row>
    <row r="218" spans="2:11">
      <c r="B218" s="228"/>
      <c r="C218" s="228"/>
      <c r="D218" s="594"/>
      <c r="E218" s="594"/>
      <c r="F218" s="594"/>
      <c r="G218" s="594"/>
      <c r="H218" s="594"/>
      <c r="I218" s="593"/>
      <c r="J218" s="593"/>
      <c r="K218" s="593"/>
    </row>
    <row r="219" spans="2:11">
      <c r="B219" s="228"/>
      <c r="C219" s="228"/>
      <c r="D219" s="594"/>
      <c r="E219" s="594"/>
      <c r="F219" s="594"/>
      <c r="G219" s="594"/>
      <c r="H219" s="594"/>
      <c r="I219" s="593"/>
      <c r="J219" s="593"/>
      <c r="K219" s="593"/>
    </row>
    <row r="220" spans="2:11">
      <c r="B220" s="228"/>
      <c r="C220" s="228"/>
      <c r="D220" s="594"/>
      <c r="E220" s="594"/>
      <c r="F220" s="594"/>
      <c r="G220" s="594"/>
      <c r="H220" s="594"/>
      <c r="I220" s="593"/>
      <c r="J220" s="593"/>
      <c r="K220" s="593"/>
    </row>
    <row r="221" spans="2:11">
      <c r="B221" s="228"/>
      <c r="C221" s="228"/>
      <c r="D221" s="594"/>
      <c r="E221" s="594"/>
      <c r="F221" s="594"/>
      <c r="G221" s="594"/>
      <c r="H221" s="594"/>
      <c r="I221" s="593"/>
      <c r="J221" s="593"/>
      <c r="K221" s="593"/>
    </row>
    <row r="222" spans="2:11">
      <c r="B222" s="228"/>
      <c r="C222" s="228"/>
      <c r="D222" s="594"/>
      <c r="E222" s="594"/>
      <c r="F222" s="594"/>
      <c r="G222" s="594"/>
      <c r="H222" s="594"/>
      <c r="I222" s="593"/>
      <c r="J222" s="593"/>
      <c r="K222" s="593"/>
    </row>
    <row r="223" spans="2:11">
      <c r="B223" s="228"/>
      <c r="C223" s="228"/>
      <c r="D223" s="594"/>
      <c r="E223" s="594"/>
      <c r="F223" s="594"/>
      <c r="G223" s="594"/>
      <c r="H223" s="594"/>
      <c r="I223" s="593"/>
      <c r="J223" s="593"/>
      <c r="K223" s="593"/>
    </row>
    <row r="224" spans="2:11">
      <c r="B224" s="228"/>
      <c r="C224" s="228"/>
      <c r="D224" s="594"/>
      <c r="E224" s="594"/>
      <c r="F224" s="594"/>
      <c r="G224" s="594"/>
      <c r="H224" s="594"/>
      <c r="I224" s="593"/>
      <c r="J224" s="593"/>
      <c r="K224" s="593"/>
    </row>
    <row r="225" spans="2:11">
      <c r="B225" s="228"/>
      <c r="C225" s="228"/>
      <c r="D225" s="594"/>
      <c r="E225" s="594"/>
      <c r="F225" s="594"/>
      <c r="G225" s="594"/>
      <c r="H225" s="594"/>
      <c r="I225" s="593"/>
      <c r="J225" s="593"/>
      <c r="K225" s="593"/>
    </row>
    <row r="226" spans="2:11">
      <c r="B226" s="228"/>
      <c r="C226" s="228"/>
      <c r="D226" s="594"/>
      <c r="E226" s="594"/>
      <c r="F226" s="594"/>
      <c r="G226" s="594"/>
      <c r="H226" s="594"/>
      <c r="I226" s="593"/>
      <c r="J226" s="593"/>
      <c r="K226" s="593"/>
    </row>
    <row r="227" spans="2:11">
      <c r="B227" s="228"/>
      <c r="C227" s="228"/>
      <c r="D227" s="594"/>
      <c r="E227" s="594"/>
      <c r="F227" s="594"/>
      <c r="G227" s="594"/>
      <c r="H227" s="594"/>
      <c r="I227" s="593"/>
      <c r="J227" s="593"/>
      <c r="K227" s="593"/>
    </row>
    <row r="228" spans="2:11">
      <c r="B228" s="228"/>
      <c r="C228" s="228"/>
      <c r="D228" s="594"/>
      <c r="E228" s="594"/>
      <c r="F228" s="594"/>
      <c r="G228" s="594"/>
      <c r="H228" s="594"/>
      <c r="I228" s="593"/>
      <c r="J228" s="593"/>
      <c r="K228" s="593"/>
    </row>
    <row r="229" spans="2:11">
      <c r="B229" s="228"/>
      <c r="C229" s="228"/>
      <c r="D229" s="594"/>
      <c r="E229" s="594"/>
      <c r="F229" s="594"/>
      <c r="G229" s="594"/>
      <c r="H229" s="594"/>
      <c r="I229" s="593"/>
      <c r="J229" s="593"/>
      <c r="K229" s="593"/>
    </row>
    <row r="230" spans="2:11">
      <c r="B230" s="228"/>
      <c r="C230" s="228"/>
      <c r="D230" s="594"/>
      <c r="E230" s="594"/>
      <c r="F230" s="594"/>
      <c r="G230" s="594"/>
      <c r="H230" s="594"/>
      <c r="I230" s="593"/>
      <c r="J230" s="593"/>
      <c r="K230" s="593"/>
    </row>
    <row r="231" spans="2:11">
      <c r="B231" s="228"/>
      <c r="C231" s="228"/>
      <c r="D231" s="594"/>
      <c r="E231" s="594"/>
      <c r="F231" s="594"/>
      <c r="G231" s="594"/>
      <c r="H231" s="594"/>
      <c r="I231" s="593"/>
      <c r="J231" s="593"/>
      <c r="K231" s="593"/>
    </row>
    <row r="232" spans="2:11">
      <c r="B232" s="228"/>
      <c r="C232" s="228"/>
      <c r="D232" s="594"/>
      <c r="E232" s="594"/>
      <c r="F232" s="594"/>
      <c r="G232" s="594"/>
      <c r="H232" s="594"/>
      <c r="I232" s="593"/>
      <c r="J232" s="593"/>
      <c r="K232" s="593"/>
    </row>
    <row r="233" spans="2:11">
      <c r="B233" s="228"/>
      <c r="C233" s="228"/>
      <c r="D233" s="594"/>
      <c r="E233" s="594"/>
      <c r="F233" s="594"/>
      <c r="G233" s="594"/>
      <c r="H233" s="594"/>
      <c r="I233" s="593"/>
      <c r="J233" s="593"/>
      <c r="K233" s="593"/>
    </row>
    <row r="234" spans="2:11">
      <c r="B234" s="228"/>
      <c r="C234" s="228"/>
      <c r="D234" s="594"/>
      <c r="E234" s="594"/>
      <c r="F234" s="594"/>
      <c r="G234" s="594"/>
      <c r="H234" s="594"/>
      <c r="I234" s="593"/>
      <c r="J234" s="593"/>
      <c r="K234" s="593"/>
    </row>
    <row r="235" spans="2:11">
      <c r="B235" s="228"/>
      <c r="C235" s="228"/>
      <c r="D235" s="594"/>
      <c r="E235" s="594"/>
      <c r="F235" s="594"/>
      <c r="G235" s="594"/>
      <c r="H235" s="594"/>
      <c r="I235" s="593"/>
      <c r="J235" s="593"/>
      <c r="K235" s="593"/>
    </row>
    <row r="236" spans="2:11">
      <c r="B236" s="228"/>
      <c r="C236" s="228"/>
      <c r="D236" s="594"/>
      <c r="E236" s="594"/>
      <c r="F236" s="594"/>
      <c r="G236" s="594"/>
      <c r="H236" s="594"/>
      <c r="I236" s="593"/>
      <c r="J236" s="593"/>
      <c r="K236" s="593"/>
    </row>
    <row r="237" spans="2:11">
      <c r="B237" s="228"/>
      <c r="C237" s="228"/>
      <c r="D237" s="594"/>
      <c r="E237" s="594"/>
      <c r="F237" s="594"/>
      <c r="G237" s="594"/>
      <c r="H237" s="594"/>
      <c r="I237" s="593"/>
      <c r="J237" s="593"/>
      <c r="K237" s="593"/>
    </row>
    <row r="238" spans="2:11">
      <c r="B238" s="228"/>
      <c r="C238" s="228"/>
      <c r="D238" s="594"/>
      <c r="E238" s="594"/>
      <c r="F238" s="594"/>
      <c r="G238" s="594"/>
      <c r="H238" s="594"/>
      <c r="I238" s="593"/>
      <c r="J238" s="593"/>
      <c r="K238" s="593"/>
    </row>
    <row r="239" spans="2:11">
      <c r="B239" s="228"/>
      <c r="C239" s="228"/>
      <c r="D239" s="594"/>
      <c r="E239" s="594"/>
      <c r="F239" s="594"/>
      <c r="G239" s="594"/>
      <c r="H239" s="594"/>
      <c r="I239" s="593"/>
      <c r="J239" s="593"/>
      <c r="K239" s="593"/>
    </row>
    <row r="240" spans="2:11">
      <c r="B240" s="228"/>
      <c r="C240" s="228"/>
      <c r="D240" s="594"/>
      <c r="E240" s="594"/>
      <c r="F240" s="594"/>
      <c r="G240" s="594"/>
      <c r="H240" s="594"/>
      <c r="I240" s="593"/>
      <c r="J240" s="593"/>
      <c r="K240" s="593"/>
    </row>
    <row r="241" spans="2:11">
      <c r="B241" s="228"/>
      <c r="C241" s="228"/>
      <c r="D241" s="594"/>
      <c r="E241" s="594"/>
      <c r="F241" s="594"/>
      <c r="G241" s="594"/>
      <c r="H241" s="594"/>
      <c r="I241" s="593"/>
      <c r="J241" s="593"/>
      <c r="K241" s="593"/>
    </row>
    <row r="242" spans="2:11">
      <c r="B242" s="228"/>
      <c r="C242" s="228"/>
      <c r="D242" s="594"/>
      <c r="E242" s="594"/>
      <c r="F242" s="594"/>
      <c r="G242" s="594"/>
      <c r="H242" s="594"/>
      <c r="I242" s="593"/>
      <c r="J242" s="593"/>
      <c r="K242" s="593"/>
    </row>
    <row r="243" spans="2:11">
      <c r="B243" s="228"/>
      <c r="C243" s="228"/>
      <c r="D243" s="594"/>
      <c r="E243" s="594"/>
      <c r="F243" s="594"/>
      <c r="G243" s="594"/>
      <c r="H243" s="594"/>
      <c r="I243" s="593"/>
      <c r="J243" s="593"/>
      <c r="K243" s="593"/>
    </row>
    <row r="244" spans="2:11">
      <c r="B244" s="228"/>
      <c r="C244" s="228"/>
      <c r="D244" s="594"/>
      <c r="E244" s="594"/>
      <c r="F244" s="594"/>
      <c r="G244" s="594"/>
      <c r="H244" s="594"/>
      <c r="I244" s="593"/>
      <c r="J244" s="593"/>
      <c r="K244" s="593"/>
    </row>
    <row r="245" spans="2:11">
      <c r="B245" s="228"/>
      <c r="C245" s="228"/>
      <c r="D245" s="594"/>
      <c r="E245" s="594"/>
      <c r="F245" s="594"/>
      <c r="G245" s="594"/>
      <c r="H245" s="594"/>
      <c r="I245" s="593"/>
      <c r="J245" s="593"/>
      <c r="K245" s="593"/>
    </row>
    <row r="246" spans="2:11">
      <c r="B246" s="228"/>
      <c r="C246" s="228"/>
      <c r="D246" s="594"/>
      <c r="E246" s="594"/>
      <c r="F246" s="594"/>
      <c r="G246" s="594"/>
      <c r="H246" s="594"/>
      <c r="I246" s="593"/>
      <c r="J246" s="593"/>
      <c r="K246" s="593"/>
    </row>
    <row r="247" spans="2:11">
      <c r="B247" s="228"/>
      <c r="C247" s="228"/>
      <c r="D247" s="594"/>
      <c r="E247" s="594"/>
      <c r="F247" s="594"/>
      <c r="G247" s="594"/>
      <c r="H247" s="594"/>
      <c r="I247" s="593"/>
      <c r="J247" s="593"/>
      <c r="K247" s="593"/>
    </row>
    <row r="248" spans="2:11">
      <c r="B248" s="228"/>
      <c r="C248" s="228"/>
      <c r="D248" s="594"/>
      <c r="E248" s="594"/>
      <c r="F248" s="594"/>
      <c r="G248" s="594"/>
      <c r="H248" s="594"/>
      <c r="I248" s="593"/>
      <c r="J248" s="593"/>
      <c r="K248" s="593"/>
    </row>
    <row r="249" spans="2:11">
      <c r="B249" s="228"/>
      <c r="C249" s="228"/>
      <c r="D249" s="594"/>
      <c r="E249" s="594"/>
      <c r="F249" s="594"/>
      <c r="G249" s="594"/>
      <c r="H249" s="594"/>
      <c r="I249" s="593"/>
      <c r="J249" s="593"/>
      <c r="K249" s="593"/>
    </row>
    <row r="250" spans="2:11">
      <c r="B250" s="228"/>
      <c r="C250" s="228"/>
      <c r="D250" s="594"/>
      <c r="E250" s="594"/>
      <c r="F250" s="594"/>
      <c r="G250" s="594"/>
      <c r="H250" s="594"/>
      <c r="I250" s="593"/>
      <c r="J250" s="593"/>
      <c r="K250" s="593"/>
    </row>
    <row r="251" spans="2:11">
      <c r="B251" s="228"/>
      <c r="C251" s="228"/>
      <c r="D251" s="594"/>
      <c r="E251" s="594"/>
      <c r="F251" s="594"/>
      <c r="G251" s="594"/>
      <c r="H251" s="594"/>
      <c r="I251" s="593"/>
      <c r="J251" s="593"/>
      <c r="K251" s="593"/>
    </row>
    <row r="252" spans="2:11">
      <c r="B252" s="228"/>
      <c r="C252" s="228"/>
      <c r="D252" s="594"/>
      <c r="E252" s="594"/>
      <c r="F252" s="594"/>
      <c r="G252" s="594"/>
      <c r="H252" s="594"/>
      <c r="I252" s="593"/>
      <c r="J252" s="593"/>
      <c r="K252" s="593"/>
    </row>
    <row r="253" spans="2:11">
      <c r="B253" s="228"/>
      <c r="C253" s="228"/>
      <c r="D253" s="594"/>
      <c r="E253" s="594"/>
      <c r="F253" s="594"/>
      <c r="G253" s="594"/>
      <c r="H253" s="594"/>
      <c r="I253" s="593"/>
      <c r="J253" s="593"/>
      <c r="K253" s="593"/>
    </row>
    <row r="254" spans="2:11">
      <c r="B254" s="228"/>
      <c r="C254" s="228"/>
      <c r="D254" s="594"/>
      <c r="E254" s="594"/>
      <c r="F254" s="594"/>
      <c r="G254" s="594"/>
      <c r="H254" s="594"/>
      <c r="I254" s="593"/>
      <c r="J254" s="593"/>
      <c r="K254" s="593"/>
    </row>
    <row r="255" spans="2:11">
      <c r="B255" s="228"/>
      <c r="C255" s="228"/>
      <c r="D255" s="594"/>
      <c r="E255" s="594"/>
      <c r="F255" s="594"/>
      <c r="G255" s="594"/>
      <c r="H255" s="594"/>
      <c r="I255" s="593"/>
      <c r="J255" s="593"/>
      <c r="K255" s="593"/>
    </row>
    <row r="256" spans="2:11">
      <c r="B256" s="228"/>
      <c r="C256" s="228"/>
      <c r="D256" s="594"/>
      <c r="E256" s="594"/>
      <c r="F256" s="594"/>
      <c r="G256" s="594"/>
      <c r="H256" s="594"/>
      <c r="I256" s="593"/>
      <c r="J256" s="593"/>
      <c r="K256" s="593"/>
    </row>
    <row r="257" spans="2:11">
      <c r="B257" s="228"/>
      <c r="C257" s="228"/>
      <c r="D257" s="594"/>
      <c r="E257" s="594"/>
      <c r="F257" s="594"/>
      <c r="G257" s="594"/>
      <c r="H257" s="594"/>
      <c r="I257" s="593"/>
      <c r="J257" s="593"/>
      <c r="K257" s="593"/>
    </row>
    <row r="258" spans="2:11">
      <c r="B258" s="228"/>
      <c r="C258" s="228"/>
      <c r="D258" s="594"/>
      <c r="E258" s="594"/>
      <c r="F258" s="594"/>
      <c r="G258" s="594"/>
      <c r="H258" s="594"/>
      <c r="I258" s="593"/>
      <c r="J258" s="593"/>
      <c r="K258" s="593"/>
    </row>
    <row r="259" spans="2:11">
      <c r="B259" s="228"/>
      <c r="C259" s="228"/>
      <c r="D259" s="594"/>
      <c r="E259" s="594"/>
      <c r="F259" s="594"/>
      <c r="G259" s="594"/>
      <c r="H259" s="594"/>
      <c r="I259" s="593"/>
      <c r="J259" s="593"/>
      <c r="K259" s="593"/>
    </row>
    <row r="260" spans="2:11">
      <c r="B260" s="228"/>
      <c r="C260" s="228"/>
      <c r="D260" s="594"/>
      <c r="E260" s="594"/>
      <c r="F260" s="594"/>
      <c r="G260" s="594"/>
      <c r="H260" s="594"/>
      <c r="I260" s="593"/>
      <c r="J260" s="593"/>
      <c r="K260" s="593"/>
    </row>
    <row r="261" spans="2:11">
      <c r="B261" s="228"/>
      <c r="C261" s="228"/>
      <c r="D261" s="594"/>
      <c r="E261" s="594"/>
      <c r="F261" s="594"/>
      <c r="G261" s="594"/>
      <c r="H261" s="594"/>
      <c r="I261" s="593"/>
      <c r="J261" s="593"/>
      <c r="K261" s="593"/>
    </row>
    <row r="262" spans="2:11">
      <c r="B262" s="228"/>
      <c r="C262" s="228"/>
      <c r="D262" s="594"/>
      <c r="E262" s="594"/>
      <c r="F262" s="594"/>
      <c r="G262" s="594"/>
      <c r="H262" s="594"/>
      <c r="I262" s="593"/>
      <c r="J262" s="593"/>
      <c r="K262" s="593"/>
    </row>
    <row r="263" spans="2:11">
      <c r="B263" s="228"/>
      <c r="C263" s="228"/>
      <c r="D263" s="594"/>
      <c r="E263" s="594"/>
      <c r="F263" s="594"/>
      <c r="G263" s="594"/>
      <c r="H263" s="594"/>
      <c r="I263" s="593"/>
      <c r="J263" s="593"/>
      <c r="K263" s="593"/>
    </row>
    <row r="264" spans="2:11">
      <c r="B264" s="228"/>
      <c r="C264" s="228"/>
      <c r="D264" s="594"/>
      <c r="E264" s="594"/>
      <c r="F264" s="594"/>
      <c r="G264" s="594"/>
      <c r="H264" s="594"/>
      <c r="I264" s="593"/>
      <c r="J264" s="593"/>
      <c r="K264" s="593"/>
    </row>
    <row r="265" spans="2:11">
      <c r="B265" s="228"/>
      <c r="C265" s="228"/>
      <c r="D265" s="594"/>
      <c r="E265" s="594"/>
      <c r="F265" s="594"/>
      <c r="G265" s="594"/>
      <c r="H265" s="594"/>
      <c r="I265" s="593"/>
      <c r="J265" s="593"/>
      <c r="K265" s="593"/>
    </row>
    <row r="266" spans="2:11">
      <c r="B266" s="228"/>
      <c r="C266" s="228"/>
      <c r="D266" s="594"/>
      <c r="E266" s="594"/>
      <c r="F266" s="594"/>
      <c r="G266" s="594"/>
      <c r="H266" s="594"/>
      <c r="I266" s="593"/>
      <c r="J266" s="593"/>
      <c r="K266" s="593"/>
    </row>
    <row r="267" spans="2:11">
      <c r="B267" s="228"/>
      <c r="C267" s="228"/>
      <c r="D267" s="594"/>
      <c r="E267" s="594"/>
      <c r="F267" s="594"/>
      <c r="G267" s="594"/>
      <c r="H267" s="594"/>
      <c r="I267" s="593"/>
      <c r="J267" s="593"/>
      <c r="K267" s="593"/>
    </row>
    <row r="268" spans="2:11">
      <c r="B268" s="228"/>
      <c r="C268" s="228"/>
      <c r="D268" s="594"/>
      <c r="E268" s="594"/>
      <c r="F268" s="594"/>
      <c r="G268" s="594"/>
      <c r="H268" s="594"/>
      <c r="I268" s="593"/>
      <c r="J268" s="593"/>
      <c r="K268" s="593"/>
    </row>
    <row r="269" spans="2:11">
      <c r="B269" s="228"/>
      <c r="C269" s="228"/>
      <c r="D269" s="594"/>
      <c r="E269" s="594"/>
      <c r="F269" s="594"/>
      <c r="G269" s="594"/>
      <c r="H269" s="594"/>
      <c r="I269" s="593"/>
      <c r="J269" s="593"/>
      <c r="K269" s="593"/>
    </row>
    <row r="270" spans="2:11">
      <c r="B270" s="228"/>
      <c r="C270" s="228"/>
      <c r="D270" s="594"/>
      <c r="E270" s="594"/>
      <c r="F270" s="594"/>
      <c r="G270" s="594"/>
      <c r="H270" s="594"/>
      <c r="I270" s="593"/>
      <c r="J270" s="593"/>
      <c r="K270" s="593"/>
    </row>
    <row r="271" spans="2:11">
      <c r="B271" s="228"/>
      <c r="C271" s="228"/>
      <c r="D271" s="594"/>
      <c r="E271" s="594"/>
      <c r="F271" s="594"/>
      <c r="G271" s="594"/>
      <c r="H271" s="594"/>
      <c r="I271" s="593"/>
      <c r="J271" s="593"/>
      <c r="K271" s="593"/>
    </row>
    <row r="272" spans="2:11">
      <c r="B272" s="228"/>
      <c r="C272" s="228"/>
      <c r="D272" s="594"/>
      <c r="E272" s="594"/>
      <c r="F272" s="594"/>
      <c r="G272" s="594"/>
      <c r="H272" s="594"/>
      <c r="I272" s="593"/>
      <c r="J272" s="593"/>
      <c r="K272" s="593"/>
    </row>
    <row r="273" spans="2:11">
      <c r="B273" s="228"/>
      <c r="C273" s="228"/>
      <c r="D273" s="594"/>
      <c r="E273" s="594"/>
      <c r="F273" s="594"/>
      <c r="G273" s="594"/>
      <c r="H273" s="594"/>
      <c r="I273" s="593"/>
      <c r="J273" s="593"/>
      <c r="K273" s="593"/>
    </row>
    <row r="274" spans="2:11">
      <c r="B274" s="228"/>
      <c r="C274" s="228"/>
      <c r="D274" s="594"/>
      <c r="E274" s="594"/>
      <c r="F274" s="594"/>
      <c r="G274" s="594"/>
      <c r="H274" s="594"/>
      <c r="I274" s="593"/>
      <c r="J274" s="593"/>
      <c r="K274" s="593"/>
    </row>
    <row r="275" spans="2:11">
      <c r="B275" s="228"/>
      <c r="C275" s="228"/>
      <c r="D275" s="594"/>
      <c r="E275" s="594"/>
      <c r="F275" s="594"/>
      <c r="G275" s="594"/>
      <c r="H275" s="594"/>
      <c r="I275" s="593"/>
      <c r="J275" s="593"/>
      <c r="K275" s="593"/>
    </row>
    <row r="276" spans="2:11">
      <c r="B276" s="228"/>
      <c r="C276" s="228"/>
      <c r="D276" s="594"/>
      <c r="E276" s="594"/>
      <c r="F276" s="594"/>
      <c r="G276" s="594"/>
      <c r="H276" s="594"/>
      <c r="I276" s="593"/>
      <c r="J276" s="593"/>
      <c r="K276" s="593"/>
    </row>
    <row r="277" spans="2:11">
      <c r="B277" s="228"/>
      <c r="C277" s="228"/>
      <c r="D277" s="594"/>
      <c r="E277" s="594"/>
      <c r="F277" s="594"/>
      <c r="G277" s="594"/>
      <c r="H277" s="594"/>
      <c r="I277" s="593"/>
      <c r="J277" s="593"/>
      <c r="K277" s="593"/>
    </row>
    <row r="278" spans="2:11">
      <c r="B278" s="228"/>
      <c r="C278" s="228"/>
      <c r="D278" s="594"/>
      <c r="E278" s="594"/>
      <c r="F278" s="594"/>
      <c r="G278" s="594"/>
      <c r="H278" s="594"/>
      <c r="I278" s="593"/>
      <c r="J278" s="593"/>
      <c r="K278" s="593"/>
    </row>
    <row r="279" spans="2:11">
      <c r="B279" s="228"/>
      <c r="C279" s="228"/>
      <c r="D279" s="594"/>
      <c r="E279" s="594"/>
      <c r="F279" s="594"/>
      <c r="G279" s="594"/>
      <c r="H279" s="594"/>
      <c r="I279" s="593"/>
      <c r="J279" s="593"/>
      <c r="K279" s="593"/>
    </row>
    <row r="280" spans="2:11">
      <c r="B280" s="228"/>
      <c r="C280" s="228"/>
      <c r="D280" s="594"/>
      <c r="E280" s="594"/>
      <c r="F280" s="594"/>
      <c r="G280" s="594"/>
      <c r="H280" s="594"/>
      <c r="I280" s="593"/>
      <c r="J280" s="593"/>
      <c r="K280" s="593"/>
    </row>
    <row r="281" spans="2:11">
      <c r="B281" s="228"/>
      <c r="C281" s="228"/>
      <c r="D281" s="594"/>
      <c r="E281" s="594"/>
      <c r="F281" s="594"/>
      <c r="G281" s="594"/>
      <c r="H281" s="594"/>
      <c r="I281" s="593"/>
      <c r="J281" s="593"/>
      <c r="K281" s="593"/>
    </row>
    <row r="282" spans="2:11">
      <c r="B282" s="228"/>
      <c r="C282" s="228"/>
      <c r="D282" s="594"/>
      <c r="E282" s="594"/>
      <c r="F282" s="594"/>
      <c r="G282" s="594"/>
      <c r="H282" s="594"/>
      <c r="I282" s="593"/>
      <c r="J282" s="593"/>
      <c r="K282" s="593"/>
    </row>
    <row r="283" spans="2:11">
      <c r="B283" s="228"/>
      <c r="C283" s="228"/>
      <c r="D283" s="594"/>
      <c r="E283" s="594"/>
      <c r="F283" s="594"/>
      <c r="G283" s="594"/>
      <c r="H283" s="594"/>
      <c r="I283" s="593"/>
      <c r="J283" s="593"/>
      <c r="K283" s="593"/>
    </row>
    <row r="284" spans="2:11">
      <c r="B284" s="228"/>
      <c r="C284" s="228"/>
      <c r="D284" s="594"/>
      <c r="E284" s="594"/>
      <c r="F284" s="594"/>
      <c r="G284" s="594"/>
      <c r="H284" s="594"/>
      <c r="I284" s="593"/>
      <c r="J284" s="593"/>
      <c r="K284" s="593"/>
    </row>
    <row r="285" spans="2:11">
      <c r="B285" s="228"/>
      <c r="C285" s="228"/>
      <c r="D285" s="594"/>
      <c r="E285" s="594"/>
      <c r="F285" s="594"/>
      <c r="G285" s="594"/>
      <c r="H285" s="594"/>
      <c r="I285" s="593"/>
      <c r="J285" s="593"/>
      <c r="K285" s="593"/>
    </row>
    <row r="286" spans="2:11">
      <c r="B286" s="228"/>
      <c r="C286" s="228"/>
      <c r="D286" s="594"/>
      <c r="E286" s="594"/>
      <c r="F286" s="594"/>
      <c r="G286" s="594"/>
      <c r="H286" s="594"/>
      <c r="I286" s="593"/>
      <c r="J286" s="593"/>
      <c r="K286" s="593"/>
    </row>
    <row r="287" spans="2:11">
      <c r="B287" s="228"/>
      <c r="C287" s="228"/>
      <c r="D287" s="594"/>
      <c r="E287" s="594"/>
      <c r="F287" s="594"/>
      <c r="G287" s="594"/>
      <c r="H287" s="594"/>
      <c r="I287" s="593"/>
      <c r="J287" s="593"/>
      <c r="K287" s="593"/>
    </row>
    <row r="288" spans="2:11">
      <c r="B288" s="228"/>
      <c r="C288" s="228"/>
      <c r="D288" s="594"/>
      <c r="E288" s="594"/>
      <c r="F288" s="594"/>
      <c r="G288" s="594"/>
      <c r="H288" s="594"/>
      <c r="I288" s="593"/>
      <c r="J288" s="593"/>
      <c r="K288" s="593"/>
    </row>
    <row r="289" spans="2:11">
      <c r="B289" s="228"/>
      <c r="C289" s="228"/>
      <c r="D289" s="594"/>
      <c r="E289" s="594"/>
      <c r="F289" s="594"/>
      <c r="G289" s="594"/>
      <c r="H289" s="594"/>
      <c r="I289" s="593"/>
      <c r="J289" s="593"/>
      <c r="K289" s="593"/>
    </row>
    <row r="290" spans="2:11">
      <c r="B290" s="228"/>
      <c r="C290" s="228"/>
      <c r="D290" s="594"/>
      <c r="E290" s="594"/>
      <c r="F290" s="594"/>
      <c r="G290" s="594"/>
      <c r="H290" s="594"/>
      <c r="I290" s="593"/>
      <c r="J290" s="593"/>
      <c r="K290" s="593"/>
    </row>
    <row r="291" spans="2:11">
      <c r="B291" s="228"/>
      <c r="C291" s="228"/>
      <c r="D291" s="594"/>
      <c r="E291" s="594"/>
      <c r="F291" s="594"/>
      <c r="G291" s="594"/>
      <c r="H291" s="594"/>
      <c r="I291" s="593"/>
      <c r="J291" s="593"/>
      <c r="K291" s="593"/>
    </row>
    <row r="292" spans="2:11">
      <c r="B292" s="228"/>
      <c r="C292" s="228"/>
      <c r="D292" s="594"/>
      <c r="E292" s="594"/>
      <c r="F292" s="594"/>
      <c r="G292" s="594"/>
      <c r="H292" s="594"/>
      <c r="I292" s="593"/>
      <c r="J292" s="593"/>
      <c r="K292" s="593"/>
    </row>
    <row r="293" spans="2:11">
      <c r="B293" s="228"/>
      <c r="C293" s="228"/>
      <c r="D293" s="594"/>
      <c r="E293" s="594"/>
      <c r="F293" s="594"/>
      <c r="G293" s="594"/>
      <c r="H293" s="594"/>
      <c r="I293" s="593"/>
      <c r="J293" s="593"/>
      <c r="K293" s="593"/>
    </row>
    <row r="294" spans="2:11">
      <c r="B294" s="228"/>
      <c r="C294" s="228"/>
      <c r="D294" s="594"/>
      <c r="E294" s="594"/>
      <c r="F294" s="594"/>
      <c r="G294" s="594"/>
      <c r="H294" s="594"/>
      <c r="I294" s="593"/>
      <c r="J294" s="593"/>
      <c r="K294" s="593"/>
    </row>
    <row r="295" spans="2:11">
      <c r="B295" s="228"/>
      <c r="C295" s="228"/>
      <c r="D295" s="594"/>
      <c r="E295" s="594"/>
      <c r="F295" s="594"/>
      <c r="G295" s="594"/>
      <c r="H295" s="594"/>
      <c r="I295" s="593"/>
      <c r="J295" s="593"/>
      <c r="K295" s="593"/>
    </row>
    <row r="296" spans="2:11">
      <c r="B296" s="228"/>
      <c r="C296" s="228"/>
      <c r="D296" s="594"/>
      <c r="E296" s="594"/>
      <c r="F296" s="594"/>
      <c r="G296" s="594"/>
      <c r="H296" s="594"/>
      <c r="I296" s="593"/>
      <c r="J296" s="593"/>
      <c r="K296" s="593"/>
    </row>
    <row r="297" spans="2:11">
      <c r="B297" s="228"/>
      <c r="C297" s="228"/>
      <c r="D297" s="594"/>
      <c r="E297" s="594"/>
      <c r="F297" s="594"/>
      <c r="G297" s="594"/>
      <c r="H297" s="594"/>
      <c r="I297" s="593"/>
      <c r="J297" s="593"/>
      <c r="K297" s="593"/>
    </row>
    <row r="298" spans="2:11">
      <c r="B298" s="228"/>
      <c r="C298" s="228"/>
      <c r="D298" s="594"/>
      <c r="E298" s="594"/>
      <c r="F298" s="594"/>
      <c r="G298" s="594"/>
      <c r="H298" s="594"/>
      <c r="I298" s="593"/>
      <c r="J298" s="593"/>
      <c r="K298" s="593"/>
    </row>
    <row r="299" spans="2:11">
      <c r="B299" s="228"/>
      <c r="C299" s="228"/>
      <c r="D299" s="594"/>
      <c r="E299" s="594"/>
      <c r="F299" s="594"/>
      <c r="G299" s="594"/>
      <c r="H299" s="594"/>
      <c r="I299" s="593"/>
      <c r="J299" s="593"/>
      <c r="K299" s="593"/>
    </row>
    <row r="300" spans="2:11">
      <c r="B300" s="228"/>
      <c r="C300" s="228"/>
      <c r="D300" s="594"/>
      <c r="E300" s="594"/>
      <c r="F300" s="594"/>
      <c r="G300" s="594"/>
      <c r="H300" s="594"/>
      <c r="I300" s="593"/>
      <c r="J300" s="593"/>
      <c r="K300" s="593"/>
    </row>
    <row r="301" spans="2:11">
      <c r="B301" s="228"/>
      <c r="C301" s="228"/>
      <c r="D301" s="594"/>
      <c r="E301" s="594"/>
      <c r="F301" s="594"/>
      <c r="G301" s="594"/>
      <c r="H301" s="594"/>
      <c r="I301" s="593"/>
      <c r="J301" s="593"/>
      <c r="K301" s="593"/>
    </row>
    <row r="302" spans="2:11">
      <c r="B302" s="228"/>
      <c r="C302" s="228"/>
      <c r="D302" s="594"/>
      <c r="E302" s="594"/>
      <c r="F302" s="594"/>
      <c r="G302" s="594"/>
      <c r="H302" s="594"/>
      <c r="I302" s="593"/>
      <c r="J302" s="593"/>
      <c r="K302" s="593"/>
    </row>
    <row r="303" spans="2:11">
      <c r="B303" s="228"/>
      <c r="C303" s="228"/>
      <c r="D303" s="594"/>
      <c r="E303" s="594"/>
      <c r="F303" s="594"/>
      <c r="G303" s="594"/>
      <c r="H303" s="594"/>
      <c r="I303" s="593"/>
      <c r="J303" s="593"/>
      <c r="K303" s="593"/>
    </row>
    <row r="304" spans="2:11">
      <c r="B304" s="228"/>
      <c r="C304" s="228"/>
      <c r="D304" s="594"/>
      <c r="E304" s="594"/>
      <c r="F304" s="594"/>
      <c r="G304" s="594"/>
      <c r="H304" s="594"/>
      <c r="I304" s="593"/>
      <c r="J304" s="593"/>
      <c r="K304" s="593"/>
    </row>
    <row r="305" spans="2:11">
      <c r="B305" s="228"/>
      <c r="C305" s="228"/>
      <c r="D305" s="594"/>
      <c r="E305" s="594"/>
      <c r="F305" s="594"/>
      <c r="G305" s="594"/>
      <c r="H305" s="594"/>
      <c r="I305" s="593"/>
      <c r="J305" s="593"/>
      <c r="K305" s="593"/>
    </row>
    <row r="306" spans="2:11">
      <c r="B306" s="228"/>
      <c r="C306" s="228"/>
      <c r="D306" s="594"/>
      <c r="E306" s="594"/>
      <c r="F306" s="594"/>
      <c r="G306" s="594"/>
      <c r="H306" s="594"/>
      <c r="I306" s="593"/>
      <c r="J306" s="593"/>
      <c r="K306" s="593"/>
    </row>
    <row r="307" spans="2:11">
      <c r="B307" s="228"/>
      <c r="C307" s="228"/>
      <c r="D307" s="594"/>
      <c r="E307" s="594"/>
      <c r="F307" s="594"/>
      <c r="G307" s="594"/>
      <c r="H307" s="594"/>
      <c r="I307" s="593"/>
      <c r="J307" s="593"/>
      <c r="K307" s="593"/>
    </row>
    <row r="308" spans="2:11">
      <c r="B308" s="228"/>
      <c r="C308" s="228"/>
      <c r="D308" s="594"/>
      <c r="E308" s="594"/>
      <c r="F308" s="594"/>
      <c r="G308" s="594"/>
      <c r="H308" s="594"/>
      <c r="I308" s="593"/>
      <c r="J308" s="593"/>
      <c r="K308" s="593"/>
    </row>
    <row r="309" spans="2:11">
      <c r="B309" s="228"/>
      <c r="C309" s="228"/>
      <c r="D309" s="594"/>
      <c r="E309" s="594"/>
      <c r="F309" s="594"/>
      <c r="G309" s="594"/>
      <c r="H309" s="594"/>
      <c r="I309" s="593"/>
      <c r="J309" s="593"/>
      <c r="K309" s="593"/>
    </row>
    <row r="310" spans="2:11">
      <c r="B310" s="228"/>
      <c r="C310" s="228"/>
      <c r="D310" s="594"/>
      <c r="E310" s="594"/>
      <c r="F310" s="594"/>
      <c r="G310" s="594"/>
      <c r="H310" s="594"/>
      <c r="I310" s="593"/>
      <c r="J310" s="593"/>
      <c r="K310" s="593"/>
    </row>
    <row r="311" spans="2:11">
      <c r="B311" s="228"/>
      <c r="C311" s="228"/>
      <c r="D311" s="594"/>
      <c r="E311" s="594"/>
      <c r="F311" s="594"/>
      <c r="G311" s="594"/>
      <c r="H311" s="594"/>
      <c r="I311" s="593"/>
      <c r="J311" s="593"/>
      <c r="K311" s="593"/>
    </row>
    <row r="312" spans="2:11">
      <c r="B312" s="228"/>
      <c r="C312" s="228"/>
      <c r="D312" s="594"/>
      <c r="E312" s="594"/>
      <c r="F312" s="594"/>
      <c r="G312" s="594"/>
      <c r="H312" s="594"/>
      <c r="I312" s="593"/>
      <c r="J312" s="593"/>
      <c r="K312" s="593"/>
    </row>
    <row r="313" spans="2:11">
      <c r="B313" s="228"/>
      <c r="C313" s="228"/>
      <c r="D313" s="594"/>
      <c r="E313" s="594"/>
      <c r="F313" s="594"/>
      <c r="G313" s="594"/>
      <c r="H313" s="594"/>
      <c r="I313" s="593"/>
      <c r="J313" s="593"/>
      <c r="K313" s="593"/>
    </row>
    <row r="314" spans="2:11">
      <c r="B314" s="228"/>
      <c r="C314" s="228"/>
      <c r="D314" s="594"/>
      <c r="E314" s="594"/>
      <c r="F314" s="594"/>
      <c r="G314" s="594"/>
      <c r="H314" s="594"/>
      <c r="I314" s="593"/>
      <c r="J314" s="593"/>
      <c r="K314" s="593"/>
    </row>
    <row r="315" spans="2:11">
      <c r="B315" s="228"/>
      <c r="C315" s="228"/>
      <c r="D315" s="594"/>
      <c r="E315" s="594"/>
      <c r="F315" s="594"/>
      <c r="G315" s="594"/>
      <c r="H315" s="594"/>
      <c r="I315" s="593"/>
      <c r="J315" s="593"/>
      <c r="K315" s="593"/>
    </row>
    <row r="316" spans="2:11">
      <c r="B316" s="228"/>
      <c r="C316" s="228"/>
      <c r="D316" s="594"/>
      <c r="E316" s="594"/>
      <c r="F316" s="594"/>
      <c r="G316" s="594"/>
      <c r="H316" s="594"/>
      <c r="I316" s="593"/>
      <c r="J316" s="593"/>
      <c r="K316" s="593"/>
    </row>
    <row r="317" spans="2:11">
      <c r="B317" s="228"/>
      <c r="C317" s="228"/>
      <c r="D317" s="594"/>
      <c r="E317" s="594"/>
      <c r="F317" s="594"/>
      <c r="G317" s="594"/>
      <c r="H317" s="594"/>
      <c r="I317" s="593"/>
      <c r="J317" s="593"/>
      <c r="K317" s="593"/>
    </row>
    <row r="318" spans="2:11">
      <c r="B318" s="228"/>
      <c r="C318" s="228"/>
      <c r="D318" s="594"/>
      <c r="E318" s="594"/>
      <c r="F318" s="594"/>
      <c r="G318" s="594"/>
      <c r="H318" s="594"/>
      <c r="I318" s="593"/>
      <c r="J318" s="593"/>
      <c r="K318" s="593"/>
    </row>
    <row r="319" spans="2:11">
      <c r="B319" s="228"/>
      <c r="C319" s="228"/>
      <c r="D319" s="594"/>
      <c r="E319" s="594"/>
      <c r="F319" s="594"/>
      <c r="G319" s="594"/>
      <c r="H319" s="594"/>
      <c r="I319" s="593"/>
      <c r="J319" s="593"/>
      <c r="K319" s="593"/>
    </row>
    <row r="320" spans="2:11">
      <c r="B320" s="228"/>
      <c r="C320" s="228"/>
      <c r="D320" s="594"/>
      <c r="E320" s="594"/>
      <c r="F320" s="594"/>
      <c r="G320" s="594"/>
      <c r="H320" s="594"/>
      <c r="I320" s="593"/>
      <c r="J320" s="593"/>
      <c r="K320" s="593"/>
    </row>
    <row r="321" spans="2:11">
      <c r="B321" s="228"/>
      <c r="C321" s="228"/>
      <c r="D321" s="594"/>
      <c r="E321" s="594"/>
      <c r="F321" s="594"/>
      <c r="G321" s="594"/>
      <c r="H321" s="594"/>
      <c r="I321" s="593"/>
      <c r="J321" s="593"/>
      <c r="K321" s="593"/>
    </row>
    <row r="322" spans="2:11">
      <c r="B322" s="228"/>
      <c r="C322" s="228"/>
      <c r="D322" s="594"/>
      <c r="E322" s="594"/>
      <c r="F322" s="594"/>
      <c r="G322" s="594"/>
      <c r="H322" s="594"/>
      <c r="I322" s="593"/>
      <c r="J322" s="593"/>
      <c r="K322" s="593"/>
    </row>
    <row r="323" spans="2:11">
      <c r="B323" s="228"/>
      <c r="C323" s="228"/>
      <c r="D323" s="594"/>
      <c r="E323" s="594"/>
      <c r="F323" s="594"/>
      <c r="G323" s="594"/>
      <c r="H323" s="594"/>
      <c r="I323" s="593"/>
      <c r="J323" s="593"/>
      <c r="K323" s="593"/>
    </row>
    <row r="324" spans="2:11">
      <c r="B324" s="228"/>
      <c r="C324" s="228"/>
      <c r="D324" s="594"/>
      <c r="E324" s="594"/>
      <c r="F324" s="594"/>
      <c r="G324" s="594"/>
      <c r="H324" s="594"/>
      <c r="I324" s="593"/>
      <c r="J324" s="593"/>
      <c r="K324" s="593"/>
    </row>
    <row r="325" spans="2:11">
      <c r="B325" s="228"/>
      <c r="C325" s="228"/>
      <c r="D325" s="594"/>
      <c r="E325" s="594"/>
      <c r="F325" s="594"/>
      <c r="G325" s="594"/>
      <c r="H325" s="594"/>
      <c r="I325" s="593"/>
      <c r="J325" s="593"/>
      <c r="K325" s="593"/>
    </row>
    <row r="326" spans="2:11">
      <c r="B326" s="228"/>
      <c r="C326" s="228"/>
      <c r="D326" s="594"/>
      <c r="E326" s="594"/>
      <c r="F326" s="594"/>
      <c r="G326" s="594"/>
      <c r="H326" s="594"/>
      <c r="I326" s="593"/>
      <c r="J326" s="593"/>
      <c r="K326" s="593"/>
    </row>
    <row r="327" spans="2:11">
      <c r="B327" s="228"/>
      <c r="C327" s="228"/>
      <c r="D327" s="594"/>
      <c r="E327" s="594"/>
      <c r="F327" s="594"/>
      <c r="G327" s="594"/>
      <c r="H327" s="594"/>
      <c r="I327" s="593"/>
      <c r="J327" s="593"/>
      <c r="K327" s="593"/>
    </row>
    <row r="328" spans="2:11">
      <c r="B328" s="228"/>
      <c r="C328" s="228"/>
      <c r="D328" s="594"/>
      <c r="E328" s="594"/>
      <c r="F328" s="594"/>
      <c r="G328" s="594"/>
      <c r="H328" s="594"/>
      <c r="I328" s="593"/>
      <c r="J328" s="593"/>
      <c r="K328" s="593"/>
    </row>
    <row r="329" spans="2:11">
      <c r="B329" s="228"/>
      <c r="C329" s="228"/>
      <c r="D329" s="594"/>
      <c r="E329" s="594"/>
      <c r="F329" s="594"/>
      <c r="G329" s="594"/>
      <c r="H329" s="594"/>
      <c r="I329" s="593"/>
      <c r="J329" s="593"/>
      <c r="K329" s="593"/>
    </row>
    <row r="330" spans="2:11">
      <c r="B330" s="228"/>
      <c r="C330" s="228"/>
      <c r="D330" s="594"/>
      <c r="E330" s="594"/>
      <c r="F330" s="594"/>
      <c r="G330" s="594"/>
      <c r="H330" s="594"/>
      <c r="I330" s="593"/>
      <c r="J330" s="593"/>
      <c r="K330" s="593"/>
    </row>
    <row r="331" spans="2:11">
      <c r="B331" s="228"/>
      <c r="C331" s="228"/>
      <c r="D331" s="594"/>
      <c r="E331" s="594"/>
      <c r="F331" s="594"/>
      <c r="G331" s="594"/>
      <c r="H331" s="594"/>
      <c r="I331" s="593"/>
      <c r="J331" s="593"/>
      <c r="K331" s="593"/>
    </row>
    <row r="332" spans="2:11">
      <c r="B332" s="228"/>
      <c r="C332" s="228"/>
      <c r="D332" s="594"/>
      <c r="E332" s="594"/>
      <c r="F332" s="594"/>
      <c r="G332" s="594"/>
      <c r="H332" s="594"/>
      <c r="I332" s="593"/>
      <c r="J332" s="593"/>
      <c r="K332" s="593"/>
    </row>
    <row r="333" spans="2:11">
      <c r="B333" s="228"/>
      <c r="C333" s="228"/>
      <c r="D333" s="594"/>
      <c r="E333" s="594"/>
      <c r="F333" s="594"/>
      <c r="G333" s="594"/>
      <c r="H333" s="594"/>
      <c r="I333" s="593"/>
      <c r="J333" s="593"/>
      <c r="K333" s="593"/>
    </row>
    <row r="334" spans="2:11">
      <c r="B334" s="228"/>
      <c r="C334" s="228"/>
      <c r="D334" s="594"/>
      <c r="E334" s="594"/>
      <c r="F334" s="594"/>
      <c r="G334" s="594"/>
      <c r="H334" s="594"/>
      <c r="I334" s="593"/>
      <c r="J334" s="593"/>
      <c r="K334" s="593"/>
    </row>
    <row r="335" spans="2:11">
      <c r="B335" s="228"/>
      <c r="C335" s="228"/>
      <c r="D335" s="594"/>
      <c r="E335" s="594"/>
      <c r="F335" s="594"/>
      <c r="G335" s="594"/>
      <c r="H335" s="594"/>
      <c r="I335" s="593"/>
      <c r="J335" s="593"/>
      <c r="K335" s="593"/>
    </row>
    <row r="336" spans="2:11">
      <c r="B336" s="228"/>
      <c r="C336" s="228"/>
      <c r="D336" s="594"/>
      <c r="E336" s="594"/>
      <c r="F336" s="594"/>
      <c r="G336" s="594"/>
      <c r="H336" s="594"/>
      <c r="I336" s="593"/>
      <c r="J336" s="593"/>
      <c r="K336" s="593"/>
    </row>
    <row r="337" spans="2:11">
      <c r="B337" s="228"/>
      <c r="C337" s="228"/>
      <c r="D337" s="594"/>
      <c r="E337" s="594"/>
      <c r="F337" s="594"/>
      <c r="G337" s="594"/>
      <c r="H337" s="594"/>
      <c r="I337" s="593"/>
      <c r="J337" s="593"/>
      <c r="K337" s="593"/>
    </row>
    <row r="338" spans="2:11">
      <c r="B338" s="228"/>
      <c r="C338" s="228"/>
      <c r="D338" s="594"/>
      <c r="E338" s="594"/>
      <c r="F338" s="594"/>
      <c r="G338" s="594"/>
      <c r="H338" s="594"/>
      <c r="I338" s="593"/>
      <c r="J338" s="593"/>
      <c r="K338" s="593"/>
    </row>
    <row r="339" spans="2:11">
      <c r="B339" s="228"/>
      <c r="C339" s="228"/>
      <c r="D339" s="594"/>
      <c r="E339" s="594"/>
      <c r="F339" s="594"/>
      <c r="G339" s="594"/>
      <c r="H339" s="594"/>
      <c r="I339" s="593"/>
      <c r="J339" s="593"/>
      <c r="K339" s="593"/>
    </row>
    <row r="340" spans="2:11">
      <c r="B340" s="228"/>
      <c r="C340" s="228"/>
      <c r="D340" s="594"/>
      <c r="E340" s="594"/>
      <c r="F340" s="594"/>
      <c r="G340" s="594"/>
      <c r="H340" s="594"/>
      <c r="I340" s="593"/>
      <c r="J340" s="593"/>
      <c r="K340" s="593"/>
    </row>
    <row r="341" spans="2:11">
      <c r="B341" s="228"/>
      <c r="C341" s="228"/>
      <c r="D341" s="594"/>
      <c r="E341" s="594"/>
      <c r="F341" s="594"/>
      <c r="G341" s="594"/>
      <c r="H341" s="594"/>
      <c r="I341" s="593"/>
      <c r="J341" s="593"/>
      <c r="K341" s="593"/>
    </row>
    <row r="342" spans="2:11">
      <c r="B342" s="228"/>
      <c r="C342" s="228"/>
      <c r="D342" s="594"/>
      <c r="E342" s="594"/>
      <c r="F342" s="594"/>
      <c r="G342" s="594"/>
      <c r="H342" s="594"/>
      <c r="I342" s="593"/>
      <c r="J342" s="593"/>
      <c r="K342" s="593"/>
    </row>
    <row r="343" spans="2:11">
      <c r="B343" s="228"/>
      <c r="C343" s="228"/>
      <c r="D343" s="594"/>
      <c r="E343" s="594"/>
      <c r="F343" s="594"/>
      <c r="G343" s="594"/>
      <c r="H343" s="594"/>
      <c r="I343" s="593"/>
      <c r="J343" s="593"/>
      <c r="K343" s="593"/>
    </row>
    <row r="344" spans="2:11">
      <c r="B344" s="228"/>
      <c r="C344" s="228"/>
      <c r="D344" s="594"/>
      <c r="E344" s="594"/>
      <c r="F344" s="594"/>
      <c r="G344" s="594"/>
      <c r="H344" s="594"/>
      <c r="I344" s="593"/>
      <c r="J344" s="593"/>
      <c r="K344" s="593"/>
    </row>
    <row r="345" spans="2:11">
      <c r="B345" s="228"/>
      <c r="C345" s="228"/>
      <c r="D345" s="594"/>
      <c r="E345" s="594"/>
      <c r="F345" s="594"/>
      <c r="G345" s="594"/>
      <c r="H345" s="594"/>
      <c r="I345" s="593"/>
      <c r="J345" s="593"/>
      <c r="K345" s="593"/>
    </row>
    <row r="346" spans="2:11">
      <c r="B346" s="228"/>
      <c r="C346" s="228"/>
      <c r="D346" s="594"/>
      <c r="E346" s="594"/>
      <c r="F346" s="594"/>
      <c r="G346" s="594"/>
      <c r="H346" s="594"/>
      <c r="I346" s="593"/>
      <c r="J346" s="593"/>
      <c r="K346" s="593"/>
    </row>
    <row r="347" spans="2:11">
      <c r="B347" s="228"/>
      <c r="C347" s="228"/>
      <c r="D347" s="594"/>
      <c r="E347" s="594"/>
      <c r="F347" s="594"/>
      <c r="G347" s="594"/>
      <c r="H347" s="594"/>
      <c r="I347" s="593"/>
      <c r="J347" s="593"/>
      <c r="K347" s="593"/>
    </row>
    <row r="348" spans="2:11">
      <c r="B348" s="228"/>
      <c r="C348" s="228"/>
      <c r="D348" s="594"/>
      <c r="E348" s="594"/>
      <c r="F348" s="594"/>
      <c r="G348" s="594"/>
      <c r="H348" s="594"/>
      <c r="I348" s="593"/>
      <c r="J348" s="593"/>
      <c r="K348" s="593"/>
    </row>
    <row r="349" spans="2:11">
      <c r="B349" s="228"/>
      <c r="C349" s="228"/>
      <c r="D349" s="594"/>
      <c r="E349" s="594"/>
      <c r="F349" s="594"/>
      <c r="G349" s="594"/>
      <c r="H349" s="594"/>
      <c r="I349" s="593"/>
      <c r="J349" s="593"/>
      <c r="K349" s="593"/>
    </row>
    <row r="350" spans="2:11">
      <c r="B350" s="228"/>
      <c r="C350" s="228"/>
      <c r="D350" s="594"/>
      <c r="E350" s="594"/>
      <c r="F350" s="594"/>
      <c r="G350" s="594"/>
      <c r="H350" s="594"/>
      <c r="I350" s="593"/>
      <c r="J350" s="593"/>
      <c r="K350" s="593"/>
    </row>
    <row r="351" spans="2:11">
      <c r="B351" s="228"/>
      <c r="C351" s="228"/>
      <c r="D351" s="594"/>
      <c r="E351" s="594"/>
      <c r="F351" s="594"/>
      <c r="G351" s="594"/>
      <c r="H351" s="594"/>
      <c r="I351" s="593"/>
      <c r="J351" s="593"/>
      <c r="K351" s="593"/>
    </row>
    <row r="352" spans="2:11">
      <c r="B352" s="228"/>
      <c r="C352" s="228"/>
      <c r="D352" s="594"/>
      <c r="E352" s="594"/>
      <c r="F352" s="594"/>
      <c r="G352" s="594"/>
      <c r="H352" s="594"/>
      <c r="I352" s="593"/>
      <c r="J352" s="593"/>
      <c r="K352" s="593"/>
    </row>
    <row r="353" spans="2:11">
      <c r="B353" s="228"/>
      <c r="C353" s="228"/>
      <c r="D353" s="594"/>
      <c r="E353" s="594"/>
      <c r="F353" s="594"/>
      <c r="G353" s="594"/>
      <c r="H353" s="594"/>
      <c r="I353" s="593"/>
      <c r="J353" s="593"/>
      <c r="K353" s="593"/>
    </row>
    <row r="354" spans="2:11">
      <c r="B354" s="228"/>
      <c r="C354" s="228"/>
      <c r="D354" s="594"/>
      <c r="E354" s="594"/>
      <c r="F354" s="594"/>
      <c r="G354" s="594"/>
      <c r="H354" s="594"/>
      <c r="I354" s="593"/>
      <c r="J354" s="593"/>
      <c r="K354" s="593"/>
    </row>
    <row r="355" spans="2:11">
      <c r="B355" s="228"/>
      <c r="C355" s="228"/>
      <c r="D355" s="594"/>
      <c r="E355" s="594"/>
      <c r="F355" s="594"/>
      <c r="G355" s="594"/>
      <c r="H355" s="594"/>
      <c r="I355" s="593"/>
      <c r="J355" s="593"/>
      <c r="K355" s="593"/>
    </row>
    <row r="356" spans="2:11">
      <c r="B356" s="228"/>
      <c r="C356" s="228"/>
      <c r="D356" s="594"/>
      <c r="E356" s="594"/>
      <c r="F356" s="594"/>
      <c r="G356" s="594"/>
      <c r="H356" s="594"/>
      <c r="I356" s="593"/>
      <c r="J356" s="593"/>
      <c r="K356" s="593"/>
    </row>
    <row r="357" spans="2:11">
      <c r="B357" s="228"/>
      <c r="C357" s="228"/>
      <c r="D357" s="594"/>
      <c r="E357" s="594"/>
      <c r="F357" s="594"/>
      <c r="G357" s="594"/>
      <c r="H357" s="594"/>
      <c r="I357" s="593"/>
      <c r="J357" s="593"/>
      <c r="K357" s="593"/>
    </row>
    <row r="358" spans="2:11">
      <c r="B358" s="228"/>
      <c r="C358" s="228"/>
      <c r="D358" s="594"/>
      <c r="E358" s="594"/>
      <c r="F358" s="594"/>
      <c r="G358" s="594"/>
      <c r="H358" s="594"/>
      <c r="I358" s="593"/>
      <c r="J358" s="593"/>
      <c r="K358" s="593"/>
    </row>
    <row r="359" spans="2:11">
      <c r="B359" s="228"/>
      <c r="C359" s="228"/>
      <c r="D359" s="594"/>
      <c r="E359" s="594"/>
      <c r="F359" s="594"/>
      <c r="G359" s="594"/>
      <c r="H359" s="594"/>
      <c r="I359" s="593"/>
      <c r="J359" s="593"/>
      <c r="K359" s="593"/>
    </row>
    <row r="360" spans="2:11">
      <c r="B360" s="228"/>
      <c r="C360" s="228"/>
      <c r="D360" s="594"/>
      <c r="E360" s="594"/>
      <c r="F360" s="594"/>
      <c r="G360" s="594"/>
      <c r="H360" s="594"/>
      <c r="I360" s="593"/>
      <c r="J360" s="593"/>
      <c r="K360" s="593"/>
    </row>
    <row r="361" spans="2:11">
      <c r="B361" s="228"/>
      <c r="C361" s="228"/>
      <c r="D361" s="594"/>
      <c r="E361" s="594"/>
      <c r="F361" s="594"/>
      <c r="G361" s="594"/>
      <c r="H361" s="594"/>
      <c r="I361" s="593"/>
      <c r="J361" s="593"/>
      <c r="K361" s="593"/>
    </row>
    <row r="362" spans="2:11">
      <c r="B362" s="228"/>
      <c r="C362" s="228"/>
      <c r="D362" s="594"/>
      <c r="E362" s="594"/>
      <c r="F362" s="594"/>
      <c r="G362" s="594"/>
      <c r="H362" s="594"/>
      <c r="I362" s="593"/>
      <c r="J362" s="593"/>
      <c r="K362" s="593"/>
    </row>
    <row r="363" spans="2:11">
      <c r="B363" s="228"/>
      <c r="C363" s="228"/>
      <c r="D363" s="594"/>
      <c r="E363" s="594"/>
      <c r="F363" s="594"/>
      <c r="G363" s="594"/>
      <c r="H363" s="594"/>
      <c r="I363" s="593"/>
      <c r="J363" s="593"/>
      <c r="K363" s="593"/>
    </row>
    <row r="364" spans="2:11">
      <c r="B364" s="228"/>
      <c r="C364" s="228"/>
      <c r="D364" s="594"/>
      <c r="E364" s="594"/>
      <c r="F364" s="594"/>
      <c r="G364" s="594"/>
      <c r="H364" s="594"/>
      <c r="I364" s="593"/>
      <c r="J364" s="593"/>
      <c r="K364" s="593"/>
    </row>
    <row r="365" spans="2:11">
      <c r="B365" s="228"/>
      <c r="C365" s="228"/>
      <c r="D365" s="594"/>
      <c r="E365" s="594"/>
      <c r="F365" s="594"/>
      <c r="G365" s="594"/>
      <c r="H365" s="594"/>
      <c r="I365" s="593"/>
      <c r="J365" s="593"/>
      <c r="K365" s="593"/>
    </row>
    <row r="366" spans="2:11">
      <c r="B366" s="228"/>
      <c r="C366" s="228"/>
      <c r="D366" s="594"/>
      <c r="E366" s="594"/>
      <c r="F366" s="594"/>
      <c r="G366" s="594"/>
      <c r="H366" s="594"/>
      <c r="I366" s="593"/>
      <c r="J366" s="593"/>
      <c r="K366" s="593"/>
    </row>
    <row r="367" spans="2:11">
      <c r="B367" s="228"/>
      <c r="C367" s="228"/>
      <c r="D367" s="594"/>
      <c r="E367" s="594"/>
      <c r="F367" s="594"/>
      <c r="G367" s="594"/>
      <c r="H367" s="594"/>
      <c r="I367" s="593"/>
      <c r="J367" s="593"/>
      <c r="K367" s="593"/>
    </row>
    <row r="368" spans="2:11">
      <c r="B368" s="228"/>
      <c r="C368" s="228"/>
      <c r="D368" s="594"/>
      <c r="E368" s="594"/>
      <c r="F368" s="594"/>
      <c r="G368" s="594"/>
      <c r="H368" s="594"/>
      <c r="I368" s="593"/>
      <c r="J368" s="593"/>
      <c r="K368" s="593"/>
    </row>
    <row r="369" spans="2:11">
      <c r="B369" s="228"/>
      <c r="C369" s="228"/>
      <c r="D369" s="594"/>
      <c r="E369" s="594"/>
      <c r="F369" s="594"/>
      <c r="G369" s="594"/>
      <c r="H369" s="594"/>
      <c r="I369" s="593"/>
      <c r="J369" s="593"/>
      <c r="K369" s="593"/>
    </row>
    <row r="370" spans="2:11">
      <c r="B370" s="228"/>
      <c r="C370" s="228"/>
      <c r="D370" s="594"/>
      <c r="E370" s="594"/>
      <c r="F370" s="594"/>
      <c r="G370" s="594"/>
      <c r="H370" s="594"/>
      <c r="I370" s="593"/>
      <c r="J370" s="593"/>
      <c r="K370" s="593"/>
    </row>
    <row r="371" spans="2:11">
      <c r="B371" s="228"/>
      <c r="C371" s="228"/>
      <c r="D371" s="594"/>
      <c r="E371" s="594"/>
      <c r="F371" s="594"/>
      <c r="G371" s="594"/>
      <c r="H371" s="594"/>
      <c r="I371" s="593"/>
      <c r="J371" s="593"/>
      <c r="K371" s="593"/>
    </row>
    <row r="372" spans="2:11">
      <c r="B372" s="228"/>
      <c r="C372" s="228"/>
      <c r="D372" s="594"/>
      <c r="E372" s="594"/>
      <c r="F372" s="594"/>
      <c r="G372" s="594"/>
      <c r="H372" s="594"/>
      <c r="I372" s="593"/>
      <c r="J372" s="593"/>
      <c r="K372" s="593"/>
    </row>
    <row r="373" spans="2:11">
      <c r="B373" s="228"/>
      <c r="C373" s="228"/>
      <c r="D373" s="594"/>
      <c r="E373" s="594"/>
      <c r="F373" s="594"/>
      <c r="G373" s="594"/>
      <c r="H373" s="594"/>
      <c r="I373" s="593"/>
      <c r="J373" s="593"/>
      <c r="K373" s="593"/>
    </row>
    <row r="374" spans="2:11">
      <c r="B374" s="228"/>
      <c r="C374" s="228"/>
      <c r="D374" s="594"/>
      <c r="E374" s="594"/>
      <c r="F374" s="594"/>
      <c r="G374" s="594"/>
      <c r="H374" s="594"/>
      <c r="I374" s="593"/>
      <c r="J374" s="593"/>
      <c r="K374" s="593"/>
    </row>
    <row r="375" spans="2:11">
      <c r="B375" s="228"/>
      <c r="C375" s="228"/>
      <c r="D375" s="594"/>
      <c r="E375" s="594"/>
      <c r="F375" s="594"/>
      <c r="G375" s="594"/>
      <c r="H375" s="594"/>
      <c r="I375" s="593"/>
      <c r="J375" s="593"/>
      <c r="K375" s="593"/>
    </row>
    <row r="376" spans="2:11">
      <c r="B376" s="228"/>
      <c r="C376" s="228"/>
      <c r="D376" s="594"/>
      <c r="E376" s="594"/>
      <c r="F376" s="594"/>
      <c r="G376" s="594"/>
      <c r="H376" s="594"/>
      <c r="I376" s="593"/>
      <c r="J376" s="593"/>
      <c r="K376" s="593"/>
    </row>
    <row r="377" spans="2:11">
      <c r="B377" s="228"/>
      <c r="C377" s="228"/>
      <c r="D377" s="594"/>
      <c r="E377" s="594"/>
      <c r="F377" s="594"/>
      <c r="G377" s="594"/>
      <c r="H377" s="594"/>
      <c r="I377" s="593"/>
      <c r="J377" s="593"/>
      <c r="K377" s="593"/>
    </row>
    <row r="378" spans="2:11">
      <c r="B378" s="228"/>
      <c r="C378" s="228"/>
      <c r="D378" s="594"/>
      <c r="E378" s="594"/>
      <c r="F378" s="594"/>
      <c r="G378" s="594"/>
      <c r="H378" s="594"/>
      <c r="I378" s="593"/>
      <c r="J378" s="593"/>
      <c r="K378" s="593"/>
    </row>
    <row r="379" spans="2:11">
      <c r="B379" s="228"/>
      <c r="C379" s="228"/>
      <c r="D379" s="594"/>
      <c r="E379" s="594"/>
      <c r="F379" s="594"/>
      <c r="G379" s="594"/>
      <c r="H379" s="594"/>
      <c r="I379" s="593"/>
      <c r="J379" s="593"/>
      <c r="K379" s="593"/>
    </row>
    <row r="380" spans="2:11">
      <c r="B380" s="228"/>
      <c r="C380" s="228"/>
      <c r="D380" s="594"/>
      <c r="E380" s="594"/>
      <c r="F380" s="594"/>
      <c r="G380" s="594"/>
      <c r="H380" s="594"/>
      <c r="I380" s="593"/>
      <c r="J380" s="593"/>
      <c r="K380" s="593"/>
    </row>
    <row r="381" spans="2:11">
      <c r="B381" s="228"/>
      <c r="C381" s="228"/>
      <c r="D381" s="594"/>
      <c r="E381" s="594"/>
      <c r="F381" s="594"/>
      <c r="G381" s="594"/>
      <c r="H381" s="594"/>
      <c r="I381" s="593"/>
      <c r="J381" s="593"/>
      <c r="K381" s="593"/>
    </row>
    <row r="382" spans="2:11">
      <c r="B382" s="228"/>
      <c r="C382" s="228"/>
      <c r="D382" s="594"/>
      <c r="E382" s="594"/>
      <c r="F382" s="594"/>
      <c r="G382" s="594"/>
      <c r="H382" s="594"/>
      <c r="I382" s="593"/>
      <c r="J382" s="593"/>
      <c r="K382" s="593"/>
    </row>
    <row r="383" spans="2:11">
      <c r="B383" s="228"/>
      <c r="C383" s="228"/>
      <c r="D383" s="594"/>
      <c r="E383" s="594"/>
      <c r="F383" s="594"/>
      <c r="G383" s="594"/>
      <c r="H383" s="594"/>
      <c r="I383" s="593"/>
      <c r="J383" s="593"/>
      <c r="K383" s="593"/>
    </row>
    <row r="384" spans="2:11">
      <c r="B384" s="228"/>
      <c r="C384" s="228"/>
      <c r="D384" s="594"/>
      <c r="E384" s="594"/>
      <c r="F384" s="594"/>
      <c r="G384" s="594"/>
      <c r="H384" s="594"/>
      <c r="I384" s="593"/>
      <c r="J384" s="593"/>
      <c r="K384" s="593"/>
    </row>
    <row r="385" spans="2:11">
      <c r="B385" s="228"/>
      <c r="C385" s="228"/>
      <c r="D385" s="594"/>
      <c r="E385" s="594"/>
      <c r="F385" s="594"/>
      <c r="G385" s="594"/>
      <c r="H385" s="594"/>
      <c r="I385" s="593"/>
      <c r="J385" s="593"/>
      <c r="K385" s="593"/>
    </row>
    <row r="386" spans="2:11">
      <c r="B386" s="228"/>
      <c r="C386" s="228"/>
      <c r="D386" s="594"/>
      <c r="E386" s="594"/>
      <c r="F386" s="594"/>
      <c r="G386" s="594"/>
      <c r="H386" s="594"/>
      <c r="I386" s="593"/>
      <c r="J386" s="593"/>
      <c r="K386" s="593"/>
    </row>
    <row r="387" spans="2:11">
      <c r="B387" s="228"/>
      <c r="C387" s="228"/>
      <c r="D387" s="594"/>
      <c r="E387" s="594"/>
      <c r="F387" s="594"/>
      <c r="G387" s="594"/>
      <c r="H387" s="594"/>
      <c r="I387" s="593"/>
      <c r="J387" s="593"/>
      <c r="K387" s="593"/>
    </row>
    <row r="388" spans="2:11">
      <c r="B388" s="228"/>
      <c r="C388" s="228"/>
      <c r="D388" s="594"/>
      <c r="E388" s="594"/>
      <c r="F388" s="594"/>
      <c r="G388" s="594"/>
      <c r="H388" s="594"/>
      <c r="I388" s="593"/>
      <c r="J388" s="593"/>
      <c r="K388" s="593"/>
    </row>
    <row r="389" spans="2:11">
      <c r="B389" s="228"/>
      <c r="C389" s="228"/>
      <c r="D389" s="594"/>
      <c r="E389" s="594"/>
      <c r="F389" s="594"/>
      <c r="G389" s="594"/>
      <c r="H389" s="594"/>
      <c r="I389" s="593"/>
      <c r="J389" s="593"/>
      <c r="K389" s="593"/>
    </row>
    <row r="390" spans="2:11">
      <c r="B390" s="228"/>
      <c r="C390" s="228"/>
      <c r="D390" s="594"/>
      <c r="E390" s="594"/>
      <c r="F390" s="594"/>
      <c r="G390" s="594"/>
      <c r="H390" s="594"/>
      <c r="I390" s="593"/>
      <c r="J390" s="593"/>
      <c r="K390" s="593"/>
    </row>
    <row r="391" spans="2:11">
      <c r="B391" s="228"/>
      <c r="C391" s="228"/>
      <c r="D391" s="594"/>
      <c r="E391" s="594"/>
      <c r="F391" s="594"/>
      <c r="G391" s="594"/>
      <c r="H391" s="594"/>
      <c r="I391" s="593"/>
      <c r="J391" s="593"/>
      <c r="K391" s="593"/>
    </row>
    <row r="392" spans="2:11">
      <c r="B392" s="228"/>
      <c r="C392" s="228"/>
      <c r="D392" s="594"/>
      <c r="E392" s="594"/>
      <c r="F392" s="594"/>
      <c r="G392" s="594"/>
      <c r="H392" s="594"/>
      <c r="I392" s="593"/>
      <c r="J392" s="593"/>
      <c r="K392" s="593"/>
    </row>
    <row r="393" spans="2:11">
      <c r="B393" s="228"/>
      <c r="C393" s="228"/>
      <c r="D393" s="594"/>
      <c r="E393" s="594"/>
      <c r="F393" s="594"/>
      <c r="G393" s="594"/>
      <c r="H393" s="594"/>
      <c r="I393" s="593"/>
      <c r="J393" s="593"/>
      <c r="K393" s="593"/>
    </row>
    <row r="394" spans="2:11">
      <c r="B394" s="228"/>
      <c r="C394" s="228"/>
      <c r="D394" s="594"/>
      <c r="E394" s="594"/>
      <c r="F394" s="594"/>
      <c r="G394" s="594"/>
      <c r="H394" s="594"/>
      <c r="I394" s="593"/>
      <c r="J394" s="593"/>
      <c r="K394" s="593"/>
    </row>
    <row r="395" spans="2:11">
      <c r="B395" s="228"/>
      <c r="C395" s="228"/>
      <c r="D395" s="594"/>
      <c r="E395" s="594"/>
      <c r="F395" s="594"/>
      <c r="G395" s="594"/>
      <c r="H395" s="594"/>
      <c r="I395" s="593"/>
      <c r="J395" s="593"/>
      <c r="K395" s="593"/>
    </row>
    <row r="396" spans="2:11">
      <c r="B396" s="228"/>
      <c r="C396" s="228"/>
      <c r="D396" s="594"/>
      <c r="E396" s="594"/>
      <c r="F396" s="594"/>
      <c r="G396" s="594"/>
      <c r="H396" s="594"/>
      <c r="I396" s="593"/>
      <c r="J396" s="593"/>
      <c r="K396" s="593"/>
    </row>
    <row r="397" spans="2:11">
      <c r="B397" s="228"/>
      <c r="C397" s="228"/>
      <c r="D397" s="594"/>
      <c r="E397" s="594"/>
      <c r="F397" s="594"/>
      <c r="G397" s="594"/>
      <c r="H397" s="594"/>
      <c r="I397" s="593"/>
      <c r="J397" s="593"/>
      <c r="K397" s="593"/>
    </row>
    <row r="398" spans="2:11">
      <c r="B398" s="228"/>
      <c r="C398" s="228"/>
      <c r="D398" s="594"/>
      <c r="E398" s="594"/>
      <c r="F398" s="594"/>
      <c r="G398" s="594"/>
      <c r="H398" s="594"/>
      <c r="I398" s="593"/>
      <c r="J398" s="593"/>
      <c r="K398" s="593"/>
    </row>
    <row r="399" spans="2:11">
      <c r="B399" s="228"/>
      <c r="C399" s="228"/>
      <c r="D399" s="594"/>
      <c r="E399" s="594"/>
      <c r="F399" s="594"/>
      <c r="G399" s="594"/>
      <c r="H399" s="594"/>
      <c r="I399" s="593"/>
      <c r="J399" s="593"/>
      <c r="K399" s="593"/>
    </row>
    <row r="400" spans="2:11">
      <c r="B400" s="228"/>
      <c r="C400" s="228"/>
      <c r="D400" s="594"/>
      <c r="E400" s="594"/>
      <c r="F400" s="594"/>
      <c r="G400" s="594"/>
      <c r="H400" s="594"/>
      <c r="I400" s="593"/>
      <c r="J400" s="593"/>
      <c r="K400" s="593"/>
    </row>
    <row r="401" spans="2:11">
      <c r="B401" s="228"/>
      <c r="C401" s="228"/>
      <c r="D401" s="594"/>
      <c r="E401" s="594"/>
      <c r="F401" s="594"/>
      <c r="G401" s="594"/>
      <c r="H401" s="594"/>
      <c r="I401" s="593"/>
      <c r="J401" s="593"/>
      <c r="K401" s="593"/>
    </row>
    <row r="402" spans="2:11">
      <c r="B402" s="228"/>
      <c r="C402" s="228"/>
      <c r="D402" s="594"/>
      <c r="E402" s="594"/>
      <c r="F402" s="594"/>
      <c r="G402" s="594"/>
      <c r="H402" s="594"/>
      <c r="I402" s="593"/>
      <c r="J402" s="593"/>
      <c r="K402" s="593"/>
    </row>
    <row r="403" spans="2:11">
      <c r="B403" s="228"/>
      <c r="C403" s="228"/>
      <c r="D403" s="594"/>
      <c r="E403" s="594"/>
      <c r="F403" s="594"/>
      <c r="G403" s="594"/>
      <c r="H403" s="594"/>
      <c r="I403" s="593"/>
      <c r="J403" s="593"/>
      <c r="K403" s="593"/>
    </row>
    <row r="404" spans="2:11">
      <c r="B404" s="228"/>
      <c r="C404" s="228"/>
      <c r="D404" s="594"/>
      <c r="E404" s="594"/>
      <c r="F404" s="594"/>
      <c r="G404" s="594"/>
      <c r="H404" s="594"/>
      <c r="I404" s="593"/>
      <c r="J404" s="593"/>
      <c r="K404" s="593"/>
    </row>
    <row r="405" spans="2:11">
      <c r="B405" s="228"/>
      <c r="C405" s="228"/>
      <c r="D405" s="594"/>
      <c r="E405" s="594"/>
      <c r="F405" s="594"/>
      <c r="G405" s="594"/>
      <c r="H405" s="594"/>
      <c r="I405" s="593"/>
      <c r="J405" s="593"/>
      <c r="K405" s="593"/>
    </row>
    <row r="406" spans="2:11">
      <c r="B406" s="228"/>
      <c r="C406" s="228"/>
      <c r="D406" s="594"/>
      <c r="E406" s="594"/>
      <c r="F406" s="594"/>
      <c r="G406" s="594"/>
      <c r="H406" s="594"/>
      <c r="I406" s="593"/>
      <c r="J406" s="593"/>
      <c r="K406" s="593"/>
    </row>
    <row r="407" spans="2:11">
      <c r="B407" s="228"/>
      <c r="C407" s="228"/>
      <c r="D407" s="594"/>
      <c r="E407" s="594"/>
      <c r="F407" s="594"/>
      <c r="G407" s="594"/>
      <c r="H407" s="594"/>
      <c r="I407" s="593"/>
      <c r="J407" s="593"/>
      <c r="K407" s="593"/>
    </row>
    <row r="408" spans="2:11">
      <c r="B408" s="228"/>
      <c r="C408" s="228"/>
      <c r="D408" s="594"/>
      <c r="E408" s="594"/>
      <c r="F408" s="594"/>
      <c r="G408" s="594"/>
      <c r="H408" s="594"/>
      <c r="I408" s="593"/>
      <c r="J408" s="593"/>
      <c r="K408" s="593"/>
    </row>
    <row r="409" spans="2:11">
      <c r="B409" s="228"/>
      <c r="C409" s="228"/>
      <c r="D409" s="594"/>
      <c r="E409" s="594"/>
      <c r="F409" s="594"/>
      <c r="G409" s="594"/>
      <c r="H409" s="594"/>
      <c r="I409" s="593"/>
      <c r="J409" s="593"/>
      <c r="K409" s="593"/>
    </row>
    <row r="410" spans="2:11">
      <c r="B410" s="228"/>
      <c r="C410" s="228"/>
      <c r="D410" s="594"/>
      <c r="E410" s="594"/>
      <c r="F410" s="594"/>
      <c r="G410" s="594"/>
      <c r="H410" s="594"/>
      <c r="I410" s="593"/>
      <c r="J410" s="593"/>
      <c r="K410" s="593"/>
    </row>
    <row r="411" spans="2:11">
      <c r="B411" s="228"/>
      <c r="C411" s="228"/>
      <c r="D411" s="594"/>
      <c r="E411" s="594"/>
      <c r="F411" s="594"/>
      <c r="G411" s="594"/>
      <c r="H411" s="594"/>
      <c r="I411" s="593"/>
      <c r="J411" s="593"/>
      <c r="K411" s="593"/>
    </row>
    <row r="412" spans="2:11">
      <c r="B412" s="228"/>
      <c r="C412" s="228"/>
      <c r="D412" s="594"/>
      <c r="E412" s="594"/>
      <c r="F412" s="594"/>
      <c r="G412" s="594"/>
      <c r="H412" s="594"/>
      <c r="I412" s="593"/>
      <c r="J412" s="593"/>
      <c r="K412" s="593"/>
    </row>
    <row r="413" spans="2:11">
      <c r="B413" s="228"/>
      <c r="C413" s="228"/>
      <c r="D413" s="594"/>
      <c r="E413" s="594"/>
      <c r="F413" s="594"/>
      <c r="G413" s="594"/>
      <c r="H413" s="594"/>
      <c r="I413" s="593"/>
      <c r="J413" s="593"/>
      <c r="K413" s="593"/>
    </row>
    <row r="414" spans="2:11">
      <c r="B414" s="228"/>
      <c r="C414" s="228"/>
      <c r="D414" s="594"/>
      <c r="E414" s="594"/>
      <c r="F414" s="594"/>
      <c r="G414" s="594"/>
      <c r="H414" s="594"/>
      <c r="I414" s="593"/>
      <c r="J414" s="593"/>
      <c r="K414" s="593"/>
    </row>
    <row r="415" spans="2:11">
      <c r="B415" s="228"/>
      <c r="C415" s="228"/>
      <c r="D415" s="594"/>
      <c r="E415" s="594"/>
      <c r="F415" s="594"/>
      <c r="G415" s="594"/>
      <c r="H415" s="594"/>
      <c r="I415" s="593"/>
      <c r="J415" s="593"/>
      <c r="K415" s="593"/>
    </row>
    <row r="416" spans="2:11">
      <c r="B416" s="228"/>
      <c r="C416" s="228"/>
      <c r="D416" s="594"/>
      <c r="E416" s="594"/>
      <c r="F416" s="594"/>
      <c r="G416" s="594"/>
      <c r="H416" s="594"/>
      <c r="I416" s="593"/>
      <c r="J416" s="593"/>
      <c r="K416" s="593"/>
    </row>
    <row r="417" spans="2:11">
      <c r="B417" s="228"/>
      <c r="C417" s="228"/>
      <c r="D417" s="594"/>
      <c r="E417" s="594"/>
      <c r="F417" s="594"/>
      <c r="G417" s="594"/>
      <c r="H417" s="594"/>
      <c r="I417" s="593"/>
      <c r="J417" s="593"/>
      <c r="K417" s="593"/>
    </row>
    <row r="418" spans="2:11">
      <c r="B418" s="228"/>
      <c r="C418" s="228"/>
      <c r="D418" s="594"/>
      <c r="E418" s="594"/>
      <c r="F418" s="594"/>
      <c r="G418" s="594"/>
      <c r="H418" s="594"/>
      <c r="I418" s="593"/>
      <c r="J418" s="593"/>
      <c r="K418" s="593"/>
    </row>
    <row r="419" spans="2:11">
      <c r="B419" s="228"/>
      <c r="C419" s="228"/>
      <c r="D419" s="594"/>
      <c r="E419" s="594"/>
      <c r="F419" s="594"/>
      <c r="G419" s="594"/>
      <c r="H419" s="594"/>
      <c r="I419" s="593"/>
      <c r="J419" s="593"/>
      <c r="K419" s="593"/>
    </row>
    <row r="420" spans="2:11">
      <c r="B420" s="228"/>
      <c r="C420" s="228"/>
      <c r="D420" s="594"/>
      <c r="E420" s="594"/>
      <c r="F420" s="594"/>
      <c r="G420" s="594"/>
      <c r="H420" s="594"/>
      <c r="I420" s="593"/>
      <c r="J420" s="593"/>
      <c r="K420" s="593"/>
    </row>
    <row r="421" spans="2:11">
      <c r="B421" s="228"/>
      <c r="C421" s="228"/>
      <c r="D421" s="594"/>
      <c r="E421" s="594"/>
      <c r="F421" s="594"/>
      <c r="G421" s="594"/>
      <c r="H421" s="594"/>
      <c r="I421" s="593"/>
      <c r="J421" s="593"/>
      <c r="K421" s="593"/>
    </row>
    <row r="422" spans="2:11">
      <c r="B422" s="228"/>
      <c r="C422" s="228"/>
      <c r="D422" s="594"/>
      <c r="E422" s="594"/>
      <c r="F422" s="594"/>
      <c r="G422" s="594"/>
      <c r="H422" s="594"/>
      <c r="I422" s="593"/>
      <c r="J422" s="593"/>
      <c r="K422" s="593"/>
    </row>
    <row r="423" spans="2:11">
      <c r="B423" s="228"/>
      <c r="C423" s="228"/>
      <c r="D423" s="594"/>
      <c r="E423" s="594"/>
      <c r="F423" s="594"/>
      <c r="G423" s="594"/>
      <c r="H423" s="594"/>
      <c r="I423" s="593"/>
      <c r="J423" s="593"/>
      <c r="K423" s="593"/>
    </row>
    <row r="424" spans="2:11">
      <c r="B424" s="228"/>
      <c r="C424" s="228"/>
      <c r="D424" s="594"/>
      <c r="E424" s="594"/>
      <c r="F424" s="594"/>
      <c r="G424" s="594"/>
      <c r="H424" s="594"/>
      <c r="I424" s="593"/>
      <c r="J424" s="593"/>
      <c r="K424" s="593"/>
    </row>
    <row r="425" spans="2:11">
      <c r="B425" s="228"/>
      <c r="C425" s="228"/>
      <c r="D425" s="594"/>
      <c r="E425" s="594"/>
      <c r="F425" s="594"/>
      <c r="G425" s="594"/>
      <c r="H425" s="594"/>
      <c r="I425" s="593"/>
      <c r="J425" s="593"/>
      <c r="K425" s="593"/>
    </row>
    <row r="426" spans="2:11">
      <c r="B426" s="228"/>
      <c r="C426" s="228"/>
      <c r="D426" s="594"/>
      <c r="E426" s="594"/>
      <c r="F426" s="594"/>
      <c r="G426" s="594"/>
      <c r="H426" s="594"/>
      <c r="I426" s="593"/>
      <c r="J426" s="593"/>
      <c r="K426" s="593"/>
    </row>
    <row r="427" spans="2:11">
      <c r="B427" s="228"/>
      <c r="C427" s="228"/>
      <c r="D427" s="594"/>
      <c r="E427" s="594"/>
      <c r="F427" s="594"/>
      <c r="G427" s="594"/>
      <c r="H427" s="594"/>
      <c r="I427" s="593"/>
      <c r="J427" s="593"/>
      <c r="K427" s="593"/>
    </row>
    <row r="428" spans="2:11">
      <c r="B428" s="228"/>
      <c r="C428" s="228"/>
      <c r="D428" s="594"/>
      <c r="E428" s="594"/>
      <c r="F428" s="594"/>
      <c r="G428" s="594"/>
      <c r="H428" s="594"/>
      <c r="I428" s="593"/>
      <c r="J428" s="593"/>
      <c r="K428" s="593"/>
    </row>
    <row r="429" spans="2:11">
      <c r="B429" s="228"/>
      <c r="C429" s="228"/>
      <c r="D429" s="594"/>
      <c r="E429" s="594"/>
      <c r="F429" s="594"/>
      <c r="G429" s="594"/>
      <c r="H429" s="594"/>
      <c r="I429" s="593"/>
      <c r="J429" s="593"/>
      <c r="K429" s="593"/>
    </row>
    <row r="430" spans="2:11">
      <c r="B430" s="228"/>
      <c r="C430" s="228"/>
      <c r="D430" s="594"/>
      <c r="E430" s="594"/>
      <c r="F430" s="594"/>
      <c r="G430" s="594"/>
      <c r="H430" s="594"/>
      <c r="I430" s="593"/>
      <c r="J430" s="593"/>
      <c r="K430" s="593"/>
    </row>
    <row r="431" spans="2:11">
      <c r="B431" s="228"/>
      <c r="C431" s="228"/>
      <c r="D431" s="594"/>
      <c r="E431" s="594"/>
      <c r="F431" s="594"/>
      <c r="G431" s="594"/>
      <c r="H431" s="594"/>
      <c r="I431" s="593"/>
      <c r="J431" s="593"/>
      <c r="K431" s="593"/>
    </row>
    <row r="432" spans="2:11">
      <c r="B432" s="228"/>
      <c r="C432" s="228"/>
      <c r="D432" s="594"/>
      <c r="E432" s="594"/>
      <c r="F432" s="594"/>
      <c r="G432" s="594"/>
      <c r="H432" s="594"/>
      <c r="I432" s="593"/>
      <c r="J432" s="593"/>
      <c r="K432" s="593"/>
    </row>
    <row r="433" spans="2:11">
      <c r="B433" s="228"/>
      <c r="C433" s="228"/>
      <c r="D433" s="594"/>
      <c r="E433" s="594"/>
      <c r="F433" s="594"/>
      <c r="G433" s="594"/>
      <c r="H433" s="594"/>
      <c r="I433" s="593"/>
      <c r="J433" s="593"/>
      <c r="K433" s="593"/>
    </row>
    <row r="434" spans="2:11">
      <c r="B434" s="228"/>
      <c r="C434" s="228"/>
      <c r="D434" s="594"/>
      <c r="E434" s="594"/>
      <c r="F434" s="594"/>
      <c r="G434" s="594"/>
      <c r="H434" s="594"/>
      <c r="I434" s="593"/>
      <c r="J434" s="593"/>
      <c r="K434" s="593"/>
    </row>
    <row r="435" spans="2:11">
      <c r="B435" s="228"/>
      <c r="C435" s="228"/>
      <c r="D435" s="594"/>
      <c r="E435" s="594"/>
      <c r="F435" s="594"/>
      <c r="G435" s="594"/>
      <c r="H435" s="594"/>
      <c r="I435" s="593"/>
      <c r="J435" s="593"/>
      <c r="K435" s="593"/>
    </row>
    <row r="436" spans="2:11">
      <c r="B436" s="228"/>
      <c r="C436" s="228"/>
      <c r="D436" s="594"/>
      <c r="E436" s="594"/>
      <c r="F436" s="594"/>
      <c r="G436" s="594"/>
      <c r="H436" s="594"/>
      <c r="I436" s="593"/>
      <c r="J436" s="593"/>
      <c r="K436" s="593"/>
    </row>
    <row r="437" spans="2:11">
      <c r="B437" s="228"/>
      <c r="C437" s="228"/>
      <c r="D437" s="594"/>
      <c r="E437" s="594"/>
      <c r="F437" s="594"/>
      <c r="G437" s="594"/>
      <c r="H437" s="594"/>
      <c r="I437" s="593"/>
      <c r="J437" s="593"/>
      <c r="K437" s="593"/>
    </row>
    <row r="438" spans="2:11">
      <c r="B438" s="228"/>
      <c r="C438" s="228"/>
      <c r="D438" s="594"/>
      <c r="E438" s="594"/>
      <c r="F438" s="594"/>
      <c r="G438" s="594"/>
      <c r="H438" s="594"/>
      <c r="I438" s="593"/>
      <c r="J438" s="593"/>
      <c r="K438" s="593"/>
    </row>
    <row r="439" spans="2:11">
      <c r="B439" s="228"/>
      <c r="C439" s="228"/>
      <c r="D439" s="594"/>
      <c r="E439" s="594"/>
      <c r="F439" s="594"/>
      <c r="G439" s="594"/>
      <c r="H439" s="594"/>
      <c r="I439" s="593"/>
      <c r="J439" s="593"/>
      <c r="K439" s="593"/>
    </row>
    <row r="440" spans="2:11">
      <c r="B440" s="228"/>
      <c r="C440" s="228"/>
      <c r="D440" s="594"/>
      <c r="E440" s="594"/>
      <c r="F440" s="594"/>
      <c r="G440" s="594"/>
      <c r="H440" s="594"/>
      <c r="I440" s="593"/>
      <c r="J440" s="593"/>
      <c r="K440" s="593"/>
    </row>
    <row r="441" spans="2:11">
      <c r="B441" s="228"/>
      <c r="C441" s="228"/>
      <c r="D441" s="594"/>
      <c r="E441" s="594"/>
      <c r="F441" s="594"/>
      <c r="G441" s="594"/>
      <c r="H441" s="594"/>
      <c r="I441" s="593"/>
      <c r="J441" s="593"/>
      <c r="K441" s="593"/>
    </row>
    <row r="442" spans="2:11">
      <c r="B442" s="228"/>
      <c r="C442" s="228"/>
      <c r="D442" s="594"/>
      <c r="E442" s="594"/>
      <c r="F442" s="594"/>
      <c r="G442" s="594"/>
      <c r="H442" s="594"/>
      <c r="I442" s="593"/>
      <c r="J442" s="593"/>
      <c r="K442" s="593"/>
    </row>
    <row r="443" spans="2:11">
      <c r="B443" s="228"/>
      <c r="C443" s="228"/>
      <c r="D443" s="594"/>
      <c r="E443" s="594"/>
      <c r="F443" s="594"/>
      <c r="G443" s="594"/>
      <c r="H443" s="594"/>
      <c r="I443" s="593"/>
      <c r="J443" s="593"/>
      <c r="K443" s="593"/>
    </row>
    <row r="444" spans="2:11">
      <c r="B444" s="228"/>
      <c r="C444" s="228"/>
      <c r="D444" s="594"/>
      <c r="E444" s="594"/>
      <c r="F444" s="594"/>
      <c r="G444" s="594"/>
      <c r="H444" s="594"/>
      <c r="I444" s="593"/>
      <c r="J444" s="593"/>
      <c r="K444" s="593"/>
    </row>
    <row r="445" spans="2:11">
      <c r="B445" s="228"/>
      <c r="C445" s="228"/>
      <c r="D445" s="594"/>
      <c r="E445" s="594"/>
      <c r="F445" s="594"/>
      <c r="G445" s="594"/>
      <c r="H445" s="594"/>
      <c r="I445" s="593"/>
      <c r="J445" s="593"/>
      <c r="K445" s="593"/>
    </row>
    <row r="446" spans="2:11">
      <c r="B446" s="228"/>
      <c r="C446" s="228"/>
      <c r="D446" s="594"/>
      <c r="E446" s="594"/>
      <c r="F446" s="594"/>
      <c r="G446" s="594"/>
      <c r="H446" s="594"/>
      <c r="I446" s="593"/>
      <c r="J446" s="593"/>
      <c r="K446" s="593"/>
    </row>
    <row r="447" spans="2:11">
      <c r="B447" s="228"/>
      <c r="C447" s="228"/>
      <c r="D447" s="594"/>
      <c r="E447" s="594"/>
      <c r="F447" s="594"/>
      <c r="G447" s="594"/>
      <c r="H447" s="594"/>
      <c r="I447" s="593"/>
      <c r="J447" s="593"/>
      <c r="K447" s="593"/>
    </row>
    <row r="448" spans="2:11">
      <c r="B448" s="228"/>
      <c r="C448" s="228"/>
      <c r="D448" s="594"/>
      <c r="E448" s="594"/>
      <c r="F448" s="594"/>
      <c r="G448" s="594"/>
      <c r="H448" s="594"/>
      <c r="I448" s="593"/>
      <c r="J448" s="593"/>
      <c r="K448" s="593"/>
    </row>
    <row r="449" spans="2:11">
      <c r="B449" s="228"/>
      <c r="C449" s="228"/>
      <c r="D449" s="594"/>
      <c r="E449" s="594"/>
      <c r="F449" s="594"/>
      <c r="G449" s="594"/>
      <c r="H449" s="594"/>
      <c r="I449" s="593"/>
      <c r="J449" s="593"/>
      <c r="K449" s="593"/>
    </row>
    <row r="450" spans="2:11">
      <c r="B450" s="228"/>
      <c r="C450" s="228"/>
      <c r="D450" s="594"/>
      <c r="E450" s="594"/>
      <c r="F450" s="594"/>
      <c r="G450" s="594"/>
      <c r="H450" s="594"/>
      <c r="I450" s="593"/>
      <c r="J450" s="593"/>
      <c r="K450" s="593"/>
    </row>
    <row r="451" spans="2:11">
      <c r="B451" s="228"/>
      <c r="C451" s="228"/>
      <c r="D451" s="594"/>
      <c r="E451" s="594"/>
      <c r="F451" s="594"/>
      <c r="G451" s="594"/>
      <c r="H451" s="594"/>
      <c r="I451" s="593"/>
      <c r="J451" s="593"/>
      <c r="K451" s="593"/>
    </row>
    <row r="452" spans="2:11">
      <c r="B452" s="228"/>
      <c r="C452" s="228"/>
      <c r="D452" s="594"/>
      <c r="E452" s="594"/>
      <c r="F452" s="594"/>
      <c r="G452" s="594"/>
      <c r="H452" s="594"/>
      <c r="I452" s="593"/>
      <c r="J452" s="593"/>
      <c r="K452" s="593"/>
    </row>
    <row r="453" spans="2:11">
      <c r="B453" s="228"/>
      <c r="C453" s="228"/>
      <c r="D453" s="594"/>
      <c r="E453" s="594"/>
      <c r="F453" s="594"/>
      <c r="G453" s="594"/>
      <c r="H453" s="594"/>
      <c r="I453" s="593"/>
      <c r="J453" s="593"/>
      <c r="K453" s="593"/>
    </row>
    <row r="454" spans="2:11">
      <c r="B454" s="228"/>
      <c r="C454" s="228"/>
      <c r="D454" s="594"/>
      <c r="E454" s="594"/>
      <c r="F454" s="594"/>
      <c r="G454" s="594"/>
      <c r="H454" s="594"/>
      <c r="I454" s="593"/>
      <c r="J454" s="593"/>
      <c r="K454" s="593"/>
    </row>
    <row r="455" spans="2:11">
      <c r="B455" s="228"/>
      <c r="C455" s="228"/>
      <c r="D455" s="594"/>
      <c r="E455" s="594"/>
      <c r="F455" s="594"/>
      <c r="G455" s="594"/>
      <c r="H455" s="594"/>
      <c r="I455" s="593"/>
      <c r="J455" s="593"/>
      <c r="K455" s="593"/>
    </row>
    <row r="456" spans="2:11">
      <c r="B456" s="228"/>
      <c r="C456" s="228"/>
      <c r="D456" s="594"/>
      <c r="E456" s="594"/>
      <c r="F456" s="594"/>
      <c r="G456" s="594"/>
      <c r="H456" s="594"/>
      <c r="I456" s="593"/>
      <c r="J456" s="593"/>
      <c r="K456" s="593"/>
    </row>
    <row r="457" spans="2:11">
      <c r="B457" s="228"/>
      <c r="C457" s="228"/>
      <c r="D457" s="594"/>
      <c r="E457" s="594"/>
      <c r="F457" s="594"/>
      <c r="G457" s="594"/>
      <c r="H457" s="594"/>
      <c r="I457" s="593"/>
      <c r="J457" s="593"/>
      <c r="K457" s="593"/>
    </row>
    <row r="458" spans="2:11">
      <c r="B458" s="228"/>
      <c r="C458" s="228"/>
      <c r="D458" s="594"/>
      <c r="E458" s="594"/>
      <c r="F458" s="594"/>
      <c r="G458" s="594"/>
      <c r="H458" s="594"/>
      <c r="I458" s="593"/>
      <c r="J458" s="593"/>
      <c r="K458" s="593"/>
    </row>
    <row r="459" spans="2:11">
      <c r="B459" s="228"/>
      <c r="C459" s="228"/>
      <c r="D459" s="594"/>
      <c r="E459" s="594"/>
      <c r="F459" s="594"/>
      <c r="G459" s="594"/>
      <c r="H459" s="594"/>
      <c r="I459" s="593"/>
      <c r="J459" s="593"/>
      <c r="K459" s="593"/>
    </row>
    <row r="460" spans="2:11">
      <c r="B460" s="228"/>
      <c r="C460" s="228"/>
      <c r="D460" s="594"/>
      <c r="E460" s="594"/>
      <c r="F460" s="594"/>
      <c r="G460" s="594"/>
      <c r="H460" s="594"/>
      <c r="I460" s="593"/>
      <c r="J460" s="593"/>
      <c r="K460" s="593"/>
    </row>
    <row r="461" spans="2:11">
      <c r="B461" s="228"/>
      <c r="C461" s="228"/>
      <c r="D461" s="594"/>
      <c r="E461" s="594"/>
      <c r="F461" s="594"/>
      <c r="G461" s="594"/>
      <c r="H461" s="594"/>
      <c r="I461" s="593"/>
      <c r="J461" s="593"/>
      <c r="K461" s="593"/>
    </row>
    <row r="462" spans="2:11">
      <c r="B462" s="228"/>
      <c r="C462" s="228"/>
      <c r="D462" s="594"/>
      <c r="E462" s="594"/>
      <c r="F462" s="594"/>
      <c r="G462" s="594"/>
      <c r="H462" s="594"/>
      <c r="I462" s="593"/>
      <c r="J462" s="593"/>
      <c r="K462" s="593"/>
    </row>
    <row r="463" spans="2:11">
      <c r="B463" s="228"/>
      <c r="C463" s="228"/>
      <c r="D463" s="594"/>
      <c r="E463" s="594"/>
      <c r="F463" s="594"/>
      <c r="G463" s="594"/>
      <c r="H463" s="594"/>
      <c r="I463" s="593"/>
      <c r="J463" s="593"/>
      <c r="K463" s="593"/>
    </row>
    <row r="464" spans="2:11">
      <c r="B464" s="228"/>
      <c r="C464" s="228"/>
      <c r="D464" s="594"/>
      <c r="E464" s="594"/>
      <c r="F464" s="594"/>
      <c r="G464" s="594"/>
      <c r="H464" s="594"/>
      <c r="I464" s="593"/>
      <c r="J464" s="593"/>
      <c r="K464" s="593"/>
    </row>
    <row r="465" spans="2:11">
      <c r="B465" s="228"/>
      <c r="C465" s="228"/>
      <c r="D465" s="594"/>
      <c r="E465" s="594"/>
      <c r="F465" s="594"/>
      <c r="G465" s="594"/>
      <c r="H465" s="594"/>
      <c r="I465" s="593"/>
      <c r="J465" s="593"/>
      <c r="K465" s="593"/>
    </row>
    <row r="466" spans="2:11">
      <c r="B466" s="228"/>
      <c r="C466" s="228"/>
      <c r="D466" s="594"/>
      <c r="E466" s="594"/>
      <c r="F466" s="594"/>
      <c r="G466" s="594"/>
      <c r="H466" s="594"/>
      <c r="I466" s="593"/>
      <c r="J466" s="593"/>
      <c r="K466" s="593"/>
    </row>
    <row r="467" spans="2:11">
      <c r="B467" s="228"/>
      <c r="C467" s="228"/>
      <c r="D467" s="594"/>
      <c r="E467" s="594"/>
      <c r="F467" s="594"/>
      <c r="G467" s="594"/>
      <c r="H467" s="594"/>
      <c r="I467" s="593"/>
      <c r="J467" s="593"/>
      <c r="K467" s="593"/>
    </row>
    <row r="468" spans="2:11">
      <c r="B468" s="228"/>
      <c r="C468" s="228"/>
      <c r="D468" s="594"/>
      <c r="E468" s="594"/>
      <c r="F468" s="594"/>
      <c r="G468" s="594"/>
      <c r="H468" s="594"/>
      <c r="I468" s="593"/>
      <c r="J468" s="593"/>
      <c r="K468" s="593"/>
    </row>
    <row r="469" spans="2:11">
      <c r="B469" s="228"/>
      <c r="C469" s="228"/>
      <c r="D469" s="594"/>
      <c r="E469" s="594"/>
      <c r="F469" s="594"/>
      <c r="G469" s="594"/>
      <c r="H469" s="594"/>
      <c r="I469" s="593"/>
      <c r="J469" s="593"/>
      <c r="K469" s="593"/>
    </row>
    <row r="470" spans="2:11">
      <c r="B470" s="228"/>
      <c r="C470" s="228"/>
      <c r="D470" s="594"/>
      <c r="E470" s="594"/>
      <c r="F470" s="594"/>
      <c r="G470" s="594"/>
      <c r="H470" s="594"/>
      <c r="I470" s="593"/>
      <c r="J470" s="593"/>
      <c r="K470" s="593"/>
    </row>
    <row r="471" spans="2:11">
      <c r="B471" s="228"/>
      <c r="C471" s="228"/>
      <c r="D471" s="594"/>
      <c r="E471" s="594"/>
      <c r="F471" s="594"/>
      <c r="G471" s="594"/>
      <c r="H471" s="594"/>
      <c r="I471" s="593"/>
      <c r="J471" s="593"/>
      <c r="K471" s="593"/>
    </row>
    <row r="472" spans="2:11">
      <c r="B472" s="228"/>
      <c r="C472" s="228"/>
      <c r="D472" s="594"/>
      <c r="E472" s="594"/>
      <c r="F472" s="594"/>
      <c r="G472" s="594"/>
      <c r="H472" s="594"/>
      <c r="I472" s="593"/>
      <c r="J472" s="593"/>
      <c r="K472" s="593"/>
    </row>
    <row r="473" spans="2:11">
      <c r="B473" s="228"/>
      <c r="C473" s="228"/>
      <c r="D473" s="594"/>
      <c r="E473" s="594"/>
      <c r="F473" s="594"/>
      <c r="G473" s="594"/>
      <c r="H473" s="594"/>
      <c r="I473" s="593"/>
      <c r="J473" s="593"/>
      <c r="K473" s="593"/>
    </row>
    <row r="474" spans="2:11">
      <c r="B474" s="228"/>
      <c r="C474" s="228"/>
      <c r="D474" s="594"/>
      <c r="E474" s="594"/>
      <c r="F474" s="594"/>
      <c r="G474" s="594"/>
      <c r="H474" s="594"/>
      <c r="I474" s="593"/>
      <c r="J474" s="593"/>
      <c r="K474" s="593"/>
    </row>
    <row r="475" spans="2:11">
      <c r="B475" s="228"/>
      <c r="C475" s="228"/>
      <c r="D475" s="594"/>
      <c r="E475" s="594"/>
      <c r="F475" s="594"/>
      <c r="G475" s="594"/>
      <c r="H475" s="594"/>
      <c r="I475" s="593"/>
      <c r="J475" s="593"/>
      <c r="K475" s="593"/>
    </row>
    <row r="476" spans="2:11">
      <c r="B476" s="228"/>
      <c r="C476" s="228"/>
      <c r="D476" s="594"/>
      <c r="E476" s="594"/>
      <c r="F476" s="594"/>
      <c r="G476" s="594"/>
      <c r="H476" s="594"/>
      <c r="I476" s="593"/>
      <c r="J476" s="593"/>
      <c r="K476" s="593"/>
    </row>
    <row r="477" spans="2:11">
      <c r="B477" s="228"/>
      <c r="C477" s="228"/>
      <c r="D477" s="594"/>
      <c r="E477" s="594"/>
      <c r="F477" s="594"/>
      <c r="G477" s="594"/>
      <c r="H477" s="594"/>
      <c r="I477" s="593"/>
      <c r="J477" s="593"/>
      <c r="K477" s="593"/>
    </row>
    <row r="478" spans="2:11">
      <c r="B478" s="228"/>
      <c r="C478" s="228"/>
      <c r="D478" s="594"/>
      <c r="E478" s="594"/>
      <c r="F478" s="594"/>
      <c r="G478" s="594"/>
      <c r="H478" s="594"/>
      <c r="I478" s="593"/>
      <c r="J478" s="593"/>
      <c r="K478" s="593"/>
    </row>
    <row r="479" spans="2:11">
      <c r="B479" s="228"/>
      <c r="C479" s="228"/>
      <c r="D479" s="594"/>
      <c r="E479" s="594"/>
      <c r="F479" s="594"/>
      <c r="G479" s="594"/>
      <c r="H479" s="594"/>
      <c r="I479" s="593"/>
      <c r="J479" s="593"/>
      <c r="K479" s="593"/>
    </row>
    <row r="480" spans="2:11">
      <c r="B480" s="228"/>
      <c r="C480" s="228"/>
      <c r="D480" s="594"/>
      <c r="E480" s="594"/>
      <c r="F480" s="594"/>
      <c r="G480" s="594"/>
      <c r="H480" s="594"/>
      <c r="I480" s="593"/>
      <c r="J480" s="593"/>
      <c r="K480" s="593"/>
    </row>
    <row r="481" spans="2:11">
      <c r="B481" s="228"/>
      <c r="C481" s="228"/>
      <c r="D481" s="594"/>
      <c r="E481" s="594"/>
      <c r="F481" s="594"/>
      <c r="G481" s="594"/>
      <c r="H481" s="594"/>
      <c r="I481" s="593"/>
      <c r="J481" s="593"/>
      <c r="K481" s="593"/>
    </row>
    <row r="482" spans="2:11">
      <c r="B482" s="228"/>
      <c r="C482" s="228"/>
      <c r="D482" s="594"/>
      <c r="E482" s="594"/>
      <c r="F482" s="594"/>
      <c r="G482" s="594"/>
      <c r="H482" s="594"/>
      <c r="I482" s="593"/>
      <c r="J482" s="593"/>
      <c r="K482" s="593"/>
    </row>
    <row r="483" spans="2:11">
      <c r="B483" s="228"/>
      <c r="C483" s="228"/>
      <c r="D483" s="594"/>
      <c r="E483" s="594"/>
      <c r="F483" s="594"/>
      <c r="G483" s="594"/>
      <c r="H483" s="594"/>
      <c r="I483" s="593"/>
      <c r="J483" s="593"/>
      <c r="K483" s="593"/>
    </row>
    <row r="484" spans="2:11">
      <c r="B484" s="228"/>
      <c r="C484" s="228"/>
      <c r="D484" s="594"/>
      <c r="E484" s="594"/>
      <c r="F484" s="594"/>
      <c r="G484" s="594"/>
      <c r="H484" s="594"/>
      <c r="I484" s="593"/>
      <c r="J484" s="593"/>
      <c r="K484" s="593"/>
    </row>
    <row r="485" spans="2:11">
      <c r="B485" s="228"/>
      <c r="C485" s="228"/>
      <c r="D485" s="594"/>
      <c r="E485" s="594"/>
      <c r="F485" s="594"/>
      <c r="G485" s="594"/>
      <c r="H485" s="594"/>
      <c r="I485" s="593"/>
      <c r="J485" s="593"/>
      <c r="K485" s="593"/>
    </row>
    <row r="486" spans="2:11">
      <c r="B486" s="228"/>
      <c r="C486" s="228"/>
      <c r="D486" s="594"/>
      <c r="E486" s="594"/>
      <c r="F486" s="594"/>
      <c r="G486" s="594"/>
      <c r="H486" s="594"/>
      <c r="I486" s="593"/>
      <c r="J486" s="593"/>
      <c r="K486" s="593"/>
    </row>
    <row r="487" spans="2:11">
      <c r="B487" s="228"/>
      <c r="C487" s="228"/>
      <c r="D487" s="594"/>
      <c r="E487" s="594"/>
      <c r="F487" s="594"/>
      <c r="G487" s="594"/>
      <c r="H487" s="594"/>
      <c r="I487" s="593"/>
      <c r="J487" s="593"/>
      <c r="K487" s="593"/>
    </row>
    <row r="488" spans="2:11">
      <c r="B488" s="228"/>
      <c r="C488" s="228"/>
      <c r="D488" s="594"/>
      <c r="E488" s="594"/>
      <c r="F488" s="594"/>
      <c r="G488" s="594"/>
      <c r="H488" s="594"/>
      <c r="I488" s="593"/>
      <c r="J488" s="593"/>
      <c r="K488" s="593"/>
    </row>
    <row r="489" spans="2:11">
      <c r="B489" s="228"/>
      <c r="C489" s="228"/>
      <c r="D489" s="594"/>
      <c r="E489" s="594"/>
      <c r="F489" s="594"/>
      <c r="G489" s="594"/>
      <c r="H489" s="594"/>
      <c r="I489" s="593"/>
      <c r="J489" s="593"/>
      <c r="K489" s="593"/>
    </row>
    <row r="490" spans="2:11">
      <c r="B490" s="228"/>
      <c r="C490" s="228"/>
      <c r="D490" s="594"/>
      <c r="E490" s="594"/>
      <c r="F490" s="594"/>
      <c r="G490" s="594"/>
      <c r="H490" s="594"/>
      <c r="I490" s="593"/>
      <c r="J490" s="593"/>
      <c r="K490" s="593"/>
    </row>
    <row r="491" spans="2:11">
      <c r="B491" s="228"/>
      <c r="C491" s="228"/>
      <c r="D491" s="594"/>
      <c r="E491" s="594"/>
      <c r="F491" s="594"/>
      <c r="G491" s="594"/>
      <c r="H491" s="594"/>
      <c r="I491" s="593"/>
      <c r="J491" s="593"/>
      <c r="K491" s="593"/>
    </row>
    <row r="492" spans="2:11">
      <c r="B492" s="228"/>
      <c r="C492" s="228"/>
      <c r="D492" s="594"/>
      <c r="E492" s="594"/>
      <c r="F492" s="594"/>
      <c r="G492" s="594"/>
      <c r="H492" s="594"/>
      <c r="I492" s="593"/>
      <c r="J492" s="593"/>
      <c r="K492" s="593"/>
    </row>
    <row r="493" spans="2:11">
      <c r="B493" s="228"/>
      <c r="C493" s="228"/>
      <c r="D493" s="594"/>
      <c r="E493" s="594"/>
      <c r="F493" s="594"/>
      <c r="G493" s="594"/>
      <c r="H493" s="594"/>
      <c r="I493" s="593"/>
      <c r="J493" s="593"/>
      <c r="K493" s="593"/>
    </row>
    <row r="494" spans="2:11">
      <c r="B494" s="228"/>
      <c r="C494" s="228"/>
      <c r="D494" s="594"/>
      <c r="E494" s="594"/>
      <c r="F494" s="594"/>
      <c r="G494" s="594"/>
      <c r="H494" s="594"/>
      <c r="I494" s="593"/>
      <c r="J494" s="593"/>
      <c r="K494" s="593"/>
    </row>
    <row r="495" spans="2:11">
      <c r="B495" s="228"/>
      <c r="C495" s="228"/>
      <c r="D495" s="594"/>
      <c r="E495" s="594"/>
      <c r="F495" s="594"/>
      <c r="G495" s="594"/>
      <c r="H495" s="594"/>
      <c r="I495" s="593"/>
      <c r="J495" s="593"/>
      <c r="K495" s="593"/>
    </row>
    <row r="496" spans="2:11">
      <c r="B496" s="228"/>
      <c r="C496" s="228"/>
      <c r="D496" s="594"/>
      <c r="E496" s="594"/>
      <c r="F496" s="594"/>
      <c r="G496" s="594"/>
      <c r="H496" s="594"/>
      <c r="I496" s="593"/>
      <c r="J496" s="593"/>
      <c r="K496" s="593"/>
    </row>
    <row r="497" spans="2:11">
      <c r="B497" s="228"/>
      <c r="C497" s="228"/>
      <c r="D497" s="594"/>
      <c r="E497" s="594"/>
      <c r="F497" s="594"/>
      <c r="G497" s="594"/>
      <c r="H497" s="594"/>
      <c r="I497" s="593"/>
      <c r="J497" s="593"/>
      <c r="K497" s="593"/>
    </row>
    <row r="498" spans="2:11">
      <c r="B498" s="228"/>
      <c r="C498" s="228"/>
      <c r="D498" s="594"/>
      <c r="E498" s="594"/>
      <c r="F498" s="594"/>
      <c r="G498" s="594"/>
      <c r="H498" s="594"/>
      <c r="I498" s="593"/>
      <c r="J498" s="593"/>
      <c r="K498" s="593"/>
    </row>
    <row r="499" spans="2:11">
      <c r="B499" s="228"/>
      <c r="C499" s="228"/>
      <c r="D499" s="594"/>
      <c r="E499" s="594"/>
      <c r="F499" s="594"/>
      <c r="G499" s="594"/>
      <c r="H499" s="594"/>
      <c r="I499" s="593"/>
      <c r="J499" s="593"/>
      <c r="K499" s="593"/>
    </row>
    <row r="500" spans="2:11">
      <c r="B500" s="228"/>
      <c r="C500" s="228"/>
      <c r="D500" s="594"/>
      <c r="E500" s="594"/>
      <c r="F500" s="594"/>
      <c r="G500" s="594"/>
      <c r="H500" s="594"/>
      <c r="I500" s="593"/>
      <c r="J500" s="593"/>
      <c r="K500" s="593"/>
    </row>
    <row r="501" spans="2:11">
      <c r="B501" s="228"/>
      <c r="C501" s="228"/>
      <c r="D501" s="594"/>
      <c r="E501" s="594"/>
      <c r="F501" s="594"/>
      <c r="G501" s="594"/>
      <c r="H501" s="594"/>
      <c r="I501" s="593"/>
      <c r="J501" s="593"/>
      <c r="K501" s="593"/>
    </row>
    <row r="502" spans="2:11">
      <c r="B502" s="228"/>
      <c r="C502" s="228"/>
      <c r="D502" s="594"/>
      <c r="E502" s="594"/>
      <c r="F502" s="594"/>
      <c r="G502" s="594"/>
      <c r="H502" s="594"/>
      <c r="I502" s="593"/>
      <c r="J502" s="593"/>
      <c r="K502" s="593"/>
    </row>
    <row r="503" spans="2:11">
      <c r="B503" s="228"/>
      <c r="C503" s="228"/>
      <c r="D503" s="594"/>
      <c r="E503" s="594"/>
      <c r="F503" s="594"/>
      <c r="G503" s="594"/>
      <c r="H503" s="594"/>
      <c r="I503" s="593"/>
      <c r="J503" s="593"/>
      <c r="K503" s="593"/>
    </row>
    <row r="504" spans="2:11">
      <c r="B504" s="228"/>
      <c r="C504" s="228"/>
      <c r="D504" s="594"/>
      <c r="E504" s="594"/>
      <c r="F504" s="594"/>
      <c r="G504" s="594"/>
      <c r="H504" s="594"/>
      <c r="I504" s="593"/>
      <c r="J504" s="593"/>
      <c r="K504" s="593"/>
    </row>
    <row r="505" spans="2:11">
      <c r="B505" s="228"/>
      <c r="C505" s="228"/>
      <c r="D505" s="594"/>
      <c r="E505" s="594"/>
      <c r="F505" s="594"/>
      <c r="G505" s="594"/>
      <c r="H505" s="594"/>
      <c r="I505" s="593"/>
      <c r="J505" s="593"/>
      <c r="K505" s="593"/>
    </row>
    <row r="506" spans="2:11">
      <c r="B506" s="228"/>
      <c r="C506" s="228"/>
      <c r="D506" s="594"/>
      <c r="E506" s="594"/>
      <c r="F506" s="594"/>
      <c r="G506" s="594"/>
      <c r="H506" s="594"/>
      <c r="I506" s="593"/>
      <c r="J506" s="593"/>
      <c r="K506" s="593"/>
    </row>
    <row r="507" spans="2:11">
      <c r="B507" s="228"/>
      <c r="C507" s="228"/>
      <c r="D507" s="594"/>
      <c r="E507" s="594"/>
      <c r="F507" s="594"/>
      <c r="G507" s="594"/>
      <c r="H507" s="594"/>
      <c r="I507" s="593"/>
      <c r="J507" s="593"/>
      <c r="K507" s="593"/>
    </row>
    <row r="508" spans="2:11">
      <c r="B508" s="228"/>
      <c r="C508" s="228"/>
      <c r="D508" s="594"/>
      <c r="E508" s="594"/>
      <c r="F508" s="594"/>
      <c r="G508" s="594"/>
      <c r="H508" s="594"/>
      <c r="I508" s="593"/>
      <c r="J508" s="593"/>
      <c r="K508" s="593"/>
    </row>
    <row r="509" spans="2:11">
      <c r="B509" s="228"/>
      <c r="C509" s="228"/>
      <c r="D509" s="594"/>
      <c r="E509" s="594"/>
      <c r="F509" s="594"/>
      <c r="G509" s="594"/>
      <c r="H509" s="594"/>
      <c r="I509" s="593"/>
      <c r="J509" s="593"/>
      <c r="K509" s="593"/>
    </row>
    <row r="510" spans="2:11">
      <c r="B510" s="228"/>
      <c r="C510" s="228"/>
      <c r="D510" s="594"/>
      <c r="E510" s="594"/>
      <c r="F510" s="594"/>
      <c r="G510" s="594"/>
      <c r="H510" s="594"/>
      <c r="I510" s="593"/>
      <c r="J510" s="593"/>
      <c r="K510" s="593"/>
    </row>
    <row r="511" spans="2:11">
      <c r="B511" s="228"/>
      <c r="C511" s="228"/>
      <c r="D511" s="594"/>
      <c r="E511" s="594"/>
      <c r="F511" s="594"/>
      <c r="G511" s="594"/>
      <c r="H511" s="594"/>
      <c r="I511" s="593"/>
      <c r="J511" s="593"/>
      <c r="K511" s="593"/>
    </row>
    <row r="512" spans="2:11">
      <c r="B512" s="228"/>
      <c r="C512" s="228"/>
      <c r="D512" s="594"/>
      <c r="E512" s="594"/>
      <c r="F512" s="594"/>
      <c r="G512" s="594"/>
      <c r="H512" s="594"/>
      <c r="I512" s="593"/>
      <c r="J512" s="593"/>
      <c r="K512" s="593"/>
    </row>
    <row r="513" spans="2:11">
      <c r="B513" s="228"/>
      <c r="C513" s="228"/>
      <c r="D513" s="594"/>
      <c r="E513" s="594"/>
      <c r="F513" s="594"/>
      <c r="G513" s="594"/>
      <c r="H513" s="594"/>
      <c r="I513" s="593"/>
      <c r="J513" s="593"/>
      <c r="K513" s="593"/>
    </row>
    <row r="514" spans="2:11">
      <c r="B514" s="228"/>
      <c r="C514" s="228"/>
      <c r="D514" s="594"/>
      <c r="E514" s="594"/>
      <c r="F514" s="594"/>
      <c r="G514" s="594"/>
      <c r="H514" s="594"/>
      <c r="I514" s="593"/>
      <c r="J514" s="593"/>
      <c r="K514" s="593"/>
    </row>
    <row r="515" spans="2:11">
      <c r="B515" s="228"/>
      <c r="C515" s="228"/>
      <c r="D515" s="594"/>
      <c r="E515" s="594"/>
      <c r="F515" s="594"/>
      <c r="G515" s="594"/>
      <c r="H515" s="594"/>
      <c r="I515" s="593"/>
      <c r="J515" s="593"/>
      <c r="K515" s="593"/>
    </row>
    <row r="516" spans="2:11">
      <c r="B516" s="228"/>
      <c r="C516" s="228"/>
      <c r="D516" s="594"/>
      <c r="E516" s="594"/>
      <c r="F516" s="594"/>
      <c r="G516" s="594"/>
      <c r="H516" s="594"/>
      <c r="I516" s="593"/>
      <c r="J516" s="593"/>
      <c r="K516" s="593"/>
    </row>
    <row r="517" spans="2:11">
      <c r="B517" s="228"/>
      <c r="C517" s="228"/>
      <c r="D517" s="594"/>
      <c r="E517" s="594"/>
      <c r="F517" s="594"/>
      <c r="G517" s="594"/>
      <c r="H517" s="594"/>
      <c r="I517" s="593"/>
      <c r="J517" s="593"/>
      <c r="K517" s="593"/>
    </row>
    <row r="518" spans="2:11">
      <c r="B518" s="228"/>
      <c r="C518" s="228"/>
      <c r="D518" s="594"/>
      <c r="E518" s="594"/>
      <c r="F518" s="594"/>
      <c r="G518" s="594"/>
      <c r="H518" s="594"/>
      <c r="I518" s="593"/>
      <c r="J518" s="593"/>
      <c r="K518" s="593"/>
    </row>
    <row r="519" spans="2:11">
      <c r="B519" s="228"/>
      <c r="C519" s="228"/>
      <c r="D519" s="594"/>
      <c r="E519" s="594"/>
      <c r="F519" s="594"/>
      <c r="G519" s="594"/>
      <c r="H519" s="594"/>
      <c r="I519" s="593"/>
      <c r="J519" s="593"/>
      <c r="K519" s="593"/>
    </row>
    <row r="520" spans="2:11">
      <c r="B520" s="228"/>
      <c r="C520" s="228"/>
      <c r="D520" s="594"/>
      <c r="E520" s="594"/>
      <c r="F520" s="594"/>
      <c r="G520" s="594"/>
      <c r="H520" s="594"/>
      <c r="I520" s="593"/>
      <c r="J520" s="593"/>
      <c r="K520" s="593"/>
    </row>
    <row r="521" spans="2:11">
      <c r="B521" s="228"/>
      <c r="C521" s="228"/>
      <c r="D521" s="594"/>
      <c r="E521" s="594"/>
      <c r="F521" s="594"/>
      <c r="G521" s="594"/>
      <c r="H521" s="594"/>
      <c r="I521" s="593"/>
      <c r="J521" s="593"/>
      <c r="K521" s="593"/>
    </row>
    <row r="522" spans="2:11">
      <c r="B522" s="228"/>
      <c r="C522" s="228"/>
      <c r="D522" s="594"/>
      <c r="E522" s="594"/>
      <c r="F522" s="594"/>
      <c r="G522" s="594"/>
      <c r="H522" s="594"/>
      <c r="I522" s="593"/>
      <c r="J522" s="593"/>
      <c r="K522" s="593"/>
    </row>
    <row r="523" spans="2:11">
      <c r="B523" s="228"/>
      <c r="C523" s="228"/>
      <c r="D523" s="594"/>
      <c r="E523" s="594"/>
      <c r="F523" s="594"/>
      <c r="G523" s="594"/>
      <c r="H523" s="594"/>
      <c r="I523" s="593"/>
      <c r="J523" s="593"/>
      <c r="K523" s="593"/>
    </row>
    <row r="524" spans="2:11">
      <c r="B524" s="228"/>
      <c r="C524" s="228"/>
      <c r="D524" s="594"/>
      <c r="E524" s="594"/>
      <c r="F524" s="594"/>
      <c r="G524" s="594"/>
      <c r="H524" s="594"/>
      <c r="I524" s="593"/>
      <c r="J524" s="593"/>
      <c r="K524" s="593"/>
    </row>
    <row r="525" spans="2:11">
      <c r="B525" s="228"/>
      <c r="C525" s="228"/>
      <c r="D525" s="594"/>
      <c r="E525" s="594"/>
      <c r="F525" s="594"/>
      <c r="G525" s="594"/>
      <c r="H525" s="594"/>
      <c r="I525" s="593"/>
      <c r="J525" s="593"/>
      <c r="K525" s="593"/>
    </row>
    <row r="526" spans="2:11">
      <c r="B526" s="228"/>
      <c r="C526" s="228"/>
      <c r="D526" s="594"/>
      <c r="E526" s="594"/>
      <c r="F526" s="594"/>
      <c r="G526" s="594"/>
      <c r="H526" s="594"/>
      <c r="I526" s="593"/>
      <c r="J526" s="593"/>
      <c r="K526" s="593"/>
    </row>
    <row r="527" spans="2:11">
      <c r="B527" s="228"/>
      <c r="C527" s="228"/>
      <c r="D527" s="594"/>
      <c r="E527" s="594"/>
      <c r="F527" s="594"/>
      <c r="G527" s="594"/>
      <c r="H527" s="594"/>
      <c r="I527" s="593"/>
      <c r="J527" s="593"/>
      <c r="K527" s="593"/>
    </row>
    <row r="528" spans="2:11">
      <c r="B528" s="228"/>
      <c r="C528" s="228"/>
      <c r="D528" s="594"/>
      <c r="E528" s="594"/>
      <c r="F528" s="594"/>
      <c r="G528" s="594"/>
      <c r="H528" s="594"/>
      <c r="I528" s="593"/>
      <c r="J528" s="593"/>
      <c r="K528" s="593"/>
    </row>
    <row r="529" spans="2:11">
      <c r="B529" s="228"/>
      <c r="C529" s="228"/>
      <c r="D529" s="594"/>
      <c r="E529" s="594"/>
      <c r="F529" s="594"/>
      <c r="G529" s="594"/>
      <c r="H529" s="594"/>
      <c r="I529" s="593"/>
      <c r="J529" s="593"/>
      <c r="K529" s="593"/>
    </row>
    <row r="530" spans="2:11">
      <c r="B530" s="228"/>
      <c r="C530" s="228"/>
      <c r="D530" s="594"/>
      <c r="E530" s="594"/>
      <c r="F530" s="594"/>
      <c r="G530" s="594"/>
      <c r="H530" s="594"/>
      <c r="I530" s="593"/>
      <c r="J530" s="593"/>
      <c r="K530" s="593"/>
    </row>
    <row r="531" spans="2:11">
      <c r="B531" s="228"/>
      <c r="C531" s="228"/>
      <c r="D531" s="594"/>
      <c r="E531" s="594"/>
      <c r="F531" s="594"/>
      <c r="G531" s="594"/>
      <c r="H531" s="594"/>
      <c r="I531" s="593"/>
      <c r="J531" s="593"/>
      <c r="K531" s="593"/>
    </row>
    <row r="532" spans="2:11">
      <c r="B532" s="228"/>
      <c r="C532" s="228"/>
      <c r="D532" s="594"/>
      <c r="E532" s="594"/>
      <c r="F532" s="594"/>
      <c r="G532" s="594"/>
      <c r="H532" s="594"/>
      <c r="I532" s="593"/>
      <c r="J532" s="593"/>
      <c r="K532" s="593"/>
    </row>
    <row r="533" spans="2:11">
      <c r="B533" s="228"/>
      <c r="C533" s="228"/>
      <c r="D533" s="594"/>
      <c r="E533" s="594"/>
      <c r="F533" s="594"/>
      <c r="G533" s="594"/>
      <c r="H533" s="594"/>
      <c r="I533" s="593"/>
      <c r="J533" s="593"/>
      <c r="K533" s="593"/>
    </row>
    <row r="534" spans="2:11">
      <c r="B534" s="228"/>
      <c r="C534" s="228"/>
      <c r="D534" s="594"/>
      <c r="E534" s="594"/>
      <c r="F534" s="594"/>
      <c r="G534" s="594"/>
      <c r="H534" s="594"/>
      <c r="I534" s="593"/>
      <c r="J534" s="593"/>
      <c r="K534" s="593"/>
    </row>
    <row r="535" spans="2:11">
      <c r="B535" s="228"/>
      <c r="C535" s="228"/>
      <c r="D535" s="594"/>
      <c r="E535" s="594"/>
      <c r="F535" s="594"/>
      <c r="G535" s="594"/>
      <c r="H535" s="594"/>
      <c r="I535" s="593"/>
      <c r="J535" s="593"/>
      <c r="K535" s="593"/>
    </row>
    <row r="536" spans="2:11">
      <c r="B536" s="228"/>
      <c r="C536" s="228"/>
      <c r="D536" s="594"/>
      <c r="E536" s="594"/>
      <c r="F536" s="594"/>
      <c r="G536" s="594"/>
      <c r="H536" s="594"/>
      <c r="I536" s="593"/>
      <c r="J536" s="593"/>
      <c r="K536" s="593"/>
    </row>
    <row r="537" spans="2:11">
      <c r="B537" s="228"/>
      <c r="C537" s="228"/>
      <c r="D537" s="594"/>
      <c r="E537" s="594"/>
      <c r="F537" s="594"/>
      <c r="G537" s="594"/>
      <c r="H537" s="594"/>
      <c r="I537" s="593"/>
      <c r="J537" s="593"/>
      <c r="K537" s="593"/>
    </row>
    <row r="538" spans="2:11">
      <c r="B538" s="228"/>
      <c r="C538" s="228"/>
      <c r="D538" s="594"/>
      <c r="E538" s="594"/>
      <c r="F538" s="594"/>
      <c r="G538" s="594"/>
      <c r="H538" s="594"/>
      <c r="I538" s="593"/>
      <c r="J538" s="593"/>
      <c r="K538" s="593"/>
    </row>
    <row r="539" spans="2:11">
      <c r="B539" s="228"/>
      <c r="C539" s="228"/>
      <c r="D539" s="594"/>
      <c r="E539" s="594"/>
      <c r="F539" s="594"/>
      <c r="G539" s="594"/>
      <c r="H539" s="594"/>
      <c r="I539" s="593"/>
      <c r="J539" s="593"/>
      <c r="K539" s="593"/>
    </row>
    <row r="540" spans="2:11">
      <c r="B540" s="228"/>
      <c r="C540" s="228"/>
      <c r="D540" s="594"/>
      <c r="E540" s="594"/>
      <c r="F540" s="594"/>
      <c r="G540" s="594"/>
      <c r="H540" s="594"/>
      <c r="I540" s="593"/>
      <c r="J540" s="593"/>
      <c r="K540" s="593"/>
    </row>
    <row r="541" spans="2:11">
      <c r="B541" s="228"/>
      <c r="C541" s="228"/>
      <c r="D541" s="594"/>
      <c r="E541" s="594"/>
      <c r="F541" s="594"/>
      <c r="G541" s="594"/>
      <c r="H541" s="594"/>
      <c r="I541" s="593"/>
      <c r="J541" s="593"/>
      <c r="K541" s="593"/>
    </row>
    <row r="542" spans="2:11">
      <c r="B542" s="228"/>
      <c r="C542" s="228"/>
      <c r="D542" s="594"/>
      <c r="E542" s="594"/>
      <c r="F542" s="594"/>
      <c r="G542" s="594"/>
      <c r="H542" s="594"/>
      <c r="I542" s="593"/>
      <c r="J542" s="593"/>
      <c r="K542" s="593"/>
    </row>
    <row r="543" spans="2:11">
      <c r="B543" s="228"/>
      <c r="C543" s="228"/>
      <c r="D543" s="594"/>
      <c r="E543" s="594"/>
      <c r="F543" s="594"/>
      <c r="G543" s="594"/>
      <c r="H543" s="594"/>
      <c r="I543" s="593"/>
      <c r="J543" s="593"/>
      <c r="K543" s="593"/>
    </row>
    <row r="544" spans="2:11">
      <c r="B544" s="228"/>
      <c r="C544" s="228"/>
      <c r="D544" s="594"/>
      <c r="E544" s="594"/>
      <c r="F544" s="594"/>
      <c r="G544" s="594"/>
      <c r="H544" s="594"/>
      <c r="I544" s="593"/>
      <c r="J544" s="593"/>
      <c r="K544" s="593"/>
    </row>
    <row r="545" spans="2:11">
      <c r="B545" s="228"/>
      <c r="C545" s="228"/>
      <c r="D545" s="594"/>
      <c r="E545" s="594"/>
      <c r="F545" s="594"/>
      <c r="G545" s="594"/>
      <c r="H545" s="594"/>
      <c r="I545" s="593"/>
      <c r="J545" s="593"/>
      <c r="K545" s="593"/>
    </row>
    <row r="546" spans="2:11">
      <c r="B546" s="228"/>
      <c r="C546" s="228"/>
      <c r="D546" s="594"/>
      <c r="E546" s="594"/>
      <c r="F546" s="594"/>
      <c r="G546" s="594"/>
      <c r="H546" s="594"/>
      <c r="I546" s="593"/>
      <c r="J546" s="593"/>
      <c r="K546" s="593"/>
    </row>
    <row r="547" spans="2:11">
      <c r="B547" s="228"/>
      <c r="C547" s="228"/>
      <c r="D547" s="594"/>
      <c r="E547" s="594"/>
      <c r="F547" s="594"/>
      <c r="G547" s="594"/>
      <c r="H547" s="594"/>
      <c r="I547" s="593"/>
      <c r="J547" s="593"/>
      <c r="K547" s="593"/>
    </row>
    <row r="548" spans="2:11">
      <c r="B548" s="228"/>
      <c r="C548" s="228"/>
      <c r="D548" s="594"/>
      <c r="E548" s="594"/>
      <c r="F548" s="594"/>
      <c r="G548" s="594"/>
      <c r="H548" s="594"/>
      <c r="I548" s="593"/>
      <c r="J548" s="593"/>
      <c r="K548" s="593"/>
    </row>
    <row r="549" spans="2:11">
      <c r="B549" s="228"/>
      <c r="C549" s="228"/>
      <c r="D549" s="594"/>
      <c r="E549" s="594"/>
      <c r="F549" s="594"/>
      <c r="G549" s="594"/>
      <c r="H549" s="594"/>
      <c r="I549" s="593"/>
      <c r="J549" s="593"/>
      <c r="K549" s="593"/>
    </row>
    <row r="550" spans="2:11">
      <c r="B550" s="228"/>
      <c r="C550" s="228"/>
      <c r="D550" s="594"/>
      <c r="E550" s="594"/>
      <c r="F550" s="594"/>
      <c r="G550" s="594"/>
      <c r="H550" s="594"/>
      <c r="I550" s="593"/>
      <c r="J550" s="593"/>
      <c r="K550" s="593"/>
    </row>
    <row r="551" spans="2:11">
      <c r="B551" s="228"/>
      <c r="C551" s="228"/>
      <c r="D551" s="594"/>
      <c r="E551" s="594"/>
      <c r="F551" s="594"/>
      <c r="G551" s="594"/>
      <c r="H551" s="594"/>
      <c r="I551" s="593"/>
      <c r="J551" s="593"/>
      <c r="K551" s="593"/>
    </row>
    <row r="552" spans="2:11">
      <c r="B552" s="228"/>
      <c r="C552" s="228"/>
      <c r="D552" s="594"/>
      <c r="E552" s="594"/>
      <c r="F552" s="594"/>
      <c r="G552" s="594"/>
      <c r="H552" s="594"/>
      <c r="I552" s="593"/>
      <c r="J552" s="593"/>
      <c r="K552" s="593"/>
    </row>
    <row r="553" spans="2:11">
      <c r="B553" s="228"/>
      <c r="C553" s="228"/>
      <c r="D553" s="594"/>
      <c r="E553" s="594"/>
      <c r="F553" s="594"/>
      <c r="G553" s="594"/>
      <c r="H553" s="594"/>
      <c r="I553" s="593"/>
      <c r="J553" s="593"/>
      <c r="K553" s="593"/>
    </row>
    <row r="554" spans="2:11">
      <c r="B554" s="228"/>
      <c r="C554" s="228"/>
      <c r="D554" s="594"/>
      <c r="E554" s="594"/>
      <c r="F554" s="594"/>
      <c r="G554" s="594"/>
      <c r="H554" s="594"/>
      <c r="I554" s="593"/>
      <c r="J554" s="593"/>
      <c r="K554" s="593"/>
    </row>
    <row r="555" spans="2:11">
      <c r="B555" s="228"/>
      <c r="C555" s="228"/>
      <c r="D555" s="594"/>
      <c r="E555" s="594"/>
      <c r="F555" s="594"/>
      <c r="G555" s="594"/>
      <c r="H555" s="594"/>
      <c r="I555" s="593"/>
      <c r="J555" s="593"/>
      <c r="K555" s="593"/>
    </row>
    <row r="556" spans="2:11">
      <c r="B556" s="228"/>
      <c r="C556" s="228"/>
      <c r="D556" s="594"/>
      <c r="E556" s="594"/>
      <c r="F556" s="594"/>
      <c r="G556" s="594"/>
      <c r="H556" s="594"/>
      <c r="I556" s="593"/>
      <c r="J556" s="593"/>
      <c r="K556" s="593"/>
    </row>
    <row r="557" spans="2:11">
      <c r="B557" s="228"/>
      <c r="C557" s="228"/>
      <c r="D557" s="594"/>
      <c r="E557" s="594"/>
      <c r="F557" s="594"/>
      <c r="G557" s="594"/>
      <c r="H557" s="594"/>
      <c r="I557" s="593"/>
      <c r="J557" s="593"/>
      <c r="K557" s="593"/>
    </row>
    <row r="558" spans="2:11">
      <c r="B558" s="228"/>
      <c r="C558" s="228"/>
      <c r="D558" s="594"/>
      <c r="E558" s="594"/>
      <c r="F558" s="594"/>
      <c r="G558" s="594"/>
      <c r="H558" s="594"/>
      <c r="I558" s="593"/>
      <c r="J558" s="593"/>
      <c r="K558" s="593"/>
    </row>
    <row r="559" spans="2:11">
      <c r="B559" s="228"/>
      <c r="C559" s="228"/>
      <c r="D559" s="594"/>
      <c r="E559" s="594"/>
      <c r="F559" s="594"/>
      <c r="G559" s="594"/>
      <c r="H559" s="594"/>
      <c r="I559" s="593"/>
      <c r="J559" s="593"/>
      <c r="K559" s="593"/>
    </row>
    <row r="560" spans="2:11">
      <c r="B560" s="228"/>
      <c r="C560" s="228"/>
      <c r="D560" s="594"/>
      <c r="E560" s="594"/>
      <c r="F560" s="594"/>
      <c r="G560" s="594"/>
      <c r="H560" s="594"/>
      <c r="I560" s="593"/>
      <c r="J560" s="593"/>
      <c r="K560" s="593"/>
    </row>
    <row r="561" spans="2:11">
      <c r="B561" s="228"/>
      <c r="C561" s="228"/>
      <c r="D561" s="594"/>
      <c r="E561" s="594"/>
      <c r="F561" s="594"/>
      <c r="G561" s="594"/>
      <c r="H561" s="594"/>
      <c r="I561" s="593"/>
      <c r="J561" s="593"/>
      <c r="K561" s="593"/>
    </row>
    <row r="562" spans="2:11">
      <c r="B562" s="228"/>
      <c r="C562" s="228"/>
      <c r="D562" s="594"/>
      <c r="E562" s="594"/>
      <c r="F562" s="594"/>
      <c r="G562" s="594"/>
      <c r="H562" s="594"/>
      <c r="I562" s="593"/>
      <c r="J562" s="593"/>
      <c r="K562" s="593"/>
    </row>
    <row r="563" spans="2:11">
      <c r="B563" s="228"/>
      <c r="C563" s="228"/>
      <c r="D563" s="594"/>
      <c r="E563" s="594"/>
      <c r="F563" s="594"/>
      <c r="G563" s="594"/>
      <c r="H563" s="594"/>
      <c r="I563" s="593"/>
      <c r="J563" s="593"/>
      <c r="K563" s="593"/>
    </row>
    <row r="564" spans="2:11">
      <c r="B564" s="228"/>
      <c r="C564" s="228"/>
      <c r="D564" s="594"/>
      <c r="E564" s="594"/>
      <c r="F564" s="594"/>
      <c r="G564" s="594"/>
      <c r="H564" s="594"/>
      <c r="I564" s="593"/>
      <c r="J564" s="593"/>
      <c r="K564" s="593"/>
    </row>
    <row r="565" spans="2:11">
      <c r="B565" s="228"/>
      <c r="C565" s="228"/>
      <c r="D565" s="594"/>
      <c r="E565" s="594"/>
      <c r="F565" s="594"/>
      <c r="G565" s="594"/>
      <c r="H565" s="594"/>
      <c r="I565" s="593"/>
      <c r="J565" s="593"/>
      <c r="K565" s="593"/>
    </row>
    <row r="566" spans="2:11">
      <c r="B566" s="228"/>
      <c r="C566" s="228"/>
      <c r="D566" s="594"/>
      <c r="E566" s="594"/>
      <c r="F566" s="594"/>
      <c r="G566" s="594"/>
      <c r="H566" s="594"/>
      <c r="I566" s="593"/>
      <c r="J566" s="593"/>
      <c r="K566" s="593"/>
    </row>
    <row r="567" spans="2:11">
      <c r="B567" s="228"/>
      <c r="C567" s="228"/>
      <c r="D567" s="594"/>
      <c r="E567" s="594"/>
      <c r="F567" s="594"/>
      <c r="G567" s="594"/>
      <c r="H567" s="594"/>
      <c r="I567" s="593"/>
      <c r="J567" s="593"/>
      <c r="K567" s="593"/>
    </row>
    <row r="568" spans="2:11">
      <c r="B568" s="228"/>
      <c r="C568" s="228"/>
      <c r="D568" s="594"/>
      <c r="E568" s="594"/>
      <c r="F568" s="594"/>
      <c r="G568" s="594"/>
      <c r="H568" s="594"/>
      <c r="I568" s="593"/>
      <c r="J568" s="593"/>
      <c r="K568" s="593"/>
    </row>
    <row r="569" spans="2:11">
      <c r="B569" s="228"/>
      <c r="C569" s="228"/>
      <c r="D569" s="594"/>
      <c r="E569" s="594"/>
      <c r="F569" s="594"/>
      <c r="G569" s="594"/>
      <c r="H569" s="594"/>
      <c r="I569" s="593"/>
      <c r="J569" s="593"/>
      <c r="K569" s="593"/>
    </row>
    <row r="570" spans="2:11">
      <c r="B570" s="228"/>
      <c r="C570" s="228"/>
      <c r="D570" s="594"/>
      <c r="E570" s="594"/>
      <c r="F570" s="594"/>
      <c r="G570" s="594"/>
      <c r="H570" s="594"/>
      <c r="I570" s="593"/>
      <c r="J570" s="593"/>
      <c r="K570" s="593"/>
    </row>
    <row r="571" spans="2:11">
      <c r="B571" s="228"/>
      <c r="C571" s="228"/>
      <c r="D571" s="594"/>
      <c r="E571" s="594"/>
      <c r="F571" s="594"/>
      <c r="G571" s="594"/>
      <c r="H571" s="594"/>
      <c r="I571" s="593"/>
      <c r="J571" s="593"/>
      <c r="K571" s="593"/>
    </row>
    <row r="572" spans="2:11">
      <c r="B572" s="228"/>
      <c r="C572" s="228"/>
      <c r="D572" s="594"/>
      <c r="E572" s="594"/>
      <c r="F572" s="594"/>
      <c r="G572" s="594"/>
      <c r="H572" s="594"/>
      <c r="I572" s="593"/>
      <c r="J572" s="593"/>
      <c r="K572" s="593"/>
    </row>
    <row r="573" spans="2:11">
      <c r="B573" s="228"/>
      <c r="C573" s="228"/>
      <c r="D573" s="594"/>
      <c r="E573" s="594"/>
      <c r="F573" s="594"/>
      <c r="G573" s="594"/>
      <c r="H573" s="594"/>
      <c r="I573" s="593"/>
      <c r="J573" s="593"/>
      <c r="K573" s="593"/>
    </row>
    <row r="574" spans="2:11">
      <c r="B574" s="228"/>
      <c r="C574" s="228"/>
      <c r="D574" s="594"/>
      <c r="E574" s="594"/>
      <c r="F574" s="594"/>
      <c r="G574" s="594"/>
      <c r="H574" s="594"/>
      <c r="I574" s="593"/>
      <c r="J574" s="593"/>
      <c r="K574" s="593"/>
    </row>
    <row r="575" spans="2:11">
      <c r="B575" s="228"/>
      <c r="C575" s="228"/>
      <c r="D575" s="594"/>
      <c r="E575" s="594"/>
      <c r="F575" s="594"/>
      <c r="G575" s="594"/>
      <c r="H575" s="594"/>
      <c r="I575" s="593"/>
      <c r="J575" s="593"/>
      <c r="K575" s="593"/>
    </row>
    <row r="576" spans="2:11">
      <c r="B576" s="228"/>
      <c r="C576" s="228"/>
      <c r="D576" s="594"/>
      <c r="E576" s="594"/>
      <c r="F576" s="594"/>
      <c r="G576" s="594"/>
      <c r="H576" s="594"/>
      <c r="I576" s="593"/>
      <c r="J576" s="593"/>
      <c r="K576" s="593"/>
    </row>
    <row r="577" spans="2:11">
      <c r="B577" s="228"/>
      <c r="C577" s="228"/>
      <c r="D577" s="594"/>
      <c r="E577" s="594"/>
      <c r="F577" s="594"/>
      <c r="G577" s="594"/>
      <c r="H577" s="594"/>
      <c r="I577" s="593"/>
      <c r="J577" s="593"/>
      <c r="K577" s="593"/>
    </row>
    <row r="578" spans="2:11">
      <c r="B578" s="228"/>
      <c r="C578" s="228"/>
      <c r="D578" s="594"/>
      <c r="E578" s="594"/>
      <c r="F578" s="594"/>
      <c r="G578" s="594"/>
      <c r="H578" s="594"/>
      <c r="I578" s="593"/>
      <c r="J578" s="593"/>
      <c r="K578" s="593"/>
    </row>
    <row r="579" spans="2:11">
      <c r="B579" s="228"/>
      <c r="C579" s="228"/>
      <c r="D579" s="594"/>
      <c r="E579" s="594"/>
      <c r="F579" s="594"/>
      <c r="G579" s="594"/>
      <c r="H579" s="594"/>
      <c r="I579" s="593"/>
      <c r="J579" s="593"/>
      <c r="K579" s="593"/>
    </row>
    <row r="580" spans="2:11">
      <c r="B580" s="228"/>
      <c r="C580" s="228"/>
      <c r="D580" s="594"/>
      <c r="E580" s="594"/>
      <c r="F580" s="594"/>
      <c r="G580" s="594"/>
      <c r="H580" s="594"/>
      <c r="I580" s="593"/>
      <c r="J580" s="593"/>
      <c r="K580" s="593"/>
    </row>
    <row r="581" spans="2:11">
      <c r="B581" s="228"/>
      <c r="C581" s="228"/>
      <c r="D581" s="594"/>
      <c r="E581" s="594"/>
      <c r="F581" s="594"/>
      <c r="G581" s="594"/>
      <c r="H581" s="594"/>
      <c r="I581" s="593"/>
      <c r="J581" s="593"/>
      <c r="K581" s="593"/>
    </row>
    <row r="582" spans="2:11">
      <c r="B582" s="228"/>
      <c r="C582" s="228"/>
      <c r="D582" s="594"/>
      <c r="E582" s="594"/>
      <c r="F582" s="594"/>
      <c r="G582" s="594"/>
      <c r="H582" s="594"/>
      <c r="I582" s="593"/>
      <c r="J582" s="593"/>
      <c r="K582" s="593"/>
    </row>
    <row r="583" spans="2:11">
      <c r="B583" s="228"/>
      <c r="C583" s="228"/>
      <c r="D583" s="594"/>
      <c r="E583" s="594"/>
      <c r="F583" s="594"/>
      <c r="G583" s="594"/>
      <c r="H583" s="594"/>
      <c r="I583" s="593"/>
      <c r="J583" s="593"/>
      <c r="K583" s="593"/>
    </row>
    <row r="584" spans="2:11">
      <c r="B584" s="228"/>
      <c r="C584" s="228"/>
      <c r="D584" s="594"/>
      <c r="E584" s="594"/>
      <c r="F584" s="594"/>
      <c r="G584" s="594"/>
      <c r="H584" s="594"/>
      <c r="I584" s="593"/>
      <c r="J584" s="593"/>
      <c r="K584" s="593"/>
    </row>
    <row r="585" spans="2:11">
      <c r="B585" s="228"/>
      <c r="C585" s="228"/>
      <c r="D585" s="594"/>
      <c r="E585" s="594"/>
      <c r="F585" s="594"/>
      <c r="G585" s="594"/>
      <c r="H585" s="594"/>
      <c r="I585" s="593"/>
      <c r="J585" s="593"/>
      <c r="K585" s="593"/>
    </row>
    <row r="586" spans="2:11">
      <c r="B586" s="228"/>
      <c r="C586" s="228"/>
      <c r="D586" s="594"/>
      <c r="E586" s="594"/>
      <c r="F586" s="594"/>
      <c r="G586" s="594"/>
      <c r="H586" s="594"/>
      <c r="I586" s="593"/>
      <c r="J586" s="593"/>
      <c r="K586" s="593"/>
    </row>
    <row r="587" spans="2:11">
      <c r="B587" s="228"/>
      <c r="C587" s="228"/>
      <c r="D587" s="594"/>
      <c r="E587" s="594"/>
      <c r="F587" s="594"/>
      <c r="G587" s="594"/>
      <c r="H587" s="594"/>
      <c r="I587" s="593"/>
      <c r="J587" s="593"/>
      <c r="K587" s="593"/>
    </row>
    <row r="588" spans="2:11">
      <c r="B588" s="228"/>
      <c r="C588" s="228"/>
      <c r="D588" s="594"/>
      <c r="E588" s="594"/>
      <c r="F588" s="594"/>
      <c r="G588" s="594"/>
      <c r="H588" s="594"/>
      <c r="I588" s="593"/>
      <c r="J588" s="593"/>
      <c r="K588" s="593"/>
    </row>
    <row r="589" spans="2:11">
      <c r="B589" s="228"/>
      <c r="C589" s="228"/>
      <c r="D589" s="594"/>
      <c r="E589" s="594"/>
      <c r="F589" s="594"/>
      <c r="G589" s="594"/>
      <c r="H589" s="594"/>
      <c r="I589" s="593"/>
      <c r="J589" s="593"/>
      <c r="K589" s="593"/>
    </row>
    <row r="590" spans="2:11">
      <c r="B590" s="228"/>
      <c r="C590" s="228"/>
      <c r="D590" s="594"/>
      <c r="E590" s="594"/>
      <c r="F590" s="594"/>
      <c r="G590" s="594"/>
      <c r="H590" s="594"/>
      <c r="I590" s="593"/>
      <c r="J590" s="593"/>
      <c r="K590" s="593"/>
    </row>
    <row r="591" spans="2:11">
      <c r="B591" s="228"/>
      <c r="C591" s="228"/>
      <c r="D591" s="594"/>
      <c r="E591" s="594"/>
      <c r="F591" s="594"/>
      <c r="G591" s="594"/>
      <c r="H591" s="594"/>
      <c r="I591" s="593"/>
      <c r="J591" s="593"/>
      <c r="K591" s="593"/>
    </row>
    <row r="592" spans="2:11">
      <c r="B592" s="228"/>
      <c r="C592" s="228"/>
      <c r="D592" s="594"/>
      <c r="E592" s="594"/>
      <c r="F592" s="594"/>
      <c r="G592" s="594"/>
      <c r="H592" s="594"/>
      <c r="I592" s="593"/>
      <c r="J592" s="593"/>
      <c r="K592" s="593"/>
    </row>
    <row r="593" spans="2:11">
      <c r="B593" s="228"/>
      <c r="C593" s="228"/>
      <c r="D593" s="594"/>
      <c r="E593" s="594"/>
      <c r="F593" s="594"/>
      <c r="G593" s="594"/>
      <c r="H593" s="594"/>
      <c r="I593" s="593"/>
      <c r="J593" s="593"/>
      <c r="K593" s="593"/>
    </row>
    <row r="594" spans="2:11">
      <c r="B594" s="228"/>
      <c r="C594" s="228"/>
      <c r="D594" s="594"/>
      <c r="E594" s="594"/>
      <c r="F594" s="594"/>
      <c r="G594" s="594"/>
      <c r="H594" s="594"/>
      <c r="I594" s="593"/>
      <c r="J594" s="593"/>
      <c r="K594" s="593"/>
    </row>
    <row r="595" spans="2:11">
      <c r="B595" s="228"/>
      <c r="C595" s="228"/>
      <c r="D595" s="594"/>
      <c r="E595" s="594"/>
      <c r="F595" s="594"/>
      <c r="G595" s="594"/>
      <c r="H595" s="594"/>
      <c r="I595" s="593"/>
      <c r="J595" s="593"/>
      <c r="K595" s="593"/>
    </row>
    <row r="596" spans="2:11">
      <c r="B596" s="228"/>
      <c r="C596" s="228"/>
      <c r="D596" s="594"/>
      <c r="E596" s="594"/>
      <c r="F596" s="594"/>
      <c r="G596" s="594"/>
      <c r="H596" s="594"/>
      <c r="I596" s="593"/>
      <c r="J596" s="593"/>
      <c r="K596" s="593"/>
    </row>
    <row r="597" spans="2:11">
      <c r="B597" s="228"/>
      <c r="C597" s="228"/>
      <c r="D597" s="594"/>
      <c r="E597" s="594"/>
      <c r="F597" s="594"/>
      <c r="G597" s="594"/>
      <c r="H597" s="594"/>
      <c r="I597" s="593"/>
      <c r="J597" s="593"/>
      <c r="K597" s="593"/>
    </row>
    <row r="598" spans="2:11">
      <c r="B598" s="228"/>
      <c r="C598" s="228"/>
      <c r="D598" s="594"/>
      <c r="E598" s="594"/>
      <c r="F598" s="594"/>
      <c r="G598" s="594"/>
      <c r="H598" s="594"/>
      <c r="I598" s="593"/>
      <c r="J598" s="593"/>
      <c r="K598" s="593"/>
    </row>
    <row r="599" spans="2:11">
      <c r="B599" s="228"/>
      <c r="C599" s="228"/>
      <c r="D599" s="594"/>
      <c r="E599" s="594"/>
      <c r="F599" s="594"/>
      <c r="G599" s="594"/>
      <c r="H599" s="594"/>
      <c r="I599" s="593"/>
      <c r="J599" s="593"/>
      <c r="K599" s="593"/>
    </row>
    <row r="600" spans="2:11">
      <c r="B600" s="228"/>
      <c r="C600" s="228"/>
      <c r="D600" s="594"/>
      <c r="E600" s="594"/>
      <c r="F600" s="594"/>
      <c r="G600" s="594"/>
      <c r="H600" s="594"/>
      <c r="I600" s="593"/>
      <c r="J600" s="593"/>
      <c r="K600" s="593"/>
    </row>
    <row r="601" spans="2:11">
      <c r="B601" s="228"/>
      <c r="C601" s="228"/>
      <c r="D601" s="594"/>
      <c r="E601" s="594"/>
      <c r="F601" s="594"/>
      <c r="G601" s="594"/>
      <c r="H601" s="594"/>
      <c r="I601" s="593"/>
      <c r="J601" s="593"/>
      <c r="K601" s="593"/>
    </row>
    <row r="602" spans="2:11">
      <c r="B602" s="228"/>
      <c r="C602" s="228"/>
      <c r="D602" s="594"/>
      <c r="E602" s="594"/>
      <c r="F602" s="594"/>
      <c r="G602" s="594"/>
      <c r="H602" s="594"/>
      <c r="I602" s="593"/>
      <c r="J602" s="593"/>
      <c r="K602" s="593"/>
    </row>
    <row r="603" spans="2:11">
      <c r="B603" s="228"/>
      <c r="C603" s="228"/>
      <c r="D603" s="594"/>
      <c r="E603" s="594"/>
      <c r="F603" s="594"/>
      <c r="G603" s="594"/>
      <c r="H603" s="594"/>
      <c r="I603" s="593"/>
      <c r="J603" s="593"/>
      <c r="K603" s="593"/>
    </row>
    <row r="604" spans="2:11">
      <c r="B604" s="228"/>
      <c r="C604" s="228"/>
      <c r="D604" s="594"/>
      <c r="E604" s="594"/>
      <c r="F604" s="594"/>
      <c r="G604" s="594"/>
      <c r="H604" s="594"/>
      <c r="I604" s="593"/>
      <c r="J604" s="593"/>
      <c r="K604" s="593"/>
    </row>
    <row r="605" spans="2:11">
      <c r="B605" s="228"/>
      <c r="C605" s="228"/>
      <c r="D605" s="594"/>
      <c r="E605" s="594"/>
      <c r="F605" s="594"/>
      <c r="G605" s="594"/>
      <c r="H605" s="594"/>
      <c r="I605" s="593"/>
      <c r="J605" s="593"/>
      <c r="K605" s="593"/>
    </row>
    <row r="606" spans="2:11">
      <c r="B606" s="228"/>
      <c r="C606" s="228"/>
      <c r="D606" s="594"/>
      <c r="E606" s="594"/>
      <c r="F606" s="594"/>
      <c r="G606" s="594"/>
      <c r="H606" s="594"/>
      <c r="I606" s="593"/>
      <c r="J606" s="593"/>
      <c r="K606" s="593"/>
    </row>
    <row r="607" spans="2:11">
      <c r="B607" s="228"/>
      <c r="C607" s="228"/>
      <c r="D607" s="594"/>
      <c r="E607" s="594"/>
      <c r="F607" s="594"/>
      <c r="G607" s="594"/>
      <c r="H607" s="594"/>
      <c r="I607" s="593"/>
      <c r="J607" s="593"/>
      <c r="K607" s="593"/>
    </row>
    <row r="608" spans="2:11">
      <c r="B608" s="228"/>
      <c r="C608" s="228"/>
      <c r="D608" s="594"/>
      <c r="E608" s="594"/>
      <c r="F608" s="594"/>
      <c r="G608" s="594"/>
      <c r="H608" s="594"/>
      <c r="I608" s="593"/>
      <c r="J608" s="593"/>
      <c r="K608" s="593"/>
    </row>
    <row r="609" spans="2:11">
      <c r="B609" s="228"/>
      <c r="C609" s="228"/>
      <c r="D609" s="594"/>
      <c r="E609" s="594"/>
      <c r="F609" s="594"/>
      <c r="G609" s="594"/>
      <c r="H609" s="594"/>
      <c r="I609" s="593"/>
      <c r="J609" s="593"/>
      <c r="K609" s="593"/>
    </row>
    <row r="610" spans="2:11">
      <c r="B610" s="228"/>
      <c r="C610" s="228"/>
      <c r="D610" s="594"/>
      <c r="E610" s="594"/>
      <c r="F610" s="594"/>
      <c r="G610" s="594"/>
      <c r="H610" s="594"/>
      <c r="I610" s="593"/>
      <c r="J610" s="593"/>
      <c r="K610" s="593"/>
    </row>
    <row r="611" spans="2:11">
      <c r="B611" s="228"/>
      <c r="C611" s="228"/>
      <c r="D611" s="594"/>
      <c r="E611" s="594"/>
      <c r="F611" s="594"/>
      <c r="G611" s="594"/>
      <c r="H611" s="594"/>
      <c r="I611" s="593"/>
      <c r="J611" s="593"/>
      <c r="K611" s="593"/>
    </row>
    <row r="612" spans="2:11">
      <c r="B612" s="228"/>
      <c r="C612" s="228"/>
      <c r="D612" s="594"/>
      <c r="E612" s="594"/>
      <c r="F612" s="594"/>
      <c r="G612" s="594"/>
      <c r="H612" s="594"/>
      <c r="I612" s="593"/>
      <c r="J612" s="593"/>
      <c r="K612" s="593"/>
    </row>
    <row r="613" spans="2:11">
      <c r="B613" s="228"/>
      <c r="C613" s="228"/>
      <c r="D613" s="594"/>
      <c r="E613" s="594"/>
      <c r="F613" s="594"/>
      <c r="G613" s="594"/>
      <c r="H613" s="594"/>
      <c r="I613" s="593"/>
      <c r="J613" s="593"/>
      <c r="K613" s="593"/>
    </row>
    <row r="614" spans="2:11">
      <c r="B614" s="228"/>
      <c r="C614" s="228"/>
      <c r="D614" s="594"/>
      <c r="E614" s="594"/>
      <c r="F614" s="594"/>
      <c r="G614" s="594"/>
      <c r="H614" s="594"/>
      <c r="I614" s="593"/>
      <c r="J614" s="593"/>
      <c r="K614" s="593"/>
    </row>
    <row r="615" spans="2:11">
      <c r="B615" s="228"/>
      <c r="C615" s="228"/>
      <c r="D615" s="594"/>
      <c r="E615" s="594"/>
      <c r="F615" s="594"/>
      <c r="G615" s="594"/>
      <c r="H615" s="594"/>
      <c r="I615" s="593"/>
      <c r="J615" s="593"/>
      <c r="K615" s="593"/>
    </row>
    <row r="616" spans="2:11">
      <c r="B616" s="228"/>
      <c r="C616" s="228"/>
      <c r="D616" s="594"/>
      <c r="E616" s="594"/>
      <c r="F616" s="594"/>
      <c r="G616" s="594"/>
      <c r="H616" s="594"/>
      <c r="I616" s="593"/>
      <c r="J616" s="593"/>
      <c r="K616" s="593"/>
    </row>
    <row r="617" spans="2:11">
      <c r="B617" s="228"/>
      <c r="C617" s="228"/>
      <c r="D617" s="594"/>
      <c r="E617" s="594"/>
      <c r="F617" s="594"/>
      <c r="G617" s="594"/>
      <c r="H617" s="594"/>
      <c r="I617" s="593"/>
      <c r="J617" s="593"/>
      <c r="K617" s="593"/>
    </row>
    <row r="618" spans="2:11">
      <c r="B618" s="228"/>
      <c r="C618" s="228"/>
      <c r="D618" s="594"/>
      <c r="E618" s="594"/>
      <c r="F618" s="594"/>
      <c r="G618" s="594"/>
      <c r="H618" s="594"/>
      <c r="I618" s="593"/>
      <c r="J618" s="593"/>
      <c r="K618" s="593"/>
    </row>
    <row r="619" spans="2:11">
      <c r="B619" s="228"/>
      <c r="C619" s="228"/>
      <c r="D619" s="594"/>
      <c r="E619" s="594"/>
      <c r="F619" s="594"/>
      <c r="G619" s="594"/>
      <c r="H619" s="594"/>
      <c r="I619" s="593"/>
      <c r="J619" s="593"/>
      <c r="K619" s="593"/>
    </row>
    <row r="620" spans="2:11">
      <c r="B620" s="228"/>
      <c r="C620" s="228"/>
      <c r="D620" s="594"/>
      <c r="E620" s="594"/>
      <c r="F620" s="594"/>
      <c r="G620" s="594"/>
      <c r="H620" s="594"/>
      <c r="I620" s="593"/>
      <c r="J620" s="593"/>
      <c r="K620" s="593"/>
    </row>
    <row r="621" spans="2:11">
      <c r="B621" s="228"/>
      <c r="C621" s="228"/>
      <c r="D621" s="594"/>
      <c r="E621" s="594"/>
      <c r="F621" s="594"/>
      <c r="G621" s="594"/>
      <c r="H621" s="594"/>
      <c r="I621" s="593"/>
      <c r="J621" s="593"/>
      <c r="K621" s="593"/>
    </row>
    <row r="622" spans="2:11">
      <c r="B622" s="228"/>
      <c r="C622" s="228"/>
      <c r="D622" s="594"/>
      <c r="E622" s="594"/>
      <c r="F622" s="594"/>
      <c r="G622" s="594"/>
      <c r="H622" s="594"/>
      <c r="I622" s="593"/>
      <c r="J622" s="593"/>
      <c r="K622" s="593"/>
    </row>
    <row r="623" spans="2:11">
      <c r="B623" s="228"/>
      <c r="C623" s="228"/>
      <c r="D623" s="594"/>
      <c r="E623" s="594"/>
      <c r="F623" s="594"/>
      <c r="G623" s="594"/>
      <c r="H623" s="594"/>
      <c r="I623" s="593"/>
      <c r="J623" s="593"/>
      <c r="K623" s="593"/>
    </row>
    <row r="624" spans="2:11">
      <c r="B624" s="228"/>
      <c r="C624" s="228"/>
      <c r="D624" s="594"/>
      <c r="E624" s="594"/>
      <c r="F624" s="594"/>
      <c r="G624" s="594"/>
      <c r="H624" s="594"/>
      <c r="I624" s="593"/>
      <c r="J624" s="593"/>
      <c r="K624" s="593"/>
    </row>
    <row r="625" spans="2:11">
      <c r="B625" s="228"/>
      <c r="C625" s="228"/>
      <c r="D625" s="594"/>
      <c r="E625" s="594"/>
      <c r="F625" s="594"/>
      <c r="G625" s="594"/>
      <c r="H625" s="594"/>
      <c r="I625" s="593"/>
      <c r="J625" s="593"/>
      <c r="K625" s="593"/>
    </row>
    <row r="626" spans="2:11">
      <c r="B626" s="228"/>
      <c r="C626" s="228"/>
      <c r="D626" s="594"/>
      <c r="E626" s="594"/>
      <c r="F626" s="594"/>
      <c r="G626" s="594"/>
      <c r="H626" s="594"/>
      <c r="I626" s="593"/>
      <c r="J626" s="593"/>
      <c r="K626" s="593"/>
    </row>
    <row r="627" spans="2:11">
      <c r="B627" s="228"/>
      <c r="C627" s="228"/>
      <c r="D627" s="594"/>
      <c r="E627" s="594"/>
      <c r="F627" s="594"/>
      <c r="G627" s="594"/>
      <c r="H627" s="594"/>
      <c r="I627" s="593"/>
      <c r="J627" s="593"/>
      <c r="K627" s="593"/>
    </row>
    <row r="628" spans="2:11">
      <c r="B628" s="228"/>
      <c r="C628" s="228"/>
      <c r="D628" s="594"/>
      <c r="E628" s="594"/>
      <c r="F628" s="594"/>
      <c r="G628" s="594"/>
      <c r="H628" s="594"/>
      <c r="I628" s="593"/>
      <c r="J628" s="593"/>
      <c r="K628" s="593"/>
    </row>
    <row r="629" spans="2:11">
      <c r="B629" s="228"/>
      <c r="C629" s="228"/>
      <c r="D629" s="594"/>
      <c r="E629" s="594"/>
      <c r="F629" s="594"/>
      <c r="G629" s="594"/>
      <c r="H629" s="594"/>
      <c r="I629" s="593"/>
      <c r="J629" s="593"/>
      <c r="K629" s="593"/>
    </row>
    <row r="630" spans="2:11">
      <c r="B630" s="228"/>
      <c r="C630" s="228"/>
      <c r="D630" s="594"/>
      <c r="E630" s="594"/>
      <c r="F630" s="594"/>
      <c r="G630" s="594"/>
      <c r="H630" s="594"/>
      <c r="I630" s="593"/>
      <c r="J630" s="593"/>
      <c r="K630" s="593"/>
    </row>
    <row r="631" spans="2:11">
      <c r="B631" s="228"/>
      <c r="C631" s="228"/>
      <c r="D631" s="594"/>
      <c r="E631" s="594"/>
      <c r="F631" s="594"/>
      <c r="G631" s="594"/>
      <c r="H631" s="594"/>
      <c r="I631" s="593"/>
      <c r="J631" s="593"/>
      <c r="K631" s="593"/>
    </row>
    <row r="632" spans="2:11">
      <c r="B632" s="228"/>
      <c r="C632" s="228"/>
      <c r="D632" s="594"/>
      <c r="E632" s="594"/>
      <c r="F632" s="594"/>
      <c r="G632" s="594"/>
      <c r="H632" s="594"/>
      <c r="I632" s="593"/>
      <c r="J632" s="593"/>
      <c r="K632" s="593"/>
    </row>
    <row r="633" spans="2:11">
      <c r="B633" s="228"/>
      <c r="C633" s="228"/>
      <c r="D633" s="594"/>
      <c r="E633" s="594"/>
      <c r="F633" s="594"/>
      <c r="G633" s="594"/>
      <c r="H633" s="594"/>
      <c r="I633" s="593"/>
      <c r="J633" s="593"/>
      <c r="K633" s="593"/>
    </row>
    <row r="634" spans="2:11">
      <c r="B634" s="228"/>
      <c r="C634" s="228"/>
      <c r="D634" s="594"/>
      <c r="E634" s="594"/>
      <c r="F634" s="594"/>
      <c r="G634" s="594"/>
      <c r="H634" s="594"/>
      <c r="I634" s="593"/>
      <c r="J634" s="593"/>
      <c r="K634" s="593"/>
    </row>
    <row r="635" spans="2:11">
      <c r="B635" s="228"/>
      <c r="C635" s="228"/>
      <c r="D635" s="594"/>
      <c r="E635" s="594"/>
      <c r="F635" s="594"/>
      <c r="G635" s="594"/>
      <c r="H635" s="594"/>
      <c r="I635" s="593"/>
      <c r="J635" s="593"/>
      <c r="K635" s="593"/>
    </row>
    <row r="636" spans="2:11">
      <c r="B636" s="228"/>
      <c r="C636" s="228"/>
      <c r="D636" s="594"/>
      <c r="E636" s="594"/>
      <c r="F636" s="594"/>
      <c r="G636" s="594"/>
      <c r="H636" s="594"/>
      <c r="I636" s="593"/>
      <c r="J636" s="593"/>
      <c r="K636" s="593"/>
    </row>
    <row r="637" spans="2:11">
      <c r="B637" s="228"/>
      <c r="C637" s="228"/>
      <c r="D637" s="594"/>
      <c r="E637" s="594"/>
      <c r="F637" s="594"/>
      <c r="G637" s="594"/>
      <c r="H637" s="594"/>
      <c r="I637" s="593"/>
      <c r="J637" s="593"/>
      <c r="K637" s="593"/>
    </row>
    <row r="638" spans="2:11">
      <c r="B638" s="228"/>
      <c r="C638" s="228"/>
      <c r="D638" s="594"/>
      <c r="E638" s="594"/>
      <c r="F638" s="594"/>
      <c r="G638" s="594"/>
      <c r="H638" s="594"/>
      <c r="I638" s="593"/>
      <c r="J638" s="593"/>
      <c r="K638" s="593"/>
    </row>
    <row r="639" spans="2:11">
      <c r="B639" s="228"/>
      <c r="C639" s="228"/>
      <c r="D639" s="594"/>
      <c r="E639" s="594"/>
      <c r="F639" s="594"/>
      <c r="G639" s="594"/>
      <c r="H639" s="594"/>
      <c r="I639" s="593"/>
      <c r="J639" s="593"/>
      <c r="K639" s="593"/>
    </row>
    <row r="640" spans="2:11">
      <c r="B640" s="228"/>
      <c r="C640" s="228"/>
      <c r="D640" s="594"/>
      <c r="E640" s="594"/>
      <c r="F640" s="594"/>
      <c r="G640" s="594"/>
      <c r="H640" s="594"/>
      <c r="I640" s="593"/>
      <c r="J640" s="593"/>
      <c r="K640" s="593"/>
    </row>
    <row r="641" spans="2:11">
      <c r="B641" s="228"/>
      <c r="C641" s="228"/>
      <c r="D641" s="594"/>
      <c r="E641" s="594"/>
      <c r="F641" s="594"/>
      <c r="G641" s="594"/>
      <c r="H641" s="594"/>
      <c r="I641" s="593"/>
      <c r="J641" s="593"/>
      <c r="K641" s="593"/>
    </row>
    <row r="642" spans="2:11">
      <c r="B642" s="228"/>
      <c r="C642" s="228"/>
      <c r="D642" s="594"/>
      <c r="E642" s="594"/>
      <c r="F642" s="594"/>
      <c r="G642" s="594"/>
      <c r="H642" s="594"/>
      <c r="I642" s="593"/>
      <c r="J642" s="593"/>
      <c r="K642" s="593"/>
    </row>
    <row r="643" spans="2:11">
      <c r="B643" s="228"/>
      <c r="C643" s="228"/>
      <c r="D643" s="594"/>
      <c r="E643" s="594"/>
      <c r="F643" s="594"/>
      <c r="G643" s="594"/>
      <c r="H643" s="594"/>
      <c r="I643" s="593"/>
      <c r="J643" s="593"/>
      <c r="K643" s="593"/>
    </row>
    <row r="644" spans="2:11">
      <c r="B644" s="228"/>
      <c r="C644" s="228"/>
      <c r="D644" s="594"/>
      <c r="E644" s="594"/>
      <c r="F644" s="594"/>
      <c r="G644" s="594"/>
      <c r="H644" s="594"/>
      <c r="I644" s="593"/>
      <c r="J644" s="593"/>
      <c r="K644" s="593"/>
    </row>
    <row r="645" spans="2:11">
      <c r="B645" s="228"/>
      <c r="C645" s="228"/>
      <c r="D645" s="594"/>
      <c r="E645" s="594"/>
      <c r="F645" s="594"/>
      <c r="G645" s="594"/>
      <c r="H645" s="594"/>
      <c r="I645" s="593"/>
      <c r="J645" s="593"/>
      <c r="K645" s="593"/>
    </row>
    <row r="646" spans="2:11">
      <c r="B646" s="228"/>
      <c r="C646" s="228"/>
      <c r="D646" s="594"/>
      <c r="E646" s="594"/>
      <c r="F646" s="594"/>
      <c r="G646" s="594"/>
      <c r="H646" s="594"/>
      <c r="I646" s="593"/>
      <c r="J646" s="593"/>
      <c r="K646" s="593"/>
    </row>
    <row r="647" spans="2:11">
      <c r="B647" s="228"/>
      <c r="C647" s="228"/>
      <c r="D647" s="594"/>
      <c r="E647" s="594"/>
      <c r="F647" s="594"/>
      <c r="G647" s="594"/>
      <c r="H647" s="594"/>
      <c r="I647" s="593"/>
      <c r="J647" s="593"/>
      <c r="K647" s="593"/>
    </row>
    <row r="648" spans="2:11">
      <c r="B648" s="228"/>
      <c r="C648" s="228"/>
      <c r="D648" s="594"/>
      <c r="E648" s="594"/>
      <c r="F648" s="594"/>
      <c r="G648" s="594"/>
      <c r="H648" s="594"/>
      <c r="I648" s="593"/>
      <c r="J648" s="593"/>
      <c r="K648" s="593"/>
    </row>
    <row r="649" spans="2:11">
      <c r="B649" s="228"/>
      <c r="C649" s="228"/>
      <c r="D649" s="594"/>
      <c r="E649" s="594"/>
      <c r="F649" s="594"/>
      <c r="G649" s="594"/>
      <c r="H649" s="594"/>
      <c r="I649" s="593"/>
      <c r="J649" s="593"/>
      <c r="K649" s="593"/>
    </row>
    <row r="650" spans="2:11">
      <c r="B650" s="228"/>
      <c r="C650" s="228"/>
      <c r="D650" s="594"/>
      <c r="E650" s="594"/>
      <c r="F650" s="594"/>
      <c r="G650" s="594"/>
      <c r="H650" s="594"/>
      <c r="I650" s="593"/>
      <c r="J650" s="593"/>
      <c r="K650" s="593"/>
    </row>
    <row r="651" spans="2:11">
      <c r="B651" s="228"/>
      <c r="C651" s="228"/>
      <c r="D651" s="594"/>
      <c r="E651" s="594"/>
      <c r="F651" s="594"/>
      <c r="G651" s="594"/>
      <c r="H651" s="594"/>
      <c r="I651" s="593"/>
      <c r="J651" s="593"/>
      <c r="K651" s="593"/>
    </row>
    <row r="652" spans="2:11">
      <c r="B652" s="228"/>
      <c r="C652" s="228"/>
      <c r="D652" s="594"/>
      <c r="E652" s="594"/>
      <c r="F652" s="594"/>
      <c r="G652" s="594"/>
      <c r="H652" s="594"/>
      <c r="I652" s="593"/>
      <c r="J652" s="593"/>
      <c r="K652" s="593"/>
    </row>
    <row r="653" spans="2:11">
      <c r="B653" s="228"/>
      <c r="C653" s="228"/>
      <c r="D653" s="594"/>
      <c r="E653" s="594"/>
      <c r="F653" s="594"/>
      <c r="G653" s="594"/>
      <c r="H653" s="594"/>
      <c r="I653" s="593"/>
      <c r="J653" s="593"/>
      <c r="K653" s="593"/>
    </row>
    <row r="654" spans="2:11">
      <c r="B654" s="228"/>
      <c r="C654" s="228"/>
      <c r="D654" s="594"/>
      <c r="E654" s="594"/>
      <c r="F654" s="594"/>
      <c r="G654" s="594"/>
      <c r="H654" s="594"/>
      <c r="I654" s="593"/>
      <c r="J654" s="593"/>
      <c r="K654" s="593"/>
    </row>
    <row r="655" spans="2:11">
      <c r="B655" s="228"/>
      <c r="C655" s="228"/>
      <c r="D655" s="594"/>
      <c r="E655" s="594"/>
      <c r="F655" s="594"/>
      <c r="G655" s="594"/>
      <c r="H655" s="594"/>
      <c r="I655" s="593"/>
      <c r="J655" s="593"/>
      <c r="K655" s="593"/>
    </row>
    <row r="656" spans="2:11">
      <c r="B656" s="228"/>
      <c r="C656" s="228"/>
      <c r="D656" s="594"/>
      <c r="E656" s="594"/>
      <c r="F656" s="594"/>
      <c r="G656" s="594"/>
      <c r="H656" s="594"/>
      <c r="I656" s="593"/>
      <c r="J656" s="593"/>
      <c r="K656" s="593"/>
    </row>
    <row r="657" spans="2:11">
      <c r="B657" s="228"/>
      <c r="C657" s="228"/>
      <c r="D657" s="594"/>
      <c r="E657" s="594"/>
      <c r="F657" s="594"/>
      <c r="G657" s="594"/>
      <c r="H657" s="594"/>
      <c r="I657" s="593"/>
      <c r="J657" s="593"/>
      <c r="K657" s="593"/>
    </row>
    <row r="658" spans="2:11">
      <c r="B658" s="228"/>
      <c r="C658" s="228"/>
      <c r="D658" s="594"/>
      <c r="E658" s="594"/>
      <c r="F658" s="594"/>
      <c r="G658" s="594"/>
      <c r="H658" s="594"/>
      <c r="I658" s="593"/>
      <c r="J658" s="593"/>
      <c r="K658" s="593"/>
    </row>
    <row r="659" spans="2:11">
      <c r="B659" s="228"/>
      <c r="C659" s="228"/>
      <c r="D659" s="594"/>
      <c r="E659" s="594"/>
      <c r="F659" s="594"/>
      <c r="G659" s="594"/>
      <c r="H659" s="594"/>
      <c r="I659" s="593"/>
      <c r="J659" s="593"/>
      <c r="K659" s="593"/>
    </row>
    <row r="660" spans="2:11">
      <c r="B660" s="228"/>
      <c r="C660" s="228"/>
      <c r="D660" s="594"/>
      <c r="E660" s="594"/>
      <c r="F660" s="594"/>
      <c r="G660" s="594"/>
      <c r="H660" s="594"/>
      <c r="I660" s="593"/>
      <c r="J660" s="593"/>
      <c r="K660" s="593"/>
    </row>
    <row r="661" spans="2:11">
      <c r="B661" s="228"/>
      <c r="C661" s="228"/>
      <c r="D661" s="594"/>
      <c r="E661" s="594"/>
      <c r="F661" s="594"/>
      <c r="G661" s="594"/>
      <c r="H661" s="594"/>
      <c r="I661" s="593"/>
      <c r="J661" s="593"/>
      <c r="K661" s="593"/>
    </row>
    <row r="662" spans="2:11">
      <c r="B662" s="228"/>
      <c r="C662" s="228"/>
      <c r="D662" s="594"/>
      <c r="E662" s="594"/>
      <c r="F662" s="594"/>
      <c r="G662" s="594"/>
      <c r="H662" s="594"/>
      <c r="I662" s="593"/>
      <c r="J662" s="593"/>
      <c r="K662" s="593"/>
    </row>
    <row r="663" spans="2:11">
      <c r="B663" s="228"/>
      <c r="C663" s="228"/>
      <c r="D663" s="594"/>
      <c r="E663" s="594"/>
      <c r="F663" s="594"/>
      <c r="G663" s="594"/>
      <c r="H663" s="594"/>
      <c r="I663" s="593"/>
      <c r="J663" s="593"/>
      <c r="K663" s="593"/>
    </row>
    <row r="664" spans="2:11">
      <c r="B664" s="228"/>
      <c r="C664" s="228"/>
      <c r="D664" s="594"/>
      <c r="E664" s="594"/>
      <c r="F664" s="594"/>
      <c r="G664" s="594"/>
      <c r="H664" s="594"/>
      <c r="I664" s="593"/>
      <c r="J664" s="593"/>
      <c r="K664" s="593"/>
    </row>
    <row r="665" spans="2:11">
      <c r="B665" s="228"/>
      <c r="C665" s="228"/>
      <c r="D665" s="594"/>
      <c r="E665" s="594"/>
      <c r="F665" s="594"/>
      <c r="G665" s="594"/>
      <c r="H665" s="594"/>
      <c r="I665" s="593"/>
      <c r="J665" s="593"/>
      <c r="K665" s="593"/>
    </row>
    <row r="666" spans="2:11">
      <c r="B666" s="228"/>
      <c r="C666" s="228"/>
      <c r="D666" s="594"/>
      <c r="E666" s="594"/>
      <c r="F666" s="594"/>
      <c r="G666" s="594"/>
      <c r="H666" s="594"/>
      <c r="I666" s="593"/>
      <c r="J666" s="593"/>
      <c r="K666" s="593"/>
    </row>
    <row r="667" spans="2:11">
      <c r="B667" s="228"/>
      <c r="C667" s="228"/>
      <c r="D667" s="594"/>
      <c r="E667" s="594"/>
      <c r="F667" s="594"/>
      <c r="G667" s="594"/>
      <c r="H667" s="594"/>
      <c r="I667" s="593"/>
      <c r="J667" s="593"/>
      <c r="K667" s="593"/>
    </row>
    <row r="668" spans="2:11">
      <c r="B668" s="228"/>
      <c r="C668" s="228"/>
      <c r="D668" s="594"/>
      <c r="E668" s="594"/>
      <c r="F668" s="594"/>
      <c r="G668" s="594"/>
      <c r="H668" s="594"/>
      <c r="I668" s="593"/>
      <c r="J668" s="593"/>
      <c r="K668" s="593"/>
    </row>
    <row r="669" spans="2:11">
      <c r="B669" s="228"/>
      <c r="C669" s="228"/>
      <c r="D669" s="594"/>
      <c r="E669" s="594"/>
      <c r="F669" s="594"/>
      <c r="G669" s="594"/>
      <c r="H669" s="594"/>
      <c r="I669" s="593"/>
      <c r="J669" s="593"/>
      <c r="K669" s="593"/>
    </row>
    <row r="670" spans="2:11">
      <c r="B670" s="228"/>
      <c r="C670" s="228"/>
      <c r="D670" s="594"/>
      <c r="E670" s="594"/>
      <c r="F670" s="594"/>
      <c r="G670" s="594"/>
      <c r="H670" s="594"/>
      <c r="I670" s="593"/>
      <c r="J670" s="593"/>
      <c r="K670" s="593"/>
    </row>
    <row r="671" spans="2:11">
      <c r="B671" s="228"/>
      <c r="C671" s="228"/>
      <c r="D671" s="594"/>
      <c r="E671" s="594"/>
      <c r="F671" s="594"/>
      <c r="G671" s="594"/>
      <c r="H671" s="594"/>
      <c r="I671" s="593"/>
      <c r="J671" s="593"/>
      <c r="K671" s="593"/>
    </row>
    <row r="672" spans="2:11">
      <c r="B672" s="228"/>
      <c r="C672" s="228"/>
      <c r="D672" s="594"/>
      <c r="E672" s="594"/>
      <c r="F672" s="594"/>
      <c r="G672" s="594"/>
      <c r="H672" s="594"/>
      <c r="I672" s="593"/>
      <c r="J672" s="593"/>
      <c r="K672" s="593"/>
    </row>
    <row r="673" spans="2:11">
      <c r="B673" s="228"/>
      <c r="C673" s="228"/>
      <c r="D673" s="594"/>
      <c r="E673" s="594"/>
      <c r="F673" s="594"/>
      <c r="G673" s="594"/>
      <c r="H673" s="594"/>
      <c r="I673" s="593"/>
      <c r="J673" s="593"/>
      <c r="K673" s="593"/>
    </row>
    <row r="674" spans="2:11">
      <c r="B674" s="228"/>
      <c r="C674" s="228"/>
      <c r="D674" s="594"/>
      <c r="E674" s="594"/>
      <c r="F674" s="594"/>
      <c r="G674" s="594"/>
      <c r="H674" s="594"/>
      <c r="I674" s="593"/>
      <c r="J674" s="593"/>
      <c r="K674" s="593"/>
    </row>
    <row r="675" spans="2:11">
      <c r="B675" s="228"/>
      <c r="C675" s="228"/>
      <c r="D675" s="594"/>
      <c r="E675" s="594"/>
      <c r="F675" s="594"/>
      <c r="G675" s="594"/>
      <c r="H675" s="594"/>
      <c r="I675" s="593"/>
      <c r="J675" s="593"/>
      <c r="K675" s="593"/>
    </row>
    <row r="676" spans="2:11">
      <c r="B676" s="228"/>
      <c r="C676" s="228"/>
      <c r="D676" s="594"/>
      <c r="E676" s="594"/>
      <c r="F676" s="594"/>
      <c r="G676" s="594"/>
      <c r="H676" s="594"/>
      <c r="I676" s="593"/>
      <c r="J676" s="593"/>
      <c r="K676" s="593"/>
    </row>
    <row r="677" spans="2:11">
      <c r="B677" s="228"/>
      <c r="C677" s="228"/>
      <c r="D677" s="594"/>
      <c r="E677" s="594"/>
      <c r="F677" s="594"/>
      <c r="G677" s="594"/>
      <c r="H677" s="594"/>
      <c r="I677" s="593"/>
      <c r="J677" s="593"/>
      <c r="K677" s="593"/>
    </row>
    <row r="678" spans="2:11">
      <c r="B678" s="228"/>
      <c r="C678" s="228"/>
      <c r="D678" s="594"/>
      <c r="E678" s="594"/>
      <c r="F678" s="594"/>
      <c r="G678" s="594"/>
      <c r="H678" s="594"/>
      <c r="I678" s="593"/>
      <c r="J678" s="593"/>
      <c r="K678" s="593"/>
    </row>
    <row r="679" spans="2:11">
      <c r="B679" s="228"/>
      <c r="C679" s="228"/>
      <c r="D679" s="594"/>
      <c r="E679" s="594"/>
      <c r="F679" s="594"/>
      <c r="G679" s="594"/>
      <c r="H679" s="594"/>
      <c r="I679" s="593"/>
      <c r="J679" s="593"/>
      <c r="K679" s="593"/>
    </row>
    <row r="680" spans="2:11">
      <c r="B680" s="228"/>
      <c r="C680" s="228"/>
      <c r="D680" s="594"/>
      <c r="E680" s="594"/>
      <c r="F680" s="594"/>
      <c r="G680" s="594"/>
      <c r="H680" s="594"/>
      <c r="I680" s="593"/>
      <c r="J680" s="593"/>
      <c r="K680" s="593"/>
    </row>
    <row r="681" spans="2:11">
      <c r="B681" s="228"/>
      <c r="C681" s="228"/>
      <c r="D681" s="594"/>
      <c r="E681" s="594"/>
      <c r="F681" s="594"/>
      <c r="G681" s="594"/>
      <c r="H681" s="594"/>
      <c r="I681" s="593"/>
      <c r="J681" s="593"/>
      <c r="K681" s="593"/>
    </row>
    <row r="682" spans="2:11">
      <c r="B682" s="228"/>
      <c r="C682" s="228"/>
      <c r="D682" s="594"/>
      <c r="E682" s="594"/>
      <c r="F682" s="594"/>
      <c r="G682" s="594"/>
      <c r="H682" s="594"/>
      <c r="I682" s="593"/>
      <c r="J682" s="593"/>
      <c r="K682" s="593"/>
    </row>
    <row r="683" spans="2:11">
      <c r="B683" s="228"/>
      <c r="C683" s="228"/>
      <c r="D683" s="594"/>
      <c r="E683" s="594"/>
      <c r="F683" s="594"/>
      <c r="G683" s="594"/>
      <c r="H683" s="594"/>
      <c r="I683" s="593"/>
      <c r="J683" s="593"/>
      <c r="K683" s="593"/>
    </row>
    <row r="684" spans="2:11">
      <c r="B684" s="228"/>
      <c r="C684" s="228"/>
      <c r="D684" s="594"/>
      <c r="E684" s="594"/>
      <c r="F684" s="594"/>
      <c r="G684" s="594"/>
      <c r="H684" s="594"/>
      <c r="I684" s="593"/>
      <c r="J684" s="593"/>
      <c r="K684" s="593"/>
    </row>
    <row r="685" spans="2:11">
      <c r="B685" s="228"/>
      <c r="C685" s="228"/>
      <c r="D685" s="594"/>
      <c r="E685" s="594"/>
      <c r="F685" s="594"/>
      <c r="G685" s="594"/>
      <c r="H685" s="594"/>
      <c r="I685" s="593"/>
      <c r="J685" s="593"/>
      <c r="K685" s="593"/>
    </row>
    <row r="686" spans="2:11">
      <c r="B686" s="228"/>
      <c r="C686" s="228"/>
      <c r="D686" s="594"/>
      <c r="E686" s="594"/>
      <c r="F686" s="594"/>
      <c r="G686" s="594"/>
      <c r="H686" s="594"/>
      <c r="I686" s="593"/>
      <c r="J686" s="593"/>
      <c r="K686" s="593"/>
    </row>
    <row r="687" spans="2:11">
      <c r="B687" s="228"/>
      <c r="C687" s="228"/>
      <c r="D687" s="594"/>
      <c r="E687" s="594"/>
      <c r="F687" s="594"/>
      <c r="G687" s="594"/>
      <c r="H687" s="594"/>
      <c r="I687" s="593"/>
      <c r="J687" s="593"/>
      <c r="K687" s="593"/>
    </row>
    <row r="688" spans="2:11">
      <c r="B688" s="228"/>
      <c r="C688" s="228"/>
      <c r="D688" s="594"/>
      <c r="E688" s="594"/>
      <c r="F688" s="594"/>
      <c r="G688" s="594"/>
      <c r="H688" s="594"/>
      <c r="I688" s="593"/>
      <c r="J688" s="593"/>
      <c r="K688" s="593"/>
    </row>
    <row r="689" spans="2:11">
      <c r="B689" s="228"/>
      <c r="C689" s="228"/>
      <c r="D689" s="594"/>
      <c r="E689" s="594"/>
      <c r="F689" s="594"/>
      <c r="G689" s="594"/>
      <c r="H689" s="594"/>
      <c r="I689" s="593"/>
      <c r="J689" s="593"/>
      <c r="K689" s="593"/>
    </row>
    <row r="690" spans="2:11">
      <c r="B690" s="228"/>
      <c r="C690" s="228"/>
      <c r="D690" s="594"/>
      <c r="E690" s="594"/>
      <c r="F690" s="594"/>
      <c r="G690" s="594"/>
      <c r="H690" s="594"/>
      <c r="I690" s="593"/>
      <c r="J690" s="593"/>
      <c r="K690" s="593"/>
    </row>
    <row r="691" spans="2:11">
      <c r="B691" s="228"/>
      <c r="C691" s="228"/>
      <c r="D691" s="594"/>
      <c r="E691" s="594"/>
      <c r="F691" s="594"/>
      <c r="G691" s="594"/>
      <c r="H691" s="594"/>
      <c r="I691" s="593"/>
      <c r="J691" s="593"/>
      <c r="K691" s="593"/>
    </row>
    <row r="692" spans="2:11">
      <c r="B692" s="228"/>
      <c r="C692" s="228"/>
      <c r="D692" s="594"/>
      <c r="E692" s="594"/>
      <c r="F692" s="594"/>
      <c r="G692" s="594"/>
      <c r="H692" s="594"/>
      <c r="I692" s="593"/>
      <c r="J692" s="593"/>
      <c r="K692" s="593"/>
    </row>
    <row r="693" spans="2:11">
      <c r="B693" s="228"/>
      <c r="C693" s="228"/>
      <c r="D693" s="594"/>
      <c r="E693" s="594"/>
      <c r="F693" s="594"/>
      <c r="G693" s="594"/>
      <c r="H693" s="594"/>
      <c r="I693" s="593"/>
      <c r="J693" s="593"/>
      <c r="K693" s="593"/>
    </row>
    <row r="694" spans="2:11">
      <c r="B694" s="228"/>
      <c r="C694" s="228"/>
      <c r="D694" s="594"/>
      <c r="E694" s="594"/>
      <c r="F694" s="594"/>
      <c r="G694" s="594"/>
      <c r="H694" s="594"/>
      <c r="I694" s="593"/>
      <c r="J694" s="593"/>
      <c r="K694" s="593"/>
    </row>
    <row r="695" spans="2:11">
      <c r="B695" s="228"/>
      <c r="C695" s="228"/>
      <c r="D695" s="594"/>
      <c r="E695" s="594"/>
      <c r="F695" s="594"/>
      <c r="G695" s="594"/>
      <c r="H695" s="594"/>
      <c r="I695" s="593"/>
      <c r="J695" s="593"/>
      <c r="K695" s="593"/>
    </row>
    <row r="696" spans="2:11">
      <c r="B696" s="228"/>
      <c r="C696" s="228"/>
      <c r="D696" s="594"/>
      <c r="E696" s="594"/>
      <c r="F696" s="594"/>
      <c r="G696" s="594"/>
      <c r="H696" s="594"/>
      <c r="I696" s="593"/>
      <c r="J696" s="593"/>
      <c r="K696" s="593"/>
    </row>
    <row r="697" spans="2:11">
      <c r="B697" s="228"/>
      <c r="C697" s="228"/>
      <c r="D697" s="594"/>
      <c r="E697" s="594"/>
      <c r="F697" s="594"/>
      <c r="G697" s="594"/>
      <c r="H697" s="594"/>
      <c r="I697" s="593"/>
      <c r="J697" s="593"/>
      <c r="K697" s="593"/>
    </row>
    <row r="698" spans="2:11">
      <c r="B698" s="228"/>
      <c r="C698" s="228"/>
      <c r="D698" s="594"/>
      <c r="E698" s="594"/>
      <c r="F698" s="594"/>
      <c r="G698" s="594"/>
      <c r="H698" s="594"/>
      <c r="I698" s="593"/>
      <c r="J698" s="593"/>
      <c r="K698" s="593"/>
    </row>
    <row r="699" spans="2:11">
      <c r="B699" s="228"/>
      <c r="C699" s="228"/>
      <c r="D699" s="594"/>
      <c r="E699" s="594"/>
      <c r="F699" s="594"/>
      <c r="G699" s="594"/>
      <c r="H699" s="594"/>
      <c r="I699" s="593"/>
      <c r="J699" s="593"/>
      <c r="K699" s="593"/>
    </row>
    <row r="700" spans="2:11">
      <c r="B700" s="228"/>
      <c r="C700" s="228"/>
      <c r="D700" s="594"/>
      <c r="E700" s="594"/>
      <c r="F700" s="594"/>
      <c r="G700" s="594"/>
      <c r="H700" s="594"/>
      <c r="I700" s="593"/>
      <c r="J700" s="593"/>
      <c r="K700" s="593"/>
    </row>
    <row r="701" spans="2:11">
      <c r="B701" s="228"/>
      <c r="C701" s="228"/>
      <c r="D701" s="594"/>
      <c r="E701" s="594"/>
      <c r="F701" s="594"/>
      <c r="G701" s="594"/>
      <c r="H701" s="594"/>
      <c r="I701" s="593"/>
      <c r="J701" s="593"/>
      <c r="K701" s="593"/>
    </row>
    <row r="702" spans="2:11">
      <c r="B702" s="228"/>
      <c r="C702" s="228"/>
      <c r="D702" s="594"/>
      <c r="E702" s="594"/>
      <c r="F702" s="594"/>
      <c r="G702" s="594"/>
      <c r="H702" s="594"/>
      <c r="I702" s="593"/>
      <c r="J702" s="593"/>
      <c r="K702" s="593"/>
    </row>
    <row r="703" spans="2:11">
      <c r="B703" s="228"/>
      <c r="C703" s="228"/>
      <c r="D703" s="594"/>
      <c r="E703" s="594"/>
      <c r="F703" s="594"/>
      <c r="G703" s="594"/>
      <c r="H703" s="594"/>
      <c r="I703" s="593"/>
      <c r="J703" s="593"/>
      <c r="K703" s="593"/>
    </row>
    <row r="704" spans="2:11">
      <c r="B704" s="228"/>
      <c r="C704" s="228"/>
      <c r="D704" s="594"/>
      <c r="E704" s="594"/>
      <c r="F704" s="594"/>
      <c r="G704" s="594"/>
      <c r="H704" s="594"/>
      <c r="I704" s="593"/>
      <c r="J704" s="593"/>
      <c r="K704" s="593"/>
    </row>
    <row r="705" spans="2:11">
      <c r="B705" s="228"/>
      <c r="C705" s="228"/>
      <c r="D705" s="594"/>
      <c r="E705" s="594"/>
      <c r="F705" s="594"/>
      <c r="G705" s="594"/>
      <c r="H705" s="594"/>
      <c r="I705" s="593"/>
      <c r="J705" s="593"/>
      <c r="K705" s="593"/>
    </row>
    <row r="706" spans="2:11">
      <c r="B706" s="228"/>
      <c r="C706" s="228"/>
      <c r="D706" s="594"/>
      <c r="E706" s="594"/>
      <c r="F706" s="594"/>
      <c r="G706" s="594"/>
      <c r="H706" s="594"/>
      <c r="I706" s="593"/>
      <c r="J706" s="593"/>
      <c r="K706" s="593"/>
    </row>
    <row r="707" spans="2:11">
      <c r="B707" s="228"/>
      <c r="C707" s="228"/>
      <c r="D707" s="594"/>
      <c r="E707" s="594"/>
      <c r="F707" s="594"/>
      <c r="G707" s="594"/>
      <c r="H707" s="594"/>
      <c r="I707" s="593"/>
      <c r="J707" s="593"/>
      <c r="K707" s="593"/>
    </row>
    <row r="708" spans="2:11">
      <c r="B708" s="228"/>
      <c r="C708" s="228"/>
      <c r="D708" s="594"/>
      <c r="E708" s="594"/>
      <c r="F708" s="594"/>
      <c r="G708" s="594"/>
      <c r="H708" s="594"/>
      <c r="I708" s="593"/>
      <c r="J708" s="593"/>
      <c r="K708" s="593"/>
    </row>
    <row r="709" spans="2:11">
      <c r="B709" s="228"/>
      <c r="C709" s="228"/>
      <c r="D709" s="594"/>
      <c r="E709" s="594"/>
      <c r="F709" s="594"/>
      <c r="G709" s="594"/>
      <c r="H709" s="594"/>
      <c r="I709" s="593"/>
      <c r="J709" s="593"/>
      <c r="K709" s="593"/>
    </row>
    <row r="710" spans="2:11">
      <c r="B710" s="228"/>
      <c r="C710" s="228"/>
      <c r="D710" s="594"/>
      <c r="E710" s="594"/>
      <c r="F710" s="594"/>
      <c r="G710" s="594"/>
      <c r="H710" s="594"/>
      <c r="I710" s="593"/>
      <c r="J710" s="593"/>
      <c r="K710" s="593"/>
    </row>
    <row r="711" spans="2:11">
      <c r="B711" s="228"/>
      <c r="C711" s="228"/>
      <c r="D711" s="594"/>
      <c r="E711" s="594"/>
      <c r="F711" s="594"/>
      <c r="G711" s="594"/>
      <c r="H711" s="594"/>
      <c r="I711" s="593"/>
      <c r="J711" s="593"/>
      <c r="K711" s="593"/>
    </row>
    <row r="712" spans="2:11">
      <c r="B712" s="228"/>
      <c r="C712" s="228"/>
      <c r="D712" s="594"/>
      <c r="E712" s="594"/>
      <c r="F712" s="594"/>
      <c r="G712" s="594"/>
      <c r="H712" s="594"/>
      <c r="I712" s="593"/>
      <c r="J712" s="593"/>
      <c r="K712" s="593"/>
    </row>
    <row r="713" spans="2:11">
      <c r="B713" s="228"/>
      <c r="C713" s="228"/>
      <c r="D713" s="594"/>
      <c r="E713" s="594"/>
      <c r="F713" s="594"/>
      <c r="G713" s="594"/>
      <c r="H713" s="594"/>
      <c r="I713" s="593"/>
      <c r="J713" s="593"/>
      <c r="K713" s="593"/>
    </row>
    <row r="714" spans="2:11">
      <c r="B714" s="228"/>
      <c r="C714" s="228"/>
      <c r="D714" s="594"/>
      <c r="E714" s="594"/>
      <c r="F714" s="594"/>
      <c r="G714" s="594"/>
      <c r="H714" s="594"/>
      <c r="I714" s="593"/>
      <c r="J714" s="593"/>
      <c r="K714" s="593"/>
    </row>
    <row r="715" spans="2:11">
      <c r="B715" s="228"/>
      <c r="C715" s="228"/>
      <c r="D715" s="594"/>
      <c r="E715" s="594"/>
      <c r="F715" s="594"/>
      <c r="G715" s="594"/>
      <c r="H715" s="594"/>
      <c r="I715" s="593"/>
      <c r="J715" s="593"/>
      <c r="K715" s="593"/>
    </row>
    <row r="716" spans="2:11">
      <c r="B716" s="228"/>
      <c r="C716" s="228"/>
      <c r="D716" s="594"/>
      <c r="E716" s="594"/>
      <c r="F716" s="594"/>
      <c r="G716" s="594"/>
      <c r="H716" s="594"/>
      <c r="I716" s="593"/>
      <c r="J716" s="593"/>
      <c r="K716" s="593"/>
    </row>
    <row r="717" spans="2:11">
      <c r="B717" s="228"/>
      <c r="C717" s="228"/>
      <c r="D717" s="594"/>
      <c r="E717" s="594"/>
      <c r="F717" s="594"/>
      <c r="G717" s="594"/>
      <c r="H717" s="594"/>
      <c r="I717" s="593"/>
      <c r="J717" s="593"/>
      <c r="K717" s="593"/>
    </row>
    <row r="718" spans="2:11">
      <c r="B718" s="228"/>
      <c r="C718" s="228"/>
      <c r="D718" s="594"/>
      <c r="E718" s="594"/>
      <c r="F718" s="594"/>
      <c r="G718" s="594"/>
      <c r="H718" s="594"/>
      <c r="I718" s="593"/>
      <c r="J718" s="593"/>
      <c r="K718" s="593"/>
    </row>
    <row r="719" spans="2:11">
      <c r="B719" s="228"/>
      <c r="C719" s="228"/>
      <c r="D719" s="594"/>
      <c r="E719" s="594"/>
      <c r="F719" s="594"/>
      <c r="G719" s="594"/>
      <c r="H719" s="594"/>
      <c r="I719" s="593"/>
      <c r="J719" s="593"/>
      <c r="K719" s="593"/>
    </row>
    <row r="720" spans="2:11">
      <c r="B720" s="228"/>
      <c r="C720" s="228"/>
      <c r="D720" s="594"/>
      <c r="E720" s="594"/>
      <c r="F720" s="594"/>
      <c r="G720" s="594"/>
      <c r="H720" s="594"/>
      <c r="I720" s="593"/>
      <c r="J720" s="593"/>
      <c r="K720" s="593"/>
    </row>
    <row r="721" spans="2:11">
      <c r="B721" s="228"/>
      <c r="C721" s="228"/>
      <c r="D721" s="594"/>
      <c r="E721" s="594"/>
      <c r="F721" s="594"/>
      <c r="G721" s="594"/>
      <c r="H721" s="594"/>
      <c r="I721" s="593"/>
      <c r="J721" s="593"/>
      <c r="K721" s="593"/>
    </row>
    <row r="722" spans="2:11">
      <c r="B722" s="228"/>
      <c r="C722" s="228"/>
      <c r="D722" s="594"/>
      <c r="E722" s="594"/>
      <c r="F722" s="594"/>
      <c r="G722" s="594"/>
      <c r="H722" s="594"/>
      <c r="I722" s="593"/>
      <c r="J722" s="593"/>
      <c r="K722" s="593"/>
    </row>
    <row r="723" spans="2:11">
      <c r="B723" s="228"/>
      <c r="C723" s="228"/>
      <c r="D723" s="594"/>
      <c r="E723" s="594"/>
      <c r="F723" s="594"/>
      <c r="G723" s="594"/>
      <c r="H723" s="594"/>
      <c r="I723" s="593"/>
      <c r="J723" s="593"/>
      <c r="K723" s="593"/>
    </row>
    <row r="724" spans="2:11">
      <c r="B724" s="228"/>
      <c r="C724" s="228"/>
      <c r="D724" s="594"/>
      <c r="E724" s="594"/>
      <c r="F724" s="594"/>
      <c r="G724" s="594"/>
      <c r="H724" s="594"/>
      <c r="I724" s="593"/>
      <c r="J724" s="593"/>
      <c r="K724" s="593"/>
    </row>
    <row r="725" spans="2:11">
      <c r="B725" s="228"/>
      <c r="C725" s="228"/>
      <c r="D725" s="594"/>
      <c r="E725" s="594"/>
      <c r="F725" s="594"/>
      <c r="G725" s="594"/>
      <c r="H725" s="594"/>
      <c r="I725" s="593"/>
      <c r="J725" s="593"/>
      <c r="K725" s="593"/>
    </row>
    <row r="726" spans="2:11">
      <c r="B726" s="228"/>
      <c r="C726" s="228"/>
      <c r="D726" s="594"/>
      <c r="E726" s="594"/>
      <c r="F726" s="594"/>
      <c r="G726" s="594"/>
      <c r="H726" s="594"/>
      <c r="I726" s="593"/>
      <c r="J726" s="593"/>
      <c r="K726" s="593"/>
    </row>
    <row r="727" spans="2:11">
      <c r="B727" s="228"/>
      <c r="C727" s="228"/>
      <c r="D727" s="594"/>
      <c r="E727" s="594"/>
      <c r="F727" s="594"/>
      <c r="G727" s="594"/>
      <c r="H727" s="594"/>
      <c r="I727" s="593"/>
      <c r="J727" s="593"/>
      <c r="K727" s="593"/>
    </row>
    <row r="728" spans="2:11">
      <c r="B728" s="228"/>
      <c r="C728" s="228"/>
      <c r="D728" s="594"/>
      <c r="E728" s="594"/>
      <c r="F728" s="594"/>
      <c r="G728" s="594"/>
      <c r="H728" s="594"/>
      <c r="I728" s="593"/>
      <c r="J728" s="593"/>
      <c r="K728" s="593"/>
    </row>
    <row r="729" spans="2:11">
      <c r="B729" s="228"/>
      <c r="C729" s="228"/>
      <c r="D729" s="594"/>
      <c r="E729" s="594"/>
      <c r="F729" s="594"/>
      <c r="G729" s="594"/>
      <c r="H729" s="594"/>
      <c r="I729" s="593"/>
      <c r="J729" s="593"/>
      <c r="K729" s="593"/>
    </row>
    <row r="730" spans="2:11">
      <c r="B730" s="228"/>
      <c r="C730" s="228"/>
      <c r="D730" s="594"/>
      <c r="E730" s="594"/>
      <c r="F730" s="594"/>
      <c r="G730" s="594"/>
      <c r="H730" s="594"/>
      <c r="I730" s="593"/>
      <c r="J730" s="593"/>
      <c r="K730" s="593"/>
    </row>
    <row r="731" spans="2:11">
      <c r="B731" s="228"/>
      <c r="C731" s="228"/>
      <c r="D731" s="594"/>
      <c r="E731" s="594"/>
      <c r="F731" s="594"/>
      <c r="G731" s="594"/>
      <c r="H731" s="594"/>
      <c r="I731" s="593"/>
      <c r="J731" s="593"/>
      <c r="K731" s="593"/>
    </row>
    <row r="732" spans="2:11">
      <c r="B732" s="228"/>
      <c r="C732" s="228"/>
      <c r="D732" s="594"/>
      <c r="E732" s="594"/>
      <c r="F732" s="594"/>
      <c r="G732" s="594"/>
      <c r="H732" s="594"/>
      <c r="I732" s="593"/>
      <c r="J732" s="593"/>
      <c r="K732" s="593"/>
    </row>
    <row r="733" spans="2:11">
      <c r="B733" s="228"/>
      <c r="C733" s="228"/>
      <c r="D733" s="594"/>
      <c r="E733" s="594"/>
      <c r="F733" s="594"/>
      <c r="G733" s="594"/>
      <c r="H733" s="594"/>
      <c r="I733" s="593"/>
      <c r="J733" s="593"/>
      <c r="K733" s="593"/>
    </row>
    <row r="734" spans="2:11">
      <c r="B734" s="228"/>
      <c r="C734" s="228"/>
      <c r="D734" s="594"/>
      <c r="E734" s="594"/>
      <c r="F734" s="594"/>
      <c r="G734" s="594"/>
      <c r="H734" s="594"/>
      <c r="I734" s="593"/>
      <c r="J734" s="593"/>
      <c r="K734" s="593"/>
    </row>
    <row r="735" spans="2:11">
      <c r="B735" s="228"/>
      <c r="C735" s="228"/>
      <c r="D735" s="594"/>
      <c r="E735" s="594"/>
      <c r="F735" s="594"/>
      <c r="G735" s="594"/>
      <c r="H735" s="594"/>
      <c r="I735" s="593"/>
      <c r="J735" s="593"/>
      <c r="K735" s="593"/>
    </row>
    <row r="736" spans="2:11">
      <c r="B736" s="228"/>
      <c r="C736" s="228"/>
      <c r="D736" s="594"/>
      <c r="E736" s="594"/>
      <c r="F736" s="594"/>
      <c r="G736" s="594"/>
      <c r="H736" s="594"/>
      <c r="I736" s="593"/>
      <c r="J736" s="593"/>
      <c r="K736" s="593"/>
    </row>
    <row r="737" spans="2:11">
      <c r="B737" s="228"/>
      <c r="C737" s="228"/>
      <c r="D737" s="594"/>
      <c r="E737" s="594"/>
      <c r="F737" s="594"/>
      <c r="G737" s="594"/>
      <c r="H737" s="594"/>
      <c r="I737" s="593"/>
      <c r="J737" s="593"/>
      <c r="K737" s="593"/>
    </row>
    <row r="738" spans="2:11">
      <c r="B738" s="228"/>
      <c r="C738" s="228"/>
      <c r="D738" s="594"/>
      <c r="E738" s="594"/>
      <c r="F738" s="594"/>
      <c r="G738" s="594"/>
      <c r="H738" s="594"/>
      <c r="I738" s="593"/>
      <c r="J738" s="593"/>
      <c r="K738" s="593"/>
    </row>
    <row r="739" spans="2:11">
      <c r="B739" s="228"/>
      <c r="C739" s="228"/>
      <c r="D739" s="594"/>
      <c r="E739" s="594"/>
      <c r="F739" s="594"/>
      <c r="G739" s="594"/>
      <c r="H739" s="594"/>
      <c r="I739" s="593"/>
      <c r="J739" s="593"/>
      <c r="K739" s="593"/>
    </row>
    <row r="740" spans="2:11">
      <c r="B740" s="228"/>
      <c r="C740" s="228"/>
      <c r="D740" s="594"/>
      <c r="E740" s="594"/>
      <c r="F740" s="594"/>
      <c r="G740" s="594"/>
      <c r="H740" s="594"/>
      <c r="I740" s="593"/>
      <c r="J740" s="593"/>
      <c r="K740" s="593"/>
    </row>
    <row r="741" spans="2:11">
      <c r="B741" s="228"/>
      <c r="C741" s="228"/>
      <c r="D741" s="594"/>
      <c r="E741" s="594"/>
      <c r="F741" s="594"/>
      <c r="G741" s="594"/>
      <c r="H741" s="594"/>
      <c r="I741" s="593"/>
      <c r="J741" s="593"/>
      <c r="K741" s="593"/>
    </row>
    <row r="742" spans="2:11">
      <c r="B742" s="228"/>
      <c r="C742" s="228"/>
      <c r="D742" s="594"/>
      <c r="E742" s="594"/>
      <c r="F742" s="594"/>
      <c r="G742" s="594"/>
      <c r="H742" s="594"/>
      <c r="I742" s="593"/>
      <c r="J742" s="593"/>
      <c r="K742" s="593"/>
    </row>
    <row r="743" spans="2:11">
      <c r="B743" s="228"/>
      <c r="C743" s="228"/>
      <c r="D743" s="594"/>
      <c r="E743" s="594"/>
      <c r="F743" s="594"/>
      <c r="G743" s="594"/>
      <c r="H743" s="594"/>
      <c r="I743" s="593"/>
      <c r="J743" s="593"/>
      <c r="K743" s="593"/>
    </row>
    <row r="744" spans="2:11">
      <c r="B744" s="228"/>
      <c r="C744" s="228"/>
      <c r="D744" s="594"/>
      <c r="E744" s="594"/>
      <c r="F744" s="594"/>
      <c r="G744" s="594"/>
      <c r="H744" s="594"/>
      <c r="I744" s="593"/>
      <c r="J744" s="593"/>
      <c r="K744" s="593"/>
    </row>
    <row r="745" spans="2:11">
      <c r="B745" s="228"/>
      <c r="C745" s="228"/>
      <c r="D745" s="594"/>
      <c r="E745" s="594"/>
      <c r="F745" s="594"/>
      <c r="G745" s="594"/>
      <c r="H745" s="594"/>
      <c r="I745" s="593"/>
      <c r="J745" s="593"/>
      <c r="K745" s="593"/>
    </row>
    <row r="746" spans="2:11">
      <c r="B746" s="228"/>
      <c r="C746" s="228"/>
      <c r="D746" s="594"/>
      <c r="E746" s="594"/>
      <c r="F746" s="594"/>
      <c r="G746" s="594"/>
      <c r="H746" s="594"/>
      <c r="I746" s="593"/>
      <c r="J746" s="593"/>
      <c r="K746" s="593"/>
    </row>
    <row r="747" spans="2:11">
      <c r="B747" s="228"/>
      <c r="C747" s="228"/>
      <c r="D747" s="594"/>
      <c r="E747" s="594"/>
      <c r="F747" s="594"/>
      <c r="G747" s="594"/>
      <c r="H747" s="594"/>
      <c r="I747" s="593"/>
      <c r="J747" s="593"/>
      <c r="K747" s="593"/>
    </row>
    <row r="748" spans="2:11">
      <c r="B748" s="228"/>
      <c r="C748" s="228"/>
      <c r="D748" s="594"/>
      <c r="E748" s="594"/>
      <c r="F748" s="594"/>
      <c r="G748" s="594"/>
      <c r="H748" s="594"/>
      <c r="I748" s="593"/>
      <c r="J748" s="593"/>
      <c r="K748" s="593"/>
    </row>
    <row r="749" spans="2:11">
      <c r="B749" s="228"/>
      <c r="C749" s="228"/>
      <c r="D749" s="594"/>
      <c r="E749" s="594"/>
      <c r="F749" s="594"/>
      <c r="G749" s="594"/>
      <c r="H749" s="594"/>
      <c r="I749" s="593"/>
      <c r="J749" s="593"/>
      <c r="K749" s="593"/>
    </row>
    <row r="750" spans="2:11">
      <c r="B750" s="228"/>
      <c r="C750" s="228"/>
      <c r="D750" s="594"/>
      <c r="E750" s="594"/>
      <c r="F750" s="594"/>
      <c r="G750" s="594"/>
      <c r="H750" s="594"/>
      <c r="I750" s="593"/>
      <c r="J750" s="593"/>
      <c r="K750" s="593"/>
    </row>
    <row r="751" spans="2:11">
      <c r="B751" s="228"/>
      <c r="C751" s="228"/>
      <c r="D751" s="594"/>
      <c r="E751" s="594"/>
      <c r="F751" s="594"/>
      <c r="G751" s="594"/>
      <c r="H751" s="594"/>
      <c r="I751" s="593"/>
      <c r="J751" s="593"/>
      <c r="K751" s="593"/>
    </row>
    <row r="752" spans="2:11">
      <c r="B752" s="228"/>
      <c r="C752" s="228"/>
      <c r="D752" s="594"/>
      <c r="E752" s="594"/>
      <c r="F752" s="594"/>
      <c r="G752" s="594"/>
      <c r="H752" s="594"/>
      <c r="I752" s="593"/>
      <c r="J752" s="593"/>
      <c r="K752" s="593"/>
    </row>
    <row r="753" spans="2:11">
      <c r="B753" s="228"/>
      <c r="C753" s="228"/>
      <c r="D753" s="594"/>
      <c r="E753" s="594"/>
      <c r="F753" s="594"/>
      <c r="G753" s="594"/>
      <c r="H753" s="594"/>
      <c r="I753" s="593"/>
      <c r="J753" s="593"/>
      <c r="K753" s="593"/>
    </row>
    <row r="754" spans="2:11">
      <c r="B754" s="228"/>
      <c r="C754" s="228"/>
      <c r="D754" s="594"/>
      <c r="E754" s="594"/>
      <c r="F754" s="594"/>
      <c r="G754" s="594"/>
      <c r="H754" s="594"/>
      <c r="I754" s="593"/>
      <c r="J754" s="593"/>
      <c r="K754" s="593"/>
    </row>
    <row r="755" spans="2:11">
      <c r="B755" s="228"/>
      <c r="C755" s="228"/>
      <c r="D755" s="594"/>
      <c r="E755" s="594"/>
      <c r="F755" s="594"/>
      <c r="G755" s="594"/>
      <c r="H755" s="594"/>
      <c r="I755" s="593"/>
      <c r="J755" s="593"/>
      <c r="K755" s="593"/>
    </row>
    <row r="756" spans="2:11">
      <c r="B756" s="228"/>
      <c r="C756" s="228"/>
      <c r="D756" s="594"/>
      <c r="E756" s="594"/>
      <c r="F756" s="594"/>
      <c r="G756" s="594"/>
      <c r="H756" s="594"/>
      <c r="I756" s="593"/>
      <c r="J756" s="593"/>
      <c r="K756" s="593"/>
    </row>
    <row r="757" spans="2:11">
      <c r="B757" s="228"/>
      <c r="C757" s="228"/>
      <c r="D757" s="594"/>
      <c r="E757" s="594"/>
      <c r="F757" s="594"/>
      <c r="G757" s="594"/>
      <c r="H757" s="594"/>
      <c r="I757" s="593"/>
      <c r="J757" s="593"/>
      <c r="K757" s="593"/>
    </row>
    <row r="758" spans="2:11">
      <c r="B758" s="228"/>
      <c r="C758" s="228"/>
      <c r="D758" s="594"/>
      <c r="E758" s="594"/>
      <c r="F758" s="594"/>
      <c r="G758" s="594"/>
      <c r="H758" s="594"/>
      <c r="I758" s="593"/>
      <c r="J758" s="593"/>
      <c r="K758" s="593"/>
    </row>
    <row r="759" spans="2:11">
      <c r="B759" s="228"/>
      <c r="C759" s="228"/>
      <c r="D759" s="594"/>
      <c r="E759" s="594"/>
      <c r="F759" s="594"/>
      <c r="G759" s="594"/>
      <c r="H759" s="594"/>
      <c r="I759" s="593"/>
      <c r="J759" s="593"/>
      <c r="K759" s="593"/>
    </row>
    <row r="760" spans="2:11">
      <c r="B760" s="228"/>
      <c r="C760" s="228"/>
      <c r="D760" s="594"/>
      <c r="E760" s="594"/>
      <c r="F760" s="594"/>
      <c r="G760" s="594"/>
      <c r="H760" s="594"/>
      <c r="I760" s="593"/>
      <c r="J760" s="593"/>
      <c r="K760" s="593"/>
    </row>
    <row r="761" spans="2:11">
      <c r="B761" s="228"/>
      <c r="C761" s="228"/>
      <c r="D761" s="594"/>
      <c r="E761" s="594"/>
      <c r="F761" s="594"/>
      <c r="G761" s="594"/>
      <c r="H761" s="594"/>
      <c r="I761" s="593"/>
      <c r="J761" s="593"/>
      <c r="K761" s="593"/>
    </row>
    <row r="762" spans="2:11">
      <c r="B762" s="228"/>
      <c r="C762" s="228"/>
      <c r="D762" s="594"/>
      <c r="E762" s="594"/>
      <c r="F762" s="594"/>
      <c r="G762" s="594"/>
      <c r="H762" s="594"/>
      <c r="I762" s="593"/>
      <c r="J762" s="593"/>
      <c r="K762" s="593"/>
    </row>
    <row r="763" spans="2:11">
      <c r="B763" s="228"/>
      <c r="C763" s="228"/>
      <c r="D763" s="594"/>
      <c r="E763" s="594"/>
      <c r="F763" s="594"/>
      <c r="G763" s="594"/>
      <c r="H763" s="594"/>
      <c r="I763" s="593"/>
      <c r="J763" s="593"/>
      <c r="K763" s="593"/>
    </row>
    <row r="764" spans="2:11">
      <c r="B764" s="228"/>
      <c r="C764" s="228"/>
      <c r="D764" s="594"/>
      <c r="E764" s="594"/>
      <c r="F764" s="594"/>
      <c r="G764" s="594"/>
      <c r="H764" s="594"/>
      <c r="I764" s="593"/>
      <c r="J764" s="593"/>
      <c r="K764" s="593"/>
    </row>
    <row r="765" spans="2:11">
      <c r="B765" s="228"/>
      <c r="C765" s="228"/>
      <c r="D765" s="594"/>
      <c r="E765" s="594"/>
      <c r="F765" s="594"/>
      <c r="G765" s="594"/>
      <c r="H765" s="594"/>
      <c r="I765" s="593"/>
      <c r="J765" s="593"/>
      <c r="K765" s="593"/>
    </row>
    <row r="766" spans="2:11">
      <c r="B766" s="228"/>
      <c r="C766" s="228"/>
      <c r="D766" s="594"/>
      <c r="E766" s="594"/>
      <c r="F766" s="594"/>
      <c r="G766" s="594"/>
      <c r="H766" s="594"/>
      <c r="I766" s="593"/>
      <c r="J766" s="593"/>
      <c r="K766" s="593"/>
    </row>
    <row r="767" spans="2:11">
      <c r="B767" s="228"/>
      <c r="C767" s="228"/>
      <c r="D767" s="594"/>
      <c r="E767" s="594"/>
      <c r="F767" s="594"/>
      <c r="G767" s="594"/>
      <c r="H767" s="594"/>
      <c r="I767" s="593"/>
      <c r="J767" s="593"/>
      <c r="K767" s="593"/>
    </row>
    <row r="768" spans="2:11">
      <c r="B768" s="228"/>
      <c r="C768" s="228"/>
      <c r="D768" s="594"/>
      <c r="E768" s="594"/>
      <c r="F768" s="594"/>
      <c r="G768" s="594"/>
      <c r="H768" s="594"/>
      <c r="I768" s="593"/>
      <c r="J768" s="593"/>
      <c r="K768" s="593"/>
    </row>
    <row r="769" spans="2:11">
      <c r="B769" s="228"/>
      <c r="C769" s="228"/>
      <c r="D769" s="594"/>
      <c r="E769" s="594"/>
      <c r="F769" s="594"/>
      <c r="G769" s="594"/>
      <c r="H769" s="594"/>
      <c r="I769" s="593"/>
      <c r="J769" s="593"/>
      <c r="K769" s="593"/>
    </row>
    <row r="770" spans="2:11">
      <c r="B770" s="228"/>
      <c r="C770" s="228"/>
      <c r="D770" s="594"/>
      <c r="E770" s="594"/>
      <c r="F770" s="594"/>
      <c r="G770" s="594"/>
      <c r="H770" s="594"/>
      <c r="I770" s="593"/>
      <c r="J770" s="593"/>
      <c r="K770" s="593"/>
    </row>
    <row r="771" spans="2:11">
      <c r="B771" s="228"/>
      <c r="C771" s="228"/>
      <c r="D771" s="594"/>
      <c r="E771" s="594"/>
      <c r="F771" s="594"/>
      <c r="G771" s="594"/>
      <c r="H771" s="594"/>
      <c r="I771" s="593"/>
      <c r="J771" s="593"/>
      <c r="K771" s="593"/>
    </row>
    <row r="772" spans="2:11">
      <c r="B772" s="228"/>
      <c r="C772" s="228"/>
      <c r="D772" s="594"/>
      <c r="E772" s="594"/>
      <c r="F772" s="594"/>
      <c r="G772" s="594"/>
      <c r="H772" s="594"/>
      <c r="I772" s="593"/>
      <c r="J772" s="593"/>
      <c r="K772" s="593"/>
    </row>
    <row r="773" spans="2:11">
      <c r="B773" s="228"/>
      <c r="C773" s="228"/>
      <c r="D773" s="594"/>
      <c r="E773" s="594"/>
      <c r="F773" s="594"/>
      <c r="G773" s="594"/>
      <c r="H773" s="594"/>
      <c r="I773" s="593"/>
      <c r="J773" s="593"/>
      <c r="K773" s="593"/>
    </row>
    <row r="774" spans="2:11">
      <c r="B774" s="228"/>
      <c r="C774" s="228"/>
      <c r="D774" s="594"/>
      <c r="E774" s="594"/>
      <c r="F774" s="594"/>
      <c r="G774" s="594"/>
      <c r="H774" s="594"/>
      <c r="I774" s="593"/>
      <c r="J774" s="593"/>
      <c r="K774" s="593"/>
    </row>
    <row r="775" spans="2:11">
      <c r="B775" s="228"/>
      <c r="C775" s="228"/>
      <c r="D775" s="594"/>
      <c r="E775" s="594"/>
      <c r="F775" s="594"/>
      <c r="G775" s="594"/>
      <c r="H775" s="594"/>
      <c r="I775" s="593"/>
      <c r="J775" s="593"/>
      <c r="K775" s="593"/>
    </row>
    <row r="776" spans="2:11">
      <c r="B776" s="228"/>
      <c r="C776" s="228"/>
      <c r="D776" s="594"/>
      <c r="E776" s="594"/>
      <c r="F776" s="594"/>
      <c r="G776" s="594"/>
      <c r="H776" s="594"/>
      <c r="I776" s="593"/>
      <c r="J776" s="593"/>
      <c r="K776" s="593"/>
    </row>
    <row r="777" spans="2:11">
      <c r="B777" s="228"/>
      <c r="C777" s="228"/>
      <c r="D777" s="594"/>
      <c r="E777" s="594"/>
      <c r="F777" s="594"/>
      <c r="G777" s="594"/>
      <c r="H777" s="594"/>
      <c r="I777" s="593"/>
      <c r="J777" s="593"/>
      <c r="K777" s="593"/>
    </row>
    <row r="778" spans="2:11">
      <c r="B778" s="228"/>
      <c r="C778" s="228"/>
      <c r="D778" s="594"/>
      <c r="E778" s="594"/>
      <c r="F778" s="594"/>
      <c r="G778" s="594"/>
      <c r="H778" s="594"/>
      <c r="I778" s="593"/>
      <c r="J778" s="593"/>
      <c r="K778" s="593"/>
    </row>
    <row r="779" spans="2:11">
      <c r="B779" s="228"/>
      <c r="C779" s="228"/>
      <c r="D779" s="594"/>
      <c r="E779" s="594"/>
      <c r="F779" s="594"/>
      <c r="G779" s="594"/>
      <c r="H779" s="594"/>
      <c r="I779" s="593"/>
      <c r="J779" s="593"/>
      <c r="K779" s="593"/>
    </row>
    <row r="780" spans="2:11">
      <c r="B780" s="228"/>
      <c r="C780" s="228"/>
      <c r="D780" s="594"/>
      <c r="E780" s="594"/>
      <c r="F780" s="594"/>
      <c r="G780" s="594"/>
      <c r="H780" s="594"/>
      <c r="I780" s="593"/>
      <c r="J780" s="593"/>
      <c r="K780" s="593"/>
    </row>
    <row r="781" spans="2:11">
      <c r="B781" s="228"/>
      <c r="C781" s="228"/>
      <c r="D781" s="594"/>
      <c r="E781" s="594"/>
      <c r="F781" s="594"/>
      <c r="G781" s="594"/>
      <c r="H781" s="594"/>
      <c r="I781" s="593"/>
      <c r="J781" s="593"/>
      <c r="K781" s="593"/>
    </row>
    <row r="782" spans="2:11">
      <c r="B782" s="228"/>
      <c r="C782" s="228"/>
      <c r="D782" s="594"/>
      <c r="E782" s="594"/>
      <c r="F782" s="594"/>
      <c r="G782" s="594"/>
      <c r="H782" s="594"/>
      <c r="I782" s="593"/>
      <c r="J782" s="593"/>
      <c r="K782" s="593"/>
    </row>
    <row r="783" spans="2:11">
      <c r="B783" s="228"/>
      <c r="C783" s="228"/>
      <c r="D783" s="594"/>
      <c r="E783" s="594"/>
      <c r="F783" s="594"/>
      <c r="G783" s="594"/>
      <c r="H783" s="594"/>
      <c r="I783" s="593"/>
      <c r="J783" s="593"/>
      <c r="K783" s="593"/>
    </row>
    <row r="784" spans="2:11">
      <c r="B784" s="228"/>
      <c r="C784" s="228"/>
      <c r="D784" s="594"/>
      <c r="E784" s="594"/>
      <c r="F784" s="594"/>
      <c r="G784" s="594"/>
      <c r="H784" s="594"/>
      <c r="I784" s="593"/>
      <c r="J784" s="593"/>
      <c r="K784" s="593"/>
    </row>
    <row r="785" spans="2:11">
      <c r="B785" s="228"/>
      <c r="C785" s="228"/>
      <c r="D785" s="594"/>
      <c r="E785" s="594"/>
      <c r="F785" s="594"/>
      <c r="G785" s="594"/>
      <c r="H785" s="594"/>
      <c r="I785" s="593"/>
      <c r="J785" s="593"/>
      <c r="K785" s="593"/>
    </row>
    <row r="786" spans="2:11">
      <c r="B786" s="228"/>
      <c r="C786" s="228"/>
      <c r="D786" s="594"/>
      <c r="E786" s="594"/>
      <c r="F786" s="594"/>
      <c r="G786" s="594"/>
      <c r="H786" s="594"/>
      <c r="I786" s="593"/>
      <c r="J786" s="593"/>
      <c r="K786" s="593"/>
    </row>
    <row r="787" spans="2:11">
      <c r="B787" s="228"/>
      <c r="C787" s="228"/>
      <c r="D787" s="594"/>
      <c r="E787" s="594"/>
      <c r="F787" s="594"/>
      <c r="G787" s="594"/>
      <c r="H787" s="594"/>
      <c r="I787" s="593"/>
      <c r="J787" s="593"/>
      <c r="K787" s="593"/>
    </row>
    <row r="788" spans="2:11">
      <c r="B788" s="228"/>
      <c r="C788" s="228"/>
      <c r="D788" s="594"/>
      <c r="E788" s="594"/>
      <c r="F788" s="594"/>
      <c r="G788" s="594"/>
      <c r="H788" s="594"/>
      <c r="I788" s="593"/>
      <c r="J788" s="593"/>
      <c r="K788" s="593"/>
    </row>
    <row r="789" spans="2:11">
      <c r="B789" s="228"/>
      <c r="C789" s="228"/>
      <c r="D789" s="594"/>
      <c r="E789" s="594"/>
      <c r="F789" s="594"/>
      <c r="G789" s="594"/>
      <c r="H789" s="594"/>
      <c r="I789" s="593"/>
      <c r="J789" s="593"/>
      <c r="K789" s="593"/>
    </row>
    <row r="790" spans="2:11">
      <c r="B790" s="228"/>
      <c r="C790" s="228"/>
      <c r="D790" s="594"/>
      <c r="E790" s="594"/>
      <c r="F790" s="594"/>
      <c r="G790" s="594"/>
      <c r="H790" s="594"/>
      <c r="I790" s="593"/>
      <c r="J790" s="593"/>
      <c r="K790" s="593"/>
    </row>
    <row r="791" spans="2:11">
      <c r="B791" s="228"/>
      <c r="C791" s="228"/>
      <c r="D791" s="594"/>
      <c r="E791" s="594"/>
      <c r="F791" s="594"/>
      <c r="G791" s="594"/>
      <c r="H791" s="594"/>
      <c r="I791" s="593"/>
      <c r="J791" s="593"/>
      <c r="K791" s="593"/>
    </row>
    <row r="792" spans="2:11">
      <c r="B792" s="228"/>
      <c r="C792" s="228"/>
      <c r="D792" s="594"/>
      <c r="E792" s="594"/>
      <c r="F792" s="594"/>
      <c r="G792" s="594"/>
      <c r="H792" s="594"/>
      <c r="I792" s="593"/>
      <c r="J792" s="593"/>
      <c r="K792" s="593"/>
    </row>
    <row r="793" spans="2:11">
      <c r="B793" s="228"/>
      <c r="C793" s="228"/>
      <c r="D793" s="594"/>
      <c r="E793" s="594"/>
      <c r="F793" s="594"/>
      <c r="G793" s="594"/>
      <c r="H793" s="594"/>
      <c r="I793" s="593"/>
      <c r="J793" s="593"/>
      <c r="K793" s="593"/>
    </row>
    <row r="794" spans="2:11">
      <c r="B794" s="228"/>
      <c r="C794" s="228"/>
      <c r="D794" s="594"/>
      <c r="E794" s="594"/>
      <c r="F794" s="594"/>
      <c r="G794" s="594"/>
      <c r="H794" s="594"/>
      <c r="I794" s="593"/>
      <c r="J794" s="593"/>
      <c r="K794" s="593"/>
    </row>
    <row r="795" spans="2:11">
      <c r="B795" s="228"/>
      <c r="C795" s="228"/>
      <c r="D795" s="594"/>
      <c r="E795" s="594"/>
      <c r="F795" s="594"/>
      <c r="G795" s="594"/>
      <c r="H795" s="594"/>
      <c r="I795" s="593"/>
      <c r="J795" s="593"/>
      <c r="K795" s="593"/>
    </row>
    <row r="796" spans="2:11">
      <c r="B796" s="228"/>
      <c r="C796" s="228"/>
      <c r="D796" s="594"/>
      <c r="E796" s="594"/>
      <c r="F796" s="594"/>
      <c r="G796" s="594"/>
      <c r="H796" s="594"/>
      <c r="I796" s="593"/>
      <c r="J796" s="593"/>
      <c r="K796" s="593"/>
    </row>
    <row r="797" spans="2:11">
      <c r="B797" s="228"/>
      <c r="C797" s="228"/>
      <c r="D797" s="594"/>
      <c r="E797" s="594"/>
      <c r="F797" s="594"/>
      <c r="G797" s="594"/>
      <c r="H797" s="594"/>
      <c r="I797" s="593"/>
      <c r="J797" s="593"/>
      <c r="K797" s="593"/>
    </row>
    <row r="798" spans="2:11">
      <c r="B798" s="228"/>
      <c r="C798" s="228"/>
      <c r="D798" s="594"/>
      <c r="E798" s="594"/>
      <c r="F798" s="594"/>
      <c r="G798" s="594"/>
      <c r="H798" s="594"/>
      <c r="I798" s="593"/>
      <c r="J798" s="593"/>
      <c r="K798" s="593"/>
    </row>
    <row r="799" spans="2:11">
      <c r="B799" s="228"/>
      <c r="C799" s="228"/>
      <c r="D799" s="594"/>
      <c r="E799" s="594"/>
      <c r="F799" s="594"/>
      <c r="G799" s="594"/>
      <c r="H799" s="594"/>
      <c r="I799" s="593"/>
      <c r="J799" s="593"/>
      <c r="K799" s="593"/>
    </row>
    <row r="800" spans="2:11">
      <c r="B800" s="228"/>
      <c r="C800" s="228"/>
      <c r="D800" s="594"/>
      <c r="E800" s="594"/>
      <c r="F800" s="594"/>
      <c r="G800" s="594"/>
      <c r="H800" s="594"/>
      <c r="I800" s="593"/>
      <c r="J800" s="593"/>
      <c r="K800" s="593"/>
    </row>
    <row r="801" spans="2:11">
      <c r="B801" s="228"/>
      <c r="C801" s="228"/>
      <c r="D801" s="594"/>
      <c r="E801" s="594"/>
      <c r="F801" s="594"/>
      <c r="G801" s="594"/>
      <c r="H801" s="594"/>
      <c r="I801" s="593"/>
      <c r="J801" s="593"/>
      <c r="K801" s="593"/>
    </row>
    <row r="802" spans="2:11">
      <c r="B802" s="228"/>
      <c r="C802" s="228"/>
      <c r="D802" s="594"/>
      <c r="E802" s="594"/>
      <c r="F802" s="594"/>
      <c r="G802" s="594"/>
      <c r="H802" s="594"/>
      <c r="I802" s="593"/>
      <c r="J802" s="593"/>
      <c r="K802" s="593"/>
    </row>
    <row r="803" spans="2:11">
      <c r="B803" s="228"/>
      <c r="C803" s="228"/>
      <c r="D803" s="594"/>
      <c r="E803" s="594"/>
      <c r="F803" s="594"/>
      <c r="G803" s="594"/>
      <c r="H803" s="594"/>
      <c r="I803" s="593"/>
      <c r="J803" s="593"/>
      <c r="K803" s="593"/>
    </row>
    <row r="804" spans="2:11">
      <c r="B804" s="228"/>
      <c r="C804" s="228"/>
      <c r="D804" s="594"/>
      <c r="E804" s="594"/>
      <c r="F804" s="594"/>
      <c r="G804" s="594"/>
      <c r="H804" s="594"/>
      <c r="I804" s="593"/>
      <c r="J804" s="593"/>
      <c r="K804" s="593"/>
    </row>
    <row r="805" spans="2:11">
      <c r="B805" s="228"/>
      <c r="C805" s="228"/>
      <c r="D805" s="594"/>
      <c r="E805" s="594"/>
      <c r="F805" s="594"/>
      <c r="G805" s="594"/>
      <c r="H805" s="594"/>
      <c r="I805" s="593"/>
      <c r="J805" s="593"/>
      <c r="K805" s="593"/>
    </row>
    <row r="806" spans="2:11">
      <c r="B806" s="228"/>
      <c r="C806" s="228"/>
      <c r="D806" s="594"/>
      <c r="E806" s="594"/>
      <c r="F806" s="594"/>
      <c r="G806" s="594"/>
      <c r="H806" s="594"/>
      <c r="I806" s="593"/>
      <c r="J806" s="593"/>
      <c r="K806" s="593"/>
    </row>
    <row r="807" spans="2:11">
      <c r="B807" s="228"/>
      <c r="C807" s="228"/>
      <c r="D807" s="594"/>
      <c r="E807" s="594"/>
      <c r="F807" s="594"/>
      <c r="G807" s="594"/>
      <c r="H807" s="594"/>
      <c r="I807" s="593"/>
      <c r="J807" s="593"/>
      <c r="K807" s="593"/>
    </row>
    <row r="808" spans="2:11">
      <c r="B808" s="228"/>
      <c r="C808" s="228"/>
      <c r="D808" s="594"/>
      <c r="E808" s="594"/>
      <c r="F808" s="594"/>
      <c r="G808" s="594"/>
      <c r="H808" s="594"/>
      <c r="I808" s="593"/>
      <c r="J808" s="593"/>
      <c r="K808" s="593"/>
    </row>
    <row r="809" spans="2:11">
      <c r="B809" s="228"/>
      <c r="C809" s="228"/>
      <c r="D809" s="594"/>
      <c r="E809" s="594"/>
      <c r="F809" s="594"/>
      <c r="G809" s="594"/>
      <c r="H809" s="594"/>
      <c r="I809" s="593"/>
      <c r="J809" s="593"/>
      <c r="K809" s="593"/>
    </row>
    <row r="810" spans="2:11">
      <c r="B810" s="228"/>
      <c r="C810" s="228"/>
      <c r="D810" s="594"/>
      <c r="E810" s="594"/>
      <c r="F810" s="594"/>
      <c r="G810" s="594"/>
      <c r="H810" s="594"/>
      <c r="I810" s="593"/>
      <c r="J810" s="593"/>
      <c r="K810" s="593"/>
    </row>
    <row r="811" spans="2:11">
      <c r="B811" s="228"/>
      <c r="C811" s="228"/>
      <c r="D811" s="594"/>
      <c r="E811" s="594"/>
      <c r="F811" s="594"/>
      <c r="G811" s="594"/>
      <c r="H811" s="594"/>
      <c r="I811" s="593"/>
      <c r="J811" s="593"/>
      <c r="K811" s="593"/>
    </row>
    <row r="812" spans="2:11">
      <c r="B812" s="228"/>
      <c r="C812" s="228"/>
      <c r="D812" s="594"/>
      <c r="E812" s="594"/>
      <c r="F812" s="594"/>
      <c r="G812" s="594"/>
      <c r="H812" s="594"/>
      <c r="I812" s="593"/>
      <c r="J812" s="593"/>
      <c r="K812" s="593"/>
    </row>
    <row r="813" spans="2:11">
      <c r="B813" s="228"/>
      <c r="C813" s="228"/>
      <c r="D813" s="594"/>
      <c r="E813" s="594"/>
      <c r="F813" s="594"/>
      <c r="G813" s="594"/>
      <c r="H813" s="594"/>
      <c r="I813" s="593"/>
      <c r="J813" s="593"/>
      <c r="K813" s="593"/>
    </row>
    <row r="814" spans="2:11">
      <c r="B814" s="228"/>
      <c r="C814" s="228"/>
      <c r="D814" s="594"/>
      <c r="E814" s="594"/>
      <c r="F814" s="594"/>
      <c r="G814" s="594"/>
      <c r="H814" s="594"/>
      <c r="I814" s="593"/>
      <c r="J814" s="593"/>
      <c r="K814" s="593"/>
    </row>
    <row r="815" spans="2:11">
      <c r="B815" s="228"/>
      <c r="C815" s="228"/>
      <c r="D815" s="594"/>
      <c r="E815" s="594"/>
      <c r="F815" s="594"/>
      <c r="G815" s="594"/>
      <c r="H815" s="594"/>
      <c r="I815" s="593"/>
      <c r="J815" s="593"/>
      <c r="K815" s="593"/>
    </row>
    <row r="816" spans="2:11">
      <c r="B816" s="228"/>
      <c r="C816" s="228"/>
      <c r="D816" s="594"/>
      <c r="E816" s="594"/>
      <c r="F816" s="594"/>
      <c r="G816" s="594"/>
      <c r="H816" s="594"/>
      <c r="I816" s="593"/>
      <c r="J816" s="593"/>
      <c r="K816" s="593"/>
    </row>
    <row r="817" spans="2:11">
      <c r="B817" s="228"/>
      <c r="C817" s="228"/>
      <c r="D817" s="594"/>
      <c r="E817" s="594"/>
      <c r="F817" s="594"/>
      <c r="G817" s="594"/>
      <c r="H817" s="594"/>
      <c r="I817" s="593"/>
      <c r="J817" s="593"/>
      <c r="K817" s="593"/>
    </row>
    <row r="818" spans="2:11">
      <c r="B818" s="228"/>
      <c r="C818" s="228"/>
      <c r="D818" s="594"/>
      <c r="E818" s="594"/>
      <c r="F818" s="594"/>
      <c r="G818" s="594"/>
      <c r="H818" s="594"/>
      <c r="I818" s="593"/>
      <c r="J818" s="593"/>
      <c r="K818" s="593"/>
    </row>
    <row r="819" spans="2:11">
      <c r="B819" s="228"/>
      <c r="C819" s="228"/>
      <c r="D819" s="594"/>
      <c r="E819" s="594"/>
      <c r="F819" s="594"/>
      <c r="G819" s="594"/>
      <c r="H819" s="594"/>
      <c r="I819" s="593"/>
      <c r="J819" s="593"/>
      <c r="K819" s="593"/>
    </row>
    <row r="820" spans="2:11">
      <c r="B820" s="228"/>
      <c r="C820" s="228"/>
      <c r="D820" s="594"/>
      <c r="E820" s="594"/>
      <c r="F820" s="594"/>
      <c r="G820" s="594"/>
      <c r="H820" s="594"/>
      <c r="I820" s="593"/>
      <c r="J820" s="593"/>
      <c r="K820" s="593"/>
    </row>
    <row r="821" spans="2:11">
      <c r="B821" s="228"/>
      <c r="C821" s="228"/>
      <c r="D821" s="594"/>
      <c r="E821" s="594"/>
      <c r="F821" s="594"/>
      <c r="G821" s="594"/>
      <c r="H821" s="594"/>
      <c r="I821" s="593"/>
      <c r="J821" s="593"/>
      <c r="K821" s="593"/>
    </row>
    <row r="822" spans="2:11">
      <c r="B822" s="228"/>
      <c r="C822" s="228"/>
      <c r="D822" s="594"/>
      <c r="E822" s="594"/>
      <c r="F822" s="594"/>
      <c r="G822" s="594"/>
      <c r="H822" s="594"/>
      <c r="I822" s="593"/>
      <c r="J822" s="593"/>
      <c r="K822" s="593"/>
    </row>
    <row r="823" spans="2:11">
      <c r="B823" s="228"/>
      <c r="C823" s="228"/>
      <c r="D823" s="594"/>
      <c r="E823" s="594"/>
      <c r="F823" s="594"/>
      <c r="G823" s="594"/>
      <c r="H823" s="594"/>
      <c r="I823" s="593"/>
      <c r="J823" s="593"/>
      <c r="K823" s="593"/>
    </row>
    <row r="824" spans="2:11">
      <c r="B824" s="228"/>
      <c r="C824" s="228"/>
      <c r="D824" s="594"/>
      <c r="E824" s="594"/>
      <c r="F824" s="594"/>
      <c r="G824" s="594"/>
      <c r="H824" s="594"/>
      <c r="I824" s="593"/>
      <c r="J824" s="593"/>
      <c r="K824" s="593"/>
    </row>
    <row r="825" spans="2:11">
      <c r="B825" s="228"/>
      <c r="C825" s="228"/>
      <c r="D825" s="594"/>
      <c r="E825" s="594"/>
      <c r="F825" s="594"/>
      <c r="G825" s="594"/>
      <c r="H825" s="594"/>
      <c r="I825" s="593"/>
      <c r="J825" s="593"/>
      <c r="K825" s="593"/>
    </row>
    <row r="826" spans="2:11">
      <c r="B826" s="228"/>
      <c r="C826" s="228"/>
      <c r="D826" s="594"/>
      <c r="E826" s="594"/>
      <c r="F826" s="594"/>
      <c r="G826" s="594"/>
      <c r="H826" s="594"/>
      <c r="I826" s="593"/>
      <c r="J826" s="593"/>
      <c r="K826" s="593"/>
    </row>
    <row r="827" spans="2:11">
      <c r="B827" s="228"/>
      <c r="C827" s="228"/>
      <c r="D827" s="594"/>
      <c r="E827" s="594"/>
      <c r="F827" s="594"/>
      <c r="G827" s="594"/>
      <c r="H827" s="594"/>
      <c r="I827" s="593"/>
      <c r="J827" s="593"/>
      <c r="K827" s="593"/>
    </row>
    <row r="828" spans="2:11">
      <c r="B828" s="228"/>
      <c r="C828" s="228"/>
      <c r="D828" s="594"/>
      <c r="E828" s="594"/>
      <c r="F828" s="594"/>
      <c r="G828" s="594"/>
      <c r="H828" s="594"/>
      <c r="I828" s="593"/>
      <c r="J828" s="593"/>
      <c r="K828" s="593"/>
    </row>
    <row r="829" spans="2:11">
      <c r="B829" s="228"/>
      <c r="C829" s="228"/>
      <c r="D829" s="594"/>
      <c r="E829" s="594"/>
      <c r="F829" s="594"/>
      <c r="G829" s="594"/>
      <c r="H829" s="594"/>
      <c r="I829" s="593"/>
      <c r="J829" s="593"/>
      <c r="K829" s="593"/>
    </row>
    <row r="830" spans="2:11">
      <c r="B830" s="228"/>
      <c r="C830" s="228"/>
      <c r="D830" s="594"/>
      <c r="E830" s="594"/>
      <c r="F830" s="594"/>
      <c r="G830" s="594"/>
      <c r="H830" s="594"/>
      <c r="I830" s="593"/>
      <c r="J830" s="593"/>
      <c r="K830" s="593"/>
    </row>
    <row r="831" spans="2:11">
      <c r="B831" s="228"/>
      <c r="C831" s="228"/>
      <c r="D831" s="594"/>
      <c r="E831" s="594"/>
      <c r="F831" s="594"/>
      <c r="G831" s="594"/>
      <c r="H831" s="594"/>
      <c r="I831" s="593"/>
      <c r="J831" s="593"/>
      <c r="K831" s="593"/>
    </row>
    <row r="832" spans="2:11">
      <c r="B832" s="228"/>
      <c r="C832" s="228"/>
      <c r="D832" s="594"/>
      <c r="E832" s="594"/>
      <c r="F832" s="594"/>
      <c r="G832" s="594"/>
      <c r="H832" s="594"/>
      <c r="I832" s="593"/>
      <c r="J832" s="593"/>
      <c r="K832" s="593"/>
    </row>
    <row r="833" spans="2:11">
      <c r="B833" s="228"/>
      <c r="C833" s="228"/>
      <c r="D833" s="594"/>
      <c r="E833" s="594"/>
      <c r="F833" s="594"/>
      <c r="G833" s="594"/>
      <c r="H833" s="594"/>
      <c r="I833" s="593"/>
      <c r="J833" s="593"/>
      <c r="K833" s="593"/>
    </row>
    <row r="834" spans="2:11">
      <c r="B834" s="228"/>
      <c r="C834" s="228"/>
      <c r="D834" s="594"/>
      <c r="E834" s="594"/>
      <c r="F834" s="594"/>
      <c r="G834" s="594"/>
      <c r="H834" s="594"/>
      <c r="I834" s="593"/>
      <c r="J834" s="593"/>
      <c r="K834" s="593"/>
    </row>
    <row r="835" spans="2:11">
      <c r="B835" s="228"/>
      <c r="C835" s="228"/>
      <c r="D835" s="594"/>
      <c r="E835" s="594"/>
      <c r="F835" s="594"/>
      <c r="G835" s="594"/>
      <c r="H835" s="594"/>
      <c r="I835" s="593"/>
      <c r="J835" s="593"/>
      <c r="K835" s="593"/>
    </row>
    <row r="836" spans="2:11">
      <c r="B836" s="228"/>
      <c r="C836" s="228"/>
      <c r="D836" s="594"/>
      <c r="E836" s="594"/>
      <c r="F836" s="594"/>
      <c r="G836" s="594"/>
      <c r="H836" s="594"/>
      <c r="I836" s="593"/>
      <c r="J836" s="593"/>
      <c r="K836" s="593"/>
    </row>
    <row r="837" spans="2:11">
      <c r="B837" s="228"/>
      <c r="C837" s="228"/>
      <c r="D837" s="594"/>
      <c r="E837" s="594"/>
      <c r="F837" s="594"/>
      <c r="G837" s="594"/>
      <c r="H837" s="594"/>
      <c r="I837" s="593"/>
      <c r="J837" s="593"/>
      <c r="K837" s="593"/>
    </row>
    <row r="838" spans="2:11">
      <c r="B838" s="228"/>
      <c r="C838" s="228"/>
      <c r="D838" s="594"/>
      <c r="E838" s="594"/>
      <c r="F838" s="594"/>
      <c r="G838" s="594"/>
      <c r="H838" s="594"/>
      <c r="I838" s="593"/>
      <c r="J838" s="593"/>
      <c r="K838" s="593"/>
    </row>
    <row r="839" spans="2:11">
      <c r="B839" s="228"/>
      <c r="C839" s="228"/>
      <c r="D839" s="594"/>
      <c r="E839" s="594"/>
      <c r="F839" s="594"/>
      <c r="G839" s="594"/>
      <c r="H839" s="594"/>
      <c r="I839" s="593"/>
      <c r="J839" s="593"/>
      <c r="K839" s="593"/>
    </row>
    <row r="840" spans="2:11">
      <c r="B840" s="228"/>
      <c r="C840" s="228"/>
      <c r="D840" s="594"/>
      <c r="E840" s="594"/>
      <c r="F840" s="594"/>
      <c r="G840" s="594"/>
      <c r="H840" s="594"/>
      <c r="I840" s="593"/>
      <c r="J840" s="593"/>
      <c r="K840" s="593"/>
    </row>
    <row r="841" spans="2:11">
      <c r="B841" s="228"/>
      <c r="C841" s="228"/>
      <c r="D841" s="594"/>
      <c r="E841" s="594"/>
      <c r="F841" s="594"/>
      <c r="G841" s="594"/>
      <c r="H841" s="594"/>
      <c r="I841" s="593"/>
      <c r="J841" s="593"/>
      <c r="K841" s="593"/>
    </row>
    <row r="842" spans="2:11">
      <c r="B842" s="228"/>
      <c r="C842" s="228"/>
      <c r="D842" s="594"/>
      <c r="E842" s="594"/>
      <c r="F842" s="594"/>
      <c r="G842" s="594"/>
      <c r="H842" s="594"/>
      <c r="I842" s="593"/>
      <c r="J842" s="593"/>
      <c r="K842" s="593"/>
    </row>
    <row r="843" spans="2:11">
      <c r="B843" s="228"/>
      <c r="C843" s="228"/>
      <c r="D843" s="594"/>
      <c r="E843" s="594"/>
      <c r="F843" s="594"/>
      <c r="G843" s="594"/>
      <c r="H843" s="594"/>
      <c r="I843" s="593"/>
      <c r="J843" s="593"/>
      <c r="K843" s="593"/>
    </row>
    <row r="844" spans="2:11">
      <c r="B844" s="228"/>
      <c r="C844" s="228"/>
      <c r="D844" s="594"/>
      <c r="E844" s="594"/>
      <c r="F844" s="594"/>
      <c r="G844" s="594"/>
      <c r="H844" s="594"/>
      <c r="I844" s="593"/>
      <c r="J844" s="593"/>
      <c r="K844" s="593"/>
    </row>
    <row r="845" spans="2:11">
      <c r="B845" s="228"/>
      <c r="C845" s="228"/>
      <c r="D845" s="594"/>
      <c r="E845" s="594"/>
      <c r="F845" s="594"/>
      <c r="G845" s="594"/>
      <c r="H845" s="594"/>
      <c r="I845" s="593"/>
      <c r="J845" s="593"/>
      <c r="K845" s="593"/>
    </row>
    <row r="846" spans="2:11">
      <c r="B846" s="228"/>
      <c r="C846" s="228"/>
      <c r="D846" s="594"/>
      <c r="E846" s="594"/>
      <c r="F846" s="594"/>
      <c r="G846" s="594"/>
      <c r="H846" s="594"/>
      <c r="I846" s="593"/>
      <c r="J846" s="593"/>
      <c r="K846" s="593"/>
    </row>
    <row r="847" spans="2:11">
      <c r="B847" s="228"/>
      <c r="C847" s="228"/>
      <c r="D847" s="594"/>
      <c r="E847" s="594"/>
      <c r="F847" s="594"/>
      <c r="G847" s="594"/>
      <c r="H847" s="594"/>
      <c r="I847" s="593"/>
      <c r="J847" s="593"/>
      <c r="K847" s="593"/>
    </row>
    <row r="848" spans="2:11">
      <c r="B848" s="228"/>
      <c r="C848" s="228"/>
      <c r="D848" s="594"/>
      <c r="E848" s="594"/>
      <c r="F848" s="594"/>
      <c r="G848" s="594"/>
      <c r="H848" s="594"/>
      <c r="I848" s="593"/>
      <c r="J848" s="593"/>
      <c r="K848" s="593"/>
    </row>
    <row r="849" spans="2:11">
      <c r="B849" s="228"/>
      <c r="C849" s="228"/>
      <c r="D849" s="594"/>
      <c r="E849" s="594"/>
      <c r="F849" s="594"/>
      <c r="G849" s="594"/>
      <c r="H849" s="594"/>
      <c r="I849" s="593"/>
      <c r="J849" s="593"/>
      <c r="K849" s="593"/>
    </row>
    <row r="850" spans="2:11">
      <c r="B850" s="228"/>
      <c r="C850" s="228"/>
      <c r="D850" s="594"/>
      <c r="E850" s="594"/>
      <c r="F850" s="594"/>
      <c r="G850" s="594"/>
      <c r="H850" s="594"/>
      <c r="I850" s="593"/>
      <c r="J850" s="593"/>
      <c r="K850" s="593"/>
    </row>
    <row r="851" spans="2:11">
      <c r="B851" s="228"/>
      <c r="C851" s="228"/>
      <c r="D851" s="594"/>
      <c r="E851" s="594"/>
      <c r="F851" s="594"/>
      <c r="G851" s="594"/>
      <c r="H851" s="594"/>
      <c r="I851" s="593"/>
      <c r="J851" s="593"/>
      <c r="K851" s="593"/>
    </row>
    <row r="852" spans="2:11">
      <c r="B852" s="228"/>
      <c r="C852" s="228"/>
      <c r="D852" s="594"/>
      <c r="E852" s="594"/>
      <c r="F852" s="594"/>
      <c r="G852" s="594"/>
      <c r="H852" s="594"/>
      <c r="I852" s="593"/>
      <c r="J852" s="593"/>
      <c r="K852" s="593"/>
    </row>
    <row r="853" spans="2:11">
      <c r="B853" s="228"/>
      <c r="C853" s="228"/>
      <c r="D853" s="594"/>
      <c r="E853" s="594"/>
      <c r="F853" s="594"/>
      <c r="G853" s="594"/>
      <c r="H853" s="594"/>
      <c r="I853" s="593"/>
      <c r="J853" s="593"/>
      <c r="K853" s="593"/>
    </row>
    <row r="854" spans="2:11">
      <c r="B854" s="228"/>
      <c r="C854" s="228"/>
      <c r="D854" s="594"/>
      <c r="E854" s="594"/>
      <c r="F854" s="594"/>
      <c r="G854" s="594"/>
      <c r="H854" s="594"/>
      <c r="I854" s="593"/>
      <c r="J854" s="593"/>
      <c r="K854" s="593"/>
    </row>
    <row r="855" spans="2:11">
      <c r="B855" s="228"/>
      <c r="C855" s="228"/>
      <c r="D855" s="594"/>
      <c r="E855" s="594"/>
      <c r="F855" s="594"/>
      <c r="G855" s="594"/>
      <c r="H855" s="594"/>
      <c r="I855" s="593"/>
      <c r="J855" s="593"/>
      <c r="K855" s="593"/>
    </row>
    <row r="856" spans="2:11">
      <c r="B856" s="228"/>
      <c r="C856" s="228"/>
      <c r="D856" s="594"/>
      <c r="E856" s="594"/>
      <c r="F856" s="594"/>
      <c r="G856" s="594"/>
      <c r="H856" s="594"/>
      <c r="I856" s="593"/>
      <c r="J856" s="593"/>
      <c r="K856" s="593"/>
    </row>
    <row r="857" spans="2:11">
      <c r="B857" s="228"/>
      <c r="C857" s="228"/>
      <c r="D857" s="594"/>
      <c r="E857" s="594"/>
      <c r="F857" s="594"/>
      <c r="G857" s="594"/>
      <c r="H857" s="594"/>
      <c r="I857" s="593"/>
      <c r="J857" s="593"/>
      <c r="K857" s="593"/>
    </row>
    <row r="858" spans="2:11">
      <c r="B858" s="228"/>
      <c r="C858" s="228"/>
      <c r="D858" s="594"/>
      <c r="E858" s="594"/>
      <c r="F858" s="594"/>
      <c r="G858" s="594"/>
      <c r="H858" s="594"/>
      <c r="I858" s="593"/>
      <c r="J858" s="593"/>
      <c r="K858" s="593"/>
    </row>
    <row r="859" spans="2:11">
      <c r="B859" s="228"/>
      <c r="C859" s="228"/>
      <c r="D859" s="594"/>
      <c r="E859" s="594"/>
      <c r="F859" s="594"/>
      <c r="G859" s="594"/>
      <c r="H859" s="594"/>
      <c r="I859" s="593"/>
      <c r="J859" s="593"/>
      <c r="K859" s="593"/>
    </row>
    <row r="860" spans="2:11">
      <c r="B860" s="228"/>
      <c r="C860" s="228"/>
      <c r="D860" s="594"/>
      <c r="E860" s="594"/>
      <c r="F860" s="594"/>
      <c r="G860" s="594"/>
      <c r="H860" s="594"/>
      <c r="I860" s="593"/>
      <c r="J860" s="593"/>
      <c r="K860" s="593"/>
    </row>
    <row r="861" spans="2:11">
      <c r="B861" s="228"/>
      <c r="C861" s="228"/>
      <c r="D861" s="594"/>
      <c r="E861" s="594"/>
      <c r="F861" s="594"/>
      <c r="G861" s="594"/>
      <c r="H861" s="594"/>
      <c r="I861" s="593"/>
      <c r="J861" s="593"/>
      <c r="K861" s="593"/>
    </row>
    <row r="862" spans="2:11">
      <c r="B862" s="228"/>
      <c r="C862" s="228"/>
      <c r="D862" s="594"/>
      <c r="E862" s="594"/>
      <c r="F862" s="594"/>
      <c r="G862" s="594"/>
      <c r="H862" s="594"/>
      <c r="I862" s="593"/>
      <c r="J862" s="593"/>
      <c r="K862" s="593"/>
    </row>
    <row r="863" spans="2:11">
      <c r="B863" s="228"/>
      <c r="C863" s="228"/>
      <c r="D863" s="594"/>
      <c r="E863" s="594"/>
      <c r="F863" s="594"/>
      <c r="G863" s="594"/>
      <c r="H863" s="594"/>
      <c r="I863" s="593"/>
      <c r="J863" s="593"/>
      <c r="K863" s="593"/>
    </row>
    <row r="864" spans="2:11">
      <c r="B864" s="228"/>
      <c r="C864" s="228"/>
      <c r="D864" s="594"/>
      <c r="E864" s="594"/>
      <c r="F864" s="594"/>
      <c r="G864" s="594"/>
      <c r="H864" s="594"/>
      <c r="I864" s="593"/>
      <c r="J864" s="593"/>
      <c r="K864" s="593"/>
    </row>
    <row r="865" spans="2:11">
      <c r="B865" s="228"/>
      <c r="C865" s="228"/>
      <c r="D865" s="594"/>
      <c r="E865" s="594"/>
      <c r="F865" s="594"/>
      <c r="G865" s="594"/>
      <c r="H865" s="594"/>
      <c r="I865" s="593"/>
      <c r="J865" s="593"/>
      <c r="K865" s="593"/>
    </row>
    <row r="866" spans="2:11">
      <c r="B866" s="228"/>
      <c r="C866" s="228"/>
      <c r="D866" s="594"/>
      <c r="E866" s="594"/>
      <c r="F866" s="594"/>
      <c r="G866" s="594"/>
      <c r="H866" s="594"/>
      <c r="I866" s="593"/>
      <c r="J866" s="593"/>
      <c r="K866" s="593"/>
    </row>
    <row r="867" spans="2:11">
      <c r="B867" s="228"/>
      <c r="C867" s="228"/>
      <c r="D867" s="594"/>
      <c r="E867" s="594"/>
      <c r="F867" s="594"/>
      <c r="G867" s="594"/>
      <c r="H867" s="594"/>
      <c r="I867" s="593"/>
      <c r="J867" s="593"/>
      <c r="K867" s="593"/>
    </row>
    <row r="868" spans="2:11">
      <c r="B868" s="228"/>
      <c r="C868" s="228"/>
      <c r="D868" s="594"/>
      <c r="E868" s="594"/>
      <c r="F868" s="594"/>
      <c r="G868" s="594"/>
      <c r="H868" s="594"/>
      <c r="I868" s="593"/>
      <c r="J868" s="593"/>
      <c r="K868" s="593"/>
    </row>
    <row r="869" spans="2:11">
      <c r="B869" s="228"/>
      <c r="C869" s="228"/>
      <c r="D869" s="594"/>
      <c r="E869" s="594"/>
      <c r="F869" s="594"/>
      <c r="G869" s="594"/>
      <c r="H869" s="594"/>
      <c r="I869" s="593"/>
      <c r="J869" s="593"/>
      <c r="K869" s="593"/>
    </row>
    <row r="870" spans="2:11">
      <c r="B870" s="228"/>
      <c r="C870" s="228"/>
      <c r="D870" s="594"/>
      <c r="E870" s="594"/>
      <c r="F870" s="594"/>
      <c r="G870" s="594"/>
      <c r="H870" s="594"/>
      <c r="I870" s="593"/>
      <c r="J870" s="593"/>
      <c r="K870" s="593"/>
    </row>
    <row r="871" spans="2:11">
      <c r="B871" s="228"/>
      <c r="C871" s="228"/>
      <c r="D871" s="594"/>
      <c r="E871" s="594"/>
      <c r="F871" s="594"/>
      <c r="G871" s="594"/>
      <c r="H871" s="594"/>
      <c r="I871" s="593"/>
      <c r="J871" s="593"/>
      <c r="K871" s="593"/>
    </row>
    <row r="872" spans="2:11">
      <c r="B872" s="228"/>
      <c r="C872" s="228"/>
      <c r="D872" s="594"/>
      <c r="E872" s="594"/>
      <c r="F872" s="594"/>
      <c r="G872" s="594"/>
      <c r="H872" s="594"/>
      <c r="I872" s="593"/>
      <c r="J872" s="593"/>
      <c r="K872" s="593"/>
    </row>
    <row r="873" spans="2:11">
      <c r="B873" s="228"/>
      <c r="C873" s="228"/>
      <c r="D873" s="594"/>
      <c r="E873" s="594"/>
      <c r="F873" s="594"/>
      <c r="G873" s="594"/>
      <c r="H873" s="594"/>
      <c r="I873" s="593"/>
      <c r="J873" s="593"/>
      <c r="K873" s="593"/>
    </row>
    <row r="874" spans="2:11">
      <c r="B874" s="228"/>
      <c r="C874" s="228"/>
      <c r="D874" s="594"/>
      <c r="E874" s="594"/>
      <c r="F874" s="594"/>
      <c r="G874" s="594"/>
      <c r="H874" s="594"/>
      <c r="I874" s="593"/>
      <c r="J874" s="593"/>
      <c r="K874" s="593"/>
    </row>
    <row r="875" spans="2:11">
      <c r="B875" s="228"/>
      <c r="C875" s="228"/>
      <c r="D875" s="594"/>
      <c r="E875" s="594"/>
      <c r="F875" s="594"/>
      <c r="G875" s="594"/>
      <c r="H875" s="594"/>
      <c r="I875" s="593"/>
      <c r="J875" s="593"/>
      <c r="K875" s="593"/>
    </row>
    <row r="876" spans="2:11">
      <c r="B876" s="228"/>
      <c r="C876" s="228"/>
      <c r="D876" s="594"/>
      <c r="E876" s="594"/>
      <c r="F876" s="594"/>
      <c r="G876" s="594"/>
      <c r="H876" s="594"/>
      <c r="I876" s="593"/>
      <c r="J876" s="593"/>
      <c r="K876" s="593"/>
    </row>
    <row r="877" spans="2:11">
      <c r="B877" s="228"/>
      <c r="C877" s="228"/>
      <c r="D877" s="594"/>
      <c r="E877" s="594"/>
      <c r="F877" s="594"/>
      <c r="G877" s="594"/>
      <c r="H877" s="594"/>
      <c r="I877" s="593"/>
      <c r="J877" s="593"/>
      <c r="K877" s="593"/>
    </row>
    <row r="878" spans="2:11">
      <c r="B878" s="228"/>
      <c r="C878" s="228"/>
      <c r="D878" s="594"/>
      <c r="E878" s="594"/>
      <c r="F878" s="594"/>
      <c r="G878" s="594"/>
      <c r="H878" s="594"/>
      <c r="I878" s="593"/>
      <c r="J878" s="593"/>
      <c r="K878" s="593"/>
    </row>
    <row r="879" spans="2:11">
      <c r="B879" s="228"/>
      <c r="C879" s="228"/>
      <c r="D879" s="594"/>
      <c r="E879" s="594"/>
      <c r="F879" s="594"/>
      <c r="G879" s="594"/>
      <c r="H879" s="594"/>
      <c r="I879" s="593"/>
      <c r="J879" s="593"/>
      <c r="K879" s="593"/>
    </row>
    <row r="880" spans="2:11">
      <c r="B880" s="228"/>
      <c r="C880" s="228"/>
      <c r="D880" s="594"/>
      <c r="E880" s="594"/>
      <c r="F880" s="594"/>
      <c r="G880" s="594"/>
      <c r="H880" s="594"/>
      <c r="I880" s="593"/>
      <c r="J880" s="593"/>
      <c r="K880" s="593"/>
    </row>
    <row r="881" spans="2:11">
      <c r="B881" s="228"/>
      <c r="C881" s="228"/>
      <c r="D881" s="594"/>
      <c r="E881" s="594"/>
      <c r="F881" s="594"/>
      <c r="G881" s="594"/>
      <c r="H881" s="594"/>
      <c r="I881" s="593"/>
      <c r="J881" s="593"/>
      <c r="K881" s="593"/>
    </row>
    <row r="882" spans="2:11">
      <c r="B882" s="228"/>
      <c r="C882" s="228"/>
      <c r="D882" s="594"/>
      <c r="E882" s="594"/>
      <c r="F882" s="594"/>
      <c r="G882" s="594"/>
      <c r="H882" s="594"/>
      <c r="I882" s="593"/>
      <c r="J882" s="593"/>
      <c r="K882" s="593"/>
    </row>
    <row r="883" spans="2:11">
      <c r="B883" s="228"/>
      <c r="C883" s="228"/>
      <c r="D883" s="594"/>
      <c r="E883" s="594"/>
      <c r="F883" s="594"/>
      <c r="G883" s="594"/>
      <c r="H883" s="594"/>
      <c r="I883" s="593"/>
      <c r="J883" s="593"/>
      <c r="K883" s="593"/>
    </row>
    <row r="884" spans="2:11">
      <c r="B884" s="228"/>
      <c r="C884" s="228"/>
      <c r="D884" s="594"/>
      <c r="E884" s="594"/>
      <c r="F884" s="594"/>
      <c r="G884" s="594"/>
      <c r="H884" s="594"/>
      <c r="I884" s="593"/>
      <c r="J884" s="593"/>
      <c r="K884" s="593"/>
    </row>
    <row r="885" spans="2:11">
      <c r="B885" s="228"/>
      <c r="C885" s="228"/>
      <c r="D885" s="594"/>
      <c r="E885" s="594"/>
      <c r="F885" s="594"/>
      <c r="G885" s="594"/>
      <c r="H885" s="594"/>
      <c r="I885" s="593"/>
      <c r="J885" s="593"/>
      <c r="K885" s="593"/>
    </row>
    <row r="886" spans="2:11">
      <c r="B886" s="228"/>
      <c r="C886" s="228"/>
      <c r="D886" s="594"/>
      <c r="E886" s="594"/>
      <c r="F886" s="594"/>
      <c r="G886" s="594"/>
      <c r="H886" s="594"/>
      <c r="I886" s="593"/>
      <c r="J886" s="593"/>
      <c r="K886" s="593"/>
    </row>
    <row r="887" spans="2:11">
      <c r="B887" s="228"/>
      <c r="C887" s="228"/>
      <c r="D887" s="594"/>
      <c r="E887" s="594"/>
      <c r="F887" s="594"/>
      <c r="G887" s="594"/>
      <c r="H887" s="594"/>
      <c r="I887" s="593"/>
      <c r="J887" s="593"/>
      <c r="K887" s="593"/>
    </row>
    <row r="888" spans="2:11">
      <c r="B888" s="228"/>
      <c r="C888" s="228"/>
      <c r="D888" s="594"/>
      <c r="E888" s="594"/>
      <c r="F888" s="594"/>
      <c r="G888" s="594"/>
      <c r="H888" s="594"/>
      <c r="I888" s="593"/>
      <c r="J888" s="593"/>
      <c r="K888" s="593"/>
    </row>
    <row r="889" spans="2:11">
      <c r="B889" s="228"/>
      <c r="C889" s="228"/>
      <c r="D889" s="594"/>
      <c r="E889" s="594"/>
      <c r="F889" s="594"/>
      <c r="G889" s="594"/>
      <c r="H889" s="594"/>
      <c r="I889" s="593"/>
      <c r="J889" s="593"/>
      <c r="K889" s="593"/>
    </row>
    <row r="890" spans="2:11">
      <c r="B890" s="228"/>
      <c r="C890" s="228"/>
      <c r="D890" s="594"/>
      <c r="E890" s="594"/>
      <c r="F890" s="594"/>
      <c r="G890" s="594"/>
      <c r="H890" s="594"/>
      <c r="I890" s="593"/>
      <c r="J890" s="593"/>
      <c r="K890" s="593"/>
    </row>
    <row r="891" spans="2:11">
      <c r="B891" s="228"/>
      <c r="C891" s="228"/>
      <c r="D891" s="594"/>
      <c r="E891" s="594"/>
      <c r="F891" s="594"/>
      <c r="G891" s="594"/>
      <c r="H891" s="594"/>
      <c r="I891" s="593"/>
      <c r="J891" s="593"/>
      <c r="K891" s="593"/>
    </row>
    <row r="892" spans="2:11">
      <c r="B892" s="228"/>
      <c r="C892" s="228"/>
      <c r="D892" s="594"/>
      <c r="E892" s="594"/>
      <c r="F892" s="594"/>
      <c r="G892" s="594"/>
      <c r="H892" s="594"/>
      <c r="I892" s="593"/>
      <c r="J892" s="593"/>
      <c r="K892" s="593"/>
    </row>
    <row r="893" spans="2:11">
      <c r="B893" s="228"/>
      <c r="C893" s="228"/>
      <c r="D893" s="594"/>
      <c r="E893" s="594"/>
      <c r="F893" s="594"/>
      <c r="G893" s="594"/>
      <c r="H893" s="594"/>
      <c r="I893" s="593"/>
      <c r="J893" s="593"/>
      <c r="K893" s="593"/>
    </row>
    <row r="894" spans="2:11">
      <c r="B894" s="228"/>
      <c r="C894" s="228"/>
      <c r="D894" s="594"/>
      <c r="E894" s="594"/>
      <c r="F894" s="594"/>
      <c r="G894" s="594"/>
      <c r="H894" s="594"/>
      <c r="I894" s="593"/>
      <c r="J894" s="593"/>
      <c r="K894" s="593"/>
    </row>
    <row r="895" spans="2:11">
      <c r="B895" s="228"/>
      <c r="C895" s="228"/>
      <c r="D895" s="594"/>
      <c r="E895" s="594"/>
      <c r="F895" s="594"/>
      <c r="G895" s="594"/>
      <c r="H895" s="594"/>
      <c r="I895" s="593"/>
      <c r="J895" s="593"/>
      <c r="K895" s="593"/>
    </row>
    <row r="896" spans="2:11">
      <c r="B896" s="228"/>
      <c r="C896" s="228"/>
      <c r="D896" s="594"/>
      <c r="E896" s="594"/>
      <c r="F896" s="594"/>
      <c r="G896" s="594"/>
      <c r="H896" s="594"/>
      <c r="I896" s="593"/>
      <c r="J896" s="593"/>
      <c r="K896" s="593"/>
    </row>
    <row r="897" spans="2:11">
      <c r="B897" s="228"/>
      <c r="C897" s="228"/>
      <c r="D897" s="594"/>
      <c r="E897" s="594"/>
      <c r="F897" s="594"/>
      <c r="G897" s="594"/>
      <c r="H897" s="594"/>
      <c r="I897" s="593"/>
      <c r="J897" s="593"/>
      <c r="K897" s="593"/>
    </row>
    <row r="898" spans="2:11">
      <c r="B898" s="228"/>
      <c r="C898" s="228"/>
      <c r="D898" s="594"/>
      <c r="E898" s="594"/>
      <c r="F898" s="594"/>
      <c r="G898" s="594"/>
      <c r="H898" s="594"/>
      <c r="I898" s="593"/>
      <c r="J898" s="593"/>
      <c r="K898" s="593"/>
    </row>
    <row r="899" spans="2:11">
      <c r="B899" s="228"/>
      <c r="C899" s="228"/>
      <c r="D899" s="594"/>
      <c r="E899" s="594"/>
      <c r="F899" s="594"/>
      <c r="G899" s="594"/>
      <c r="H899" s="594"/>
      <c r="I899" s="593"/>
      <c r="J899" s="593"/>
      <c r="K899" s="593"/>
    </row>
    <row r="900" spans="2:11">
      <c r="B900" s="228"/>
      <c r="C900" s="228"/>
      <c r="D900" s="594"/>
      <c r="E900" s="594"/>
      <c r="F900" s="594"/>
      <c r="G900" s="594"/>
      <c r="H900" s="594"/>
      <c r="I900" s="593"/>
      <c r="J900" s="593"/>
      <c r="K900" s="593"/>
    </row>
    <row r="901" spans="2:11">
      <c r="B901" s="228"/>
      <c r="C901" s="228"/>
      <c r="D901" s="594"/>
      <c r="E901" s="594"/>
      <c r="F901" s="594"/>
      <c r="G901" s="594"/>
      <c r="H901" s="594"/>
      <c r="I901" s="593"/>
      <c r="J901" s="593"/>
      <c r="K901" s="593"/>
    </row>
    <row r="902" spans="2:11">
      <c r="B902" s="228"/>
      <c r="C902" s="228"/>
      <c r="D902" s="594"/>
      <c r="E902" s="594"/>
      <c r="F902" s="594"/>
      <c r="G902" s="594"/>
      <c r="H902" s="594"/>
      <c r="I902" s="593"/>
      <c r="J902" s="593"/>
      <c r="K902" s="593"/>
    </row>
    <row r="903" spans="2:11">
      <c r="B903" s="228"/>
      <c r="C903" s="228"/>
      <c r="D903" s="594"/>
      <c r="E903" s="594"/>
      <c r="F903" s="594"/>
      <c r="G903" s="594"/>
      <c r="H903" s="594"/>
      <c r="I903" s="593"/>
      <c r="J903" s="593"/>
      <c r="K903" s="593"/>
    </row>
    <row r="904" spans="2:11">
      <c r="B904" s="228"/>
      <c r="C904" s="228"/>
      <c r="D904" s="594"/>
      <c r="E904" s="594"/>
      <c r="F904" s="594"/>
      <c r="G904" s="594"/>
      <c r="H904" s="594"/>
      <c r="I904" s="593"/>
      <c r="J904" s="593"/>
      <c r="K904" s="593"/>
    </row>
    <row r="905" spans="2:11">
      <c r="B905" s="228"/>
      <c r="C905" s="228"/>
      <c r="D905" s="594"/>
      <c r="E905" s="594"/>
      <c r="F905" s="594"/>
      <c r="G905" s="594"/>
      <c r="H905" s="594"/>
      <c r="I905" s="593"/>
      <c r="J905" s="593"/>
      <c r="K905" s="593"/>
    </row>
    <row r="906" spans="2:11">
      <c r="B906" s="228"/>
      <c r="C906" s="228"/>
      <c r="D906" s="594"/>
      <c r="E906" s="594"/>
      <c r="F906" s="594"/>
      <c r="G906" s="594"/>
      <c r="H906" s="594"/>
      <c r="I906" s="593"/>
      <c r="J906" s="593"/>
      <c r="K906" s="593"/>
    </row>
    <row r="907" spans="2:11">
      <c r="B907" s="228"/>
      <c r="C907" s="228"/>
      <c r="D907" s="594"/>
      <c r="E907" s="594"/>
      <c r="F907" s="594"/>
      <c r="G907" s="594"/>
      <c r="H907" s="594"/>
      <c r="I907" s="593"/>
      <c r="J907" s="593"/>
      <c r="K907" s="593"/>
    </row>
    <row r="908" spans="2:11">
      <c r="B908" s="228"/>
      <c r="C908" s="228"/>
      <c r="D908" s="594"/>
      <c r="E908" s="594"/>
      <c r="F908" s="594"/>
      <c r="G908" s="594"/>
      <c r="H908" s="594"/>
      <c r="I908" s="593"/>
      <c r="J908" s="593"/>
      <c r="K908" s="593"/>
    </row>
    <row r="909" spans="2:11">
      <c r="B909" s="228"/>
      <c r="C909" s="228"/>
      <c r="D909" s="594"/>
      <c r="E909" s="594"/>
      <c r="F909" s="594"/>
      <c r="G909" s="594"/>
      <c r="H909" s="594"/>
      <c r="I909" s="593"/>
      <c r="J909" s="593"/>
      <c r="K909" s="593"/>
    </row>
    <row r="910" spans="2:11">
      <c r="B910" s="228"/>
      <c r="C910" s="228"/>
      <c r="D910" s="594"/>
      <c r="E910" s="594"/>
      <c r="F910" s="594"/>
      <c r="G910" s="594"/>
      <c r="H910" s="594"/>
      <c r="I910" s="593"/>
      <c r="J910" s="593"/>
      <c r="K910" s="593"/>
    </row>
    <row r="911" spans="2:11">
      <c r="B911" s="228"/>
      <c r="C911" s="228"/>
      <c r="D911" s="594"/>
      <c r="E911" s="594"/>
      <c r="F911" s="594"/>
      <c r="G911" s="594"/>
      <c r="H911" s="594"/>
      <c r="I911" s="593"/>
      <c r="J911" s="593"/>
      <c r="K911" s="593"/>
    </row>
    <row r="912" spans="2:11">
      <c r="B912" s="228"/>
      <c r="C912" s="228"/>
      <c r="D912" s="594"/>
      <c r="E912" s="594"/>
      <c r="F912" s="594"/>
      <c r="G912" s="594"/>
      <c r="H912" s="594"/>
      <c r="I912" s="593"/>
      <c r="J912" s="593"/>
      <c r="K912" s="593"/>
    </row>
    <row r="913" spans="2:11">
      <c r="B913" s="228"/>
      <c r="C913" s="228"/>
      <c r="D913" s="594"/>
      <c r="E913" s="594"/>
      <c r="F913" s="594"/>
      <c r="G913" s="594"/>
      <c r="H913" s="594"/>
      <c r="I913" s="593"/>
      <c r="J913" s="593"/>
      <c r="K913" s="593"/>
    </row>
    <row r="914" spans="2:11">
      <c r="B914" s="228"/>
      <c r="C914" s="228"/>
      <c r="D914" s="594"/>
      <c r="E914" s="594"/>
      <c r="F914" s="594"/>
      <c r="G914" s="594"/>
      <c r="H914" s="594"/>
      <c r="I914" s="593"/>
      <c r="J914" s="593"/>
      <c r="K914" s="593"/>
    </row>
    <row r="915" spans="2:11">
      <c r="B915" s="228"/>
      <c r="C915" s="228"/>
      <c r="D915" s="594"/>
      <c r="E915" s="594"/>
      <c r="F915" s="594"/>
      <c r="G915" s="594"/>
      <c r="H915" s="594"/>
      <c r="I915" s="593"/>
      <c r="J915" s="593"/>
      <c r="K915" s="593"/>
    </row>
    <row r="916" spans="2:11">
      <c r="B916" s="228"/>
      <c r="C916" s="228"/>
      <c r="D916" s="594"/>
      <c r="E916" s="594"/>
      <c r="F916" s="594"/>
      <c r="G916" s="594"/>
      <c r="H916" s="594"/>
      <c r="I916" s="593"/>
      <c r="J916" s="593"/>
      <c r="K916" s="593"/>
    </row>
    <row r="917" spans="2:11">
      <c r="B917" s="228"/>
      <c r="C917" s="228"/>
      <c r="D917" s="594"/>
      <c r="E917" s="594"/>
      <c r="F917" s="594"/>
      <c r="G917" s="594"/>
      <c r="H917" s="594"/>
      <c r="I917" s="593"/>
      <c r="J917" s="593"/>
      <c r="K917" s="593"/>
    </row>
    <row r="918" spans="2:11">
      <c r="B918" s="228"/>
      <c r="C918" s="228"/>
      <c r="D918" s="594"/>
      <c r="E918" s="594"/>
      <c r="F918" s="594"/>
      <c r="G918" s="594"/>
      <c r="H918" s="594"/>
      <c r="I918" s="593"/>
      <c r="J918" s="593"/>
      <c r="K918" s="593"/>
    </row>
    <row r="919" spans="2:11">
      <c r="B919" s="228"/>
      <c r="C919" s="228"/>
      <c r="D919" s="594"/>
      <c r="E919" s="594"/>
      <c r="F919" s="594"/>
      <c r="G919" s="594"/>
      <c r="H919" s="594"/>
      <c r="I919" s="593"/>
      <c r="J919" s="593"/>
      <c r="K919" s="593"/>
    </row>
    <row r="920" spans="2:11">
      <c r="B920" s="228"/>
      <c r="C920" s="228"/>
      <c r="D920" s="594"/>
      <c r="E920" s="594"/>
      <c r="F920" s="594"/>
      <c r="G920" s="594"/>
      <c r="H920" s="594"/>
      <c r="I920" s="593"/>
      <c r="J920" s="593"/>
      <c r="K920" s="593"/>
    </row>
    <row r="921" spans="2:11">
      <c r="B921" s="228"/>
      <c r="C921" s="228"/>
      <c r="D921" s="594"/>
      <c r="E921" s="594"/>
      <c r="F921" s="594"/>
      <c r="G921" s="594"/>
      <c r="H921" s="594"/>
      <c r="I921" s="593"/>
      <c r="J921" s="593"/>
      <c r="K921" s="593"/>
    </row>
    <row r="922" spans="2:11">
      <c r="B922" s="228"/>
      <c r="C922" s="228"/>
      <c r="D922" s="594"/>
      <c r="E922" s="594"/>
      <c r="F922" s="594"/>
      <c r="G922" s="594"/>
      <c r="H922" s="594"/>
      <c r="I922" s="593"/>
      <c r="J922" s="593"/>
      <c r="K922" s="593"/>
    </row>
    <row r="923" spans="2:11">
      <c r="B923" s="228"/>
      <c r="C923" s="228"/>
      <c r="D923" s="594"/>
      <c r="E923" s="594"/>
      <c r="F923" s="594"/>
      <c r="G923" s="594"/>
      <c r="H923" s="594"/>
      <c r="I923" s="593"/>
      <c r="J923" s="593"/>
      <c r="K923" s="593"/>
    </row>
    <row r="924" spans="2:11">
      <c r="B924" s="228"/>
      <c r="C924" s="228"/>
      <c r="D924" s="594"/>
      <c r="E924" s="594"/>
      <c r="F924" s="594"/>
      <c r="G924" s="594"/>
      <c r="H924" s="594"/>
      <c r="I924" s="593"/>
      <c r="J924" s="593"/>
      <c r="K924" s="593"/>
    </row>
    <row r="925" spans="2:11">
      <c r="B925" s="228"/>
      <c r="C925" s="228"/>
      <c r="D925" s="594"/>
      <c r="E925" s="594"/>
      <c r="F925" s="594"/>
      <c r="G925" s="594"/>
      <c r="H925" s="594"/>
      <c r="I925" s="593"/>
      <c r="J925" s="593"/>
      <c r="K925" s="593"/>
    </row>
    <row r="926" spans="2:11">
      <c r="B926" s="228"/>
      <c r="C926" s="228"/>
      <c r="D926" s="594"/>
      <c r="E926" s="594"/>
      <c r="F926" s="594"/>
      <c r="G926" s="594"/>
      <c r="H926" s="594"/>
      <c r="I926" s="593"/>
      <c r="J926" s="593"/>
      <c r="K926" s="593"/>
    </row>
    <row r="927" spans="2:11">
      <c r="B927" s="228"/>
      <c r="C927" s="228"/>
      <c r="D927" s="594"/>
      <c r="E927" s="594"/>
      <c r="F927" s="594"/>
      <c r="G927" s="594"/>
      <c r="H927" s="594"/>
      <c r="I927" s="593"/>
      <c r="J927" s="593"/>
      <c r="K927" s="593"/>
    </row>
    <row r="928" spans="2:11">
      <c r="B928" s="228"/>
      <c r="C928" s="228"/>
      <c r="D928" s="594"/>
      <c r="E928" s="594"/>
      <c r="F928" s="594"/>
      <c r="G928" s="594"/>
      <c r="H928" s="594"/>
      <c r="I928" s="593"/>
      <c r="J928" s="593"/>
      <c r="K928" s="593"/>
    </row>
    <row r="929" spans="2:11">
      <c r="B929" s="228"/>
      <c r="C929" s="228"/>
      <c r="D929" s="594"/>
      <c r="E929" s="594"/>
      <c r="F929" s="594"/>
      <c r="G929" s="594"/>
      <c r="H929" s="594"/>
      <c r="I929" s="593"/>
      <c r="J929" s="593"/>
      <c r="K929" s="593"/>
    </row>
    <row r="930" spans="2:11">
      <c r="B930" s="228"/>
      <c r="C930" s="228"/>
      <c r="D930" s="594"/>
      <c r="E930" s="594"/>
      <c r="F930" s="594"/>
      <c r="G930" s="594"/>
      <c r="H930" s="594"/>
      <c r="I930" s="593"/>
      <c r="J930" s="593"/>
      <c r="K930" s="593"/>
    </row>
    <row r="931" spans="2:11">
      <c r="B931" s="228"/>
      <c r="C931" s="228"/>
      <c r="D931" s="594"/>
      <c r="E931" s="594"/>
      <c r="F931" s="594"/>
      <c r="G931" s="594"/>
      <c r="H931" s="594"/>
      <c r="I931" s="593"/>
      <c r="J931" s="593"/>
      <c r="K931" s="593"/>
    </row>
    <row r="932" spans="2:11">
      <c r="B932" s="228"/>
      <c r="C932" s="228"/>
      <c r="D932" s="594"/>
      <c r="E932" s="594"/>
      <c r="F932" s="594"/>
      <c r="G932" s="594"/>
      <c r="H932" s="594"/>
      <c r="I932" s="593"/>
      <c r="J932" s="593"/>
      <c r="K932" s="593"/>
    </row>
    <row r="933" spans="2:11">
      <c r="B933" s="228"/>
      <c r="C933" s="228"/>
      <c r="D933" s="594"/>
      <c r="E933" s="594"/>
      <c r="F933" s="594"/>
      <c r="G933" s="594"/>
      <c r="H933" s="594"/>
      <c r="I933" s="593"/>
      <c r="J933" s="593"/>
      <c r="K933" s="593"/>
    </row>
    <row r="934" spans="2:11">
      <c r="B934" s="228"/>
      <c r="C934" s="228"/>
      <c r="D934" s="594"/>
      <c r="E934" s="594"/>
      <c r="F934" s="594"/>
      <c r="G934" s="594"/>
      <c r="H934" s="594"/>
      <c r="I934" s="593"/>
      <c r="J934" s="593"/>
      <c r="K934" s="593"/>
    </row>
    <row r="935" spans="2:11">
      <c r="B935" s="228"/>
      <c r="C935" s="228"/>
      <c r="D935" s="594"/>
      <c r="E935" s="594"/>
      <c r="F935" s="594"/>
      <c r="G935" s="594"/>
      <c r="H935" s="594"/>
      <c r="I935" s="593"/>
      <c r="J935" s="593"/>
      <c r="K935" s="593"/>
    </row>
    <row r="936" spans="2:11">
      <c r="B936" s="228"/>
      <c r="C936" s="228"/>
      <c r="D936" s="594"/>
      <c r="E936" s="594"/>
      <c r="F936" s="594"/>
      <c r="G936" s="594"/>
      <c r="H936" s="594"/>
      <c r="I936" s="593"/>
      <c r="J936" s="593"/>
      <c r="K936" s="593"/>
    </row>
    <row r="937" spans="2:11">
      <c r="B937" s="228"/>
      <c r="C937" s="228"/>
      <c r="D937" s="594"/>
      <c r="E937" s="594"/>
      <c r="F937" s="594"/>
      <c r="G937" s="594"/>
      <c r="H937" s="594"/>
      <c r="I937" s="593"/>
      <c r="J937" s="593"/>
      <c r="K937" s="593"/>
    </row>
    <row r="938" spans="2:11">
      <c r="B938" s="228"/>
      <c r="C938" s="228"/>
      <c r="D938" s="594"/>
      <c r="E938" s="594"/>
      <c r="F938" s="594"/>
      <c r="G938" s="594"/>
      <c r="H938" s="594"/>
      <c r="I938" s="593"/>
      <c r="J938" s="593"/>
      <c r="K938" s="593"/>
    </row>
    <row r="939" spans="2:11">
      <c r="B939" s="228"/>
      <c r="C939" s="228"/>
      <c r="D939" s="594"/>
      <c r="E939" s="594"/>
      <c r="F939" s="594"/>
      <c r="G939" s="594"/>
      <c r="H939" s="594"/>
      <c r="I939" s="593"/>
      <c r="J939" s="593"/>
      <c r="K939" s="593"/>
    </row>
    <row r="940" spans="2:11">
      <c r="B940" s="228"/>
      <c r="C940" s="228"/>
      <c r="D940" s="594"/>
      <c r="E940" s="594"/>
      <c r="F940" s="594"/>
      <c r="G940" s="594"/>
      <c r="H940" s="594"/>
      <c r="I940" s="593"/>
      <c r="J940" s="593"/>
      <c r="K940" s="593"/>
    </row>
    <row r="941" spans="2:11">
      <c r="B941" s="228"/>
      <c r="C941" s="228"/>
      <c r="D941" s="594"/>
      <c r="E941" s="594"/>
      <c r="F941" s="594"/>
      <c r="G941" s="594"/>
      <c r="H941" s="594"/>
      <c r="I941" s="593"/>
      <c r="J941" s="593"/>
      <c r="K941" s="593"/>
    </row>
    <row r="942" spans="2:11">
      <c r="B942" s="228"/>
      <c r="C942" s="228"/>
      <c r="D942" s="594"/>
      <c r="E942" s="594"/>
      <c r="F942" s="594"/>
      <c r="G942" s="594"/>
      <c r="H942" s="594"/>
      <c r="I942" s="593"/>
      <c r="J942" s="593"/>
      <c r="K942" s="593"/>
    </row>
    <row r="943" spans="2:11">
      <c r="B943" s="228"/>
      <c r="C943" s="228"/>
      <c r="D943" s="594"/>
      <c r="E943" s="594"/>
      <c r="F943" s="594"/>
      <c r="G943" s="594"/>
      <c r="H943" s="594"/>
      <c r="I943" s="593"/>
      <c r="J943" s="593"/>
      <c r="K943" s="593"/>
    </row>
    <row r="944" spans="2:11">
      <c r="B944" s="228"/>
      <c r="C944" s="228"/>
      <c r="D944" s="594"/>
      <c r="E944" s="594"/>
      <c r="F944" s="594"/>
      <c r="G944" s="594"/>
      <c r="H944" s="594"/>
      <c r="I944" s="593"/>
      <c r="J944" s="593"/>
      <c r="K944" s="593"/>
    </row>
    <row r="945" spans="2:11">
      <c r="B945" s="228"/>
      <c r="C945" s="228"/>
      <c r="D945" s="594"/>
      <c r="E945" s="594"/>
      <c r="F945" s="594"/>
      <c r="G945" s="594"/>
      <c r="H945" s="594"/>
      <c r="I945" s="593"/>
      <c r="J945" s="593"/>
      <c r="K945" s="593"/>
    </row>
    <row r="946" spans="2:11">
      <c r="B946" s="228"/>
      <c r="C946" s="228"/>
      <c r="D946" s="594"/>
      <c r="E946" s="594"/>
      <c r="F946" s="594"/>
      <c r="G946" s="594"/>
      <c r="H946" s="594"/>
      <c r="I946" s="593"/>
      <c r="J946" s="593"/>
      <c r="K946" s="593"/>
    </row>
    <row r="947" spans="2:11">
      <c r="B947" s="228"/>
      <c r="C947" s="228"/>
      <c r="D947" s="594"/>
      <c r="E947" s="594"/>
      <c r="F947" s="594"/>
      <c r="G947" s="594"/>
      <c r="H947" s="594"/>
      <c r="I947" s="593"/>
      <c r="J947" s="593"/>
      <c r="K947" s="593"/>
    </row>
    <row r="948" spans="2:11">
      <c r="B948" s="228"/>
      <c r="C948" s="228"/>
      <c r="D948" s="594"/>
      <c r="E948" s="594"/>
      <c r="F948" s="594"/>
      <c r="G948" s="594"/>
      <c r="H948" s="594"/>
      <c r="I948" s="593"/>
      <c r="J948" s="593"/>
      <c r="K948" s="593"/>
    </row>
    <row r="949" spans="2:11">
      <c r="B949" s="228"/>
      <c r="C949" s="228"/>
      <c r="D949" s="594"/>
      <c r="E949" s="594"/>
      <c r="F949" s="594"/>
      <c r="G949" s="594"/>
      <c r="H949" s="594"/>
      <c r="I949" s="593"/>
      <c r="J949" s="593"/>
      <c r="K949" s="593"/>
    </row>
    <row r="950" spans="2:11">
      <c r="B950" s="228"/>
      <c r="C950" s="228"/>
      <c r="D950" s="594"/>
      <c r="E950" s="594"/>
      <c r="F950" s="594"/>
      <c r="G950" s="594"/>
      <c r="H950" s="594"/>
      <c r="I950" s="593"/>
      <c r="J950" s="593"/>
      <c r="K950" s="593"/>
    </row>
    <row r="951" spans="2:11">
      <c r="B951" s="228"/>
      <c r="C951" s="228"/>
      <c r="D951" s="594"/>
      <c r="E951" s="594"/>
      <c r="F951" s="594"/>
      <c r="G951" s="594"/>
      <c r="H951" s="594"/>
      <c r="I951" s="593"/>
      <c r="J951" s="593"/>
      <c r="K951" s="593"/>
    </row>
    <row r="952" spans="2:11">
      <c r="B952" s="228"/>
      <c r="C952" s="228"/>
      <c r="D952" s="594"/>
      <c r="E952" s="594"/>
      <c r="F952" s="594"/>
      <c r="G952" s="594"/>
      <c r="H952" s="594"/>
      <c r="I952" s="593"/>
      <c r="J952" s="593"/>
      <c r="K952" s="593"/>
    </row>
    <row r="953" spans="2:11">
      <c r="B953" s="228"/>
      <c r="C953" s="228"/>
      <c r="D953" s="594"/>
      <c r="E953" s="594"/>
      <c r="F953" s="594"/>
      <c r="G953" s="594"/>
      <c r="H953" s="594"/>
      <c r="I953" s="593"/>
      <c r="J953" s="593"/>
      <c r="K953" s="593"/>
    </row>
    <row r="954" spans="2:11">
      <c r="B954" s="228"/>
      <c r="C954" s="228"/>
      <c r="D954" s="594"/>
      <c r="E954" s="594"/>
      <c r="F954" s="594"/>
      <c r="G954" s="594"/>
      <c r="H954" s="594"/>
      <c r="I954" s="593"/>
      <c r="J954" s="593"/>
      <c r="K954" s="593"/>
    </row>
    <row r="955" spans="2:11">
      <c r="B955" s="228"/>
      <c r="C955" s="228"/>
      <c r="D955" s="594"/>
      <c r="E955" s="594"/>
      <c r="F955" s="594"/>
      <c r="G955" s="594"/>
      <c r="H955" s="594"/>
      <c r="I955" s="593"/>
      <c r="J955" s="593"/>
      <c r="K955" s="593"/>
    </row>
    <row r="956" spans="2:11">
      <c r="B956" s="228"/>
      <c r="C956" s="228"/>
      <c r="D956" s="594"/>
      <c r="E956" s="594"/>
      <c r="F956" s="594"/>
      <c r="G956" s="594"/>
      <c r="H956" s="594"/>
      <c r="I956" s="593"/>
      <c r="J956" s="593"/>
      <c r="K956" s="593"/>
    </row>
    <row r="957" spans="2:11">
      <c r="B957" s="228"/>
      <c r="C957" s="228"/>
      <c r="D957" s="594"/>
      <c r="E957" s="594"/>
      <c r="F957" s="594"/>
      <c r="G957" s="594"/>
      <c r="H957" s="594"/>
      <c r="I957" s="593"/>
      <c r="J957" s="593"/>
      <c r="K957" s="593"/>
    </row>
    <row r="958" spans="2:11">
      <c r="B958" s="228"/>
      <c r="C958" s="228"/>
      <c r="D958" s="594"/>
      <c r="E958" s="594"/>
      <c r="F958" s="594"/>
      <c r="G958" s="594"/>
      <c r="H958" s="594"/>
      <c r="I958" s="593"/>
      <c r="J958" s="593"/>
      <c r="K958" s="593"/>
    </row>
    <row r="959" spans="2:11">
      <c r="B959" s="228"/>
      <c r="C959" s="228"/>
      <c r="D959" s="594"/>
      <c r="E959" s="594"/>
      <c r="F959" s="594"/>
      <c r="G959" s="594"/>
      <c r="H959" s="594"/>
      <c r="I959" s="593"/>
      <c r="J959" s="593"/>
      <c r="K959" s="593"/>
    </row>
    <row r="960" spans="2:11">
      <c r="B960" s="228"/>
      <c r="C960" s="228"/>
      <c r="D960" s="594"/>
      <c r="E960" s="594"/>
      <c r="F960" s="594"/>
      <c r="G960" s="594"/>
      <c r="H960" s="594"/>
      <c r="I960" s="593"/>
      <c r="J960" s="593"/>
      <c r="K960" s="593"/>
    </row>
    <row r="961" spans="2:11">
      <c r="B961" s="228"/>
      <c r="C961" s="228"/>
      <c r="D961" s="594"/>
      <c r="E961" s="594"/>
      <c r="F961" s="594"/>
      <c r="G961" s="594"/>
      <c r="H961" s="594"/>
      <c r="I961" s="593"/>
      <c r="J961" s="593"/>
      <c r="K961" s="593"/>
    </row>
    <row r="962" spans="2:11">
      <c r="B962" s="228"/>
      <c r="C962" s="228"/>
      <c r="D962" s="594"/>
      <c r="E962" s="594"/>
      <c r="F962" s="594"/>
      <c r="G962" s="594"/>
      <c r="H962" s="594"/>
      <c r="I962" s="593"/>
      <c r="J962" s="593"/>
      <c r="K962" s="593"/>
    </row>
    <row r="963" spans="2:11">
      <c r="B963" s="228"/>
      <c r="C963" s="228"/>
      <c r="D963" s="594"/>
      <c r="E963" s="594"/>
      <c r="F963" s="594"/>
      <c r="G963" s="594"/>
      <c r="H963" s="594"/>
      <c r="I963" s="593"/>
      <c r="J963" s="593"/>
      <c r="K963" s="593"/>
    </row>
    <row r="964" spans="2:11">
      <c r="B964" s="228"/>
      <c r="C964" s="228"/>
      <c r="D964" s="594"/>
      <c r="E964" s="594"/>
      <c r="F964" s="594"/>
      <c r="G964" s="594"/>
      <c r="H964" s="594"/>
      <c r="I964" s="593"/>
      <c r="J964" s="593"/>
      <c r="K964" s="593"/>
    </row>
    <row r="965" spans="2:11">
      <c r="B965" s="228"/>
      <c r="C965" s="228"/>
      <c r="D965" s="594"/>
      <c r="E965" s="594"/>
      <c r="F965" s="594"/>
      <c r="G965" s="594"/>
      <c r="H965" s="594"/>
      <c r="I965" s="593"/>
      <c r="J965" s="593"/>
      <c r="K965" s="593"/>
    </row>
    <row r="966" spans="2:11">
      <c r="B966" s="228"/>
      <c r="C966" s="228"/>
      <c r="D966" s="594"/>
      <c r="E966" s="594"/>
      <c r="F966" s="594"/>
      <c r="G966" s="594"/>
      <c r="H966" s="594"/>
      <c r="I966" s="593"/>
      <c r="J966" s="593"/>
      <c r="K966" s="593"/>
    </row>
    <row r="967" spans="2:11">
      <c r="B967" s="228"/>
      <c r="C967" s="228"/>
      <c r="D967" s="594"/>
      <c r="E967" s="594"/>
      <c r="F967" s="594"/>
      <c r="G967" s="594"/>
      <c r="H967" s="594"/>
      <c r="I967" s="593"/>
      <c r="J967" s="593"/>
      <c r="K967" s="593"/>
    </row>
    <row r="968" spans="2:11">
      <c r="B968" s="228"/>
      <c r="C968" s="228"/>
      <c r="D968" s="594"/>
      <c r="E968" s="594"/>
      <c r="F968" s="594"/>
      <c r="G968" s="594"/>
      <c r="H968" s="594"/>
      <c r="I968" s="593"/>
      <c r="J968" s="593"/>
      <c r="K968" s="593"/>
    </row>
    <row r="969" spans="2:11">
      <c r="B969" s="228"/>
      <c r="C969" s="228"/>
      <c r="D969" s="594"/>
      <c r="E969" s="594"/>
      <c r="F969" s="594"/>
      <c r="G969" s="594"/>
      <c r="H969" s="594"/>
      <c r="I969" s="593"/>
      <c r="J969" s="593"/>
      <c r="K969" s="593"/>
    </row>
    <row r="970" spans="2:11">
      <c r="B970" s="228"/>
      <c r="C970" s="228"/>
      <c r="D970" s="594"/>
      <c r="E970" s="594"/>
      <c r="F970" s="594"/>
      <c r="G970" s="594"/>
      <c r="H970" s="594"/>
      <c r="I970" s="593"/>
      <c r="J970" s="593"/>
      <c r="K970" s="593"/>
    </row>
    <row r="971" spans="2:11">
      <c r="B971" s="228"/>
      <c r="C971" s="228"/>
      <c r="D971" s="594"/>
      <c r="E971" s="594"/>
      <c r="F971" s="594"/>
      <c r="G971" s="594"/>
      <c r="H971" s="594"/>
      <c r="I971" s="593"/>
      <c r="J971" s="593"/>
      <c r="K971" s="593"/>
    </row>
    <row r="972" spans="2:11">
      <c r="B972" s="228"/>
      <c r="C972" s="228"/>
      <c r="D972" s="594"/>
      <c r="E972" s="594"/>
      <c r="F972" s="594"/>
      <c r="G972" s="594"/>
      <c r="H972" s="594"/>
      <c r="I972" s="593"/>
      <c r="J972" s="593"/>
      <c r="K972" s="593"/>
    </row>
    <row r="973" spans="2:11">
      <c r="B973" s="228"/>
      <c r="C973" s="228"/>
      <c r="D973" s="594"/>
      <c r="E973" s="594"/>
      <c r="F973" s="594"/>
      <c r="G973" s="594"/>
      <c r="H973" s="594"/>
      <c r="I973" s="593"/>
      <c r="J973" s="593"/>
      <c r="K973" s="593"/>
    </row>
    <row r="974" spans="2:11">
      <c r="B974" s="228"/>
      <c r="C974" s="228"/>
      <c r="D974" s="594"/>
      <c r="E974" s="594"/>
      <c r="F974" s="594"/>
      <c r="G974" s="594"/>
      <c r="H974" s="594"/>
      <c r="I974" s="593"/>
      <c r="J974" s="593"/>
      <c r="K974" s="593"/>
    </row>
    <row r="975" spans="2:11">
      <c r="B975" s="228"/>
      <c r="C975" s="228"/>
      <c r="D975" s="594"/>
      <c r="E975" s="594"/>
      <c r="F975" s="594"/>
      <c r="G975" s="594"/>
      <c r="H975" s="594"/>
      <c r="I975" s="593"/>
      <c r="J975" s="593"/>
      <c r="K975" s="593"/>
    </row>
    <row r="976" spans="2:11">
      <c r="B976" s="228"/>
      <c r="C976" s="228"/>
      <c r="D976" s="594"/>
      <c r="E976" s="594"/>
      <c r="F976" s="594"/>
      <c r="G976" s="594"/>
      <c r="H976" s="594"/>
      <c r="I976" s="593"/>
      <c r="J976" s="593"/>
      <c r="K976" s="593"/>
    </row>
    <row r="977" spans="2:11">
      <c r="B977" s="228"/>
      <c r="C977" s="228"/>
      <c r="D977" s="594"/>
      <c r="E977" s="594"/>
      <c r="F977" s="594"/>
      <c r="G977" s="594"/>
      <c r="H977" s="594"/>
      <c r="I977" s="593"/>
      <c r="J977" s="593"/>
      <c r="K977" s="593"/>
    </row>
    <row r="978" spans="2:11">
      <c r="B978" s="228"/>
      <c r="C978" s="228"/>
      <c r="D978" s="594"/>
      <c r="E978" s="594"/>
      <c r="F978" s="594"/>
      <c r="G978" s="594"/>
      <c r="H978" s="594"/>
      <c r="I978" s="593"/>
      <c r="J978" s="593"/>
      <c r="K978" s="593"/>
    </row>
    <row r="979" spans="2:11">
      <c r="B979" s="228"/>
      <c r="C979" s="228"/>
      <c r="D979" s="594"/>
      <c r="E979" s="594"/>
      <c r="F979" s="594"/>
      <c r="G979" s="594"/>
      <c r="H979" s="594"/>
      <c r="I979" s="593"/>
      <c r="J979" s="593"/>
      <c r="K979" s="593"/>
    </row>
    <row r="980" spans="2:11">
      <c r="B980" s="228"/>
      <c r="C980" s="228"/>
      <c r="D980" s="594"/>
      <c r="E980" s="594"/>
      <c r="F980" s="594"/>
      <c r="G980" s="594"/>
      <c r="H980" s="594"/>
      <c r="I980" s="593"/>
      <c r="J980" s="593"/>
      <c r="K980" s="593"/>
    </row>
    <row r="981" spans="2:11">
      <c r="B981" s="228"/>
      <c r="C981" s="228"/>
      <c r="D981" s="594"/>
      <c r="E981" s="594"/>
      <c r="F981" s="594"/>
      <c r="G981" s="594"/>
      <c r="H981" s="594"/>
      <c r="I981" s="593"/>
      <c r="J981" s="593"/>
      <c r="K981" s="593"/>
    </row>
    <row r="982" spans="2:11">
      <c r="B982" s="228"/>
      <c r="C982" s="228"/>
      <c r="D982" s="594"/>
      <c r="E982" s="594"/>
      <c r="F982" s="594"/>
      <c r="G982" s="594"/>
      <c r="H982" s="594"/>
      <c r="I982" s="593"/>
      <c r="J982" s="593"/>
      <c r="K982" s="593"/>
    </row>
    <row r="983" spans="2:11">
      <c r="B983" s="228"/>
      <c r="C983" s="228"/>
      <c r="D983" s="594"/>
      <c r="E983" s="594"/>
      <c r="F983" s="594"/>
      <c r="G983" s="594"/>
      <c r="H983" s="594"/>
      <c r="I983" s="593"/>
      <c r="J983" s="593"/>
      <c r="K983" s="593"/>
    </row>
    <row r="984" spans="2:11">
      <c r="B984" s="228"/>
      <c r="C984" s="228"/>
      <c r="D984" s="594"/>
      <c r="E984" s="594"/>
      <c r="F984" s="594"/>
      <c r="G984" s="594"/>
      <c r="H984" s="594"/>
      <c r="I984" s="593"/>
      <c r="J984" s="593"/>
      <c r="K984" s="593"/>
    </row>
    <row r="985" spans="2:11">
      <c r="B985" s="228"/>
      <c r="C985" s="228"/>
      <c r="D985" s="594"/>
      <c r="E985" s="594"/>
      <c r="F985" s="594"/>
      <c r="G985" s="594"/>
      <c r="H985" s="594"/>
      <c r="I985" s="593"/>
      <c r="J985" s="593"/>
      <c r="K985" s="593"/>
    </row>
    <row r="986" spans="2:11">
      <c r="B986" s="228"/>
      <c r="C986" s="228"/>
      <c r="D986" s="594"/>
      <c r="E986" s="594"/>
      <c r="F986" s="594"/>
      <c r="G986" s="594"/>
      <c r="H986" s="594"/>
      <c r="I986" s="593"/>
      <c r="J986" s="593"/>
      <c r="K986" s="593"/>
    </row>
    <row r="987" spans="2:11">
      <c r="B987" s="228"/>
      <c r="C987" s="228"/>
      <c r="D987" s="594"/>
      <c r="E987" s="594"/>
      <c r="F987" s="594"/>
      <c r="G987" s="594"/>
      <c r="H987" s="594"/>
      <c r="I987" s="593"/>
      <c r="J987" s="593"/>
      <c r="K987" s="593"/>
    </row>
    <row r="988" spans="2:11">
      <c r="B988" s="228"/>
      <c r="C988" s="228"/>
      <c r="D988" s="594"/>
      <c r="E988" s="594"/>
      <c r="F988" s="594"/>
      <c r="G988" s="594"/>
      <c r="H988" s="594"/>
      <c r="I988" s="593"/>
      <c r="J988" s="593"/>
      <c r="K988" s="593"/>
    </row>
    <row r="989" spans="2:11">
      <c r="B989" s="228"/>
      <c r="C989" s="228"/>
      <c r="D989" s="594"/>
      <c r="E989" s="594"/>
      <c r="F989" s="594"/>
      <c r="G989" s="594"/>
      <c r="H989" s="594"/>
      <c r="I989" s="593"/>
      <c r="J989" s="593"/>
      <c r="K989" s="593"/>
    </row>
    <row r="990" spans="2:11">
      <c r="B990" s="228"/>
      <c r="C990" s="228"/>
      <c r="D990" s="594"/>
      <c r="E990" s="594"/>
      <c r="F990" s="594"/>
      <c r="G990" s="594"/>
      <c r="H990" s="594"/>
      <c r="I990" s="593"/>
      <c r="J990" s="593"/>
      <c r="K990" s="593"/>
    </row>
    <row r="991" spans="2:11">
      <c r="B991" s="228"/>
      <c r="C991" s="228"/>
      <c r="D991" s="594"/>
      <c r="E991" s="594"/>
      <c r="F991" s="594"/>
      <c r="G991" s="594"/>
      <c r="H991" s="594"/>
      <c r="I991" s="593"/>
      <c r="J991" s="593"/>
      <c r="K991" s="593"/>
    </row>
    <row r="992" spans="2:11">
      <c r="B992" s="228"/>
      <c r="C992" s="228"/>
      <c r="D992" s="594"/>
      <c r="E992" s="594"/>
      <c r="F992" s="594"/>
      <c r="G992" s="594"/>
      <c r="H992" s="594"/>
      <c r="I992" s="593"/>
      <c r="J992" s="593"/>
      <c r="K992" s="593"/>
    </row>
    <row r="993" spans="2:11">
      <c r="B993" s="228"/>
      <c r="C993" s="228"/>
      <c r="D993" s="594"/>
      <c r="E993" s="594"/>
      <c r="F993" s="594"/>
      <c r="G993" s="594"/>
      <c r="H993" s="594"/>
      <c r="I993" s="593"/>
      <c r="J993" s="593"/>
      <c r="K993" s="593"/>
    </row>
    <row r="994" spans="2:11">
      <c r="B994" s="228"/>
      <c r="C994" s="228"/>
      <c r="D994" s="594"/>
      <c r="E994" s="594"/>
      <c r="F994" s="594"/>
      <c r="G994" s="594"/>
      <c r="H994" s="594"/>
      <c r="I994" s="593"/>
      <c r="J994" s="593"/>
      <c r="K994" s="593"/>
    </row>
    <row r="995" spans="2:11">
      <c r="B995" s="228"/>
      <c r="C995" s="228"/>
      <c r="D995" s="594"/>
      <c r="E995" s="594"/>
      <c r="F995" s="594"/>
      <c r="G995" s="594"/>
      <c r="H995" s="594"/>
      <c r="I995" s="593"/>
      <c r="J995" s="593"/>
      <c r="K995" s="593"/>
    </row>
    <row r="996" spans="2:11">
      <c r="B996" s="228"/>
      <c r="C996" s="228"/>
      <c r="D996" s="594"/>
      <c r="E996" s="594"/>
      <c r="F996" s="594"/>
      <c r="G996" s="594"/>
      <c r="H996" s="594"/>
      <c r="I996" s="593"/>
      <c r="J996" s="593"/>
      <c r="K996" s="593"/>
    </row>
    <row r="997" spans="2:11">
      <c r="B997" s="228"/>
      <c r="C997" s="228"/>
      <c r="D997" s="594"/>
      <c r="E997" s="594"/>
      <c r="F997" s="594"/>
      <c r="G997" s="594"/>
      <c r="H997" s="594"/>
      <c r="I997" s="593"/>
      <c r="J997" s="593"/>
      <c r="K997" s="593"/>
    </row>
    <row r="998" spans="2:11">
      <c r="B998" s="228"/>
      <c r="C998" s="228"/>
      <c r="D998" s="594"/>
      <c r="E998" s="594"/>
      <c r="F998" s="594"/>
      <c r="G998" s="594"/>
      <c r="H998" s="594"/>
      <c r="I998" s="593"/>
      <c r="J998" s="593"/>
      <c r="K998" s="593"/>
    </row>
    <row r="999" spans="2:11">
      <c r="B999" s="228"/>
      <c r="C999" s="228"/>
      <c r="D999" s="594"/>
      <c r="E999" s="594"/>
      <c r="F999" s="594"/>
      <c r="G999" s="594"/>
      <c r="H999" s="594"/>
      <c r="I999" s="593"/>
      <c r="J999" s="593"/>
      <c r="K999" s="593"/>
    </row>
    <row r="1000" spans="2:11">
      <c r="B1000" s="228"/>
      <c r="C1000" s="228"/>
      <c r="D1000" s="594"/>
      <c r="E1000" s="594"/>
      <c r="F1000" s="594"/>
      <c r="G1000" s="594"/>
      <c r="H1000" s="594"/>
      <c r="I1000" s="593"/>
      <c r="J1000" s="593"/>
      <c r="K1000" s="593"/>
    </row>
    <row r="1001" spans="2:11">
      <c r="B1001" s="228"/>
      <c r="C1001" s="228"/>
      <c r="D1001" s="594"/>
      <c r="E1001" s="594"/>
      <c r="F1001" s="594"/>
      <c r="G1001" s="594"/>
      <c r="H1001" s="594"/>
      <c r="I1001" s="593"/>
      <c r="J1001" s="593"/>
      <c r="K1001" s="593"/>
    </row>
    <row r="1002" spans="2:11">
      <c r="B1002" s="228"/>
      <c r="C1002" s="228"/>
      <c r="D1002" s="594"/>
      <c r="E1002" s="594"/>
      <c r="F1002" s="594"/>
      <c r="G1002" s="594"/>
      <c r="H1002" s="594"/>
      <c r="I1002" s="593"/>
      <c r="J1002" s="593"/>
      <c r="K1002" s="593"/>
    </row>
    <row r="1003" spans="2:11">
      <c r="B1003" s="228"/>
      <c r="C1003" s="228"/>
      <c r="D1003" s="594"/>
      <c r="E1003" s="594"/>
      <c r="F1003" s="594"/>
      <c r="G1003" s="594"/>
      <c r="H1003" s="594"/>
      <c r="I1003" s="593"/>
      <c r="J1003" s="593"/>
      <c r="K1003" s="593"/>
    </row>
    <row r="1004" spans="2:11">
      <c r="B1004" s="228"/>
      <c r="C1004" s="228"/>
      <c r="D1004" s="594"/>
      <c r="E1004" s="594"/>
      <c r="F1004" s="594"/>
      <c r="G1004" s="594"/>
      <c r="H1004" s="594"/>
      <c r="I1004" s="593"/>
      <c r="J1004" s="593"/>
      <c r="K1004" s="593"/>
    </row>
    <row r="1005" spans="2:11">
      <c r="B1005" s="228"/>
      <c r="C1005" s="228"/>
      <c r="D1005" s="594"/>
      <c r="E1005" s="594"/>
      <c r="F1005" s="594"/>
      <c r="G1005" s="594"/>
      <c r="H1005" s="594"/>
      <c r="I1005" s="593"/>
      <c r="J1005" s="593"/>
      <c r="K1005" s="593"/>
    </row>
    <row r="1006" spans="2:11">
      <c r="B1006" s="228"/>
      <c r="C1006" s="228"/>
      <c r="D1006" s="594"/>
      <c r="E1006" s="594"/>
      <c r="F1006" s="594"/>
      <c r="G1006" s="594"/>
      <c r="H1006" s="594"/>
      <c r="I1006" s="593"/>
      <c r="J1006" s="593"/>
      <c r="K1006" s="593"/>
    </row>
    <row r="1007" spans="2:11">
      <c r="B1007" s="228"/>
      <c r="C1007" s="228"/>
      <c r="D1007" s="594"/>
      <c r="E1007" s="594"/>
      <c r="F1007" s="594"/>
      <c r="G1007" s="594"/>
      <c r="H1007" s="594"/>
      <c r="I1007" s="593"/>
      <c r="J1007" s="593"/>
      <c r="K1007" s="593"/>
    </row>
    <row r="1008" spans="2:11">
      <c r="B1008" s="228"/>
      <c r="C1008" s="228"/>
      <c r="D1008" s="594"/>
      <c r="E1008" s="594"/>
      <c r="F1008" s="594"/>
      <c r="G1008" s="594"/>
      <c r="H1008" s="594"/>
      <c r="I1008" s="593"/>
      <c r="J1008" s="593"/>
      <c r="K1008" s="593"/>
    </row>
    <row r="1009" spans="2:11">
      <c r="B1009" s="228"/>
      <c r="C1009" s="228"/>
      <c r="D1009" s="594"/>
      <c r="E1009" s="594"/>
      <c r="F1009" s="594"/>
      <c r="G1009" s="594"/>
      <c r="H1009" s="594"/>
      <c r="I1009" s="593"/>
      <c r="J1009" s="593"/>
      <c r="K1009" s="593"/>
    </row>
    <row r="1010" spans="2:11">
      <c r="B1010" s="228"/>
      <c r="C1010" s="228"/>
      <c r="D1010" s="594"/>
      <c r="E1010" s="594"/>
      <c r="F1010" s="594"/>
      <c r="G1010" s="594"/>
      <c r="H1010" s="594"/>
      <c r="I1010" s="593"/>
      <c r="J1010" s="593"/>
      <c r="K1010" s="593"/>
    </row>
    <row r="1011" spans="2:11">
      <c r="B1011" s="228"/>
      <c r="C1011" s="228"/>
      <c r="D1011" s="594"/>
      <c r="E1011" s="594"/>
      <c r="F1011" s="594"/>
      <c r="G1011" s="594"/>
      <c r="H1011" s="594"/>
      <c r="I1011" s="593"/>
      <c r="J1011" s="593"/>
      <c r="K1011" s="593"/>
    </row>
    <row r="1012" spans="2:11">
      <c r="B1012" s="228"/>
      <c r="C1012" s="228"/>
      <c r="D1012" s="594"/>
      <c r="E1012" s="594"/>
      <c r="F1012" s="594"/>
      <c r="G1012" s="594"/>
      <c r="H1012" s="594"/>
      <c r="I1012" s="593"/>
      <c r="J1012" s="593"/>
      <c r="K1012" s="593"/>
    </row>
    <row r="1013" spans="2:11">
      <c r="B1013" s="228"/>
      <c r="C1013" s="228"/>
      <c r="D1013" s="594"/>
      <c r="E1013" s="594"/>
      <c r="F1013" s="594"/>
      <c r="G1013" s="594"/>
      <c r="H1013" s="594"/>
      <c r="I1013" s="593"/>
      <c r="J1013" s="593"/>
      <c r="K1013" s="593"/>
    </row>
    <row r="1014" spans="2:11">
      <c r="B1014" s="228"/>
      <c r="C1014" s="228"/>
      <c r="D1014" s="594"/>
      <c r="E1014" s="594"/>
      <c r="F1014" s="594"/>
      <c r="G1014" s="594"/>
      <c r="H1014" s="594"/>
      <c r="I1014" s="593"/>
      <c r="J1014" s="593"/>
      <c r="K1014" s="593"/>
    </row>
    <row r="1015" spans="2:11">
      <c r="B1015" s="228"/>
      <c r="C1015" s="228"/>
      <c r="D1015" s="594"/>
      <c r="E1015" s="594"/>
      <c r="F1015" s="594"/>
      <c r="G1015" s="594"/>
      <c r="H1015" s="594"/>
      <c r="I1015" s="593"/>
      <c r="J1015" s="593"/>
      <c r="K1015" s="593"/>
    </row>
    <row r="1016" spans="2:11">
      <c r="B1016" s="228"/>
      <c r="C1016" s="228"/>
      <c r="D1016" s="594"/>
      <c r="E1016" s="594"/>
      <c r="F1016" s="594"/>
      <c r="G1016" s="594"/>
      <c r="H1016" s="594"/>
      <c r="I1016" s="593"/>
      <c r="J1016" s="593"/>
      <c r="K1016" s="593"/>
    </row>
    <row r="1017" spans="2:11">
      <c r="B1017" s="228"/>
      <c r="C1017" s="228"/>
      <c r="D1017" s="594"/>
      <c r="E1017" s="594"/>
      <c r="F1017" s="594"/>
      <c r="G1017" s="594"/>
      <c r="H1017" s="594"/>
      <c r="I1017" s="593"/>
      <c r="J1017" s="593"/>
      <c r="K1017" s="593"/>
    </row>
    <row r="1018" spans="2:11">
      <c r="B1018" s="228"/>
      <c r="C1018" s="228"/>
      <c r="D1018" s="594"/>
      <c r="E1018" s="594"/>
      <c r="F1018" s="594"/>
      <c r="G1018" s="594"/>
      <c r="H1018" s="594"/>
      <c r="I1018" s="593"/>
      <c r="J1018" s="593"/>
      <c r="K1018" s="593"/>
    </row>
    <row r="1019" spans="2:11">
      <c r="B1019" s="228"/>
      <c r="C1019" s="228"/>
      <c r="D1019" s="594"/>
      <c r="E1019" s="594"/>
      <c r="F1019" s="594"/>
      <c r="G1019" s="594"/>
      <c r="H1019" s="594"/>
      <c r="I1019" s="593"/>
      <c r="J1019" s="593"/>
      <c r="K1019" s="593"/>
    </row>
    <row r="1020" spans="2:11">
      <c r="B1020" s="228"/>
      <c r="C1020" s="228"/>
      <c r="D1020" s="594"/>
      <c r="E1020" s="594"/>
      <c r="F1020" s="594"/>
      <c r="G1020" s="594"/>
      <c r="H1020" s="594"/>
      <c r="I1020" s="593"/>
      <c r="J1020" s="593"/>
      <c r="K1020" s="593"/>
    </row>
    <row r="1021" spans="2:11">
      <c r="B1021" s="228"/>
      <c r="C1021" s="228"/>
      <c r="D1021" s="594"/>
      <c r="E1021" s="594"/>
      <c r="F1021" s="594"/>
      <c r="G1021" s="594"/>
      <c r="H1021" s="594"/>
      <c r="I1021" s="593"/>
      <c r="J1021" s="593"/>
      <c r="K1021" s="593"/>
    </row>
    <row r="1022" spans="2:11">
      <c r="B1022" s="228"/>
      <c r="C1022" s="228"/>
      <c r="D1022" s="594"/>
      <c r="E1022" s="594"/>
      <c r="F1022" s="594"/>
      <c r="G1022" s="594"/>
      <c r="H1022" s="594"/>
      <c r="I1022" s="593"/>
      <c r="J1022" s="593"/>
      <c r="K1022" s="593"/>
    </row>
    <row r="1023" spans="2:11">
      <c r="B1023" s="228"/>
      <c r="C1023" s="228"/>
      <c r="D1023" s="594"/>
      <c r="E1023" s="594"/>
      <c r="F1023" s="594"/>
      <c r="G1023" s="594"/>
      <c r="H1023" s="594"/>
      <c r="I1023" s="593"/>
      <c r="J1023" s="593"/>
      <c r="K1023" s="593"/>
    </row>
    <row r="1024" spans="2:11">
      <c r="B1024" s="228"/>
      <c r="C1024" s="228"/>
      <c r="D1024" s="594"/>
      <c r="E1024" s="594"/>
      <c r="F1024" s="594"/>
      <c r="G1024" s="594"/>
      <c r="H1024" s="594"/>
      <c r="I1024" s="593"/>
      <c r="J1024" s="593"/>
      <c r="K1024" s="593"/>
    </row>
    <row r="1025" spans="2:11">
      <c r="B1025" s="228"/>
      <c r="C1025" s="228"/>
      <c r="D1025" s="594"/>
      <c r="E1025" s="594"/>
      <c r="F1025" s="594"/>
      <c r="G1025" s="594"/>
      <c r="H1025" s="594"/>
      <c r="I1025" s="593"/>
      <c r="J1025" s="593"/>
      <c r="K1025" s="593"/>
    </row>
    <row r="1026" spans="2:11">
      <c r="B1026" s="228"/>
      <c r="C1026" s="228"/>
      <c r="D1026" s="594"/>
      <c r="E1026" s="594"/>
      <c r="F1026" s="594"/>
      <c r="G1026" s="594"/>
      <c r="H1026" s="594"/>
      <c r="I1026" s="593"/>
      <c r="J1026" s="593"/>
      <c r="K1026" s="593"/>
    </row>
    <row r="1027" spans="2:11">
      <c r="B1027" s="228"/>
      <c r="C1027" s="228"/>
      <c r="D1027" s="594"/>
      <c r="E1027" s="594"/>
      <c r="F1027" s="594"/>
      <c r="G1027" s="594"/>
      <c r="H1027" s="594"/>
      <c r="I1027" s="593"/>
      <c r="J1027" s="593"/>
      <c r="K1027" s="593"/>
    </row>
    <row r="1028" spans="2:11">
      <c r="B1028" s="228"/>
      <c r="C1028" s="228"/>
      <c r="D1028" s="594"/>
      <c r="E1028" s="594"/>
      <c r="F1028" s="594"/>
      <c r="G1028" s="594"/>
      <c r="H1028" s="594"/>
      <c r="I1028" s="593"/>
      <c r="J1028" s="593"/>
      <c r="K1028" s="593"/>
    </row>
    <row r="1029" spans="2:11">
      <c r="B1029" s="228"/>
      <c r="C1029" s="228"/>
      <c r="D1029" s="594"/>
      <c r="E1029" s="594"/>
      <c r="F1029" s="594"/>
      <c r="G1029" s="594"/>
      <c r="H1029" s="594"/>
      <c r="I1029" s="593"/>
      <c r="J1029" s="593"/>
      <c r="K1029" s="593"/>
    </row>
    <row r="1030" spans="2:11">
      <c r="B1030" s="228"/>
      <c r="C1030" s="228"/>
      <c r="D1030" s="594"/>
      <c r="E1030" s="594"/>
      <c r="F1030" s="594"/>
      <c r="G1030" s="594"/>
      <c r="H1030" s="594"/>
      <c r="I1030" s="593"/>
      <c r="J1030" s="593"/>
      <c r="K1030" s="593"/>
    </row>
    <row r="1031" spans="2:11">
      <c r="B1031" s="228"/>
      <c r="C1031" s="228"/>
      <c r="D1031" s="594"/>
      <c r="E1031" s="594"/>
      <c r="F1031" s="594"/>
      <c r="G1031" s="594"/>
      <c r="H1031" s="594"/>
      <c r="I1031" s="593"/>
      <c r="J1031" s="593"/>
      <c r="K1031" s="593"/>
    </row>
    <row r="1032" spans="2:11">
      <c r="B1032" s="228"/>
      <c r="C1032" s="228"/>
      <c r="D1032" s="594"/>
      <c r="E1032" s="594"/>
      <c r="F1032" s="594"/>
      <c r="G1032" s="594"/>
      <c r="H1032" s="594"/>
      <c r="I1032" s="593"/>
      <c r="J1032" s="593"/>
      <c r="K1032" s="593"/>
    </row>
    <row r="1033" spans="2:11">
      <c r="B1033" s="228"/>
      <c r="C1033" s="228"/>
      <c r="D1033" s="594"/>
      <c r="E1033" s="594"/>
      <c r="F1033" s="594"/>
      <c r="G1033" s="594"/>
      <c r="H1033" s="594"/>
      <c r="I1033" s="593"/>
      <c r="J1033" s="593"/>
      <c r="K1033" s="593"/>
    </row>
    <row r="1034" spans="2:11">
      <c r="B1034" s="228"/>
      <c r="C1034" s="228"/>
      <c r="D1034" s="594"/>
      <c r="E1034" s="594"/>
      <c r="F1034" s="594"/>
      <c r="G1034" s="594"/>
      <c r="H1034" s="594"/>
      <c r="I1034" s="593"/>
      <c r="J1034" s="593"/>
      <c r="K1034" s="593"/>
    </row>
    <row r="1035" spans="2:11">
      <c r="B1035" s="228"/>
      <c r="C1035" s="228"/>
      <c r="D1035" s="594"/>
      <c r="E1035" s="594"/>
      <c r="F1035" s="594"/>
      <c r="G1035" s="594"/>
      <c r="H1035" s="594"/>
      <c r="I1035" s="593"/>
      <c r="J1035" s="593"/>
      <c r="K1035" s="593"/>
    </row>
    <row r="1036" spans="2:11">
      <c r="B1036" s="228"/>
      <c r="C1036" s="228"/>
      <c r="D1036" s="594"/>
      <c r="E1036" s="594"/>
      <c r="F1036" s="594"/>
      <c r="G1036" s="594"/>
      <c r="H1036" s="594"/>
      <c r="I1036" s="593"/>
      <c r="J1036" s="593"/>
      <c r="K1036" s="593"/>
    </row>
    <row r="1037" spans="2:11">
      <c r="B1037" s="228"/>
      <c r="C1037" s="228"/>
      <c r="D1037" s="594"/>
      <c r="E1037" s="594"/>
      <c r="F1037" s="594"/>
      <c r="G1037" s="594"/>
      <c r="H1037" s="594"/>
      <c r="I1037" s="593"/>
      <c r="J1037" s="593"/>
      <c r="K1037" s="593"/>
    </row>
    <row r="1038" spans="2:11">
      <c r="B1038" s="228"/>
      <c r="C1038" s="228"/>
      <c r="D1038" s="594"/>
      <c r="E1038" s="594"/>
      <c r="F1038" s="594"/>
      <c r="G1038" s="594"/>
      <c r="H1038" s="594"/>
      <c r="I1038" s="593"/>
      <c r="J1038" s="593"/>
      <c r="K1038" s="593"/>
    </row>
    <row r="1039" spans="2:11">
      <c r="B1039" s="228"/>
      <c r="C1039" s="228"/>
      <c r="D1039" s="594"/>
      <c r="E1039" s="594"/>
      <c r="F1039" s="594"/>
      <c r="G1039" s="594"/>
      <c r="H1039" s="594"/>
      <c r="I1039" s="593"/>
      <c r="J1039" s="593"/>
      <c r="K1039" s="593"/>
    </row>
    <row r="1040" spans="2:11">
      <c r="B1040" s="228"/>
      <c r="C1040" s="228"/>
      <c r="D1040" s="594"/>
      <c r="E1040" s="594"/>
      <c r="F1040" s="594"/>
      <c r="G1040" s="594"/>
      <c r="H1040" s="594"/>
      <c r="I1040" s="593"/>
      <c r="J1040" s="593"/>
      <c r="K1040" s="593"/>
    </row>
    <row r="1041" spans="2:11">
      <c r="B1041" s="228"/>
      <c r="C1041" s="228"/>
      <c r="D1041" s="594"/>
      <c r="E1041" s="594"/>
      <c r="F1041" s="594"/>
      <c r="G1041" s="594"/>
      <c r="H1041" s="594"/>
      <c r="I1041" s="593"/>
      <c r="J1041" s="593"/>
      <c r="K1041" s="593"/>
    </row>
    <row r="1042" spans="2:11">
      <c r="B1042" s="228"/>
      <c r="C1042" s="228"/>
      <c r="D1042" s="594"/>
      <c r="E1042" s="594"/>
      <c r="F1042" s="594"/>
      <c r="G1042" s="594"/>
      <c r="H1042" s="594"/>
      <c r="I1042" s="593"/>
      <c r="J1042" s="593"/>
      <c r="K1042" s="593"/>
    </row>
    <row r="1043" spans="2:11">
      <c r="B1043" s="228"/>
      <c r="C1043" s="228"/>
      <c r="D1043" s="594"/>
      <c r="E1043" s="594"/>
      <c r="F1043" s="594"/>
      <c r="G1043" s="594"/>
      <c r="H1043" s="594"/>
      <c r="I1043" s="593"/>
      <c r="J1043" s="593"/>
      <c r="K1043" s="593"/>
    </row>
    <row r="1044" spans="2:11">
      <c r="B1044" s="228"/>
      <c r="C1044" s="228"/>
      <c r="D1044" s="594"/>
      <c r="E1044" s="594"/>
      <c r="F1044" s="594"/>
      <c r="G1044" s="594"/>
      <c r="H1044" s="594"/>
      <c r="I1044" s="593"/>
      <c r="J1044" s="593"/>
      <c r="K1044" s="593"/>
    </row>
    <row r="1045" spans="2:11">
      <c r="B1045" s="228"/>
      <c r="C1045" s="228"/>
      <c r="D1045" s="594"/>
      <c r="E1045" s="594"/>
      <c r="F1045" s="594"/>
      <c r="G1045" s="594"/>
      <c r="H1045" s="594"/>
      <c r="I1045" s="593"/>
      <c r="J1045" s="593"/>
      <c r="K1045" s="593"/>
    </row>
    <row r="1046" spans="2:11">
      <c r="B1046" s="228"/>
      <c r="C1046" s="228"/>
      <c r="D1046" s="594"/>
      <c r="E1046" s="594"/>
      <c r="F1046" s="594"/>
      <c r="G1046" s="594"/>
      <c r="H1046" s="594"/>
      <c r="I1046" s="593"/>
      <c r="J1046" s="593"/>
      <c r="K1046" s="593"/>
    </row>
    <row r="1047" spans="2:11">
      <c r="B1047" s="228"/>
      <c r="C1047" s="228"/>
      <c r="D1047" s="594"/>
      <c r="E1047" s="594"/>
      <c r="F1047" s="594"/>
      <c r="G1047" s="594"/>
      <c r="H1047" s="594"/>
      <c r="I1047" s="593"/>
      <c r="J1047" s="593"/>
      <c r="K1047" s="593"/>
    </row>
    <row r="1048" spans="2:11">
      <c r="B1048" s="228"/>
      <c r="C1048" s="228"/>
      <c r="D1048" s="594"/>
      <c r="E1048" s="594"/>
      <c r="F1048" s="594"/>
      <c r="G1048" s="594"/>
      <c r="H1048" s="594"/>
      <c r="I1048" s="593"/>
      <c r="J1048" s="593"/>
      <c r="K1048" s="593"/>
    </row>
    <row r="1049" spans="2:11">
      <c r="B1049" s="228"/>
      <c r="C1049" s="228"/>
      <c r="D1049" s="594"/>
      <c r="E1049" s="594"/>
      <c r="F1049" s="594"/>
      <c r="G1049" s="594"/>
      <c r="H1049" s="594"/>
      <c r="I1049" s="593"/>
      <c r="J1049" s="593"/>
      <c r="K1049" s="593"/>
    </row>
    <row r="1050" spans="2:11">
      <c r="B1050" s="228"/>
      <c r="C1050" s="228"/>
      <c r="D1050" s="594"/>
      <c r="E1050" s="594"/>
      <c r="F1050" s="594"/>
      <c r="G1050" s="594"/>
      <c r="H1050" s="594"/>
      <c r="I1050" s="593"/>
      <c r="J1050" s="593"/>
      <c r="K1050" s="593"/>
    </row>
    <row r="1051" spans="2:11">
      <c r="B1051" s="228"/>
      <c r="C1051" s="228"/>
      <c r="D1051" s="594"/>
      <c r="E1051" s="594"/>
      <c r="F1051" s="594"/>
      <c r="G1051" s="594"/>
      <c r="H1051" s="594"/>
      <c r="I1051" s="593"/>
      <c r="J1051" s="593"/>
      <c r="K1051" s="593"/>
    </row>
    <row r="1052" spans="2:11">
      <c r="B1052" s="228"/>
      <c r="C1052" s="228"/>
      <c r="D1052" s="594"/>
      <c r="E1052" s="594"/>
      <c r="F1052" s="594"/>
      <c r="G1052" s="594"/>
      <c r="H1052" s="594"/>
      <c r="I1052" s="593"/>
      <c r="J1052" s="593"/>
      <c r="K1052" s="593"/>
    </row>
    <row r="1053" spans="2:11">
      <c r="B1053" s="228"/>
      <c r="C1053" s="228"/>
      <c r="D1053" s="594"/>
      <c r="E1053" s="594"/>
      <c r="F1053" s="594"/>
      <c r="G1053" s="594"/>
      <c r="H1053" s="594"/>
      <c r="I1053" s="593"/>
      <c r="J1053" s="593"/>
      <c r="K1053" s="593"/>
    </row>
    <row r="1054" spans="2:11">
      <c r="B1054" s="228"/>
      <c r="C1054" s="228"/>
      <c r="D1054" s="594"/>
      <c r="E1054" s="594"/>
      <c r="F1054" s="594"/>
      <c r="G1054" s="594"/>
      <c r="H1054" s="594"/>
      <c r="I1054" s="593"/>
      <c r="J1054" s="593"/>
      <c r="K1054" s="593"/>
    </row>
    <row r="1055" spans="2:11">
      <c r="B1055" s="228"/>
      <c r="C1055" s="228"/>
      <c r="D1055" s="594"/>
      <c r="E1055" s="594"/>
      <c r="F1055" s="594"/>
      <c r="G1055" s="594"/>
      <c r="H1055" s="594"/>
      <c r="I1055" s="593"/>
      <c r="J1055" s="593"/>
      <c r="K1055" s="593"/>
    </row>
    <row r="1056" spans="2:11">
      <c r="B1056" s="228"/>
      <c r="C1056" s="228"/>
      <c r="D1056" s="594"/>
      <c r="E1056" s="594"/>
      <c r="F1056" s="594"/>
      <c r="G1056" s="594"/>
      <c r="H1056" s="594"/>
      <c r="I1056" s="593"/>
      <c r="J1056" s="593"/>
      <c r="K1056" s="593"/>
    </row>
    <row r="1057" spans="2:11">
      <c r="B1057" s="228"/>
      <c r="C1057" s="228"/>
      <c r="D1057" s="594"/>
      <c r="E1057" s="594"/>
      <c r="F1057" s="594"/>
      <c r="G1057" s="594"/>
      <c r="H1057" s="594"/>
      <c r="I1057" s="593"/>
      <c r="J1057" s="593"/>
      <c r="K1057" s="593"/>
    </row>
    <row r="1058" spans="2:11">
      <c r="B1058" s="228"/>
      <c r="C1058" s="228"/>
      <c r="D1058" s="594"/>
      <c r="E1058" s="594"/>
      <c r="F1058" s="594"/>
      <c r="G1058" s="594"/>
      <c r="H1058" s="594"/>
      <c r="I1058" s="593"/>
      <c r="J1058" s="593"/>
      <c r="K1058" s="593"/>
    </row>
    <row r="1059" spans="2:11">
      <c r="B1059" s="228"/>
      <c r="C1059" s="228"/>
      <c r="D1059" s="594"/>
      <c r="E1059" s="594"/>
      <c r="F1059" s="594"/>
      <c r="G1059" s="594"/>
      <c r="H1059" s="594"/>
      <c r="I1059" s="593"/>
      <c r="J1059" s="593"/>
      <c r="K1059" s="593"/>
    </row>
    <row r="1060" spans="2:11">
      <c r="B1060" s="228"/>
      <c r="C1060" s="228"/>
      <c r="D1060" s="594"/>
      <c r="E1060" s="594"/>
      <c r="F1060" s="594"/>
      <c r="G1060" s="594"/>
      <c r="H1060" s="594"/>
      <c r="I1060" s="593"/>
      <c r="J1060" s="593"/>
      <c r="K1060" s="593"/>
    </row>
    <row r="1061" spans="2:11">
      <c r="B1061" s="228"/>
      <c r="C1061" s="228"/>
      <c r="D1061" s="594"/>
      <c r="E1061" s="594"/>
      <c r="F1061" s="594"/>
      <c r="G1061" s="594"/>
      <c r="H1061" s="594"/>
      <c r="I1061" s="593"/>
      <c r="J1061" s="593"/>
      <c r="K1061" s="593"/>
    </row>
    <row r="1062" spans="2:11">
      <c r="B1062" s="228"/>
      <c r="C1062" s="228"/>
      <c r="D1062" s="594"/>
      <c r="E1062" s="594"/>
      <c r="F1062" s="594"/>
      <c r="G1062" s="594"/>
      <c r="H1062" s="594"/>
      <c r="I1062" s="593"/>
      <c r="J1062" s="593"/>
      <c r="K1062" s="593"/>
    </row>
    <row r="1063" spans="2:11">
      <c r="B1063" s="228"/>
      <c r="C1063" s="228"/>
      <c r="D1063" s="594"/>
      <c r="E1063" s="594"/>
      <c r="F1063" s="594"/>
      <c r="G1063" s="594"/>
      <c r="H1063" s="594"/>
      <c r="I1063" s="593"/>
      <c r="J1063" s="593"/>
      <c r="K1063" s="593"/>
    </row>
    <row r="1064" spans="2:11">
      <c r="B1064" s="228"/>
      <c r="C1064" s="228"/>
      <c r="D1064" s="594"/>
      <c r="E1064" s="594"/>
      <c r="F1064" s="594"/>
      <c r="G1064" s="594"/>
      <c r="H1064" s="594"/>
      <c r="I1064" s="593"/>
      <c r="J1064" s="593"/>
      <c r="K1064" s="593"/>
    </row>
    <row r="1065" spans="2:11">
      <c r="B1065" s="228"/>
      <c r="C1065" s="228"/>
      <c r="D1065" s="594"/>
      <c r="E1065" s="594"/>
      <c r="F1065" s="594"/>
      <c r="G1065" s="594"/>
      <c r="H1065" s="594"/>
      <c r="I1065" s="593"/>
      <c r="J1065" s="593"/>
      <c r="K1065" s="593"/>
    </row>
    <row r="1066" spans="2:11">
      <c r="B1066" s="228"/>
      <c r="C1066" s="228"/>
      <c r="D1066" s="594"/>
      <c r="E1066" s="594"/>
      <c r="F1066" s="594"/>
      <c r="G1066" s="594"/>
      <c r="H1066" s="594"/>
      <c r="I1066" s="593"/>
      <c r="J1066" s="593"/>
      <c r="K1066" s="593"/>
    </row>
    <row r="1067" spans="2:11">
      <c r="B1067" s="228"/>
      <c r="C1067" s="228"/>
      <c r="D1067" s="594"/>
      <c r="E1067" s="594"/>
      <c r="F1067" s="594"/>
      <c r="G1067" s="594"/>
      <c r="H1067" s="594"/>
      <c r="I1067" s="593"/>
      <c r="J1067" s="593"/>
      <c r="K1067" s="593"/>
    </row>
    <row r="1068" spans="2:11">
      <c r="B1068" s="228"/>
      <c r="C1068" s="228"/>
      <c r="D1068" s="594"/>
      <c r="E1068" s="594"/>
      <c r="F1068" s="594"/>
      <c r="G1068" s="594"/>
      <c r="H1068" s="594"/>
      <c r="I1068" s="593"/>
      <c r="J1068" s="593"/>
      <c r="K1068" s="593"/>
    </row>
    <row r="1069" spans="2:11">
      <c r="B1069" s="228"/>
      <c r="C1069" s="228"/>
      <c r="D1069" s="594"/>
      <c r="E1069" s="594"/>
      <c r="F1069" s="594"/>
      <c r="G1069" s="594"/>
      <c r="H1069" s="594"/>
      <c r="I1069" s="593"/>
      <c r="J1069" s="593"/>
      <c r="K1069" s="593"/>
    </row>
    <row r="1070" spans="2:11">
      <c r="B1070" s="228"/>
      <c r="C1070" s="228"/>
      <c r="D1070" s="594"/>
      <c r="E1070" s="594"/>
      <c r="F1070" s="594"/>
      <c r="G1070" s="594"/>
      <c r="H1070" s="594"/>
      <c r="I1070" s="593"/>
      <c r="J1070" s="593"/>
      <c r="K1070" s="593"/>
    </row>
    <row r="1071" spans="2:11">
      <c r="B1071" s="228"/>
      <c r="C1071" s="228"/>
      <c r="D1071" s="594"/>
      <c r="E1071" s="594"/>
      <c r="F1071" s="594"/>
      <c r="G1071" s="594"/>
      <c r="H1071" s="594"/>
      <c r="I1071" s="593"/>
      <c r="J1071" s="593"/>
      <c r="K1071" s="593"/>
    </row>
    <row r="1072" spans="2:11">
      <c r="B1072" s="228"/>
      <c r="C1072" s="228"/>
      <c r="D1072" s="594"/>
      <c r="E1072" s="594"/>
      <c r="F1072" s="594"/>
      <c r="G1072" s="594"/>
      <c r="H1072" s="594"/>
      <c r="I1072" s="593"/>
      <c r="J1072" s="593"/>
      <c r="K1072" s="593"/>
    </row>
    <row r="1073" spans="2:11">
      <c r="B1073" s="228"/>
      <c r="C1073" s="228"/>
      <c r="D1073" s="594"/>
      <c r="E1073" s="594"/>
      <c r="F1073" s="594"/>
      <c r="G1073" s="594"/>
      <c r="H1073" s="594"/>
      <c r="I1073" s="593"/>
      <c r="J1073" s="593"/>
      <c r="K1073" s="593"/>
    </row>
    <row r="1074" spans="2:11">
      <c r="B1074" s="228"/>
      <c r="C1074" s="228"/>
      <c r="D1074" s="594"/>
      <c r="E1074" s="594"/>
      <c r="F1074" s="594"/>
      <c r="G1074" s="594"/>
      <c r="H1074" s="594"/>
      <c r="I1074" s="593"/>
      <c r="J1074" s="593"/>
      <c r="K1074" s="593"/>
    </row>
    <row r="1075" spans="2:11">
      <c r="B1075" s="228"/>
      <c r="C1075" s="228"/>
      <c r="D1075" s="594"/>
      <c r="E1075" s="594"/>
      <c r="F1075" s="594"/>
      <c r="G1075" s="594"/>
      <c r="H1075" s="594"/>
      <c r="I1075" s="593"/>
      <c r="J1075" s="593"/>
      <c r="K1075" s="593"/>
    </row>
    <row r="1076" spans="2:11">
      <c r="B1076" s="228"/>
      <c r="C1076" s="228"/>
      <c r="D1076" s="594"/>
      <c r="E1076" s="594"/>
      <c r="F1076" s="594"/>
      <c r="G1076" s="594"/>
      <c r="H1076" s="594"/>
      <c r="I1076" s="593"/>
      <c r="J1076" s="593"/>
      <c r="K1076" s="593"/>
    </row>
    <row r="1077" spans="2:11">
      <c r="B1077" s="228"/>
      <c r="C1077" s="228"/>
      <c r="D1077" s="594"/>
      <c r="E1077" s="594"/>
      <c r="F1077" s="594"/>
      <c r="G1077" s="594"/>
      <c r="H1077" s="594"/>
      <c r="I1077" s="593"/>
      <c r="J1077" s="593"/>
      <c r="K1077" s="593"/>
    </row>
    <row r="1078" spans="2:11">
      <c r="B1078" s="228"/>
      <c r="C1078" s="228"/>
      <c r="D1078" s="594"/>
      <c r="E1078" s="594"/>
      <c r="F1078" s="594"/>
      <c r="G1078" s="594"/>
      <c r="H1078" s="594"/>
      <c r="I1078" s="593"/>
      <c r="J1078" s="593"/>
      <c r="K1078" s="593"/>
    </row>
    <row r="1079" spans="2:11">
      <c r="B1079" s="228"/>
      <c r="C1079" s="228"/>
      <c r="D1079" s="594"/>
      <c r="E1079" s="594"/>
      <c r="F1079" s="594"/>
      <c r="G1079" s="594"/>
      <c r="H1079" s="594"/>
      <c r="I1079" s="593"/>
      <c r="J1079" s="593"/>
      <c r="K1079" s="593"/>
    </row>
    <row r="1080" spans="2:11">
      <c r="B1080" s="228"/>
      <c r="C1080" s="228"/>
      <c r="D1080" s="594"/>
      <c r="E1080" s="594"/>
      <c r="F1080" s="594"/>
      <c r="G1080" s="594"/>
      <c r="H1080" s="594"/>
      <c r="I1080" s="593"/>
      <c r="J1080" s="593"/>
      <c r="K1080" s="593"/>
    </row>
    <row r="1081" spans="2:11">
      <c r="B1081" s="228"/>
      <c r="C1081" s="228"/>
      <c r="D1081" s="594"/>
      <c r="E1081" s="594"/>
      <c r="F1081" s="594"/>
      <c r="G1081" s="594"/>
      <c r="H1081" s="594"/>
      <c r="I1081" s="593"/>
      <c r="J1081" s="593"/>
      <c r="K1081" s="593"/>
    </row>
    <row r="1082" spans="2:11">
      <c r="B1082" s="228"/>
      <c r="C1082" s="228"/>
      <c r="D1082" s="594"/>
      <c r="E1082" s="594"/>
      <c r="F1082" s="594"/>
      <c r="G1082" s="594"/>
      <c r="H1082" s="594"/>
      <c r="I1082" s="593"/>
      <c r="J1082" s="593"/>
      <c r="K1082" s="593"/>
    </row>
    <row r="1083" spans="2:11">
      <c r="B1083" s="228"/>
      <c r="C1083" s="228"/>
      <c r="D1083" s="594"/>
      <c r="E1083" s="594"/>
      <c r="F1083" s="594"/>
      <c r="G1083" s="594"/>
      <c r="H1083" s="594"/>
      <c r="I1083" s="593"/>
      <c r="J1083" s="593"/>
      <c r="K1083" s="593"/>
    </row>
    <row r="1084" spans="2:11">
      <c r="B1084" s="228"/>
      <c r="C1084" s="228"/>
      <c r="D1084" s="594"/>
      <c r="E1084" s="594"/>
      <c r="F1084" s="594"/>
      <c r="G1084" s="594"/>
      <c r="H1084" s="594"/>
      <c r="I1084" s="593"/>
      <c r="J1084" s="593"/>
      <c r="K1084" s="593"/>
    </row>
    <row r="1085" spans="2:11">
      <c r="B1085" s="228"/>
      <c r="C1085" s="228"/>
      <c r="D1085" s="594"/>
      <c r="E1085" s="594"/>
      <c r="F1085" s="594"/>
      <c r="G1085" s="594"/>
      <c r="H1085" s="594"/>
      <c r="I1085" s="593"/>
      <c r="J1085" s="593"/>
      <c r="K1085" s="593"/>
    </row>
    <row r="1086" spans="2:11">
      <c r="B1086" s="228"/>
      <c r="C1086" s="228"/>
      <c r="D1086" s="594"/>
      <c r="E1086" s="594"/>
      <c r="F1086" s="594"/>
      <c r="G1086" s="594"/>
      <c r="H1086" s="594"/>
      <c r="I1086" s="593"/>
      <c r="J1086" s="593"/>
      <c r="K1086" s="593"/>
    </row>
    <row r="1087" spans="2:11">
      <c r="B1087" s="228"/>
      <c r="C1087" s="228"/>
      <c r="D1087" s="594"/>
      <c r="E1087" s="594"/>
      <c r="F1087" s="594"/>
      <c r="G1087" s="594"/>
      <c r="H1087" s="594"/>
      <c r="I1087" s="593"/>
      <c r="J1087" s="593"/>
      <c r="K1087" s="593"/>
    </row>
    <row r="1088" spans="2:11">
      <c r="B1088" s="228"/>
      <c r="C1088" s="228"/>
      <c r="D1088" s="594"/>
      <c r="E1088" s="594"/>
      <c r="F1088" s="594"/>
      <c r="G1088" s="594"/>
      <c r="H1088" s="594"/>
      <c r="I1088" s="593"/>
      <c r="J1088" s="593"/>
      <c r="K1088" s="593"/>
    </row>
    <row r="1089" spans="2:11">
      <c r="B1089" s="228"/>
      <c r="C1089" s="228"/>
      <c r="D1089" s="594"/>
      <c r="E1089" s="594"/>
      <c r="F1089" s="594"/>
      <c r="G1089" s="594"/>
      <c r="H1089" s="594"/>
      <c r="I1089" s="593"/>
      <c r="J1089" s="593"/>
      <c r="K1089" s="593"/>
    </row>
    <row r="1090" spans="2:11">
      <c r="B1090" s="228"/>
      <c r="C1090" s="228"/>
      <c r="D1090" s="594"/>
      <c r="E1090" s="594"/>
      <c r="F1090" s="594"/>
      <c r="G1090" s="594"/>
      <c r="H1090" s="594"/>
      <c r="I1090" s="593"/>
      <c r="J1090" s="593"/>
      <c r="K1090" s="593"/>
    </row>
    <row r="1091" spans="2:11">
      <c r="B1091" s="228"/>
      <c r="C1091" s="228"/>
      <c r="D1091" s="594"/>
      <c r="E1091" s="594"/>
      <c r="F1091" s="594"/>
      <c r="G1091" s="594"/>
      <c r="H1091" s="594"/>
      <c r="I1091" s="593"/>
      <c r="J1091" s="593"/>
      <c r="K1091" s="593"/>
    </row>
    <row r="1092" spans="2:11">
      <c r="B1092" s="228"/>
      <c r="C1092" s="228"/>
      <c r="D1092" s="594"/>
      <c r="E1092" s="594"/>
      <c r="F1092" s="594"/>
      <c r="G1092" s="594"/>
      <c r="H1092" s="594"/>
      <c r="I1092" s="593"/>
      <c r="J1092" s="593"/>
      <c r="K1092" s="593"/>
    </row>
    <row r="1093" spans="2:11">
      <c r="B1093" s="228"/>
      <c r="C1093" s="228"/>
      <c r="D1093" s="594"/>
      <c r="E1093" s="594"/>
      <c r="F1093" s="594"/>
      <c r="G1093" s="594"/>
      <c r="H1093" s="594"/>
      <c r="I1093" s="593"/>
      <c r="J1093" s="593"/>
      <c r="K1093" s="593"/>
    </row>
    <row r="1094" spans="2:11">
      <c r="B1094" s="228"/>
      <c r="C1094" s="228"/>
      <c r="D1094" s="594"/>
      <c r="E1094" s="594"/>
      <c r="F1094" s="594"/>
      <c r="G1094" s="594"/>
      <c r="H1094" s="594"/>
      <c r="I1094" s="593"/>
      <c r="J1094" s="593"/>
      <c r="K1094" s="593"/>
    </row>
    <row r="1095" spans="2:11">
      <c r="B1095" s="228"/>
      <c r="C1095" s="228"/>
      <c r="D1095" s="594"/>
      <c r="E1095" s="594"/>
      <c r="F1095" s="594"/>
      <c r="G1095" s="594"/>
      <c r="H1095" s="594"/>
      <c r="I1095" s="593"/>
      <c r="J1095" s="593"/>
      <c r="K1095" s="593"/>
    </row>
    <row r="1096" spans="2:11">
      <c r="B1096" s="228"/>
      <c r="C1096" s="228"/>
      <c r="D1096" s="594"/>
      <c r="E1096" s="594"/>
      <c r="F1096" s="594"/>
      <c r="G1096" s="594"/>
      <c r="H1096" s="594"/>
      <c r="I1096" s="593"/>
      <c r="J1096" s="593"/>
      <c r="K1096" s="593"/>
    </row>
    <row r="1097" spans="2:11">
      <c r="B1097" s="228"/>
      <c r="C1097" s="228"/>
      <c r="D1097" s="594"/>
      <c r="E1097" s="594"/>
      <c r="F1097" s="594"/>
      <c r="G1097" s="594"/>
      <c r="H1097" s="594"/>
      <c r="I1097" s="593"/>
      <c r="J1097" s="593"/>
      <c r="K1097" s="593"/>
    </row>
    <row r="1098" spans="2:11">
      <c r="B1098" s="228"/>
      <c r="C1098" s="228"/>
      <c r="D1098" s="594"/>
      <c r="E1098" s="594"/>
      <c r="F1098" s="594"/>
      <c r="G1098" s="594"/>
      <c r="H1098" s="594"/>
      <c r="I1098" s="593"/>
      <c r="J1098" s="593"/>
      <c r="K1098" s="593"/>
    </row>
    <row r="1099" spans="2:11">
      <c r="B1099" s="228"/>
      <c r="C1099" s="228"/>
      <c r="D1099" s="594"/>
      <c r="E1099" s="594"/>
      <c r="F1099" s="594"/>
      <c r="G1099" s="594"/>
      <c r="H1099" s="594"/>
      <c r="I1099" s="593"/>
      <c r="J1099" s="593"/>
      <c r="K1099" s="593"/>
    </row>
    <row r="1100" spans="2:11">
      <c r="B1100" s="228"/>
      <c r="C1100" s="228"/>
      <c r="D1100" s="594"/>
      <c r="E1100" s="594"/>
      <c r="F1100" s="594"/>
      <c r="G1100" s="594"/>
      <c r="H1100" s="594"/>
      <c r="I1100" s="593"/>
      <c r="J1100" s="593"/>
      <c r="K1100" s="593"/>
    </row>
    <row r="1101" spans="2:11">
      <c r="B1101" s="228"/>
      <c r="C1101" s="228"/>
      <c r="D1101" s="594"/>
      <c r="E1101" s="594"/>
      <c r="F1101" s="594"/>
      <c r="G1101" s="594"/>
      <c r="H1101" s="594"/>
      <c r="I1101" s="593"/>
      <c r="J1101" s="593"/>
      <c r="K1101" s="593"/>
    </row>
    <row r="1102" spans="2:11">
      <c r="B1102" s="228"/>
      <c r="C1102" s="228"/>
      <c r="D1102" s="594"/>
      <c r="E1102" s="594"/>
      <c r="F1102" s="594"/>
      <c r="G1102" s="594"/>
      <c r="H1102" s="594"/>
      <c r="I1102" s="593"/>
      <c r="J1102" s="593"/>
      <c r="K1102" s="593"/>
    </row>
    <row r="1103" spans="2:11">
      <c r="B1103" s="228"/>
      <c r="C1103" s="228"/>
      <c r="D1103" s="594"/>
      <c r="E1103" s="594"/>
      <c r="F1103" s="594"/>
      <c r="G1103" s="594"/>
      <c r="H1103" s="594"/>
      <c r="I1103" s="593"/>
      <c r="J1103" s="593"/>
      <c r="K1103" s="593"/>
    </row>
    <row r="1104" spans="2:11">
      <c r="B1104" s="228"/>
      <c r="C1104" s="228"/>
      <c r="D1104" s="594"/>
      <c r="E1104" s="594"/>
      <c r="F1104" s="594"/>
      <c r="G1104" s="594"/>
      <c r="H1104" s="594"/>
      <c r="I1104" s="593"/>
      <c r="J1104" s="593"/>
      <c r="K1104" s="593"/>
    </row>
    <row r="1105" spans="2:11">
      <c r="B1105" s="228"/>
      <c r="C1105" s="228"/>
      <c r="D1105" s="594"/>
      <c r="E1105" s="594"/>
      <c r="F1105" s="594"/>
      <c r="G1105" s="594"/>
      <c r="H1105" s="594"/>
      <c r="I1105" s="593"/>
      <c r="J1105" s="593"/>
      <c r="K1105" s="593"/>
    </row>
    <row r="1106" spans="2:11">
      <c r="B1106" s="228"/>
      <c r="C1106" s="228"/>
      <c r="D1106" s="594"/>
      <c r="E1106" s="594"/>
      <c r="F1106" s="594"/>
      <c r="G1106" s="594"/>
      <c r="H1106" s="594"/>
      <c r="I1106" s="593"/>
      <c r="J1106" s="593"/>
      <c r="K1106" s="593"/>
    </row>
    <row r="1107" spans="2:11">
      <c r="B1107" s="228"/>
      <c r="C1107" s="228"/>
      <c r="D1107" s="594"/>
      <c r="E1107" s="594"/>
      <c r="F1107" s="594"/>
      <c r="G1107" s="594"/>
      <c r="H1107" s="594"/>
      <c r="I1107" s="593"/>
      <c r="J1107" s="593"/>
      <c r="K1107" s="593"/>
    </row>
    <row r="1108" spans="2:11">
      <c r="B1108" s="228"/>
      <c r="C1108" s="228"/>
      <c r="D1108" s="594"/>
      <c r="E1108" s="594"/>
      <c r="F1108" s="594"/>
      <c r="G1108" s="594"/>
      <c r="H1108" s="594"/>
      <c r="I1108" s="593"/>
      <c r="J1108" s="593"/>
      <c r="K1108" s="593"/>
    </row>
    <row r="1109" spans="2:11">
      <c r="B1109" s="228"/>
      <c r="C1109" s="228"/>
      <c r="D1109" s="594"/>
      <c r="E1109" s="594"/>
      <c r="F1109" s="594"/>
      <c r="G1109" s="594"/>
      <c r="H1109" s="594"/>
      <c r="I1109" s="593"/>
      <c r="J1109" s="593"/>
      <c r="K1109" s="593"/>
    </row>
    <row r="1110" spans="2:11">
      <c r="B1110" s="228"/>
      <c r="C1110" s="228"/>
      <c r="D1110" s="594"/>
      <c r="E1110" s="594"/>
      <c r="F1110" s="594"/>
      <c r="G1110" s="594"/>
      <c r="H1110" s="594"/>
      <c r="I1110" s="593"/>
      <c r="J1110" s="593"/>
      <c r="K1110" s="593"/>
    </row>
    <row r="1111" spans="2:11">
      <c r="B1111" s="228"/>
      <c r="C1111" s="228"/>
      <c r="D1111" s="594"/>
      <c r="E1111" s="594"/>
      <c r="F1111" s="594"/>
      <c r="G1111" s="594"/>
      <c r="H1111" s="594"/>
      <c r="I1111" s="593"/>
      <c r="J1111" s="593"/>
      <c r="K1111" s="593"/>
    </row>
    <row r="1112" spans="2:11">
      <c r="B1112" s="228"/>
      <c r="C1112" s="228"/>
      <c r="D1112" s="594"/>
      <c r="E1112" s="594"/>
      <c r="F1112" s="594"/>
      <c r="G1112" s="594"/>
      <c r="H1112" s="594"/>
      <c r="I1112" s="593"/>
      <c r="J1112" s="593"/>
      <c r="K1112" s="593"/>
    </row>
    <row r="1113" spans="2:11">
      <c r="B1113" s="228"/>
      <c r="C1113" s="228"/>
      <c r="D1113" s="594"/>
      <c r="E1113" s="594"/>
      <c r="F1113" s="594"/>
      <c r="G1113" s="594"/>
      <c r="H1113" s="594"/>
      <c r="I1113" s="593"/>
      <c r="J1113" s="593"/>
      <c r="K1113" s="593"/>
    </row>
    <row r="1114" spans="2:11">
      <c r="B1114" s="228"/>
      <c r="C1114" s="228"/>
      <c r="D1114" s="594"/>
      <c r="E1114" s="594"/>
      <c r="F1114" s="594"/>
      <c r="G1114" s="594"/>
      <c r="H1114" s="594"/>
      <c r="I1114" s="593"/>
      <c r="J1114" s="593"/>
      <c r="K1114" s="593"/>
    </row>
    <row r="1115" spans="2:11">
      <c r="B1115" s="228"/>
      <c r="C1115" s="228"/>
      <c r="D1115" s="594"/>
      <c r="E1115" s="594"/>
      <c r="F1115" s="594"/>
      <c r="G1115" s="594"/>
      <c r="H1115" s="594"/>
      <c r="I1115" s="593"/>
      <c r="J1115" s="593"/>
      <c r="K1115" s="593"/>
    </row>
    <row r="1116" spans="2:11">
      <c r="B1116" s="228"/>
      <c r="C1116" s="228"/>
      <c r="D1116" s="594"/>
      <c r="E1116" s="594"/>
      <c r="F1116" s="594"/>
      <c r="G1116" s="594"/>
      <c r="H1116" s="594"/>
      <c r="I1116" s="593"/>
      <c r="J1116" s="593"/>
      <c r="K1116" s="593"/>
    </row>
    <row r="1117" spans="2:11">
      <c r="B1117" s="228"/>
      <c r="C1117" s="228"/>
      <c r="D1117" s="594"/>
      <c r="E1117" s="594"/>
      <c r="F1117" s="594"/>
      <c r="G1117" s="594"/>
      <c r="H1117" s="594"/>
      <c r="I1117" s="593"/>
      <c r="J1117" s="593"/>
      <c r="K1117" s="593"/>
    </row>
    <row r="1118" spans="2:11">
      <c r="B1118" s="228"/>
      <c r="C1118" s="228"/>
      <c r="D1118" s="594"/>
      <c r="E1118" s="594"/>
      <c r="F1118" s="594"/>
      <c r="G1118" s="594"/>
      <c r="H1118" s="594"/>
      <c r="I1118" s="593"/>
      <c r="J1118" s="593"/>
      <c r="K1118" s="593"/>
    </row>
    <row r="1119" spans="2:11">
      <c r="B1119" s="228"/>
      <c r="C1119" s="228"/>
      <c r="D1119" s="594"/>
      <c r="E1119" s="594"/>
      <c r="F1119" s="594"/>
      <c r="G1119" s="594"/>
      <c r="H1119" s="594"/>
      <c r="I1119" s="593"/>
      <c r="J1119" s="593"/>
      <c r="K1119" s="593"/>
    </row>
    <row r="1120" spans="2:11">
      <c r="B1120" s="228"/>
      <c r="C1120" s="228"/>
      <c r="D1120" s="594"/>
      <c r="E1120" s="594"/>
      <c r="F1120" s="594"/>
      <c r="G1120" s="594"/>
      <c r="H1120" s="594"/>
      <c r="I1120" s="593"/>
      <c r="J1120" s="593"/>
      <c r="K1120" s="593"/>
    </row>
    <row r="1121" spans="2:11">
      <c r="B1121" s="228"/>
      <c r="C1121" s="228"/>
      <c r="D1121" s="594"/>
      <c r="E1121" s="594"/>
      <c r="F1121" s="594"/>
      <c r="G1121" s="594"/>
      <c r="H1121" s="594"/>
      <c r="I1121" s="593"/>
      <c r="J1121" s="593"/>
      <c r="K1121" s="593"/>
    </row>
    <row r="1122" spans="2:11">
      <c r="B1122" s="228"/>
      <c r="C1122" s="228"/>
      <c r="D1122" s="594"/>
      <c r="E1122" s="594"/>
      <c r="F1122" s="594"/>
      <c r="G1122" s="594"/>
      <c r="H1122" s="594"/>
      <c r="I1122" s="593"/>
      <c r="J1122" s="593"/>
      <c r="K1122" s="593"/>
    </row>
    <row r="1123" spans="2:11">
      <c r="B1123" s="228"/>
      <c r="C1123" s="228"/>
      <c r="D1123" s="594"/>
      <c r="E1123" s="594"/>
      <c r="F1123" s="594"/>
      <c r="G1123" s="594"/>
      <c r="H1123" s="594"/>
      <c r="I1123" s="593"/>
      <c r="J1123" s="593"/>
      <c r="K1123" s="593"/>
    </row>
    <row r="1124" spans="2:11">
      <c r="B1124" s="228"/>
      <c r="C1124" s="228"/>
      <c r="D1124" s="594"/>
      <c r="E1124" s="594"/>
      <c r="F1124" s="594"/>
      <c r="G1124" s="594"/>
      <c r="H1124" s="594"/>
      <c r="I1124" s="593"/>
      <c r="J1124" s="593"/>
      <c r="K1124" s="593"/>
    </row>
    <row r="1125" spans="2:11">
      <c r="B1125" s="228"/>
      <c r="C1125" s="228"/>
      <c r="D1125" s="594"/>
      <c r="E1125" s="594"/>
      <c r="F1125" s="594"/>
      <c r="G1125" s="594"/>
      <c r="H1125" s="594"/>
      <c r="I1125" s="593"/>
      <c r="J1125" s="593"/>
      <c r="K1125" s="593"/>
    </row>
    <row r="1126" spans="2:11">
      <c r="B1126" s="228"/>
      <c r="C1126" s="228"/>
      <c r="D1126" s="594"/>
      <c r="E1126" s="594"/>
      <c r="F1126" s="594"/>
      <c r="G1126" s="594"/>
      <c r="H1126" s="594"/>
      <c r="I1126" s="593"/>
      <c r="J1126" s="593"/>
      <c r="K1126" s="593"/>
    </row>
    <row r="1127" spans="2:11">
      <c r="B1127" s="228"/>
      <c r="C1127" s="228"/>
      <c r="D1127" s="594"/>
      <c r="E1127" s="594"/>
      <c r="F1127" s="594"/>
      <c r="G1127" s="594"/>
      <c r="H1127" s="594"/>
      <c r="I1127" s="593"/>
      <c r="J1127" s="593"/>
      <c r="K1127" s="593"/>
    </row>
    <row r="1128" spans="2:11">
      <c r="B1128" s="228"/>
      <c r="C1128" s="228"/>
      <c r="D1128" s="594"/>
      <c r="E1128" s="594"/>
      <c r="F1128" s="594"/>
      <c r="G1128" s="594"/>
      <c r="H1128" s="594"/>
      <c r="I1128" s="593"/>
      <c r="J1128" s="593"/>
      <c r="K1128" s="593"/>
    </row>
    <row r="1129" spans="2:11">
      <c r="B1129" s="228"/>
      <c r="C1129" s="228"/>
      <c r="D1129" s="594"/>
      <c r="E1129" s="594"/>
      <c r="F1129" s="594"/>
      <c r="G1129" s="594"/>
      <c r="H1129" s="594"/>
      <c r="I1129" s="593"/>
      <c r="J1129" s="593"/>
      <c r="K1129" s="593"/>
    </row>
    <row r="1130" spans="2:11">
      <c r="B1130" s="228"/>
      <c r="C1130" s="228"/>
      <c r="D1130" s="594"/>
      <c r="E1130" s="594"/>
      <c r="F1130" s="594"/>
      <c r="G1130" s="594"/>
      <c r="H1130" s="594"/>
      <c r="I1130" s="593"/>
      <c r="J1130" s="593"/>
      <c r="K1130" s="593"/>
    </row>
    <row r="1131" spans="2:11">
      <c r="B1131" s="228"/>
      <c r="C1131" s="228"/>
      <c r="D1131" s="594"/>
      <c r="E1131" s="594"/>
      <c r="F1131" s="594"/>
      <c r="G1131" s="594"/>
      <c r="H1131" s="594"/>
      <c r="I1131" s="593"/>
      <c r="J1131" s="593"/>
      <c r="K1131" s="593"/>
    </row>
    <row r="1132" spans="2:11">
      <c r="B1132" s="228"/>
      <c r="C1132" s="228"/>
      <c r="D1132" s="594"/>
      <c r="E1132" s="594"/>
      <c r="F1132" s="594"/>
      <c r="G1132" s="594"/>
      <c r="H1132" s="594"/>
      <c r="I1132" s="593"/>
      <c r="J1132" s="593"/>
      <c r="K1132" s="593"/>
    </row>
    <row r="1133" spans="2:11">
      <c r="B1133" s="228"/>
      <c r="C1133" s="228"/>
      <c r="D1133" s="594"/>
      <c r="E1133" s="594"/>
      <c r="F1133" s="594"/>
      <c r="G1133" s="594"/>
      <c r="H1133" s="594"/>
      <c r="I1133" s="593"/>
      <c r="J1133" s="593"/>
      <c r="K1133" s="593"/>
    </row>
    <row r="1134" spans="2:11">
      <c r="B1134" s="228"/>
      <c r="C1134" s="228"/>
      <c r="D1134" s="594"/>
      <c r="E1134" s="594"/>
      <c r="F1134" s="594"/>
      <c r="G1134" s="594"/>
      <c r="H1134" s="594"/>
      <c r="I1134" s="593"/>
      <c r="J1134" s="593"/>
      <c r="K1134" s="593"/>
    </row>
    <row r="1135" spans="2:11">
      <c r="B1135" s="228"/>
      <c r="C1135" s="228"/>
      <c r="D1135" s="594"/>
      <c r="E1135" s="594"/>
      <c r="F1135" s="594"/>
      <c r="G1135" s="594"/>
      <c r="H1135" s="594"/>
      <c r="I1135" s="593"/>
      <c r="J1135" s="593"/>
      <c r="K1135" s="593"/>
    </row>
    <row r="1136" spans="2:11">
      <c r="B1136" s="228"/>
      <c r="C1136" s="228"/>
      <c r="D1136" s="594"/>
      <c r="E1136" s="594"/>
      <c r="F1136" s="594"/>
      <c r="G1136" s="594"/>
      <c r="H1136" s="594"/>
      <c r="I1136" s="593"/>
      <c r="J1136" s="593"/>
      <c r="K1136" s="593"/>
    </row>
    <row r="1137" spans="2:11">
      <c r="B1137" s="228"/>
      <c r="C1137" s="228"/>
      <c r="D1137" s="594"/>
      <c r="E1137" s="594"/>
      <c r="F1137" s="594"/>
      <c r="G1137" s="594"/>
      <c r="H1137" s="594"/>
      <c r="I1137" s="593"/>
      <c r="J1137" s="593"/>
      <c r="K1137" s="593"/>
    </row>
    <row r="1138" spans="2:11">
      <c r="B1138" s="228"/>
      <c r="C1138" s="228"/>
      <c r="D1138" s="594"/>
      <c r="E1138" s="594"/>
      <c r="F1138" s="594"/>
      <c r="G1138" s="594"/>
      <c r="H1138" s="594"/>
      <c r="I1138" s="593"/>
      <c r="J1138" s="593"/>
      <c r="K1138" s="593"/>
    </row>
    <row r="1139" spans="2:11">
      <c r="B1139" s="228"/>
      <c r="C1139" s="228"/>
      <c r="D1139" s="594"/>
      <c r="E1139" s="594"/>
      <c r="F1139" s="594"/>
      <c r="G1139" s="594"/>
      <c r="H1139" s="594"/>
      <c r="I1139" s="593"/>
      <c r="J1139" s="593"/>
      <c r="K1139" s="593"/>
    </row>
    <row r="1140" spans="2:11">
      <c r="B1140" s="228"/>
      <c r="C1140" s="228"/>
      <c r="D1140" s="594"/>
      <c r="E1140" s="594"/>
      <c r="F1140" s="594"/>
      <c r="G1140" s="594"/>
      <c r="H1140" s="594"/>
      <c r="I1140" s="593"/>
      <c r="J1140" s="593"/>
      <c r="K1140" s="593"/>
    </row>
    <row r="1141" spans="2:11">
      <c r="B1141" s="228"/>
      <c r="C1141" s="228"/>
      <c r="D1141" s="594"/>
      <c r="E1141" s="594"/>
      <c r="F1141" s="594"/>
      <c r="G1141" s="594"/>
      <c r="H1141" s="594"/>
      <c r="I1141" s="593"/>
      <c r="J1141" s="593"/>
      <c r="K1141" s="593"/>
    </row>
    <row r="1142" spans="2:11">
      <c r="B1142" s="228"/>
      <c r="C1142" s="228"/>
      <c r="D1142" s="594"/>
      <c r="E1142" s="594"/>
      <c r="F1142" s="594"/>
      <c r="G1142" s="594"/>
      <c r="H1142" s="594"/>
      <c r="I1142" s="593"/>
      <c r="J1142" s="593"/>
      <c r="K1142" s="593"/>
    </row>
    <row r="1143" spans="2:11">
      <c r="B1143" s="228"/>
      <c r="C1143" s="228"/>
      <c r="D1143" s="594"/>
      <c r="E1143" s="594"/>
      <c r="F1143" s="594"/>
      <c r="G1143" s="594"/>
      <c r="H1143" s="594"/>
      <c r="I1143" s="593"/>
      <c r="J1143" s="593"/>
      <c r="K1143" s="593"/>
    </row>
    <row r="1144" spans="2:11">
      <c r="B1144" s="228"/>
      <c r="C1144" s="228"/>
      <c r="D1144" s="594"/>
      <c r="E1144" s="594"/>
      <c r="F1144" s="594"/>
      <c r="G1144" s="594"/>
      <c r="H1144" s="594"/>
      <c r="I1144" s="593"/>
      <c r="J1144" s="593"/>
      <c r="K1144" s="593"/>
    </row>
    <row r="1145" spans="2:11">
      <c r="B1145" s="228"/>
      <c r="C1145" s="228"/>
      <c r="D1145" s="594"/>
      <c r="E1145" s="594"/>
      <c r="F1145" s="594"/>
      <c r="G1145" s="594"/>
      <c r="H1145" s="594"/>
      <c r="I1145" s="593"/>
      <c r="J1145" s="593"/>
      <c r="K1145" s="593"/>
    </row>
    <row r="1146" spans="2:11">
      <c r="B1146" s="228"/>
      <c r="C1146" s="228"/>
      <c r="D1146" s="594"/>
      <c r="E1146" s="594"/>
      <c r="F1146" s="594"/>
      <c r="G1146" s="594"/>
      <c r="H1146" s="594"/>
      <c r="I1146" s="593"/>
      <c r="J1146" s="593"/>
      <c r="K1146" s="593"/>
    </row>
    <row r="1147" spans="2:11">
      <c r="B1147" s="228"/>
      <c r="C1147" s="228"/>
      <c r="D1147" s="594"/>
      <c r="E1147" s="594"/>
      <c r="F1147" s="594"/>
      <c r="G1147" s="594"/>
      <c r="H1147" s="594"/>
      <c r="I1147" s="593"/>
      <c r="J1147" s="593"/>
      <c r="K1147" s="593"/>
    </row>
    <row r="1148" spans="2:11">
      <c r="B1148" s="228"/>
      <c r="C1148" s="228"/>
      <c r="D1148" s="594"/>
      <c r="E1148" s="594"/>
      <c r="F1148" s="594"/>
      <c r="G1148" s="594"/>
      <c r="H1148" s="594"/>
      <c r="I1148" s="593"/>
      <c r="J1148" s="593"/>
      <c r="K1148" s="593"/>
    </row>
    <row r="1149" spans="2:11">
      <c r="B1149" s="228"/>
      <c r="C1149" s="228"/>
      <c r="D1149" s="594"/>
      <c r="E1149" s="594"/>
      <c r="F1149" s="594"/>
      <c r="G1149" s="594"/>
      <c r="H1149" s="594"/>
      <c r="I1149" s="593"/>
      <c r="J1149" s="593"/>
      <c r="K1149" s="593"/>
    </row>
    <row r="1150" spans="2:11">
      <c r="B1150" s="228"/>
      <c r="C1150" s="228"/>
      <c r="D1150" s="594"/>
      <c r="E1150" s="594"/>
      <c r="F1150" s="594"/>
      <c r="G1150" s="594"/>
      <c r="H1150" s="594"/>
      <c r="I1150" s="593"/>
      <c r="J1150" s="593"/>
      <c r="K1150" s="593"/>
    </row>
    <row r="1151" spans="2:11">
      <c r="B1151" s="228"/>
      <c r="C1151" s="228"/>
      <c r="D1151" s="594"/>
      <c r="E1151" s="594"/>
      <c r="F1151" s="594"/>
      <c r="G1151" s="594"/>
      <c r="H1151" s="594"/>
      <c r="I1151" s="593"/>
      <c r="J1151" s="593"/>
      <c r="K1151" s="593"/>
    </row>
    <row r="1152" spans="2:11">
      <c r="B1152" s="228"/>
      <c r="C1152" s="228"/>
      <c r="D1152" s="594"/>
      <c r="E1152" s="594"/>
      <c r="F1152" s="594"/>
      <c r="G1152" s="594"/>
      <c r="H1152" s="594"/>
      <c r="I1152" s="593"/>
      <c r="J1152" s="593"/>
      <c r="K1152" s="593"/>
    </row>
    <row r="1153" spans="2:11">
      <c r="B1153" s="228"/>
      <c r="C1153" s="228"/>
      <c r="D1153" s="594"/>
      <c r="E1153" s="594"/>
      <c r="F1153" s="594"/>
      <c r="G1153" s="594"/>
      <c r="H1153" s="594"/>
      <c r="I1153" s="593"/>
      <c r="J1153" s="593"/>
      <c r="K1153" s="593"/>
    </row>
    <row r="1154" spans="2:11">
      <c r="B1154" s="228"/>
      <c r="C1154" s="228"/>
      <c r="D1154" s="594"/>
      <c r="E1154" s="594"/>
      <c r="F1154" s="594"/>
      <c r="G1154" s="594"/>
      <c r="H1154" s="594"/>
      <c r="I1154" s="593"/>
      <c r="J1154" s="593"/>
      <c r="K1154" s="593"/>
    </row>
    <row r="1155" spans="2:11">
      <c r="B1155" s="228"/>
      <c r="C1155" s="228"/>
      <c r="D1155" s="594"/>
      <c r="E1155" s="594"/>
      <c r="F1155" s="594"/>
      <c r="G1155" s="594"/>
      <c r="H1155" s="594"/>
      <c r="I1155" s="593"/>
      <c r="J1155" s="593"/>
      <c r="K1155" s="593"/>
    </row>
    <row r="1156" spans="2:11">
      <c r="B1156" s="228"/>
      <c r="C1156" s="228"/>
      <c r="D1156" s="594"/>
      <c r="E1156" s="594"/>
      <c r="F1156" s="594"/>
      <c r="G1156" s="594"/>
      <c r="H1156" s="594"/>
      <c r="I1156" s="593"/>
      <c r="J1156" s="593"/>
      <c r="K1156" s="593"/>
    </row>
    <row r="1157" spans="2:11">
      <c r="B1157" s="228"/>
      <c r="C1157" s="228"/>
      <c r="D1157" s="594"/>
      <c r="E1157" s="594"/>
      <c r="F1157" s="594"/>
      <c r="G1157" s="594"/>
      <c r="H1157" s="594"/>
      <c r="I1157" s="593"/>
      <c r="J1157" s="593"/>
      <c r="K1157" s="593"/>
    </row>
    <row r="1158" spans="2:11">
      <c r="B1158" s="228"/>
      <c r="C1158" s="228"/>
      <c r="D1158" s="594"/>
      <c r="E1158" s="594"/>
      <c r="F1158" s="594"/>
      <c r="G1158" s="594"/>
      <c r="H1158" s="594"/>
      <c r="I1158" s="593"/>
      <c r="J1158" s="593"/>
      <c r="K1158" s="593"/>
    </row>
    <row r="1159" spans="2:11">
      <c r="B1159" s="228"/>
      <c r="C1159" s="228"/>
      <c r="D1159" s="594"/>
      <c r="E1159" s="594"/>
      <c r="F1159" s="594"/>
      <c r="G1159" s="594"/>
      <c r="H1159" s="594"/>
      <c r="I1159" s="593"/>
      <c r="J1159" s="593"/>
      <c r="K1159" s="593"/>
    </row>
    <row r="1160" spans="2:11">
      <c r="B1160" s="228"/>
      <c r="C1160" s="228"/>
      <c r="D1160" s="594"/>
      <c r="E1160" s="594"/>
      <c r="F1160" s="594"/>
      <c r="G1160" s="594"/>
      <c r="H1160" s="594"/>
      <c r="I1160" s="593"/>
      <c r="J1160" s="593"/>
      <c r="K1160" s="593"/>
    </row>
    <row r="1161" spans="2:11">
      <c r="B1161" s="228"/>
      <c r="C1161" s="228"/>
      <c r="D1161" s="594"/>
      <c r="E1161" s="594"/>
      <c r="F1161" s="594"/>
      <c r="G1161" s="594"/>
      <c r="H1161" s="594"/>
      <c r="I1161" s="593"/>
      <c r="J1161" s="593"/>
      <c r="K1161" s="593"/>
    </row>
    <row r="1162" spans="2:11">
      <c r="B1162" s="228"/>
      <c r="C1162" s="228"/>
      <c r="D1162" s="594"/>
      <c r="E1162" s="594"/>
      <c r="F1162" s="594"/>
      <c r="G1162" s="594"/>
      <c r="H1162" s="594"/>
      <c r="I1162" s="593"/>
      <c r="J1162" s="593"/>
      <c r="K1162" s="593"/>
    </row>
    <row r="1163" spans="2:11">
      <c r="B1163" s="228"/>
      <c r="C1163" s="228"/>
      <c r="D1163" s="594"/>
      <c r="E1163" s="594"/>
      <c r="F1163" s="594"/>
      <c r="G1163" s="594"/>
      <c r="H1163" s="594"/>
      <c r="I1163" s="593"/>
      <c r="J1163" s="593"/>
      <c r="K1163" s="593"/>
    </row>
    <row r="1164" spans="2:11">
      <c r="B1164" s="228"/>
      <c r="C1164" s="228"/>
      <c r="D1164" s="594"/>
      <c r="E1164" s="594"/>
      <c r="F1164" s="594"/>
      <c r="G1164" s="594"/>
      <c r="H1164" s="594"/>
      <c r="I1164" s="593"/>
      <c r="J1164" s="593"/>
      <c r="K1164" s="593"/>
    </row>
    <row r="1165" spans="2:11">
      <c r="B1165" s="228"/>
      <c r="C1165" s="228"/>
      <c r="D1165" s="594"/>
      <c r="E1165" s="594"/>
      <c r="F1165" s="594"/>
      <c r="G1165" s="594"/>
      <c r="H1165" s="594"/>
      <c r="I1165" s="593"/>
      <c r="J1165" s="593"/>
      <c r="K1165" s="593"/>
    </row>
    <row r="1166" spans="2:11">
      <c r="B1166" s="228"/>
      <c r="C1166" s="228"/>
      <c r="D1166" s="594"/>
      <c r="E1166" s="594"/>
      <c r="F1166" s="594"/>
      <c r="G1166" s="594"/>
      <c r="H1166" s="594"/>
      <c r="I1166" s="593"/>
      <c r="J1166" s="593"/>
      <c r="K1166" s="593"/>
    </row>
    <row r="1167" spans="2:11">
      <c r="B1167" s="228"/>
      <c r="C1167" s="228"/>
      <c r="D1167" s="594"/>
      <c r="E1167" s="594"/>
      <c r="F1167" s="594"/>
      <c r="G1167" s="594"/>
      <c r="H1167" s="594"/>
      <c r="I1167" s="593"/>
      <c r="J1167" s="593"/>
      <c r="K1167" s="593"/>
    </row>
    <row r="1168" spans="2:11">
      <c r="B1168" s="228"/>
      <c r="C1168" s="228"/>
      <c r="D1168" s="594"/>
      <c r="E1168" s="594"/>
      <c r="F1168" s="594"/>
      <c r="G1168" s="594"/>
      <c r="H1168" s="594"/>
      <c r="I1168" s="593"/>
      <c r="J1168" s="593"/>
      <c r="K1168" s="593"/>
    </row>
    <row r="1169" spans="2:11">
      <c r="B1169" s="228"/>
      <c r="C1169" s="228"/>
      <c r="D1169" s="594"/>
      <c r="E1169" s="594"/>
      <c r="F1169" s="594"/>
      <c r="G1169" s="594"/>
      <c r="H1169" s="594"/>
      <c r="I1169" s="593"/>
      <c r="J1169" s="593"/>
      <c r="K1169" s="593"/>
    </row>
    <row r="1170" spans="2:11">
      <c r="B1170" s="228"/>
      <c r="C1170" s="228"/>
      <c r="D1170" s="594"/>
      <c r="E1170" s="594"/>
      <c r="F1170" s="594"/>
      <c r="G1170" s="594"/>
      <c r="H1170" s="594"/>
      <c r="I1170" s="593"/>
      <c r="J1170" s="593"/>
      <c r="K1170" s="593"/>
    </row>
    <row r="1171" spans="2:11">
      <c r="B1171" s="228"/>
      <c r="C1171" s="228"/>
      <c r="D1171" s="594"/>
      <c r="E1171" s="594"/>
      <c r="F1171" s="594"/>
      <c r="G1171" s="594"/>
      <c r="H1171" s="594"/>
      <c r="I1171" s="593"/>
      <c r="J1171" s="593"/>
      <c r="K1171" s="593"/>
    </row>
    <row r="1172" spans="2:11">
      <c r="B1172" s="228"/>
      <c r="C1172" s="228"/>
      <c r="D1172" s="594"/>
      <c r="E1172" s="594"/>
      <c r="F1172" s="594"/>
      <c r="G1172" s="594"/>
      <c r="H1172" s="594"/>
      <c r="I1172" s="593"/>
      <c r="J1172" s="593"/>
      <c r="K1172" s="593"/>
    </row>
    <row r="1173" spans="2:11">
      <c r="B1173" s="228"/>
      <c r="C1173" s="228"/>
      <c r="D1173" s="594"/>
      <c r="E1173" s="594"/>
      <c r="F1173" s="594"/>
      <c r="G1173" s="594"/>
      <c r="H1173" s="594"/>
      <c r="I1173" s="593"/>
      <c r="J1173" s="593"/>
      <c r="K1173" s="593"/>
    </row>
    <row r="1174" spans="2:11">
      <c r="B1174" s="228"/>
      <c r="C1174" s="228"/>
      <c r="D1174" s="594"/>
      <c r="E1174" s="594"/>
      <c r="F1174" s="594"/>
      <c r="G1174" s="594"/>
      <c r="H1174" s="594"/>
      <c r="I1174" s="593"/>
      <c r="J1174" s="593"/>
      <c r="K1174" s="593"/>
    </row>
    <row r="1175" spans="2:11">
      <c r="B1175" s="228"/>
      <c r="C1175" s="228"/>
      <c r="D1175" s="594"/>
      <c r="E1175" s="594"/>
      <c r="F1175" s="594"/>
      <c r="G1175" s="594"/>
      <c r="H1175" s="594"/>
      <c r="I1175" s="593"/>
      <c r="J1175" s="593"/>
      <c r="K1175" s="593"/>
    </row>
    <row r="1176" spans="2:11">
      <c r="B1176" s="228"/>
      <c r="C1176" s="228"/>
      <c r="D1176" s="594"/>
      <c r="E1176" s="594"/>
      <c r="F1176" s="594"/>
      <c r="G1176" s="594"/>
      <c r="H1176" s="594"/>
      <c r="I1176" s="593"/>
      <c r="J1176" s="593"/>
      <c r="K1176" s="593"/>
    </row>
    <row r="1177" spans="2:11">
      <c r="B1177" s="228"/>
      <c r="C1177" s="228"/>
      <c r="D1177" s="594"/>
      <c r="E1177" s="594"/>
      <c r="F1177" s="594"/>
      <c r="G1177" s="594"/>
      <c r="H1177" s="594"/>
      <c r="I1177" s="593"/>
      <c r="J1177" s="593"/>
      <c r="K1177" s="593"/>
    </row>
    <row r="1178" spans="2:11">
      <c r="B1178" s="228"/>
      <c r="C1178" s="228"/>
      <c r="D1178" s="594"/>
      <c r="E1178" s="594"/>
      <c r="F1178" s="594"/>
      <c r="G1178" s="594"/>
      <c r="H1178" s="594"/>
      <c r="I1178" s="593"/>
      <c r="J1178" s="593"/>
      <c r="K1178" s="593"/>
    </row>
    <row r="1179" spans="2:11">
      <c r="B1179" s="228"/>
      <c r="C1179" s="228"/>
      <c r="D1179" s="594"/>
      <c r="E1179" s="594"/>
      <c r="F1179" s="594"/>
      <c r="G1179" s="594"/>
      <c r="H1179" s="594"/>
      <c r="I1179" s="593"/>
      <c r="J1179" s="593"/>
      <c r="K1179" s="593"/>
    </row>
    <row r="1180" spans="2:11">
      <c r="B1180" s="228"/>
      <c r="C1180" s="228"/>
      <c r="D1180" s="594"/>
      <c r="E1180" s="594"/>
      <c r="F1180" s="594"/>
      <c r="G1180" s="594"/>
      <c r="H1180" s="594"/>
      <c r="I1180" s="593"/>
      <c r="J1180" s="593"/>
      <c r="K1180" s="593"/>
    </row>
    <row r="1181" spans="2:11">
      <c r="B1181" s="228"/>
      <c r="C1181" s="228"/>
      <c r="D1181" s="594"/>
      <c r="E1181" s="594"/>
      <c r="F1181" s="594"/>
      <c r="G1181" s="594"/>
      <c r="H1181" s="594"/>
      <c r="I1181" s="593"/>
      <c r="J1181" s="593"/>
      <c r="K1181" s="593"/>
    </row>
    <row r="1182" spans="2:11">
      <c r="B1182" s="228"/>
      <c r="C1182" s="228"/>
      <c r="D1182" s="594"/>
      <c r="E1182" s="594"/>
      <c r="F1182" s="594"/>
      <c r="G1182" s="594"/>
      <c r="H1182" s="594"/>
      <c r="I1182" s="593"/>
      <c r="J1182" s="593"/>
      <c r="K1182" s="593"/>
    </row>
    <row r="1183" spans="2:11">
      <c r="B1183" s="228"/>
      <c r="C1183" s="228"/>
      <c r="D1183" s="594"/>
      <c r="E1183" s="594"/>
      <c r="F1183" s="594"/>
      <c r="G1183" s="594"/>
      <c r="H1183" s="594"/>
      <c r="I1183" s="593"/>
      <c r="J1183" s="593"/>
      <c r="K1183" s="593"/>
    </row>
    <row r="1184" spans="2:11">
      <c r="B1184" s="228"/>
      <c r="C1184" s="228"/>
      <c r="D1184" s="594"/>
      <c r="E1184" s="594"/>
      <c r="F1184" s="594"/>
      <c r="G1184" s="594"/>
      <c r="H1184" s="594"/>
      <c r="I1184" s="593"/>
      <c r="J1184" s="593"/>
      <c r="K1184" s="593"/>
    </row>
    <row r="1185" spans="2:11">
      <c r="B1185" s="228"/>
      <c r="C1185" s="228"/>
      <c r="D1185" s="594"/>
      <c r="E1185" s="594"/>
      <c r="F1185" s="594"/>
      <c r="G1185" s="594"/>
      <c r="H1185" s="594"/>
      <c r="I1185" s="593"/>
      <c r="J1185" s="593"/>
      <c r="K1185" s="593"/>
    </row>
    <row r="1186" spans="2:11">
      <c r="B1186" s="228"/>
      <c r="C1186" s="228"/>
      <c r="D1186" s="594"/>
      <c r="E1186" s="594"/>
      <c r="F1186" s="594"/>
      <c r="G1186" s="594"/>
      <c r="H1186" s="594"/>
      <c r="I1186" s="593"/>
      <c r="J1186" s="593"/>
      <c r="K1186" s="593"/>
    </row>
    <row r="1187" spans="2:11">
      <c r="B1187" s="228"/>
      <c r="C1187" s="228"/>
      <c r="D1187" s="594"/>
      <c r="E1187" s="594"/>
      <c r="F1187" s="594"/>
      <c r="G1187" s="594"/>
      <c r="H1187" s="594"/>
      <c r="I1187" s="593"/>
      <c r="J1187" s="593"/>
      <c r="K1187" s="593"/>
    </row>
    <row r="1188" spans="2:11">
      <c r="B1188" s="228"/>
      <c r="C1188" s="228"/>
      <c r="D1188" s="594"/>
      <c r="E1188" s="594"/>
      <c r="F1188" s="594"/>
      <c r="G1188" s="594"/>
      <c r="H1188" s="594"/>
      <c r="I1188" s="593"/>
      <c r="J1188" s="593"/>
      <c r="K1188" s="593"/>
    </row>
    <row r="1189" spans="2:11">
      <c r="B1189" s="228"/>
      <c r="C1189" s="228"/>
      <c r="D1189" s="594"/>
      <c r="E1189" s="594"/>
      <c r="F1189" s="594"/>
      <c r="G1189" s="594"/>
      <c r="H1189" s="594"/>
      <c r="I1189" s="593"/>
      <c r="J1189" s="593"/>
      <c r="K1189" s="593"/>
    </row>
    <row r="1190" spans="2:11">
      <c r="B1190" s="228"/>
      <c r="C1190" s="228"/>
      <c r="D1190" s="594"/>
      <c r="E1190" s="594"/>
      <c r="F1190" s="594"/>
      <c r="G1190" s="594"/>
      <c r="H1190" s="594"/>
      <c r="I1190" s="593"/>
      <c r="J1190" s="593"/>
      <c r="K1190" s="593"/>
    </row>
    <row r="1191" spans="2:11">
      <c r="B1191" s="228"/>
      <c r="C1191" s="228"/>
      <c r="D1191" s="594"/>
      <c r="E1191" s="594"/>
      <c r="F1191" s="594"/>
      <c r="G1191" s="594"/>
      <c r="H1191" s="594"/>
      <c r="I1191" s="593"/>
      <c r="J1191" s="593"/>
      <c r="K1191" s="593"/>
    </row>
    <row r="1192" spans="2:11">
      <c r="B1192" s="228"/>
      <c r="C1192" s="228"/>
      <c r="D1192" s="594"/>
      <c r="E1192" s="594"/>
      <c r="F1192" s="594"/>
      <c r="G1192" s="594"/>
      <c r="H1192" s="594"/>
      <c r="I1192" s="593"/>
      <c r="J1192" s="593"/>
      <c r="K1192" s="593"/>
    </row>
    <row r="1193" spans="2:11">
      <c r="B1193" s="228"/>
      <c r="C1193" s="228"/>
      <c r="D1193" s="594"/>
      <c r="E1193" s="594"/>
      <c r="F1193" s="594"/>
      <c r="G1193" s="594"/>
      <c r="H1193" s="594"/>
      <c r="I1193" s="593"/>
      <c r="J1193" s="593"/>
      <c r="K1193" s="593"/>
    </row>
    <row r="1194" spans="2:11">
      <c r="B1194" s="228"/>
      <c r="C1194" s="228"/>
      <c r="D1194" s="594"/>
      <c r="E1194" s="594"/>
      <c r="F1194" s="594"/>
      <c r="G1194" s="594"/>
      <c r="H1194" s="594"/>
      <c r="I1194" s="593"/>
      <c r="J1194" s="593"/>
      <c r="K1194" s="593"/>
    </row>
    <row r="1195" spans="2:11">
      <c r="B1195" s="228"/>
      <c r="C1195" s="228"/>
      <c r="D1195" s="594"/>
      <c r="E1195" s="594"/>
      <c r="F1195" s="594"/>
      <c r="G1195" s="594"/>
      <c r="H1195" s="594"/>
      <c r="I1195" s="593"/>
      <c r="J1195" s="593"/>
      <c r="K1195" s="593"/>
    </row>
    <row r="1196" spans="2:11">
      <c r="B1196" s="228"/>
      <c r="C1196" s="228"/>
      <c r="D1196" s="594"/>
      <c r="E1196" s="594"/>
      <c r="F1196" s="594"/>
      <c r="G1196" s="594"/>
      <c r="H1196" s="594"/>
      <c r="I1196" s="593"/>
      <c r="J1196" s="593"/>
      <c r="K1196" s="593"/>
    </row>
    <row r="1197" spans="2:11">
      <c r="B1197" s="228"/>
      <c r="C1197" s="228"/>
      <c r="D1197" s="594"/>
      <c r="E1197" s="594"/>
      <c r="F1197" s="594"/>
      <c r="G1197" s="594"/>
      <c r="H1197" s="594"/>
      <c r="I1197" s="593"/>
      <c r="J1197" s="593"/>
      <c r="K1197" s="593"/>
    </row>
    <row r="1198" spans="2:11">
      <c r="B1198" s="228"/>
      <c r="C1198" s="228"/>
      <c r="D1198" s="594"/>
      <c r="E1198" s="594"/>
      <c r="F1198" s="594"/>
      <c r="G1198" s="594"/>
      <c r="H1198" s="594"/>
      <c r="I1198" s="593"/>
      <c r="J1198" s="593"/>
      <c r="K1198" s="593"/>
    </row>
    <row r="1199" spans="2:11">
      <c r="B1199" s="228"/>
      <c r="C1199" s="228"/>
      <c r="D1199" s="594"/>
      <c r="E1199" s="594"/>
      <c r="F1199" s="594"/>
      <c r="G1199" s="594"/>
      <c r="H1199" s="594"/>
      <c r="I1199" s="593"/>
      <c r="J1199" s="593"/>
      <c r="K1199" s="593"/>
    </row>
    <row r="1200" spans="2:11">
      <c r="B1200" s="228"/>
      <c r="C1200" s="228"/>
      <c r="D1200" s="594"/>
      <c r="E1200" s="594"/>
      <c r="F1200" s="594"/>
      <c r="G1200" s="594"/>
      <c r="H1200" s="594"/>
      <c r="I1200" s="593"/>
      <c r="J1200" s="593"/>
      <c r="K1200" s="593"/>
    </row>
    <row r="1201" spans="2:11">
      <c r="B1201" s="228"/>
      <c r="C1201" s="228"/>
      <c r="D1201" s="594"/>
      <c r="E1201" s="594"/>
      <c r="F1201" s="594"/>
      <c r="G1201" s="594"/>
      <c r="H1201" s="594"/>
      <c r="I1201" s="593"/>
      <c r="J1201" s="593"/>
      <c r="K1201" s="593"/>
    </row>
    <row r="1202" spans="2:11">
      <c r="B1202" s="228"/>
      <c r="C1202" s="228"/>
      <c r="D1202" s="594"/>
      <c r="E1202" s="594"/>
      <c r="F1202" s="594"/>
      <c r="G1202" s="594"/>
      <c r="H1202" s="594"/>
      <c r="I1202" s="593"/>
      <c r="J1202" s="593"/>
      <c r="K1202" s="593"/>
    </row>
    <row r="1203" spans="2:11">
      <c r="B1203" s="228"/>
      <c r="C1203" s="228"/>
      <c r="D1203" s="594"/>
      <c r="E1203" s="594"/>
      <c r="F1203" s="594"/>
      <c r="G1203" s="594"/>
      <c r="H1203" s="594"/>
      <c r="I1203" s="593"/>
      <c r="J1203" s="593"/>
      <c r="K1203" s="593"/>
    </row>
    <row r="1204" spans="2:11">
      <c r="B1204" s="228"/>
      <c r="C1204" s="228"/>
      <c r="D1204" s="594"/>
      <c r="E1204" s="594"/>
      <c r="F1204" s="594"/>
      <c r="G1204" s="594"/>
      <c r="H1204" s="594"/>
      <c r="I1204" s="593"/>
      <c r="J1204" s="593"/>
      <c r="K1204" s="593"/>
    </row>
    <row r="1205" spans="2:11">
      <c r="B1205" s="228"/>
      <c r="C1205" s="228"/>
      <c r="D1205" s="594"/>
      <c r="E1205" s="594"/>
      <c r="F1205" s="594"/>
      <c r="G1205" s="594"/>
      <c r="H1205" s="594"/>
      <c r="I1205" s="593"/>
      <c r="J1205" s="593"/>
      <c r="K1205" s="593"/>
    </row>
    <row r="1206" spans="2:11">
      <c r="B1206" s="228"/>
      <c r="C1206" s="228"/>
      <c r="D1206" s="594"/>
      <c r="E1206" s="594"/>
      <c r="F1206" s="594"/>
      <c r="G1206" s="594"/>
      <c r="H1206" s="594"/>
      <c r="I1206" s="593"/>
      <c r="J1206" s="593"/>
      <c r="K1206" s="593"/>
    </row>
    <row r="1207" spans="2:11">
      <c r="B1207" s="228"/>
      <c r="C1207" s="228"/>
      <c r="D1207" s="594"/>
      <c r="E1207" s="594"/>
      <c r="F1207" s="594"/>
      <c r="G1207" s="594"/>
      <c r="H1207" s="594"/>
      <c r="I1207" s="593"/>
      <c r="J1207" s="593"/>
      <c r="K1207" s="593"/>
    </row>
    <row r="1208" spans="2:11">
      <c r="B1208" s="228"/>
      <c r="C1208" s="228"/>
      <c r="D1208" s="594"/>
      <c r="E1208" s="594"/>
      <c r="F1208" s="594"/>
      <c r="G1208" s="594"/>
      <c r="H1208" s="594"/>
      <c r="I1208" s="593"/>
      <c r="J1208" s="593"/>
      <c r="K1208" s="593"/>
    </row>
    <row r="1209" spans="2:11">
      <c r="B1209" s="228"/>
      <c r="C1209" s="228"/>
      <c r="D1209" s="594"/>
      <c r="E1209" s="594"/>
      <c r="F1209" s="594"/>
      <c r="G1209" s="594"/>
      <c r="H1209" s="594"/>
      <c r="I1209" s="593"/>
      <c r="J1209" s="593"/>
      <c r="K1209" s="593"/>
    </row>
    <row r="1210" spans="2:11">
      <c r="B1210" s="228"/>
      <c r="C1210" s="228"/>
      <c r="D1210" s="594"/>
      <c r="E1210" s="594"/>
      <c r="F1210" s="594"/>
      <c r="G1210" s="594"/>
      <c r="H1210" s="594"/>
      <c r="I1210" s="593"/>
      <c r="J1210" s="593"/>
      <c r="K1210" s="593"/>
    </row>
    <row r="1211" spans="2:11">
      <c r="B1211" s="228"/>
      <c r="C1211" s="228"/>
      <c r="D1211" s="594"/>
      <c r="E1211" s="594"/>
      <c r="F1211" s="594"/>
      <c r="G1211" s="594"/>
      <c r="H1211" s="594"/>
      <c r="I1211" s="593"/>
      <c r="J1211" s="593"/>
      <c r="K1211" s="593"/>
    </row>
    <row r="1212" spans="2:11">
      <c r="B1212" s="228"/>
      <c r="C1212" s="228"/>
      <c r="D1212" s="594"/>
      <c r="E1212" s="594"/>
      <c r="F1212" s="594"/>
      <c r="G1212" s="594"/>
      <c r="H1212" s="594"/>
      <c r="I1212" s="593"/>
      <c r="J1212" s="593"/>
      <c r="K1212" s="593"/>
    </row>
    <row r="1213" spans="2:11">
      <c r="B1213" s="228"/>
      <c r="C1213" s="228"/>
      <c r="D1213" s="594"/>
      <c r="E1213" s="594"/>
      <c r="F1213" s="594"/>
      <c r="G1213" s="594"/>
      <c r="H1213" s="594"/>
      <c r="I1213" s="593"/>
      <c r="J1213" s="593"/>
      <c r="K1213" s="593"/>
    </row>
    <row r="1214" spans="2:11">
      <c r="B1214" s="228"/>
      <c r="C1214" s="228"/>
      <c r="D1214" s="594"/>
      <c r="E1214" s="594"/>
      <c r="F1214" s="594"/>
      <c r="G1214" s="594"/>
      <c r="H1214" s="594"/>
      <c r="I1214" s="593"/>
      <c r="J1214" s="593"/>
      <c r="K1214" s="593"/>
    </row>
    <row r="1215" spans="2:11">
      <c r="B1215" s="228"/>
      <c r="C1215" s="228"/>
      <c r="D1215" s="594"/>
      <c r="E1215" s="594"/>
      <c r="F1215" s="594"/>
      <c r="G1215" s="594"/>
      <c r="H1215" s="594"/>
      <c r="I1215" s="593"/>
      <c r="J1215" s="593"/>
      <c r="K1215" s="593"/>
    </row>
    <row r="1216" spans="2:11">
      <c r="B1216" s="228"/>
      <c r="C1216" s="228"/>
      <c r="D1216" s="594"/>
      <c r="E1216" s="594"/>
      <c r="F1216" s="594"/>
      <c r="G1216" s="594"/>
      <c r="H1216" s="594"/>
      <c r="I1216" s="593"/>
      <c r="J1216" s="593"/>
      <c r="K1216" s="593"/>
    </row>
    <row r="1217" spans="2:11">
      <c r="B1217" s="228"/>
      <c r="C1217" s="228"/>
      <c r="D1217" s="594"/>
      <c r="E1217" s="594"/>
      <c r="F1217" s="594"/>
      <c r="G1217" s="594"/>
      <c r="H1217" s="594"/>
      <c r="I1217" s="593"/>
      <c r="J1217" s="593"/>
      <c r="K1217" s="593"/>
    </row>
    <row r="1218" spans="2:11">
      <c r="B1218" s="228"/>
      <c r="C1218" s="228"/>
      <c r="D1218" s="594"/>
      <c r="E1218" s="594"/>
      <c r="F1218" s="594"/>
      <c r="G1218" s="594"/>
      <c r="H1218" s="594"/>
      <c r="I1218" s="593"/>
      <c r="J1218" s="593"/>
      <c r="K1218" s="593"/>
    </row>
    <row r="1219" spans="2:11">
      <c r="B1219" s="228"/>
      <c r="C1219" s="228"/>
      <c r="D1219" s="594"/>
      <c r="E1219" s="594"/>
      <c r="F1219" s="594"/>
      <c r="G1219" s="594"/>
      <c r="H1219" s="594"/>
      <c r="I1219" s="593"/>
      <c r="J1219" s="593"/>
      <c r="K1219" s="593"/>
    </row>
    <row r="1220" spans="2:11">
      <c r="B1220" s="228"/>
      <c r="C1220" s="228"/>
      <c r="D1220" s="594"/>
      <c r="E1220" s="594"/>
      <c r="F1220" s="594"/>
      <c r="G1220" s="594"/>
      <c r="H1220" s="594"/>
      <c r="I1220" s="593"/>
      <c r="J1220" s="593"/>
      <c r="K1220" s="593"/>
    </row>
    <row r="1221" spans="2:11">
      <c r="B1221" s="228"/>
      <c r="C1221" s="228"/>
      <c r="D1221" s="594"/>
      <c r="E1221" s="594"/>
      <c r="F1221" s="594"/>
      <c r="G1221" s="594"/>
      <c r="H1221" s="594"/>
      <c r="I1221" s="593"/>
      <c r="J1221" s="593"/>
      <c r="K1221" s="593"/>
    </row>
    <row r="1222" spans="2:11">
      <c r="B1222" s="228"/>
      <c r="C1222" s="228"/>
      <c r="D1222" s="594"/>
      <c r="E1222" s="594"/>
      <c r="F1222" s="594"/>
      <c r="G1222" s="594"/>
      <c r="H1222" s="594"/>
      <c r="I1222" s="593"/>
      <c r="J1222" s="593"/>
      <c r="K1222" s="593"/>
    </row>
    <row r="1223" spans="2:11">
      <c r="B1223" s="228"/>
      <c r="C1223" s="228"/>
      <c r="D1223" s="594"/>
      <c r="E1223" s="594"/>
      <c r="F1223" s="594"/>
      <c r="G1223" s="594"/>
      <c r="H1223" s="594"/>
      <c r="I1223" s="593"/>
      <c r="J1223" s="593"/>
      <c r="K1223" s="593"/>
    </row>
    <row r="1224" spans="2:11">
      <c r="B1224" s="228"/>
      <c r="C1224" s="228"/>
      <c r="D1224" s="594"/>
      <c r="E1224" s="594"/>
      <c r="F1224" s="594"/>
      <c r="G1224" s="594"/>
      <c r="H1224" s="594"/>
      <c r="I1224" s="593"/>
      <c r="J1224" s="593"/>
      <c r="K1224" s="593"/>
    </row>
    <row r="1225" spans="2:11">
      <c r="B1225" s="228"/>
      <c r="C1225" s="228"/>
      <c r="D1225" s="594"/>
      <c r="E1225" s="594"/>
      <c r="F1225" s="594"/>
      <c r="G1225" s="594"/>
      <c r="H1225" s="594"/>
      <c r="I1225" s="593"/>
      <c r="J1225" s="593"/>
      <c r="K1225" s="593"/>
    </row>
    <row r="1226" spans="2:11">
      <c r="B1226" s="228"/>
      <c r="C1226" s="228"/>
      <c r="D1226" s="594"/>
      <c r="E1226" s="594"/>
      <c r="F1226" s="594"/>
      <c r="G1226" s="594"/>
      <c r="H1226" s="594"/>
      <c r="I1226" s="593"/>
      <c r="J1226" s="593"/>
      <c r="K1226" s="593"/>
    </row>
    <row r="1227" spans="2:11">
      <c r="B1227" s="228"/>
      <c r="C1227" s="228"/>
      <c r="D1227" s="594"/>
      <c r="E1227" s="594"/>
      <c r="F1227" s="594"/>
      <c r="G1227" s="594"/>
      <c r="H1227" s="594"/>
      <c r="I1227" s="593"/>
      <c r="J1227" s="593"/>
      <c r="K1227" s="593"/>
    </row>
    <row r="1228" spans="2:11">
      <c r="B1228" s="228"/>
      <c r="C1228" s="228"/>
      <c r="D1228" s="594"/>
      <c r="E1228" s="594"/>
      <c r="F1228" s="594"/>
      <c r="G1228" s="594"/>
      <c r="H1228" s="594"/>
      <c r="I1228" s="593"/>
      <c r="J1228" s="593"/>
      <c r="K1228" s="593"/>
    </row>
    <row r="1229" spans="2:11">
      <c r="B1229" s="228"/>
      <c r="C1229" s="228"/>
      <c r="D1229" s="594"/>
      <c r="E1229" s="594"/>
      <c r="F1229" s="594"/>
      <c r="G1229" s="594"/>
      <c r="H1229" s="594"/>
      <c r="I1229" s="593"/>
      <c r="J1229" s="593"/>
      <c r="K1229" s="593"/>
    </row>
    <row r="1230" spans="2:11">
      <c r="B1230" s="228"/>
      <c r="C1230" s="228"/>
      <c r="D1230" s="594"/>
      <c r="E1230" s="594"/>
      <c r="F1230" s="594"/>
      <c r="G1230" s="594"/>
      <c r="H1230" s="594"/>
      <c r="I1230" s="593"/>
      <c r="J1230" s="593"/>
      <c r="K1230" s="593"/>
    </row>
    <row r="1231" spans="2:11">
      <c r="B1231" s="228"/>
      <c r="C1231" s="228"/>
      <c r="D1231" s="594"/>
      <c r="E1231" s="594"/>
      <c r="F1231" s="594"/>
      <c r="G1231" s="594"/>
      <c r="H1231" s="594"/>
      <c r="I1231" s="593"/>
      <c r="J1231" s="593"/>
      <c r="K1231" s="593"/>
    </row>
    <row r="1232" spans="2:11">
      <c r="B1232" s="228"/>
      <c r="C1232" s="228"/>
      <c r="D1232" s="594"/>
      <c r="E1232" s="594"/>
      <c r="F1232" s="594"/>
      <c r="G1232" s="594"/>
      <c r="H1232" s="594"/>
      <c r="I1232" s="593"/>
      <c r="J1232" s="593"/>
      <c r="K1232" s="593"/>
    </row>
    <row r="1233" spans="2:11">
      <c r="B1233" s="228"/>
      <c r="C1233" s="228"/>
      <c r="D1233" s="594"/>
      <c r="E1233" s="594"/>
      <c r="F1233" s="594"/>
      <c r="G1233" s="594"/>
      <c r="H1233" s="594"/>
      <c r="I1233" s="593"/>
      <c r="J1233" s="593"/>
      <c r="K1233" s="593"/>
    </row>
    <row r="1234" spans="2:11">
      <c r="B1234" s="228"/>
      <c r="C1234" s="228"/>
      <c r="D1234" s="594"/>
      <c r="E1234" s="594"/>
      <c r="F1234" s="594"/>
      <c r="G1234" s="594"/>
      <c r="H1234" s="594"/>
      <c r="I1234" s="593"/>
      <c r="J1234" s="593"/>
      <c r="K1234" s="593"/>
    </row>
    <row r="1235" spans="2:11">
      <c r="B1235" s="228"/>
      <c r="C1235" s="228"/>
      <c r="D1235" s="594"/>
      <c r="E1235" s="594"/>
      <c r="F1235" s="594"/>
      <c r="G1235" s="594"/>
      <c r="H1235" s="594"/>
      <c r="I1235" s="593"/>
      <c r="J1235" s="593"/>
      <c r="K1235" s="593"/>
    </row>
    <row r="1236" spans="2:11">
      <c r="B1236" s="228"/>
      <c r="C1236" s="228"/>
      <c r="D1236" s="594"/>
      <c r="E1236" s="594"/>
      <c r="F1236" s="594"/>
      <c r="G1236" s="594"/>
      <c r="H1236" s="594"/>
      <c r="I1236" s="593"/>
      <c r="J1236" s="593"/>
      <c r="K1236" s="593"/>
    </row>
    <row r="1237" spans="2:11">
      <c r="B1237" s="228"/>
      <c r="C1237" s="228"/>
      <c r="D1237" s="594"/>
      <c r="E1237" s="594"/>
      <c r="F1237" s="594"/>
      <c r="G1237" s="594"/>
      <c r="H1237" s="594"/>
      <c r="I1237" s="593"/>
      <c r="J1237" s="593"/>
      <c r="K1237" s="593"/>
    </row>
    <row r="1238" spans="2:11">
      <c r="B1238" s="228"/>
      <c r="C1238" s="228"/>
      <c r="D1238" s="594"/>
      <c r="E1238" s="594"/>
      <c r="F1238" s="594"/>
      <c r="G1238" s="594"/>
      <c r="H1238" s="594"/>
      <c r="I1238" s="593"/>
      <c r="J1238" s="593"/>
      <c r="K1238" s="593"/>
    </row>
    <row r="1239" spans="2:11">
      <c r="B1239" s="228"/>
      <c r="C1239" s="228"/>
      <c r="D1239" s="594"/>
      <c r="E1239" s="594"/>
      <c r="F1239" s="594"/>
      <c r="G1239" s="594"/>
      <c r="H1239" s="594"/>
      <c r="I1239" s="593"/>
      <c r="J1239" s="593"/>
      <c r="K1239" s="593"/>
    </row>
    <row r="1240" spans="2:11">
      <c r="B1240" s="228"/>
      <c r="C1240" s="228"/>
      <c r="D1240" s="594"/>
      <c r="E1240" s="594"/>
      <c r="F1240" s="594"/>
      <c r="G1240" s="594"/>
      <c r="H1240" s="594"/>
      <c r="I1240" s="593"/>
      <c r="J1240" s="593"/>
      <c r="K1240" s="593"/>
    </row>
    <row r="1241" spans="2:11">
      <c r="B1241" s="228"/>
      <c r="C1241" s="228"/>
      <c r="D1241" s="594"/>
      <c r="E1241" s="594"/>
      <c r="F1241" s="594"/>
      <c r="G1241" s="594"/>
      <c r="H1241" s="594"/>
      <c r="I1241" s="593"/>
      <c r="J1241" s="593"/>
      <c r="K1241" s="593"/>
    </row>
    <row r="1242" spans="2:11">
      <c r="B1242" s="228"/>
      <c r="C1242" s="228"/>
      <c r="D1242" s="594"/>
      <c r="E1242" s="594"/>
      <c r="F1242" s="594"/>
      <c r="G1242" s="594"/>
      <c r="H1242" s="594"/>
      <c r="I1242" s="593"/>
      <c r="J1242" s="593"/>
      <c r="K1242" s="593"/>
    </row>
    <row r="1243" spans="2:11">
      <c r="B1243" s="228"/>
      <c r="C1243" s="228"/>
      <c r="D1243" s="594"/>
      <c r="E1243" s="594"/>
      <c r="F1243" s="594"/>
      <c r="G1243" s="594"/>
      <c r="H1243" s="594"/>
      <c r="I1243" s="593"/>
      <c r="J1243" s="593"/>
      <c r="K1243" s="593"/>
    </row>
    <row r="1244" spans="2:11">
      <c r="B1244" s="228"/>
      <c r="C1244" s="228"/>
      <c r="D1244" s="594"/>
      <c r="E1244" s="594"/>
      <c r="F1244" s="594"/>
      <c r="G1244" s="594"/>
      <c r="H1244" s="594"/>
      <c r="I1244" s="593"/>
      <c r="J1244" s="593"/>
      <c r="K1244" s="593"/>
    </row>
    <row r="1245" spans="2:11">
      <c r="B1245" s="228"/>
      <c r="C1245" s="228"/>
      <c r="D1245" s="594"/>
      <c r="E1245" s="594"/>
      <c r="F1245" s="594"/>
      <c r="G1245" s="594"/>
      <c r="H1245" s="594"/>
      <c r="I1245" s="593"/>
      <c r="J1245" s="593"/>
      <c r="K1245" s="593"/>
    </row>
    <row r="1246" spans="2:11">
      <c r="B1246" s="228"/>
      <c r="C1246" s="228"/>
      <c r="D1246" s="594"/>
      <c r="E1246" s="594"/>
      <c r="F1246" s="594"/>
      <c r="G1246" s="594"/>
      <c r="H1246" s="594"/>
      <c r="I1246" s="593"/>
      <c r="J1246" s="593"/>
      <c r="K1246" s="593"/>
    </row>
    <row r="1247" spans="2:11">
      <c r="B1247" s="228"/>
      <c r="C1247" s="228"/>
      <c r="D1247" s="594"/>
      <c r="E1247" s="594"/>
      <c r="F1247" s="594"/>
      <c r="G1247" s="594"/>
      <c r="H1247" s="594"/>
      <c r="I1247" s="593"/>
      <c r="J1247" s="593"/>
      <c r="K1247" s="593"/>
    </row>
    <row r="1248" spans="2:11">
      <c r="B1248" s="228"/>
      <c r="C1248" s="228"/>
      <c r="D1248" s="594"/>
      <c r="E1248" s="594"/>
      <c r="F1248" s="594"/>
      <c r="G1248" s="594"/>
      <c r="H1248" s="594"/>
      <c r="I1248" s="593"/>
      <c r="J1248" s="593"/>
      <c r="K1248" s="593"/>
    </row>
    <row r="1249" spans="2:11">
      <c r="B1249" s="228"/>
      <c r="C1249" s="228"/>
      <c r="D1249" s="594"/>
      <c r="E1249" s="594"/>
      <c r="F1249" s="594"/>
      <c r="G1249" s="594"/>
      <c r="H1249" s="594"/>
      <c r="I1249" s="593"/>
      <c r="J1249" s="593"/>
      <c r="K1249" s="593"/>
    </row>
    <row r="1250" spans="2:11">
      <c r="B1250" s="228"/>
      <c r="C1250" s="228"/>
      <c r="D1250" s="594"/>
      <c r="E1250" s="594"/>
      <c r="F1250" s="594"/>
      <c r="G1250" s="594"/>
      <c r="H1250" s="594"/>
      <c r="I1250" s="593"/>
      <c r="J1250" s="593"/>
      <c r="K1250" s="593"/>
    </row>
    <row r="1251" spans="2:11">
      <c r="B1251" s="228"/>
      <c r="C1251" s="228"/>
      <c r="D1251" s="594"/>
      <c r="E1251" s="594"/>
      <c r="F1251" s="594"/>
      <c r="G1251" s="594"/>
      <c r="H1251" s="594"/>
      <c r="I1251" s="593"/>
      <c r="J1251" s="593"/>
      <c r="K1251" s="593"/>
    </row>
    <row r="1252" spans="2:11">
      <c r="B1252" s="228"/>
      <c r="C1252" s="228"/>
      <c r="D1252" s="594"/>
      <c r="E1252" s="594"/>
      <c r="F1252" s="594"/>
      <c r="G1252" s="594"/>
      <c r="H1252" s="594"/>
      <c r="I1252" s="593"/>
      <c r="J1252" s="593"/>
      <c r="K1252" s="593"/>
    </row>
    <row r="1253" spans="2:11">
      <c r="B1253" s="228"/>
      <c r="C1253" s="228"/>
      <c r="D1253" s="594"/>
      <c r="E1253" s="594"/>
      <c r="F1253" s="594"/>
      <c r="G1253" s="594"/>
      <c r="H1253" s="594"/>
      <c r="I1253" s="593"/>
      <c r="J1253" s="593"/>
      <c r="K1253" s="593"/>
    </row>
    <row r="1254" spans="2:11">
      <c r="B1254" s="228"/>
      <c r="C1254" s="228"/>
      <c r="D1254" s="594"/>
      <c r="E1254" s="594"/>
      <c r="F1254" s="594"/>
      <c r="G1254" s="594"/>
      <c r="H1254" s="594"/>
      <c r="I1254" s="593"/>
      <c r="J1254" s="593"/>
      <c r="K1254" s="593"/>
    </row>
    <row r="1255" spans="2:11">
      <c r="B1255" s="228"/>
      <c r="C1255" s="228"/>
      <c r="D1255" s="594"/>
      <c r="E1255" s="594"/>
      <c r="F1255" s="594"/>
      <c r="G1255" s="594"/>
      <c r="H1255" s="594"/>
      <c r="I1255" s="593"/>
      <c r="J1255" s="593"/>
      <c r="K1255" s="593"/>
    </row>
    <row r="1256" spans="2:11">
      <c r="B1256" s="228"/>
      <c r="C1256" s="228"/>
      <c r="D1256" s="594"/>
      <c r="E1256" s="594"/>
      <c r="F1256" s="594"/>
      <c r="G1256" s="594"/>
      <c r="H1256" s="594"/>
      <c r="I1256" s="593"/>
      <c r="J1256" s="593"/>
      <c r="K1256" s="593"/>
    </row>
    <row r="1257" spans="2:11">
      <c r="B1257" s="228"/>
      <c r="C1257" s="228"/>
      <c r="D1257" s="594"/>
      <c r="E1257" s="594"/>
      <c r="F1257" s="594"/>
      <c r="G1257" s="594"/>
      <c r="H1257" s="594"/>
      <c r="I1257" s="593"/>
      <c r="J1257" s="593"/>
      <c r="K1257" s="593"/>
    </row>
    <row r="1258" spans="2:11">
      <c r="B1258" s="228"/>
      <c r="C1258" s="228"/>
      <c r="D1258" s="594"/>
      <c r="E1258" s="594"/>
      <c r="F1258" s="594"/>
      <c r="G1258" s="594"/>
      <c r="H1258" s="594"/>
      <c r="I1258" s="593"/>
      <c r="J1258" s="593"/>
      <c r="K1258" s="593"/>
    </row>
    <row r="1259" spans="2:11">
      <c r="B1259" s="228"/>
      <c r="C1259" s="228"/>
      <c r="D1259" s="594"/>
      <c r="E1259" s="594"/>
      <c r="F1259" s="594"/>
      <c r="G1259" s="594"/>
      <c r="H1259" s="594"/>
      <c r="I1259" s="593"/>
      <c r="J1259" s="593"/>
      <c r="K1259" s="593"/>
    </row>
    <row r="1260" spans="2:11">
      <c r="B1260" s="228"/>
      <c r="C1260" s="228"/>
      <c r="D1260" s="594"/>
      <c r="E1260" s="594"/>
      <c r="F1260" s="594"/>
      <c r="G1260" s="594"/>
      <c r="H1260" s="594"/>
      <c r="I1260" s="593"/>
      <c r="J1260" s="593"/>
      <c r="K1260" s="593"/>
    </row>
    <row r="1261" spans="2:11">
      <c r="B1261" s="228"/>
      <c r="C1261" s="228"/>
      <c r="D1261" s="594"/>
      <c r="E1261" s="594"/>
      <c r="F1261" s="594"/>
      <c r="G1261" s="594"/>
      <c r="H1261" s="594"/>
      <c r="I1261" s="593"/>
      <c r="J1261" s="593"/>
      <c r="K1261" s="593"/>
    </row>
    <row r="1262" spans="2:11">
      <c r="B1262" s="228"/>
      <c r="C1262" s="228"/>
      <c r="D1262" s="594"/>
      <c r="E1262" s="594"/>
      <c r="F1262" s="594"/>
      <c r="G1262" s="594"/>
      <c r="H1262" s="594"/>
      <c r="I1262" s="593"/>
      <c r="J1262" s="593"/>
      <c r="K1262" s="593"/>
    </row>
    <row r="1263" spans="2:11">
      <c r="B1263" s="228"/>
      <c r="C1263" s="228"/>
      <c r="D1263" s="594"/>
      <c r="E1263" s="594"/>
      <c r="F1263" s="594"/>
      <c r="G1263" s="594"/>
      <c r="H1263" s="594"/>
      <c r="I1263" s="593"/>
      <c r="J1263" s="593"/>
      <c r="K1263" s="593"/>
    </row>
    <row r="1264" spans="2:11">
      <c r="B1264" s="228"/>
      <c r="C1264" s="228"/>
      <c r="D1264" s="594"/>
      <c r="E1264" s="594"/>
      <c r="F1264" s="594"/>
      <c r="G1264" s="594"/>
      <c r="H1264" s="594"/>
      <c r="I1264" s="593"/>
      <c r="J1264" s="593"/>
      <c r="K1264" s="593"/>
    </row>
    <row r="1265" spans="2:11">
      <c r="B1265" s="228"/>
      <c r="C1265" s="228"/>
      <c r="D1265" s="594"/>
      <c r="E1265" s="594"/>
      <c r="F1265" s="594"/>
      <c r="G1265" s="594"/>
      <c r="H1265" s="594"/>
      <c r="I1265" s="593"/>
      <c r="J1265" s="593"/>
      <c r="K1265" s="593"/>
    </row>
    <row r="1266" spans="2:11">
      <c r="B1266" s="228"/>
      <c r="C1266" s="228"/>
      <c r="D1266" s="594"/>
      <c r="E1266" s="594"/>
      <c r="F1266" s="594"/>
      <c r="G1266" s="594"/>
      <c r="H1266" s="594"/>
      <c r="I1266" s="593"/>
      <c r="J1266" s="593"/>
      <c r="K1266" s="593"/>
    </row>
    <row r="1267" spans="2:11">
      <c r="B1267" s="228"/>
      <c r="C1267" s="228"/>
      <c r="D1267" s="594"/>
      <c r="E1267" s="594"/>
      <c r="F1267" s="594"/>
      <c r="G1267" s="594"/>
      <c r="H1267" s="594"/>
      <c r="I1267" s="593"/>
      <c r="J1267" s="593"/>
      <c r="K1267" s="593"/>
    </row>
    <row r="1268" spans="2:11">
      <c r="B1268" s="228"/>
      <c r="C1268" s="228"/>
      <c r="D1268" s="594"/>
      <c r="E1268" s="594"/>
      <c r="F1268" s="594"/>
      <c r="G1268" s="594"/>
      <c r="H1268" s="594"/>
      <c r="I1268" s="593"/>
      <c r="J1268" s="593"/>
      <c r="K1268" s="593"/>
    </row>
    <row r="1269" spans="2:11">
      <c r="B1269" s="228"/>
      <c r="C1269" s="228"/>
      <c r="D1269" s="594"/>
      <c r="E1269" s="594"/>
      <c r="F1269" s="594"/>
      <c r="G1269" s="594"/>
      <c r="H1269" s="594"/>
      <c r="I1269" s="593"/>
      <c r="J1269" s="593"/>
      <c r="K1269" s="593"/>
    </row>
    <row r="1270" spans="2:11">
      <c r="B1270" s="228"/>
      <c r="C1270" s="228"/>
      <c r="D1270" s="594"/>
      <c r="E1270" s="594"/>
      <c r="F1270" s="594"/>
      <c r="G1270" s="594"/>
      <c r="H1270" s="594"/>
      <c r="I1270" s="593"/>
      <c r="J1270" s="593"/>
      <c r="K1270" s="593"/>
    </row>
    <row r="1271" spans="2:11">
      <c r="B1271" s="228"/>
      <c r="C1271" s="228"/>
      <c r="D1271" s="594"/>
      <c r="E1271" s="594"/>
      <c r="F1271" s="594"/>
      <c r="G1271" s="594"/>
      <c r="H1271" s="594"/>
      <c r="I1271" s="593"/>
      <c r="J1271" s="593"/>
      <c r="K1271" s="593"/>
    </row>
    <row r="1272" spans="2:11">
      <c r="B1272" s="228"/>
      <c r="C1272" s="228"/>
      <c r="D1272" s="594"/>
      <c r="E1272" s="594"/>
      <c r="F1272" s="594"/>
      <c r="G1272" s="594"/>
      <c r="H1272" s="594"/>
      <c r="I1272" s="593"/>
      <c r="J1272" s="593"/>
      <c r="K1272" s="593"/>
    </row>
    <row r="1273" spans="2:11">
      <c r="B1273" s="228"/>
      <c r="C1273" s="228"/>
      <c r="D1273" s="594"/>
      <c r="E1273" s="594"/>
      <c r="F1273" s="594"/>
      <c r="G1273" s="594"/>
      <c r="H1273" s="594"/>
      <c r="I1273" s="593"/>
      <c r="J1273" s="593"/>
      <c r="K1273" s="593"/>
    </row>
    <row r="1274" spans="2:11">
      <c r="B1274" s="228"/>
      <c r="C1274" s="228"/>
      <c r="D1274" s="594"/>
      <c r="E1274" s="594"/>
      <c r="F1274" s="594"/>
      <c r="G1274" s="594"/>
      <c r="H1274" s="594"/>
      <c r="I1274" s="593"/>
      <c r="J1274" s="593"/>
      <c r="K1274" s="593"/>
    </row>
    <row r="1275" spans="2:11">
      <c r="B1275" s="228"/>
      <c r="C1275" s="228"/>
      <c r="D1275" s="594"/>
      <c r="E1275" s="594"/>
      <c r="F1275" s="594"/>
      <c r="G1275" s="594"/>
      <c r="H1275" s="594"/>
      <c r="I1275" s="593"/>
      <c r="J1275" s="593"/>
      <c r="K1275" s="593"/>
    </row>
    <row r="1276" spans="2:11">
      <c r="B1276" s="228"/>
      <c r="C1276" s="228"/>
      <c r="D1276" s="594"/>
      <c r="E1276" s="594"/>
      <c r="F1276" s="594"/>
      <c r="G1276" s="594"/>
      <c r="H1276" s="594"/>
      <c r="I1276" s="593"/>
      <c r="J1276" s="593"/>
      <c r="K1276" s="593"/>
    </row>
    <row r="1277" spans="2:11">
      <c r="B1277" s="228"/>
      <c r="C1277" s="228"/>
      <c r="D1277" s="594"/>
      <c r="E1277" s="594"/>
      <c r="F1277" s="594"/>
      <c r="G1277" s="594"/>
      <c r="H1277" s="594"/>
      <c r="I1277" s="593"/>
      <c r="J1277" s="593"/>
      <c r="K1277" s="593"/>
    </row>
    <row r="1278" spans="2:11">
      <c r="B1278" s="228"/>
      <c r="C1278" s="228"/>
      <c r="D1278" s="594"/>
      <c r="E1278" s="594"/>
      <c r="F1278" s="594"/>
      <c r="G1278" s="594"/>
      <c r="H1278" s="594"/>
      <c r="I1278" s="593"/>
      <c r="J1278" s="593"/>
      <c r="K1278" s="593"/>
    </row>
    <row r="1279" spans="2:11">
      <c r="B1279" s="228"/>
      <c r="C1279" s="228"/>
      <c r="D1279" s="594"/>
      <c r="E1279" s="594"/>
      <c r="F1279" s="594"/>
      <c r="G1279" s="594"/>
      <c r="H1279" s="594"/>
      <c r="I1279" s="593"/>
      <c r="J1279" s="593"/>
      <c r="K1279" s="593"/>
    </row>
    <row r="1280" spans="2:11">
      <c r="B1280" s="228"/>
      <c r="C1280" s="228"/>
      <c r="D1280" s="594"/>
      <c r="E1280" s="594"/>
      <c r="F1280" s="594"/>
      <c r="G1280" s="594"/>
      <c r="H1280" s="594"/>
      <c r="I1280" s="593"/>
      <c r="J1280" s="593"/>
      <c r="K1280" s="593"/>
    </row>
    <row r="1281" spans="2:11">
      <c r="B1281" s="228"/>
      <c r="C1281" s="228"/>
      <c r="D1281" s="594"/>
      <c r="E1281" s="594"/>
      <c r="F1281" s="594"/>
      <c r="G1281" s="594"/>
      <c r="H1281" s="594"/>
      <c r="I1281" s="593"/>
      <c r="J1281" s="593"/>
      <c r="K1281" s="593"/>
    </row>
    <row r="1282" spans="2:11">
      <c r="B1282" s="228"/>
      <c r="C1282" s="228"/>
      <c r="D1282" s="594"/>
      <c r="E1282" s="594"/>
      <c r="F1282" s="594"/>
      <c r="G1282" s="594"/>
      <c r="H1282" s="594"/>
      <c r="I1282" s="593"/>
      <c r="J1282" s="593"/>
      <c r="K1282" s="593"/>
    </row>
    <row r="1283" spans="2:11">
      <c r="B1283" s="228"/>
      <c r="C1283" s="228"/>
      <c r="D1283" s="594"/>
      <c r="E1283" s="594"/>
      <c r="F1283" s="594"/>
      <c r="G1283" s="594"/>
      <c r="H1283" s="594"/>
      <c r="I1283" s="593"/>
      <c r="J1283" s="593"/>
      <c r="K1283" s="593"/>
    </row>
    <row r="1284" spans="2:11">
      <c r="B1284" s="228"/>
      <c r="C1284" s="228"/>
      <c r="D1284" s="594"/>
      <c r="E1284" s="594"/>
      <c r="F1284" s="594"/>
      <c r="G1284" s="594"/>
      <c r="H1284" s="594"/>
      <c r="I1284" s="593"/>
      <c r="J1284" s="593"/>
      <c r="K1284" s="593"/>
    </row>
    <row r="1285" spans="2:11">
      <c r="B1285" s="228"/>
      <c r="C1285" s="228"/>
      <c r="D1285" s="594"/>
      <c r="E1285" s="594"/>
      <c r="F1285" s="594"/>
      <c r="G1285" s="594"/>
      <c r="H1285" s="594"/>
      <c r="I1285" s="593"/>
      <c r="J1285" s="593"/>
      <c r="K1285" s="593"/>
    </row>
    <row r="1286" spans="2:11">
      <c r="B1286" s="228"/>
      <c r="C1286" s="228"/>
      <c r="D1286" s="594"/>
      <c r="E1286" s="594"/>
      <c r="F1286" s="594"/>
      <c r="G1286" s="594"/>
      <c r="H1286" s="594"/>
      <c r="I1286" s="593"/>
      <c r="J1286" s="593"/>
      <c r="K1286" s="593"/>
    </row>
    <row r="1287" spans="2:11">
      <c r="B1287" s="228"/>
      <c r="C1287" s="228"/>
      <c r="D1287" s="594"/>
      <c r="E1287" s="594"/>
      <c r="F1287" s="594"/>
      <c r="G1287" s="594"/>
      <c r="H1287" s="594"/>
      <c r="I1287" s="593"/>
      <c r="J1287" s="593"/>
      <c r="K1287" s="593"/>
    </row>
    <row r="1288" spans="2:11">
      <c r="B1288" s="228"/>
      <c r="C1288" s="228"/>
      <c r="D1288" s="594"/>
      <c r="E1288" s="594"/>
      <c r="F1288" s="594"/>
      <c r="G1288" s="594"/>
      <c r="H1288" s="594"/>
      <c r="I1288" s="593"/>
      <c r="J1288" s="593"/>
      <c r="K1288" s="593"/>
    </row>
    <row r="1289" spans="2:11">
      <c r="B1289" s="228"/>
      <c r="C1289" s="228"/>
      <c r="D1289" s="594"/>
      <c r="E1289" s="594"/>
      <c r="F1289" s="594"/>
      <c r="G1289" s="594"/>
      <c r="H1289" s="594"/>
      <c r="I1289" s="593"/>
      <c r="J1289" s="593"/>
      <c r="K1289" s="593"/>
    </row>
    <row r="1290" spans="2:11">
      <c r="B1290" s="228"/>
      <c r="C1290" s="228"/>
      <c r="D1290" s="594"/>
      <c r="E1290" s="594"/>
      <c r="F1290" s="594"/>
      <c r="G1290" s="594"/>
      <c r="H1290" s="594"/>
      <c r="I1290" s="593"/>
      <c r="J1290" s="593"/>
      <c r="K1290" s="593"/>
    </row>
    <row r="1291" spans="2:11">
      <c r="B1291" s="228"/>
      <c r="C1291" s="228"/>
      <c r="D1291" s="594"/>
      <c r="E1291" s="594"/>
      <c r="F1291" s="594"/>
      <c r="G1291" s="594"/>
      <c r="H1291" s="594"/>
      <c r="I1291" s="593"/>
      <c r="J1291" s="593"/>
      <c r="K1291" s="593"/>
    </row>
    <row r="1292" spans="2:11">
      <c r="B1292" s="228"/>
      <c r="C1292" s="228"/>
      <c r="D1292" s="594"/>
      <c r="E1292" s="594"/>
      <c r="F1292" s="594"/>
      <c r="G1292" s="594"/>
      <c r="H1292" s="594"/>
      <c r="I1292" s="593"/>
      <c r="J1292" s="593"/>
      <c r="K1292" s="593"/>
    </row>
    <row r="1293" spans="2:11">
      <c r="B1293" s="228"/>
      <c r="C1293" s="228"/>
      <c r="D1293" s="594"/>
      <c r="E1293" s="594"/>
      <c r="F1293" s="594"/>
      <c r="G1293" s="594"/>
      <c r="H1293" s="594"/>
      <c r="I1293" s="593"/>
      <c r="J1293" s="593"/>
      <c r="K1293" s="593"/>
    </row>
    <row r="1294" spans="2:11">
      <c r="B1294" s="228"/>
      <c r="C1294" s="228"/>
      <c r="D1294" s="594"/>
      <c r="E1294" s="594"/>
      <c r="F1294" s="594"/>
      <c r="G1294" s="594"/>
      <c r="H1294" s="594"/>
      <c r="I1294" s="593"/>
      <c r="J1294" s="593"/>
      <c r="K1294" s="593"/>
    </row>
    <row r="1295" spans="2:11">
      <c r="B1295" s="228"/>
      <c r="C1295" s="228"/>
      <c r="D1295" s="594"/>
      <c r="E1295" s="594"/>
      <c r="F1295" s="594"/>
      <c r="G1295" s="594"/>
      <c r="H1295" s="594"/>
      <c r="I1295" s="593"/>
      <c r="J1295" s="593"/>
      <c r="K1295" s="593"/>
    </row>
    <row r="1296" spans="2:11">
      <c r="B1296" s="228"/>
      <c r="C1296" s="228"/>
      <c r="D1296" s="594"/>
      <c r="E1296" s="594"/>
      <c r="F1296" s="594"/>
      <c r="G1296" s="594"/>
      <c r="H1296" s="594"/>
      <c r="I1296" s="593"/>
      <c r="J1296" s="593"/>
      <c r="K1296" s="593"/>
    </row>
    <row r="1297" spans="2:11">
      <c r="B1297" s="228"/>
      <c r="C1297" s="228"/>
      <c r="D1297" s="594"/>
      <c r="E1297" s="594"/>
      <c r="F1297" s="594"/>
      <c r="G1297" s="594"/>
      <c r="H1297" s="594"/>
      <c r="I1297" s="593"/>
      <c r="J1297" s="593"/>
      <c r="K1297" s="593"/>
    </row>
    <row r="1298" spans="2:11">
      <c r="B1298" s="228"/>
      <c r="C1298" s="228"/>
      <c r="D1298" s="594"/>
      <c r="E1298" s="594"/>
      <c r="F1298" s="594"/>
      <c r="G1298" s="594"/>
      <c r="H1298" s="594"/>
      <c r="I1298" s="593"/>
      <c r="J1298" s="593"/>
      <c r="K1298" s="593"/>
    </row>
    <row r="1299" spans="2:11">
      <c r="B1299" s="228"/>
      <c r="C1299" s="228"/>
      <c r="D1299" s="594"/>
      <c r="E1299" s="594"/>
      <c r="F1299" s="594"/>
      <c r="G1299" s="594"/>
      <c r="H1299" s="594"/>
      <c r="I1299" s="593"/>
      <c r="J1299" s="593"/>
      <c r="K1299" s="593"/>
    </row>
    <row r="1300" spans="2:11">
      <c r="B1300" s="228"/>
      <c r="C1300" s="228"/>
      <c r="D1300" s="594"/>
      <c r="E1300" s="594"/>
      <c r="F1300" s="594"/>
      <c r="G1300" s="594"/>
      <c r="H1300" s="594"/>
      <c r="I1300" s="593"/>
      <c r="J1300" s="593"/>
      <c r="K1300" s="593"/>
    </row>
    <row r="1301" spans="2:11">
      <c r="B1301" s="228"/>
      <c r="C1301" s="228"/>
      <c r="D1301" s="594"/>
      <c r="E1301" s="594"/>
      <c r="F1301" s="594"/>
      <c r="G1301" s="594"/>
      <c r="H1301" s="594"/>
      <c r="I1301" s="593"/>
      <c r="J1301" s="593"/>
      <c r="K1301" s="593"/>
    </row>
    <row r="1302" spans="2:11">
      <c r="B1302" s="228"/>
      <c r="C1302" s="228"/>
      <c r="D1302" s="594"/>
      <c r="E1302" s="594"/>
      <c r="F1302" s="594"/>
      <c r="G1302" s="594"/>
      <c r="H1302" s="594"/>
      <c r="I1302" s="593"/>
      <c r="J1302" s="593"/>
      <c r="K1302" s="593"/>
    </row>
    <row r="1303" spans="2:11">
      <c r="B1303" s="228"/>
      <c r="C1303" s="228"/>
      <c r="D1303" s="594"/>
      <c r="E1303" s="594"/>
      <c r="F1303" s="594"/>
      <c r="G1303" s="594"/>
      <c r="H1303" s="594"/>
      <c r="I1303" s="593"/>
      <c r="J1303" s="593"/>
      <c r="K1303" s="593"/>
    </row>
    <row r="1304" spans="2:11">
      <c r="B1304" s="228"/>
      <c r="C1304" s="228"/>
      <c r="D1304" s="594"/>
      <c r="E1304" s="594"/>
      <c r="F1304" s="594"/>
      <c r="G1304" s="594"/>
      <c r="H1304" s="594"/>
      <c r="I1304" s="593"/>
      <c r="J1304" s="593"/>
      <c r="K1304" s="593"/>
    </row>
    <row r="1305" spans="2:11">
      <c r="B1305" s="228"/>
      <c r="C1305" s="228"/>
      <c r="D1305" s="594"/>
      <c r="E1305" s="594"/>
      <c r="F1305" s="594"/>
      <c r="G1305" s="594"/>
      <c r="H1305" s="594"/>
      <c r="I1305" s="593"/>
      <c r="J1305" s="593"/>
      <c r="K1305" s="593"/>
    </row>
    <row r="1306" spans="2:11">
      <c r="B1306" s="228"/>
      <c r="C1306" s="228"/>
      <c r="D1306" s="594"/>
      <c r="E1306" s="594"/>
      <c r="F1306" s="594"/>
      <c r="G1306" s="594"/>
      <c r="H1306" s="594"/>
      <c r="I1306" s="593"/>
      <c r="J1306" s="593"/>
      <c r="K1306" s="593"/>
    </row>
    <row r="1307" spans="2:11">
      <c r="B1307" s="228"/>
      <c r="C1307" s="228"/>
      <c r="D1307" s="594"/>
      <c r="E1307" s="594"/>
      <c r="F1307" s="594"/>
      <c r="G1307" s="594"/>
      <c r="H1307" s="594"/>
      <c r="I1307" s="593"/>
      <c r="J1307" s="593"/>
      <c r="K1307" s="593"/>
    </row>
    <row r="1308" spans="2:11">
      <c r="B1308" s="228"/>
      <c r="C1308" s="228"/>
      <c r="D1308" s="594"/>
      <c r="E1308" s="594"/>
      <c r="F1308" s="594"/>
      <c r="G1308" s="594"/>
      <c r="H1308" s="594"/>
      <c r="I1308" s="593"/>
      <c r="J1308" s="593"/>
      <c r="K1308" s="593"/>
    </row>
    <row r="1309" spans="2:11">
      <c r="B1309" s="228"/>
      <c r="C1309" s="228"/>
      <c r="D1309" s="594"/>
      <c r="E1309" s="594"/>
      <c r="F1309" s="594"/>
      <c r="G1309" s="594"/>
      <c r="H1309" s="594"/>
      <c r="I1309" s="593"/>
      <c r="J1309" s="593"/>
      <c r="K1309" s="593"/>
    </row>
    <row r="1310" spans="2:11">
      <c r="B1310" s="228"/>
      <c r="C1310" s="228"/>
      <c r="D1310" s="594"/>
      <c r="E1310" s="594"/>
      <c r="F1310" s="594"/>
      <c r="G1310" s="594"/>
      <c r="H1310" s="594"/>
      <c r="I1310" s="593"/>
      <c r="J1310" s="593"/>
      <c r="K1310" s="593"/>
    </row>
    <row r="1311" spans="2:11">
      <c r="B1311" s="228"/>
      <c r="C1311" s="228"/>
      <c r="D1311" s="594"/>
      <c r="E1311" s="594"/>
      <c r="F1311" s="594"/>
      <c r="G1311" s="594"/>
      <c r="H1311" s="594"/>
      <c r="I1311" s="593"/>
      <c r="J1311" s="593"/>
      <c r="K1311" s="593"/>
    </row>
    <row r="1312" spans="2:11">
      <c r="B1312" s="228"/>
      <c r="C1312" s="228"/>
      <c r="D1312" s="594"/>
      <c r="E1312" s="594"/>
      <c r="F1312" s="594"/>
      <c r="G1312" s="594"/>
      <c r="H1312" s="594"/>
      <c r="I1312" s="593"/>
      <c r="J1312" s="593"/>
      <c r="K1312" s="593"/>
    </row>
    <row r="1313" spans="2:11">
      <c r="B1313" s="228"/>
      <c r="C1313" s="228"/>
      <c r="D1313" s="594"/>
      <c r="E1313" s="594"/>
      <c r="F1313" s="594"/>
      <c r="G1313" s="594"/>
      <c r="H1313" s="594"/>
      <c r="I1313" s="593"/>
      <c r="J1313" s="593"/>
      <c r="K1313" s="593"/>
    </row>
    <row r="1314" spans="2:11">
      <c r="B1314" s="228"/>
      <c r="C1314" s="228"/>
      <c r="D1314" s="594"/>
      <c r="E1314" s="594"/>
      <c r="F1314" s="594"/>
      <c r="G1314" s="594"/>
      <c r="H1314" s="594"/>
      <c r="I1314" s="593"/>
      <c r="J1314" s="593"/>
      <c r="K1314" s="593"/>
    </row>
    <row r="1315" spans="2:11">
      <c r="B1315" s="228"/>
      <c r="C1315" s="228"/>
      <c r="D1315" s="594"/>
      <c r="E1315" s="594"/>
      <c r="F1315" s="594"/>
      <c r="G1315" s="594"/>
      <c r="H1315" s="594"/>
      <c r="I1315" s="593"/>
      <c r="J1315" s="593"/>
      <c r="K1315" s="593"/>
    </row>
    <row r="1316" spans="2:11">
      <c r="B1316" s="228"/>
      <c r="C1316" s="228"/>
      <c r="D1316" s="594"/>
      <c r="E1316" s="594"/>
      <c r="F1316" s="594"/>
      <c r="G1316" s="594"/>
      <c r="H1316" s="594"/>
      <c r="I1316" s="593"/>
      <c r="J1316" s="593"/>
      <c r="K1316" s="593"/>
    </row>
    <row r="1317" spans="2:11">
      <c r="B1317" s="228"/>
      <c r="C1317" s="228"/>
      <c r="D1317" s="594"/>
      <c r="E1317" s="594"/>
      <c r="F1317" s="594"/>
      <c r="G1317" s="594"/>
      <c r="H1317" s="594"/>
      <c r="I1317" s="593"/>
      <c r="J1317" s="593"/>
      <c r="K1317" s="593"/>
    </row>
    <row r="1318" spans="2:11">
      <c r="B1318" s="228"/>
      <c r="C1318" s="228"/>
      <c r="D1318" s="594"/>
      <c r="E1318" s="594"/>
      <c r="F1318" s="594"/>
      <c r="G1318" s="594"/>
      <c r="H1318" s="594"/>
      <c r="I1318" s="593"/>
      <c r="J1318" s="593"/>
      <c r="K1318" s="593"/>
    </row>
    <row r="1319" spans="2:11">
      <c r="B1319" s="228"/>
      <c r="C1319" s="228"/>
      <c r="D1319" s="594"/>
      <c r="E1319" s="594"/>
      <c r="F1319" s="594"/>
      <c r="G1319" s="594"/>
      <c r="H1319" s="594"/>
      <c r="I1319" s="593"/>
      <c r="J1319" s="593"/>
      <c r="K1319" s="593"/>
    </row>
    <row r="1320" spans="2:11">
      <c r="B1320" s="228"/>
      <c r="C1320" s="228"/>
      <c r="D1320" s="594"/>
      <c r="E1320" s="594"/>
      <c r="F1320" s="594"/>
      <c r="G1320" s="594"/>
      <c r="H1320" s="594"/>
      <c r="I1320" s="593"/>
      <c r="J1320" s="593"/>
      <c r="K1320" s="593"/>
    </row>
    <row r="1321" spans="2:11">
      <c r="B1321" s="228"/>
      <c r="C1321" s="228"/>
      <c r="D1321" s="594"/>
      <c r="E1321" s="594"/>
      <c r="F1321" s="594"/>
      <c r="G1321" s="594"/>
      <c r="H1321" s="594"/>
      <c r="I1321" s="593"/>
      <c r="J1321" s="593"/>
      <c r="K1321" s="593"/>
    </row>
    <row r="1322" spans="2:11">
      <c r="B1322" s="228"/>
      <c r="C1322" s="228"/>
      <c r="D1322" s="594"/>
      <c r="E1322" s="594"/>
      <c r="F1322" s="594"/>
      <c r="G1322" s="594"/>
      <c r="H1322" s="594"/>
      <c r="I1322" s="593"/>
      <c r="J1322" s="593"/>
      <c r="K1322" s="593"/>
    </row>
    <row r="1323" spans="2:11">
      <c r="B1323" s="228"/>
      <c r="C1323" s="228"/>
      <c r="D1323" s="594"/>
      <c r="E1323" s="594"/>
      <c r="F1323" s="594"/>
      <c r="G1323" s="594"/>
      <c r="H1323" s="594"/>
      <c r="I1323" s="593"/>
      <c r="J1323" s="593"/>
      <c r="K1323" s="593"/>
    </row>
    <row r="1324" spans="2:11">
      <c r="B1324" s="228"/>
      <c r="C1324" s="228"/>
      <c r="D1324" s="594"/>
      <c r="E1324" s="594"/>
      <c r="F1324" s="594"/>
      <c r="G1324" s="594"/>
      <c r="H1324" s="594"/>
      <c r="I1324" s="593"/>
      <c r="J1324" s="593"/>
      <c r="K1324" s="593"/>
    </row>
    <row r="1325" spans="2:11">
      <c r="B1325" s="228"/>
      <c r="C1325" s="228"/>
      <c r="D1325" s="594"/>
      <c r="E1325" s="594"/>
      <c r="F1325" s="594"/>
      <c r="G1325" s="594"/>
      <c r="H1325" s="594"/>
      <c r="I1325" s="593"/>
      <c r="J1325" s="593"/>
      <c r="K1325" s="593"/>
    </row>
    <row r="1326" spans="2:11">
      <c r="B1326" s="228"/>
      <c r="C1326" s="228"/>
      <c r="D1326" s="594"/>
      <c r="E1326" s="594"/>
      <c r="F1326" s="594"/>
      <c r="G1326" s="594"/>
      <c r="H1326" s="594"/>
      <c r="I1326" s="593"/>
      <c r="J1326" s="593"/>
      <c r="K1326" s="593"/>
    </row>
    <row r="1327" spans="2:11">
      <c r="B1327" s="228"/>
      <c r="C1327" s="228"/>
      <c r="D1327" s="594"/>
      <c r="E1327" s="594"/>
      <c r="F1327" s="594"/>
      <c r="G1327" s="594"/>
      <c r="H1327" s="594"/>
      <c r="I1327" s="593"/>
      <c r="J1327" s="593"/>
      <c r="K1327" s="593"/>
    </row>
    <row r="1328" spans="2:11">
      <c r="B1328" s="228"/>
      <c r="C1328" s="228"/>
      <c r="D1328" s="594"/>
      <c r="E1328" s="594"/>
      <c r="F1328" s="594"/>
      <c r="G1328" s="594"/>
      <c r="H1328" s="594"/>
      <c r="I1328" s="593"/>
      <c r="J1328" s="593"/>
      <c r="K1328" s="593"/>
    </row>
    <row r="1329" spans="2:11">
      <c r="B1329" s="228"/>
      <c r="C1329" s="228"/>
      <c r="D1329" s="594"/>
      <c r="E1329" s="594"/>
      <c r="F1329" s="594"/>
      <c r="G1329" s="594"/>
      <c r="H1329" s="594"/>
      <c r="I1329" s="593"/>
      <c r="J1329" s="593"/>
      <c r="K1329" s="593"/>
    </row>
    <row r="1330" spans="2:11">
      <c r="B1330" s="228"/>
      <c r="C1330" s="228"/>
      <c r="D1330" s="594"/>
      <c r="E1330" s="594"/>
      <c r="F1330" s="594"/>
      <c r="G1330" s="594"/>
      <c r="H1330" s="594"/>
      <c r="I1330" s="593"/>
      <c r="J1330" s="593"/>
      <c r="K1330" s="593"/>
    </row>
    <row r="1331" spans="2:11">
      <c r="B1331" s="228"/>
      <c r="C1331" s="228"/>
      <c r="D1331" s="594"/>
      <c r="E1331" s="594"/>
      <c r="F1331" s="594"/>
      <c r="G1331" s="594"/>
      <c r="H1331" s="594"/>
      <c r="I1331" s="593"/>
      <c r="J1331" s="593"/>
      <c r="K1331" s="593"/>
    </row>
    <row r="1332" spans="2:11">
      <c r="B1332" s="228"/>
      <c r="C1332" s="228"/>
      <c r="D1332" s="594"/>
      <c r="E1332" s="594"/>
      <c r="F1332" s="594"/>
      <c r="G1332" s="594"/>
      <c r="H1332" s="594"/>
      <c r="I1332" s="593"/>
      <c r="J1332" s="593"/>
      <c r="K1332" s="593"/>
    </row>
    <row r="1333" spans="2:11">
      <c r="B1333" s="228"/>
      <c r="C1333" s="228"/>
      <c r="D1333" s="594"/>
      <c r="E1333" s="594"/>
      <c r="F1333" s="594"/>
      <c r="G1333" s="594"/>
      <c r="H1333" s="594"/>
      <c r="I1333" s="593"/>
      <c r="J1333" s="593"/>
      <c r="K1333" s="593"/>
    </row>
    <row r="1334" spans="2:11">
      <c r="B1334" s="228"/>
      <c r="C1334" s="228"/>
      <c r="D1334" s="594"/>
      <c r="E1334" s="594"/>
      <c r="F1334" s="594"/>
      <c r="G1334" s="594"/>
      <c r="H1334" s="594"/>
      <c r="I1334" s="593"/>
      <c r="J1334" s="593"/>
      <c r="K1334" s="593"/>
    </row>
    <row r="1335" spans="2:11">
      <c r="B1335" s="228"/>
      <c r="C1335" s="228"/>
      <c r="D1335" s="594"/>
      <c r="E1335" s="594"/>
      <c r="F1335" s="594"/>
      <c r="G1335" s="594"/>
      <c r="H1335" s="594"/>
      <c r="I1335" s="593"/>
      <c r="J1335" s="593"/>
      <c r="K1335" s="593"/>
    </row>
    <row r="1336" spans="2:11">
      <c r="B1336" s="228"/>
      <c r="C1336" s="228"/>
      <c r="D1336" s="594"/>
      <c r="E1336" s="594"/>
      <c r="F1336" s="594"/>
      <c r="G1336" s="594"/>
      <c r="H1336" s="594"/>
      <c r="I1336" s="593"/>
      <c r="J1336" s="593"/>
      <c r="K1336" s="593"/>
    </row>
    <row r="1337" spans="2:11">
      <c r="B1337" s="228"/>
      <c r="C1337" s="228"/>
      <c r="D1337" s="594"/>
      <c r="E1337" s="594"/>
      <c r="F1337" s="594"/>
      <c r="G1337" s="594"/>
      <c r="H1337" s="594"/>
      <c r="I1337" s="593"/>
      <c r="J1337" s="593"/>
      <c r="K1337" s="593"/>
    </row>
    <row r="1338" spans="2:11">
      <c r="B1338" s="228"/>
      <c r="C1338" s="228"/>
      <c r="D1338" s="594"/>
      <c r="E1338" s="594"/>
      <c r="F1338" s="594"/>
      <c r="G1338" s="594"/>
      <c r="H1338" s="594"/>
      <c r="I1338" s="593"/>
      <c r="J1338" s="593"/>
      <c r="K1338" s="593"/>
    </row>
    <row r="1339" spans="2:11">
      <c r="B1339" s="228"/>
      <c r="C1339" s="228"/>
      <c r="D1339" s="594"/>
      <c r="E1339" s="594"/>
      <c r="F1339" s="594"/>
      <c r="G1339" s="594"/>
      <c r="H1339" s="594"/>
      <c r="I1339" s="593"/>
      <c r="J1339" s="593"/>
      <c r="K1339" s="593"/>
    </row>
    <row r="1340" spans="2:11">
      <c r="B1340" s="228"/>
      <c r="C1340" s="228"/>
      <c r="D1340" s="594"/>
      <c r="E1340" s="594"/>
      <c r="F1340" s="594"/>
      <c r="G1340" s="594"/>
      <c r="H1340" s="594"/>
      <c r="I1340" s="593"/>
      <c r="J1340" s="593"/>
      <c r="K1340" s="593"/>
    </row>
    <row r="1341" spans="2:11">
      <c r="B1341" s="228"/>
      <c r="C1341" s="228"/>
      <c r="D1341" s="594"/>
      <c r="E1341" s="594"/>
      <c r="F1341" s="594"/>
      <c r="G1341" s="594"/>
      <c r="H1341" s="594"/>
      <c r="I1341" s="593"/>
      <c r="J1341" s="593"/>
      <c r="K1341" s="593"/>
    </row>
    <row r="1342" spans="2:11">
      <c r="B1342" s="228"/>
      <c r="C1342" s="228"/>
      <c r="D1342" s="594"/>
      <c r="E1342" s="594"/>
      <c r="F1342" s="594"/>
      <c r="G1342" s="594"/>
      <c r="H1342" s="594"/>
      <c r="I1342" s="593"/>
      <c r="J1342" s="593"/>
      <c r="K1342" s="593"/>
    </row>
    <row r="1343" spans="2:11">
      <c r="B1343" s="228"/>
      <c r="C1343" s="228"/>
      <c r="D1343" s="594"/>
      <c r="E1343" s="594"/>
      <c r="F1343" s="594"/>
      <c r="G1343" s="594"/>
      <c r="H1343" s="594"/>
      <c r="I1343" s="593"/>
      <c r="J1343" s="593"/>
      <c r="K1343" s="593"/>
    </row>
    <row r="1344" spans="2:11">
      <c r="B1344" s="228"/>
      <c r="C1344" s="228"/>
      <c r="D1344" s="594"/>
      <c r="E1344" s="594"/>
      <c r="F1344" s="594"/>
      <c r="G1344" s="594"/>
      <c r="H1344" s="594"/>
      <c r="I1344" s="593"/>
      <c r="J1344" s="593"/>
      <c r="K1344" s="593"/>
    </row>
    <row r="1345" spans="2:11">
      <c r="B1345" s="228"/>
      <c r="C1345" s="228"/>
      <c r="D1345" s="594"/>
      <c r="E1345" s="594"/>
      <c r="F1345" s="594"/>
      <c r="G1345" s="594"/>
      <c r="H1345" s="594"/>
      <c r="I1345" s="593"/>
      <c r="J1345" s="593"/>
      <c r="K1345" s="593"/>
    </row>
    <row r="1346" spans="2:11">
      <c r="B1346" s="228"/>
      <c r="C1346" s="228"/>
      <c r="D1346" s="594"/>
      <c r="E1346" s="594"/>
      <c r="F1346" s="594"/>
      <c r="G1346" s="594"/>
      <c r="H1346" s="594"/>
      <c r="I1346" s="593"/>
      <c r="J1346" s="593"/>
      <c r="K1346" s="593"/>
    </row>
    <row r="1347" spans="2:11">
      <c r="B1347" s="228"/>
      <c r="C1347" s="228"/>
      <c r="D1347" s="594"/>
      <c r="E1347" s="594"/>
      <c r="F1347" s="594"/>
      <c r="G1347" s="594"/>
      <c r="H1347" s="594"/>
      <c r="I1347" s="593"/>
      <c r="J1347" s="593"/>
      <c r="K1347" s="593"/>
    </row>
    <row r="1348" spans="2:11">
      <c r="B1348" s="228"/>
      <c r="C1348" s="228"/>
      <c r="D1348" s="594"/>
      <c r="E1348" s="594"/>
      <c r="F1348" s="594"/>
      <c r="G1348" s="594"/>
      <c r="H1348" s="594"/>
      <c r="I1348" s="593"/>
      <c r="J1348" s="593"/>
      <c r="K1348" s="593"/>
    </row>
    <row r="1349" spans="2:11">
      <c r="B1349" s="228"/>
      <c r="C1349" s="228"/>
      <c r="D1349" s="594"/>
      <c r="E1349" s="594"/>
      <c r="F1349" s="594"/>
      <c r="G1349" s="594"/>
      <c r="H1349" s="594"/>
      <c r="I1349" s="593"/>
      <c r="J1349" s="593"/>
      <c r="K1349" s="593"/>
    </row>
    <row r="1350" spans="2:11">
      <c r="B1350" s="228"/>
      <c r="C1350" s="228"/>
      <c r="D1350" s="594"/>
      <c r="E1350" s="594"/>
      <c r="F1350" s="594"/>
      <c r="G1350" s="594"/>
      <c r="H1350" s="594"/>
      <c r="I1350" s="593"/>
      <c r="J1350" s="593"/>
      <c r="K1350" s="593"/>
    </row>
    <row r="1351" spans="2:11">
      <c r="B1351" s="228"/>
      <c r="C1351" s="228"/>
      <c r="D1351" s="594"/>
      <c r="E1351" s="594"/>
      <c r="F1351" s="594"/>
      <c r="G1351" s="594"/>
      <c r="H1351" s="594"/>
      <c r="I1351" s="593"/>
      <c r="J1351" s="593"/>
      <c r="K1351" s="593"/>
    </row>
    <row r="1352" spans="2:11">
      <c r="B1352" s="228"/>
      <c r="C1352" s="228"/>
      <c r="D1352" s="594"/>
      <c r="E1352" s="594"/>
      <c r="F1352" s="594"/>
      <c r="G1352" s="594"/>
      <c r="H1352" s="594"/>
      <c r="I1352" s="593"/>
      <c r="J1352" s="593"/>
      <c r="K1352" s="593"/>
    </row>
    <row r="1353" spans="2:11">
      <c r="B1353" s="228"/>
      <c r="C1353" s="228"/>
      <c r="D1353" s="594"/>
      <c r="E1353" s="594"/>
      <c r="F1353" s="594"/>
      <c r="G1353" s="594"/>
      <c r="H1353" s="594"/>
      <c r="I1353" s="593"/>
      <c r="J1353" s="593"/>
      <c r="K1353" s="593"/>
    </row>
    <row r="1354" spans="2:11">
      <c r="B1354" s="228"/>
      <c r="C1354" s="228"/>
      <c r="D1354" s="594"/>
      <c r="E1354" s="594"/>
      <c r="F1354" s="594"/>
      <c r="G1354" s="594"/>
      <c r="H1354" s="594"/>
      <c r="I1354" s="593"/>
      <c r="J1354" s="593"/>
      <c r="K1354" s="593"/>
    </row>
    <row r="1355" spans="2:11">
      <c r="B1355" s="228"/>
      <c r="C1355" s="228"/>
      <c r="D1355" s="594"/>
      <c r="E1355" s="594"/>
      <c r="F1355" s="594"/>
      <c r="G1355" s="594"/>
      <c r="H1355" s="594"/>
      <c r="I1355" s="593"/>
      <c r="J1355" s="593"/>
      <c r="K1355" s="593"/>
    </row>
    <row r="1356" spans="2:11">
      <c r="B1356" s="228"/>
      <c r="C1356" s="228"/>
      <c r="D1356" s="594"/>
      <c r="E1356" s="594"/>
      <c r="F1356" s="594"/>
      <c r="G1356" s="594"/>
      <c r="H1356" s="594"/>
      <c r="I1356" s="593"/>
      <c r="J1356" s="593"/>
      <c r="K1356" s="593"/>
    </row>
    <row r="1357" spans="2:11">
      <c r="B1357" s="228"/>
      <c r="C1357" s="228"/>
      <c r="D1357" s="594"/>
      <c r="E1357" s="594"/>
      <c r="F1357" s="594"/>
      <c r="G1357" s="594"/>
      <c r="H1357" s="594"/>
      <c r="I1357" s="593"/>
      <c r="J1357" s="593"/>
      <c r="K1357" s="593"/>
    </row>
    <row r="1358" spans="2:11">
      <c r="B1358" s="228"/>
      <c r="C1358" s="228"/>
      <c r="D1358" s="594"/>
      <c r="E1358" s="594"/>
      <c r="F1358" s="594"/>
      <c r="G1358" s="594"/>
      <c r="H1358" s="594"/>
      <c r="I1358" s="593"/>
      <c r="J1358" s="593"/>
      <c r="K1358" s="593"/>
    </row>
    <row r="1359" spans="2:11">
      <c r="B1359" s="228"/>
      <c r="C1359" s="228"/>
      <c r="D1359" s="594"/>
      <c r="E1359" s="594"/>
      <c r="F1359" s="594"/>
      <c r="G1359" s="594"/>
      <c r="H1359" s="594"/>
      <c r="I1359" s="593"/>
      <c r="J1359" s="593"/>
      <c r="K1359" s="593"/>
    </row>
    <row r="1360" spans="2:11">
      <c r="B1360" s="228"/>
      <c r="C1360" s="228"/>
      <c r="D1360" s="594"/>
      <c r="E1360" s="594"/>
      <c r="F1360" s="594"/>
      <c r="G1360" s="594"/>
      <c r="H1360" s="594"/>
      <c r="I1360" s="593"/>
      <c r="J1360" s="593"/>
      <c r="K1360" s="593"/>
    </row>
    <row r="1361" spans="2:11">
      <c r="B1361" s="228"/>
      <c r="C1361" s="228"/>
      <c r="D1361" s="594"/>
      <c r="E1361" s="594"/>
      <c r="F1361" s="594"/>
      <c r="G1361" s="594"/>
      <c r="H1361" s="594"/>
      <c r="I1361" s="593"/>
      <c r="J1361" s="593"/>
      <c r="K1361" s="593"/>
    </row>
    <row r="1362" spans="2:11">
      <c r="B1362" s="228"/>
      <c r="C1362" s="228"/>
      <c r="D1362" s="594"/>
      <c r="E1362" s="594"/>
      <c r="F1362" s="594"/>
      <c r="G1362" s="594"/>
      <c r="H1362" s="594"/>
      <c r="I1362" s="593"/>
      <c r="J1362" s="593"/>
      <c r="K1362" s="593"/>
    </row>
    <row r="1363" spans="2:11">
      <c r="B1363" s="228"/>
      <c r="C1363" s="228"/>
      <c r="D1363" s="594"/>
      <c r="E1363" s="594"/>
      <c r="F1363" s="594"/>
      <c r="G1363" s="594"/>
      <c r="H1363" s="594"/>
      <c r="I1363" s="593"/>
      <c r="J1363" s="593"/>
      <c r="K1363" s="593"/>
    </row>
    <row r="1364" spans="2:11">
      <c r="B1364" s="228"/>
      <c r="C1364" s="228"/>
      <c r="D1364" s="594"/>
      <c r="E1364" s="594"/>
      <c r="F1364" s="594"/>
      <c r="G1364" s="594"/>
      <c r="H1364" s="594"/>
      <c r="I1364" s="593"/>
      <c r="J1364" s="593"/>
      <c r="K1364" s="593"/>
    </row>
    <row r="1365" spans="2:11">
      <c r="B1365" s="228"/>
      <c r="C1365" s="228"/>
      <c r="D1365" s="594"/>
      <c r="E1365" s="594"/>
      <c r="F1365" s="594"/>
      <c r="G1365" s="594"/>
      <c r="H1365" s="594"/>
      <c r="I1365" s="593"/>
      <c r="J1365" s="593"/>
      <c r="K1365" s="593"/>
    </row>
    <row r="1366" spans="2:11">
      <c r="B1366" s="228"/>
      <c r="C1366" s="228"/>
      <c r="D1366" s="594"/>
      <c r="E1366" s="594"/>
      <c r="F1366" s="594"/>
      <c r="G1366" s="594"/>
      <c r="H1366" s="594"/>
      <c r="I1366" s="593"/>
      <c r="J1366" s="593"/>
      <c r="K1366" s="593"/>
    </row>
    <row r="1367" spans="2:11">
      <c r="B1367" s="228"/>
      <c r="C1367" s="228"/>
      <c r="D1367" s="594"/>
      <c r="E1367" s="594"/>
      <c r="F1367" s="594"/>
      <c r="G1367" s="594"/>
      <c r="H1367" s="594"/>
      <c r="I1367" s="593"/>
      <c r="J1367" s="593"/>
      <c r="K1367" s="593"/>
    </row>
    <row r="1368" spans="2:11">
      <c r="B1368" s="228"/>
      <c r="C1368" s="228"/>
      <c r="D1368" s="594"/>
      <c r="E1368" s="594"/>
      <c r="F1368" s="594"/>
      <c r="G1368" s="594"/>
      <c r="H1368" s="594"/>
      <c r="I1368" s="593"/>
      <c r="J1368" s="593"/>
      <c r="K1368" s="593"/>
    </row>
    <row r="1369" spans="2:11">
      <c r="B1369" s="228"/>
      <c r="C1369" s="228"/>
      <c r="D1369" s="594"/>
      <c r="E1369" s="594"/>
      <c r="F1369" s="594"/>
      <c r="G1369" s="594"/>
      <c r="H1369" s="594"/>
      <c r="I1369" s="593"/>
      <c r="J1369" s="593"/>
      <c r="K1369" s="593"/>
    </row>
    <row r="1370" spans="2:11">
      <c r="B1370" s="228"/>
      <c r="C1370" s="228"/>
      <c r="D1370" s="594"/>
      <c r="E1370" s="594"/>
      <c r="F1370" s="594"/>
      <c r="G1370" s="594"/>
      <c r="H1370" s="594"/>
      <c r="I1370" s="593"/>
      <c r="J1370" s="593"/>
      <c r="K1370" s="593"/>
    </row>
    <row r="1371" spans="2:11">
      <c r="B1371" s="228"/>
      <c r="C1371" s="228"/>
      <c r="D1371" s="594"/>
      <c r="E1371" s="594"/>
      <c r="F1371" s="594"/>
      <c r="G1371" s="594"/>
      <c r="H1371" s="594"/>
      <c r="I1371" s="593"/>
      <c r="J1371" s="593"/>
      <c r="K1371" s="593"/>
    </row>
    <row r="1372" spans="2:11">
      <c r="B1372" s="228"/>
      <c r="C1372" s="228"/>
      <c r="D1372" s="594"/>
      <c r="E1372" s="594"/>
      <c r="F1372" s="594"/>
      <c r="G1372" s="594"/>
      <c r="H1372" s="594"/>
      <c r="I1372" s="593"/>
      <c r="J1372" s="593"/>
      <c r="K1372" s="593"/>
    </row>
    <row r="1373" spans="2:11">
      <c r="B1373" s="228"/>
      <c r="C1373" s="228"/>
      <c r="D1373" s="594"/>
      <c r="E1373" s="594"/>
      <c r="F1373" s="594"/>
      <c r="G1373" s="594"/>
      <c r="H1373" s="594"/>
      <c r="I1373" s="593"/>
      <c r="J1373" s="593"/>
      <c r="K1373" s="593"/>
    </row>
    <row r="1374" spans="2:11">
      <c r="B1374" s="228"/>
      <c r="C1374" s="228"/>
      <c r="D1374" s="594"/>
      <c r="E1374" s="594"/>
      <c r="F1374" s="594"/>
      <c r="G1374" s="594"/>
      <c r="H1374" s="594"/>
      <c r="I1374" s="593"/>
      <c r="J1374" s="593"/>
      <c r="K1374" s="593"/>
    </row>
    <row r="1375" spans="2:11">
      <c r="B1375" s="228"/>
      <c r="C1375" s="228"/>
      <c r="D1375" s="594"/>
      <c r="E1375" s="594"/>
      <c r="F1375" s="594"/>
      <c r="G1375" s="594"/>
      <c r="H1375" s="594"/>
      <c r="I1375" s="593"/>
      <c r="J1375" s="593"/>
      <c r="K1375" s="593"/>
    </row>
    <row r="1376" spans="2:11">
      <c r="B1376" s="228"/>
      <c r="C1376" s="228"/>
      <c r="D1376" s="594"/>
      <c r="E1376" s="594"/>
      <c r="F1376" s="594"/>
      <c r="G1376" s="594"/>
      <c r="H1376" s="594"/>
      <c r="I1376" s="593"/>
      <c r="J1376" s="593"/>
      <c r="K1376" s="593"/>
    </row>
    <row r="1377" spans="2:11">
      <c r="B1377" s="228"/>
      <c r="C1377" s="228"/>
      <c r="D1377" s="594"/>
      <c r="E1377" s="594"/>
      <c r="F1377" s="594"/>
      <c r="G1377" s="594"/>
      <c r="H1377" s="594"/>
      <c r="I1377" s="593"/>
      <c r="J1377" s="593"/>
      <c r="K1377" s="593"/>
    </row>
    <row r="1378" spans="2:11">
      <c r="B1378" s="228"/>
      <c r="C1378" s="228"/>
      <c r="D1378" s="594"/>
      <c r="E1378" s="594"/>
      <c r="F1378" s="594"/>
      <c r="G1378" s="594"/>
      <c r="H1378" s="594"/>
      <c r="I1378" s="593"/>
      <c r="J1378" s="593"/>
      <c r="K1378" s="593"/>
    </row>
    <row r="1379" spans="2:11">
      <c r="B1379" s="228"/>
      <c r="C1379" s="228"/>
      <c r="D1379" s="594"/>
      <c r="E1379" s="594"/>
      <c r="F1379" s="594"/>
      <c r="G1379" s="594"/>
      <c r="H1379" s="594"/>
      <c r="I1379" s="593"/>
      <c r="J1379" s="593"/>
      <c r="K1379" s="593"/>
    </row>
    <row r="1380" spans="2:11">
      <c r="B1380" s="228"/>
      <c r="C1380" s="228"/>
      <c r="D1380" s="594"/>
      <c r="E1380" s="594"/>
      <c r="F1380" s="594"/>
      <c r="G1380" s="594"/>
      <c r="H1380" s="594"/>
      <c r="I1380" s="593"/>
      <c r="J1380" s="593"/>
      <c r="K1380" s="593"/>
    </row>
    <row r="1381" spans="2:11">
      <c r="B1381" s="228"/>
      <c r="C1381" s="228"/>
      <c r="D1381" s="594"/>
      <c r="E1381" s="594"/>
      <c r="F1381" s="594"/>
      <c r="G1381" s="594"/>
      <c r="H1381" s="594"/>
      <c r="I1381" s="593"/>
      <c r="J1381" s="593"/>
      <c r="K1381" s="593"/>
    </row>
    <row r="1382" spans="2:11">
      <c r="B1382" s="228"/>
      <c r="C1382" s="228"/>
      <c r="D1382" s="594"/>
      <c r="E1382" s="594"/>
      <c r="F1382" s="594"/>
      <c r="G1382" s="594"/>
      <c r="H1382" s="594"/>
      <c r="I1382" s="593"/>
      <c r="J1382" s="593"/>
      <c r="K1382" s="593"/>
    </row>
    <row r="1383" spans="2:11">
      <c r="B1383" s="228"/>
      <c r="C1383" s="228"/>
      <c r="D1383" s="594"/>
      <c r="E1383" s="594"/>
      <c r="F1383" s="594"/>
      <c r="G1383" s="594"/>
      <c r="H1383" s="594"/>
      <c r="I1383" s="593"/>
      <c r="J1383" s="593"/>
      <c r="K1383" s="593"/>
    </row>
    <row r="1384" spans="2:11">
      <c r="B1384" s="228"/>
      <c r="C1384" s="228"/>
      <c r="D1384" s="594"/>
      <c r="E1384" s="594"/>
      <c r="F1384" s="594"/>
      <c r="G1384" s="594"/>
      <c r="H1384" s="594"/>
      <c r="I1384" s="593"/>
      <c r="J1384" s="593"/>
      <c r="K1384" s="593"/>
    </row>
    <row r="1385" spans="2:11">
      <c r="B1385" s="228"/>
      <c r="C1385" s="228"/>
      <c r="D1385" s="594"/>
      <c r="E1385" s="594"/>
      <c r="F1385" s="594"/>
      <c r="G1385" s="594"/>
      <c r="H1385" s="594"/>
      <c r="I1385" s="593"/>
      <c r="J1385" s="593"/>
      <c r="K1385" s="593"/>
    </row>
    <row r="1386" spans="2:11">
      <c r="B1386" s="228"/>
      <c r="C1386" s="228"/>
      <c r="D1386" s="594"/>
      <c r="E1386" s="594"/>
      <c r="F1386" s="594"/>
      <c r="G1386" s="594"/>
      <c r="H1386" s="594"/>
      <c r="I1386" s="593"/>
      <c r="J1386" s="593"/>
      <c r="K1386" s="593"/>
    </row>
    <row r="1387" spans="2:11">
      <c r="B1387" s="228"/>
      <c r="C1387" s="228"/>
      <c r="D1387" s="594"/>
      <c r="E1387" s="594"/>
      <c r="F1387" s="594"/>
      <c r="G1387" s="594"/>
      <c r="H1387" s="594"/>
      <c r="I1387" s="593"/>
      <c r="J1387" s="593"/>
      <c r="K1387" s="593"/>
    </row>
    <row r="1388" spans="2:11">
      <c r="B1388" s="228"/>
      <c r="C1388" s="228"/>
      <c r="D1388" s="594"/>
      <c r="E1388" s="594"/>
      <c r="F1388" s="594"/>
      <c r="G1388" s="594"/>
      <c r="H1388" s="594"/>
      <c r="I1388" s="593"/>
      <c r="J1388" s="593"/>
      <c r="K1388" s="593"/>
    </row>
    <row r="1389" spans="2:11">
      <c r="B1389" s="228"/>
      <c r="C1389" s="228"/>
      <c r="D1389" s="594"/>
      <c r="E1389" s="594"/>
      <c r="F1389" s="594"/>
      <c r="G1389" s="594"/>
      <c r="H1389" s="594"/>
      <c r="I1389" s="593"/>
      <c r="J1389" s="593"/>
      <c r="K1389" s="593"/>
    </row>
    <row r="1390" spans="2:11">
      <c r="B1390" s="228"/>
      <c r="C1390" s="228"/>
      <c r="D1390" s="594"/>
      <c r="E1390" s="594"/>
      <c r="F1390" s="594"/>
      <c r="G1390" s="594"/>
      <c r="H1390" s="594"/>
      <c r="I1390" s="593"/>
      <c r="J1390" s="593"/>
      <c r="K1390" s="593"/>
    </row>
    <row r="1391" spans="2:11">
      <c r="B1391" s="228"/>
      <c r="C1391" s="228"/>
      <c r="D1391" s="594"/>
      <c r="E1391" s="594"/>
      <c r="F1391" s="594"/>
      <c r="G1391" s="594"/>
      <c r="H1391" s="594"/>
      <c r="I1391" s="593"/>
      <c r="J1391" s="593"/>
      <c r="K1391" s="593"/>
    </row>
    <row r="1392" spans="2:11">
      <c r="B1392" s="228"/>
      <c r="C1392" s="228"/>
      <c r="D1392" s="594"/>
      <c r="E1392" s="594"/>
      <c r="F1392" s="594"/>
      <c r="G1392" s="594"/>
      <c r="H1392" s="594"/>
      <c r="I1392" s="593"/>
      <c r="J1392" s="593"/>
      <c r="K1392" s="593"/>
    </row>
    <row r="1393" spans="2:11">
      <c r="B1393" s="228"/>
      <c r="C1393" s="228"/>
      <c r="D1393" s="594"/>
      <c r="E1393" s="594"/>
      <c r="F1393" s="594"/>
      <c r="G1393" s="594"/>
      <c r="H1393" s="594"/>
      <c r="I1393" s="593"/>
      <c r="J1393" s="593"/>
      <c r="K1393" s="593"/>
    </row>
    <row r="1394" spans="2:11">
      <c r="B1394" s="228"/>
      <c r="C1394" s="228"/>
      <c r="D1394" s="594"/>
      <c r="E1394" s="594"/>
      <c r="F1394" s="594"/>
      <c r="G1394" s="594"/>
      <c r="H1394" s="594"/>
      <c r="I1394" s="593"/>
      <c r="J1394" s="593"/>
      <c r="K1394" s="593"/>
    </row>
    <row r="1395" spans="2:11">
      <c r="B1395" s="228"/>
      <c r="C1395" s="228"/>
      <c r="D1395" s="594"/>
      <c r="E1395" s="594"/>
      <c r="F1395" s="594"/>
      <c r="G1395" s="594"/>
      <c r="H1395" s="594"/>
      <c r="I1395" s="593"/>
      <c r="J1395" s="593"/>
      <c r="K1395" s="593"/>
    </row>
    <row r="1396" spans="2:11">
      <c r="B1396" s="228"/>
      <c r="C1396" s="228"/>
      <c r="D1396" s="594"/>
      <c r="E1396" s="594"/>
      <c r="F1396" s="594"/>
      <c r="G1396" s="594"/>
      <c r="H1396" s="594"/>
      <c r="I1396" s="593"/>
      <c r="J1396" s="593"/>
      <c r="K1396" s="593"/>
    </row>
    <row r="1397" spans="2:11">
      <c r="B1397" s="228"/>
      <c r="C1397" s="228"/>
      <c r="D1397" s="594"/>
      <c r="E1397" s="594"/>
      <c r="F1397" s="594"/>
      <c r="G1397" s="594"/>
      <c r="H1397" s="594"/>
      <c r="I1397" s="593"/>
      <c r="J1397" s="593"/>
      <c r="K1397" s="593"/>
    </row>
    <row r="1398" spans="2:11">
      <c r="B1398" s="228"/>
      <c r="C1398" s="228"/>
      <c r="D1398" s="594"/>
      <c r="E1398" s="594"/>
      <c r="F1398" s="594"/>
      <c r="G1398" s="594"/>
      <c r="H1398" s="594"/>
      <c r="I1398" s="593"/>
      <c r="J1398" s="593"/>
      <c r="K1398" s="593"/>
    </row>
    <row r="1399" spans="2:11">
      <c r="B1399" s="228"/>
      <c r="C1399" s="228"/>
      <c r="D1399" s="594"/>
      <c r="E1399" s="594"/>
      <c r="F1399" s="594"/>
      <c r="G1399" s="594"/>
      <c r="H1399" s="594"/>
      <c r="I1399" s="593"/>
      <c r="J1399" s="593"/>
      <c r="K1399" s="593"/>
    </row>
    <row r="1400" spans="2:11">
      <c r="B1400" s="228"/>
      <c r="C1400" s="228"/>
      <c r="D1400" s="594"/>
      <c r="E1400" s="594"/>
      <c r="F1400" s="594"/>
      <c r="G1400" s="594"/>
      <c r="H1400" s="594"/>
      <c r="I1400" s="593"/>
      <c r="J1400" s="593"/>
      <c r="K1400" s="593"/>
    </row>
    <row r="1401" spans="2:11">
      <c r="B1401" s="228"/>
      <c r="C1401" s="228"/>
      <c r="D1401" s="594"/>
      <c r="E1401" s="594"/>
      <c r="F1401" s="594"/>
      <c r="G1401" s="594"/>
      <c r="H1401" s="594"/>
      <c r="I1401" s="593"/>
      <c r="J1401" s="593"/>
      <c r="K1401" s="593"/>
    </row>
    <row r="1402" spans="2:11">
      <c r="B1402" s="228"/>
      <c r="C1402" s="228"/>
      <c r="D1402" s="594"/>
      <c r="E1402" s="594"/>
      <c r="F1402" s="594"/>
      <c r="G1402" s="594"/>
      <c r="H1402" s="594"/>
      <c r="I1402" s="593"/>
      <c r="J1402" s="593"/>
      <c r="K1402" s="593"/>
    </row>
    <row r="1403" spans="2:11">
      <c r="B1403" s="228"/>
      <c r="C1403" s="228"/>
      <c r="D1403" s="594"/>
      <c r="E1403" s="594"/>
      <c r="F1403" s="594"/>
      <c r="G1403" s="594"/>
      <c r="H1403" s="594"/>
      <c r="I1403" s="593"/>
      <c r="J1403" s="593"/>
      <c r="K1403" s="593"/>
    </row>
    <row r="1404" spans="2:11">
      <c r="B1404" s="228"/>
      <c r="C1404" s="228"/>
      <c r="D1404" s="594"/>
      <c r="E1404" s="594"/>
      <c r="F1404" s="594"/>
      <c r="G1404" s="594"/>
      <c r="H1404" s="594"/>
      <c r="I1404" s="593"/>
      <c r="J1404" s="593"/>
      <c r="K1404" s="593"/>
    </row>
    <row r="1405" spans="2:11">
      <c r="B1405" s="228"/>
      <c r="C1405" s="228"/>
      <c r="D1405" s="594"/>
      <c r="E1405" s="594"/>
      <c r="F1405" s="594"/>
      <c r="G1405" s="594"/>
      <c r="H1405" s="594"/>
      <c r="I1405" s="593"/>
      <c r="J1405" s="593"/>
      <c r="K1405" s="593"/>
    </row>
    <row r="1406" spans="2:11">
      <c r="B1406" s="228"/>
      <c r="C1406" s="228"/>
      <c r="D1406" s="594"/>
      <c r="E1406" s="594"/>
      <c r="F1406" s="594"/>
      <c r="G1406" s="594"/>
      <c r="H1406" s="594"/>
      <c r="I1406" s="593"/>
      <c r="J1406" s="593"/>
      <c r="K1406" s="593"/>
    </row>
    <row r="1407" spans="2:11">
      <c r="B1407" s="228"/>
      <c r="C1407" s="228"/>
      <c r="D1407" s="594"/>
      <c r="E1407" s="594"/>
      <c r="F1407" s="594"/>
      <c r="G1407" s="594"/>
      <c r="H1407" s="594"/>
      <c r="I1407" s="593"/>
      <c r="J1407" s="593"/>
      <c r="K1407" s="593"/>
    </row>
    <row r="1408" spans="2:11">
      <c r="B1408" s="228"/>
      <c r="C1408" s="228"/>
      <c r="D1408" s="594"/>
      <c r="E1408" s="594"/>
      <c r="F1408" s="594"/>
      <c r="G1408" s="594"/>
      <c r="H1408" s="594"/>
      <c r="I1408" s="593"/>
      <c r="J1408" s="593"/>
      <c r="K1408" s="593"/>
    </row>
    <row r="1409" spans="2:11">
      <c r="B1409" s="228"/>
      <c r="C1409" s="228"/>
      <c r="D1409" s="594"/>
      <c r="E1409" s="594"/>
      <c r="F1409" s="594"/>
      <c r="G1409" s="594"/>
      <c r="H1409" s="594"/>
      <c r="I1409" s="593"/>
      <c r="J1409" s="593"/>
      <c r="K1409" s="593"/>
    </row>
    <row r="1410" spans="2:11">
      <c r="B1410" s="228"/>
      <c r="C1410" s="228"/>
      <c r="D1410" s="594"/>
      <c r="E1410" s="594"/>
      <c r="F1410" s="594"/>
      <c r="G1410" s="594"/>
      <c r="H1410" s="594"/>
      <c r="I1410" s="593"/>
      <c r="J1410" s="593"/>
      <c r="K1410" s="593"/>
    </row>
    <row r="1411" spans="2:11">
      <c r="B1411" s="228"/>
      <c r="C1411" s="228"/>
      <c r="D1411" s="594"/>
      <c r="E1411" s="594"/>
      <c r="F1411" s="594"/>
      <c r="G1411" s="594"/>
      <c r="H1411" s="594"/>
      <c r="I1411" s="593"/>
      <c r="J1411" s="593"/>
      <c r="K1411" s="593"/>
    </row>
    <row r="1412" spans="2:11">
      <c r="B1412" s="228"/>
      <c r="C1412" s="228"/>
      <c r="D1412" s="594"/>
      <c r="E1412" s="594"/>
      <c r="F1412" s="594"/>
      <c r="G1412" s="594"/>
      <c r="H1412" s="594"/>
      <c r="I1412" s="593"/>
      <c r="J1412" s="593"/>
      <c r="K1412" s="593"/>
    </row>
    <row r="1413" spans="2:11">
      <c r="B1413" s="228"/>
      <c r="C1413" s="228"/>
      <c r="D1413" s="594"/>
      <c r="E1413" s="594"/>
      <c r="F1413" s="594"/>
      <c r="G1413" s="594"/>
      <c r="H1413" s="594"/>
      <c r="I1413" s="593"/>
      <c r="J1413" s="593"/>
      <c r="K1413" s="593"/>
    </row>
    <row r="1414" spans="2:11">
      <c r="B1414" s="228"/>
      <c r="C1414" s="228"/>
      <c r="D1414" s="594"/>
      <c r="E1414" s="594"/>
      <c r="F1414" s="594"/>
      <c r="G1414" s="594"/>
      <c r="H1414" s="594"/>
      <c r="I1414" s="593"/>
      <c r="J1414" s="593"/>
      <c r="K1414" s="593"/>
    </row>
    <row r="1415" spans="2:11">
      <c r="B1415" s="228"/>
      <c r="C1415" s="228"/>
      <c r="D1415" s="594"/>
      <c r="E1415" s="594"/>
      <c r="F1415" s="594"/>
      <c r="G1415" s="594"/>
      <c r="H1415" s="594"/>
      <c r="I1415" s="593"/>
      <c r="J1415" s="593"/>
      <c r="K1415" s="593"/>
    </row>
    <row r="1416" spans="2:11">
      <c r="B1416" s="228"/>
      <c r="C1416" s="228"/>
      <c r="D1416" s="594"/>
      <c r="E1416" s="594"/>
      <c r="F1416" s="594"/>
      <c r="G1416" s="594"/>
      <c r="H1416" s="594"/>
      <c r="I1416" s="593"/>
      <c r="J1416" s="593"/>
      <c r="K1416" s="593"/>
    </row>
    <row r="1417" spans="2:11">
      <c r="B1417" s="228"/>
      <c r="C1417" s="228"/>
      <c r="D1417" s="594"/>
      <c r="E1417" s="594"/>
      <c r="F1417" s="594"/>
      <c r="G1417" s="594"/>
      <c r="H1417" s="594"/>
      <c r="I1417" s="593"/>
      <c r="J1417" s="593"/>
      <c r="K1417" s="593"/>
    </row>
    <row r="1418" spans="2:11">
      <c r="B1418" s="228"/>
      <c r="C1418" s="228"/>
      <c r="D1418" s="594"/>
      <c r="E1418" s="594"/>
      <c r="F1418" s="594"/>
      <c r="G1418" s="594"/>
      <c r="H1418" s="594"/>
      <c r="I1418" s="593"/>
      <c r="J1418" s="593"/>
      <c r="K1418" s="593"/>
    </row>
    <row r="1419" spans="2:11">
      <c r="B1419" s="228"/>
      <c r="C1419" s="228"/>
      <c r="D1419" s="594"/>
      <c r="E1419" s="594"/>
      <c r="F1419" s="594"/>
      <c r="G1419" s="594"/>
      <c r="H1419" s="594"/>
      <c r="I1419" s="593"/>
      <c r="J1419" s="593"/>
      <c r="K1419" s="593"/>
    </row>
    <row r="1420" spans="2:11">
      <c r="B1420" s="228"/>
      <c r="C1420" s="228"/>
      <c r="D1420" s="594"/>
      <c r="E1420" s="594"/>
      <c r="F1420" s="594"/>
      <c r="G1420" s="594"/>
      <c r="H1420" s="594"/>
      <c r="I1420" s="593"/>
      <c r="J1420" s="593"/>
      <c r="K1420" s="593"/>
    </row>
    <row r="1421" spans="2:11">
      <c r="B1421" s="228"/>
      <c r="C1421" s="228"/>
      <c r="D1421" s="594"/>
      <c r="E1421" s="594"/>
      <c r="F1421" s="594"/>
      <c r="G1421" s="594"/>
      <c r="H1421" s="594"/>
      <c r="I1421" s="593"/>
      <c r="J1421" s="593"/>
      <c r="K1421" s="593"/>
    </row>
    <row r="1422" spans="2:11">
      <c r="B1422" s="228"/>
      <c r="C1422" s="228"/>
      <c r="D1422" s="594"/>
      <c r="E1422" s="594"/>
      <c r="F1422" s="594"/>
      <c r="G1422" s="594"/>
      <c r="H1422" s="594"/>
      <c r="I1422" s="593"/>
      <c r="J1422" s="593"/>
      <c r="K1422" s="593"/>
    </row>
    <row r="1423" spans="2:11">
      <c r="B1423" s="228"/>
      <c r="C1423" s="228"/>
      <c r="D1423" s="594"/>
      <c r="E1423" s="594"/>
      <c r="F1423" s="594"/>
      <c r="G1423" s="594"/>
      <c r="H1423" s="594"/>
      <c r="I1423" s="593"/>
      <c r="J1423" s="593"/>
      <c r="K1423" s="593"/>
    </row>
    <row r="1424" spans="2:11">
      <c r="B1424" s="228"/>
      <c r="C1424" s="228"/>
      <c r="D1424" s="594"/>
      <c r="E1424" s="594"/>
      <c r="F1424" s="594"/>
      <c r="G1424" s="594"/>
      <c r="H1424" s="594"/>
      <c r="I1424" s="593"/>
      <c r="J1424" s="593"/>
      <c r="K1424" s="593"/>
    </row>
    <row r="1425" spans="2:11">
      <c r="B1425" s="228"/>
      <c r="C1425" s="228"/>
      <c r="D1425" s="594"/>
      <c r="E1425" s="594"/>
      <c r="F1425" s="594"/>
      <c r="G1425" s="594"/>
      <c r="H1425" s="594"/>
      <c r="I1425" s="593"/>
      <c r="J1425" s="593"/>
      <c r="K1425" s="593"/>
    </row>
    <row r="1426" spans="2:11">
      <c r="B1426" s="228"/>
      <c r="C1426" s="228"/>
      <c r="D1426" s="594"/>
      <c r="E1426" s="594"/>
      <c r="F1426" s="594"/>
      <c r="G1426" s="594"/>
      <c r="H1426" s="594"/>
      <c r="I1426" s="593"/>
      <c r="J1426" s="593"/>
      <c r="K1426" s="593"/>
    </row>
    <row r="1427" spans="2:11">
      <c r="B1427" s="228"/>
      <c r="C1427" s="228"/>
      <c r="D1427" s="594"/>
      <c r="E1427" s="594"/>
      <c r="F1427" s="594"/>
      <c r="G1427" s="594"/>
      <c r="H1427" s="594"/>
      <c r="I1427" s="593"/>
      <c r="J1427" s="593"/>
      <c r="K1427" s="593"/>
    </row>
    <row r="1428" spans="2:11">
      <c r="B1428" s="228"/>
      <c r="C1428" s="228"/>
      <c r="D1428" s="594"/>
      <c r="E1428" s="594"/>
      <c r="F1428" s="594"/>
      <c r="G1428" s="594"/>
      <c r="H1428" s="594"/>
      <c r="I1428" s="593"/>
      <c r="J1428" s="593"/>
      <c r="K1428" s="593"/>
    </row>
    <row r="1429" spans="2:11">
      <c r="B1429" s="228"/>
      <c r="C1429" s="228"/>
      <c r="D1429" s="594"/>
      <c r="E1429" s="594"/>
      <c r="F1429" s="594"/>
      <c r="G1429" s="594"/>
      <c r="H1429" s="594"/>
      <c r="I1429" s="593"/>
      <c r="J1429" s="593"/>
      <c r="K1429" s="593"/>
    </row>
    <row r="1430" spans="2:11">
      <c r="B1430" s="228"/>
      <c r="C1430" s="228"/>
      <c r="D1430" s="594"/>
      <c r="E1430" s="594"/>
      <c r="F1430" s="594"/>
      <c r="G1430" s="594"/>
      <c r="H1430" s="594"/>
      <c r="I1430" s="593"/>
      <c r="J1430" s="593"/>
      <c r="K1430" s="593"/>
    </row>
    <row r="1431" spans="2:11">
      <c r="B1431" s="228"/>
      <c r="C1431" s="228"/>
      <c r="D1431" s="594"/>
      <c r="E1431" s="594"/>
      <c r="F1431" s="594"/>
      <c r="G1431" s="594"/>
      <c r="H1431" s="594"/>
      <c r="I1431" s="593"/>
      <c r="J1431" s="593"/>
      <c r="K1431" s="593"/>
    </row>
    <row r="1432" spans="2:11">
      <c r="B1432" s="228"/>
      <c r="C1432" s="228"/>
      <c r="D1432" s="594"/>
      <c r="E1432" s="594"/>
      <c r="F1432" s="594"/>
      <c r="G1432" s="594"/>
      <c r="H1432" s="594"/>
      <c r="I1432" s="593"/>
      <c r="J1432" s="593"/>
      <c r="K1432" s="593"/>
    </row>
    <row r="1433" spans="2:11">
      <c r="B1433" s="228"/>
      <c r="C1433" s="228"/>
      <c r="D1433" s="594"/>
      <c r="E1433" s="594"/>
      <c r="F1433" s="594"/>
      <c r="G1433" s="594"/>
      <c r="H1433" s="594"/>
      <c r="I1433" s="593"/>
      <c r="J1433" s="593"/>
      <c r="K1433" s="593"/>
    </row>
    <row r="1434" spans="2:11">
      <c r="B1434" s="228"/>
      <c r="C1434" s="228"/>
      <c r="D1434" s="594"/>
      <c r="E1434" s="594"/>
      <c r="F1434" s="594"/>
      <c r="G1434" s="594"/>
      <c r="H1434" s="594"/>
      <c r="I1434" s="593"/>
      <c r="J1434" s="593"/>
      <c r="K1434" s="593"/>
    </row>
    <row r="1435" spans="2:11">
      <c r="B1435" s="228"/>
      <c r="C1435" s="228"/>
      <c r="D1435" s="594"/>
      <c r="E1435" s="594"/>
      <c r="F1435" s="594"/>
      <c r="G1435" s="594"/>
      <c r="H1435" s="594"/>
      <c r="I1435" s="593"/>
      <c r="J1435" s="593"/>
      <c r="K1435" s="593"/>
    </row>
    <row r="1436" spans="2:11">
      <c r="B1436" s="228"/>
      <c r="C1436" s="228"/>
      <c r="D1436" s="594"/>
      <c r="E1436" s="594"/>
      <c r="F1436" s="594"/>
      <c r="G1436" s="594"/>
      <c r="H1436" s="594"/>
      <c r="I1436" s="593"/>
      <c r="J1436" s="593"/>
      <c r="K1436" s="593"/>
    </row>
    <row r="1437" spans="2:11">
      <c r="B1437" s="228"/>
      <c r="C1437" s="228"/>
      <c r="D1437" s="594"/>
      <c r="E1437" s="594"/>
      <c r="F1437" s="594"/>
      <c r="G1437" s="594"/>
      <c r="H1437" s="594"/>
      <c r="I1437" s="593"/>
      <c r="J1437" s="593"/>
      <c r="K1437" s="593"/>
    </row>
    <row r="1438" spans="2:11">
      <c r="B1438" s="228"/>
      <c r="C1438" s="228"/>
      <c r="D1438" s="594"/>
      <c r="E1438" s="594"/>
      <c r="F1438" s="594"/>
      <c r="G1438" s="594"/>
      <c r="H1438" s="594"/>
      <c r="I1438" s="593"/>
      <c r="J1438" s="593"/>
      <c r="K1438" s="593"/>
    </row>
    <row r="1439" spans="2:11">
      <c r="B1439" s="228"/>
      <c r="C1439" s="228"/>
      <c r="D1439" s="594"/>
      <c r="E1439" s="594"/>
      <c r="F1439" s="594"/>
      <c r="G1439" s="594"/>
      <c r="H1439" s="594"/>
      <c r="I1439" s="593"/>
      <c r="J1439" s="593"/>
      <c r="K1439" s="593"/>
    </row>
    <row r="1440" spans="2:11">
      <c r="B1440" s="228"/>
      <c r="C1440" s="228"/>
      <c r="D1440" s="594"/>
      <c r="E1440" s="594"/>
      <c r="F1440" s="594"/>
      <c r="G1440" s="594"/>
      <c r="H1440" s="594"/>
      <c r="I1440" s="593"/>
      <c r="J1440" s="593"/>
      <c r="K1440" s="593"/>
    </row>
    <row r="1441" spans="2:11">
      <c r="B1441" s="228"/>
      <c r="C1441" s="228"/>
      <c r="D1441" s="594"/>
      <c r="E1441" s="594"/>
      <c r="F1441" s="594"/>
      <c r="G1441" s="594"/>
      <c r="H1441" s="594"/>
      <c r="I1441" s="593"/>
      <c r="J1441" s="593"/>
      <c r="K1441" s="593"/>
    </row>
    <row r="1442" spans="2:11">
      <c r="B1442" s="228"/>
      <c r="C1442" s="228"/>
      <c r="D1442" s="594"/>
      <c r="E1442" s="594"/>
      <c r="F1442" s="594"/>
      <c r="G1442" s="594"/>
      <c r="H1442" s="594"/>
      <c r="I1442" s="593"/>
      <c r="J1442" s="593"/>
      <c r="K1442" s="593"/>
    </row>
    <row r="1443" spans="2:11">
      <c r="B1443" s="228"/>
      <c r="C1443" s="228"/>
      <c r="D1443" s="594"/>
      <c r="E1443" s="594"/>
      <c r="F1443" s="594"/>
      <c r="G1443" s="594"/>
      <c r="H1443" s="594"/>
      <c r="I1443" s="593"/>
      <c r="J1443" s="593"/>
      <c r="K1443" s="593"/>
    </row>
    <row r="1444" spans="2:11">
      <c r="B1444" s="228"/>
      <c r="C1444" s="228"/>
      <c r="D1444" s="594"/>
      <c r="E1444" s="594"/>
      <c r="F1444" s="594"/>
      <c r="G1444" s="594"/>
      <c r="H1444" s="594"/>
      <c r="I1444" s="593"/>
      <c r="J1444" s="593"/>
      <c r="K1444" s="593"/>
    </row>
    <row r="1445" spans="2:11">
      <c r="B1445" s="228"/>
      <c r="C1445" s="228"/>
      <c r="D1445" s="594"/>
      <c r="E1445" s="594"/>
      <c r="F1445" s="594"/>
      <c r="G1445" s="594"/>
      <c r="H1445" s="594"/>
      <c r="I1445" s="593"/>
      <c r="J1445" s="593"/>
      <c r="K1445" s="593"/>
    </row>
    <row r="1446" spans="2:11">
      <c r="B1446" s="228"/>
      <c r="C1446" s="228"/>
      <c r="D1446" s="594"/>
      <c r="E1446" s="594"/>
      <c r="F1446" s="594"/>
      <c r="G1446" s="594"/>
      <c r="H1446" s="594"/>
      <c r="I1446" s="593"/>
      <c r="J1446" s="593"/>
      <c r="K1446" s="593"/>
    </row>
    <row r="1447" spans="2:11">
      <c r="B1447" s="228"/>
      <c r="C1447" s="228"/>
      <c r="D1447" s="594"/>
      <c r="E1447" s="594"/>
      <c r="F1447" s="594"/>
      <c r="G1447" s="594"/>
      <c r="H1447" s="594"/>
      <c r="I1447" s="593"/>
      <c r="J1447" s="593"/>
      <c r="K1447" s="593"/>
    </row>
    <row r="1448" spans="2:11">
      <c r="B1448" s="228"/>
      <c r="C1448" s="228"/>
      <c r="D1448" s="594"/>
      <c r="E1448" s="594"/>
      <c r="F1448" s="594"/>
      <c r="G1448" s="594"/>
      <c r="H1448" s="594"/>
      <c r="I1448" s="593"/>
      <c r="J1448" s="593"/>
      <c r="K1448" s="593"/>
    </row>
    <row r="1449" spans="2:11">
      <c r="B1449" s="228"/>
      <c r="C1449" s="228"/>
      <c r="D1449" s="594"/>
      <c r="E1449" s="594"/>
      <c r="F1449" s="594"/>
      <c r="G1449" s="594"/>
      <c r="H1449" s="594"/>
      <c r="I1449" s="593"/>
      <c r="J1449" s="593"/>
      <c r="K1449" s="593"/>
    </row>
    <row r="1450" spans="2:11">
      <c r="B1450" s="228"/>
      <c r="C1450" s="228"/>
      <c r="D1450" s="594"/>
      <c r="E1450" s="594"/>
      <c r="F1450" s="594"/>
      <c r="G1450" s="594"/>
      <c r="H1450" s="594"/>
      <c r="I1450" s="593"/>
      <c r="J1450" s="593"/>
      <c r="K1450" s="593"/>
    </row>
    <row r="1451" spans="2:11">
      <c r="B1451" s="228"/>
      <c r="C1451" s="228"/>
      <c r="D1451" s="594"/>
      <c r="E1451" s="594"/>
      <c r="F1451" s="594"/>
      <c r="G1451" s="594"/>
      <c r="H1451" s="594"/>
      <c r="I1451" s="593"/>
      <c r="J1451" s="593"/>
      <c r="K1451" s="593"/>
    </row>
    <row r="1452" spans="2:11">
      <c r="B1452" s="228"/>
      <c r="C1452" s="228"/>
      <c r="D1452" s="594"/>
      <c r="E1452" s="594"/>
      <c r="F1452" s="594"/>
      <c r="G1452" s="594"/>
      <c r="H1452" s="594"/>
      <c r="I1452" s="593"/>
      <c r="J1452" s="593"/>
      <c r="K1452" s="593"/>
    </row>
    <row r="1453" spans="2:11">
      <c r="B1453" s="228"/>
      <c r="C1453" s="228"/>
      <c r="D1453" s="594"/>
      <c r="E1453" s="594"/>
      <c r="F1453" s="594"/>
      <c r="G1453" s="594"/>
      <c r="H1453" s="594"/>
      <c r="I1453" s="593"/>
      <c r="J1453" s="593"/>
      <c r="K1453" s="593"/>
    </row>
    <row r="1454" spans="2:11">
      <c r="B1454" s="228"/>
      <c r="C1454" s="228"/>
      <c r="D1454" s="594"/>
      <c r="E1454" s="594"/>
      <c r="F1454" s="594"/>
      <c r="G1454" s="594"/>
      <c r="H1454" s="594"/>
      <c r="I1454" s="593"/>
      <c r="J1454" s="593"/>
      <c r="K1454" s="593"/>
    </row>
    <row r="1455" spans="2:11">
      <c r="B1455" s="228"/>
      <c r="C1455" s="228"/>
      <c r="D1455" s="594"/>
      <c r="E1455" s="594"/>
      <c r="F1455" s="594"/>
      <c r="G1455" s="594"/>
      <c r="H1455" s="594"/>
      <c r="I1455" s="593"/>
      <c r="J1455" s="593"/>
      <c r="K1455" s="593"/>
    </row>
    <row r="1456" spans="2:11">
      <c r="B1456" s="228"/>
      <c r="C1456" s="228"/>
      <c r="D1456" s="594"/>
      <c r="E1456" s="594"/>
      <c r="F1456" s="594"/>
      <c r="G1456" s="594"/>
      <c r="H1456" s="594"/>
      <c r="I1456" s="593"/>
      <c r="J1456" s="593"/>
      <c r="K1456" s="593"/>
    </row>
    <row r="1457" spans="2:11">
      <c r="B1457" s="228"/>
      <c r="C1457" s="228"/>
      <c r="D1457" s="594"/>
      <c r="E1457" s="594"/>
      <c r="F1457" s="594"/>
      <c r="G1457" s="594"/>
      <c r="H1457" s="594"/>
      <c r="I1457" s="593"/>
      <c r="J1457" s="593"/>
      <c r="K1457" s="593"/>
    </row>
    <row r="1458" spans="2:11">
      <c r="B1458" s="228"/>
      <c r="C1458" s="228"/>
      <c r="D1458" s="594"/>
      <c r="E1458" s="594"/>
      <c r="F1458" s="594"/>
      <c r="G1458" s="594"/>
      <c r="H1458" s="594"/>
      <c r="I1458" s="593"/>
      <c r="J1458" s="593"/>
      <c r="K1458" s="593"/>
    </row>
    <row r="1459" spans="2:11">
      <c r="B1459" s="228"/>
      <c r="C1459" s="228"/>
      <c r="D1459" s="594"/>
      <c r="E1459" s="594"/>
      <c r="F1459" s="594"/>
      <c r="G1459" s="594"/>
      <c r="H1459" s="594"/>
      <c r="I1459" s="593"/>
      <c r="J1459" s="593"/>
      <c r="K1459" s="593"/>
    </row>
    <row r="1460" spans="2:11">
      <c r="B1460" s="228"/>
      <c r="C1460" s="228"/>
      <c r="D1460" s="594"/>
      <c r="E1460" s="594"/>
      <c r="F1460" s="594"/>
      <c r="G1460" s="594"/>
      <c r="H1460" s="594"/>
      <c r="I1460" s="593"/>
      <c r="J1460" s="593"/>
      <c r="K1460" s="593"/>
    </row>
    <row r="1461" spans="2:11">
      <c r="B1461" s="228"/>
      <c r="C1461" s="228"/>
      <c r="D1461" s="594"/>
      <c r="E1461" s="594"/>
      <c r="F1461" s="594"/>
      <c r="G1461" s="594"/>
      <c r="H1461" s="594"/>
      <c r="I1461" s="593"/>
      <c r="J1461" s="593"/>
      <c r="K1461" s="593"/>
    </row>
    <row r="1462" spans="2:11">
      <c r="B1462" s="228"/>
      <c r="C1462" s="228"/>
      <c r="D1462" s="594"/>
      <c r="E1462" s="594"/>
      <c r="F1462" s="594"/>
      <c r="G1462" s="594"/>
      <c r="H1462" s="594"/>
      <c r="I1462" s="593"/>
      <c r="J1462" s="593"/>
      <c r="K1462" s="593"/>
    </row>
    <row r="1463" spans="2:11">
      <c r="B1463" s="228"/>
      <c r="C1463" s="228"/>
      <c r="D1463" s="594"/>
      <c r="E1463" s="594"/>
      <c r="F1463" s="594"/>
      <c r="G1463" s="594"/>
      <c r="H1463" s="594"/>
      <c r="I1463" s="593"/>
      <c r="J1463" s="593"/>
      <c r="K1463" s="593"/>
    </row>
    <row r="1464" spans="2:11">
      <c r="B1464" s="228"/>
      <c r="C1464" s="228"/>
      <c r="D1464" s="594"/>
      <c r="E1464" s="594"/>
      <c r="F1464" s="594"/>
      <c r="G1464" s="594"/>
      <c r="H1464" s="594"/>
      <c r="I1464" s="593"/>
      <c r="J1464" s="593"/>
      <c r="K1464" s="593"/>
    </row>
    <row r="1465" spans="2:11">
      <c r="B1465" s="228"/>
      <c r="C1465" s="228"/>
      <c r="D1465" s="594"/>
      <c r="E1465" s="594"/>
      <c r="F1465" s="594"/>
      <c r="G1465" s="594"/>
      <c r="H1465" s="594"/>
      <c r="I1465" s="593"/>
      <c r="J1465" s="593"/>
      <c r="K1465" s="593"/>
    </row>
    <row r="1466" spans="2:11">
      <c r="B1466" s="228"/>
      <c r="C1466" s="228"/>
      <c r="D1466" s="594"/>
      <c r="E1466" s="594"/>
      <c r="F1466" s="594"/>
      <c r="G1466" s="594"/>
      <c r="H1466" s="594"/>
      <c r="I1466" s="593"/>
      <c r="J1466" s="593"/>
      <c r="K1466" s="593"/>
    </row>
    <row r="1467" spans="2:11">
      <c r="B1467" s="228"/>
      <c r="C1467" s="228"/>
      <c r="D1467" s="594"/>
      <c r="E1467" s="594"/>
      <c r="F1467" s="594"/>
      <c r="G1467" s="594"/>
      <c r="H1467" s="594"/>
      <c r="I1467" s="593"/>
      <c r="J1467" s="593"/>
      <c r="K1467" s="593"/>
    </row>
    <row r="1468" spans="2:11">
      <c r="B1468" s="228"/>
      <c r="C1468" s="228"/>
      <c r="D1468" s="594"/>
      <c r="E1468" s="594"/>
      <c r="F1468" s="594"/>
      <c r="G1468" s="594"/>
      <c r="H1468" s="594"/>
      <c r="I1468" s="593"/>
      <c r="J1468" s="593"/>
      <c r="K1468" s="593"/>
    </row>
    <row r="1469" spans="2:11">
      <c r="B1469" s="228"/>
      <c r="C1469" s="228"/>
      <c r="D1469" s="594"/>
      <c r="E1469" s="594"/>
      <c r="F1469" s="594"/>
      <c r="G1469" s="594"/>
      <c r="H1469" s="594"/>
      <c r="I1469" s="593"/>
      <c r="J1469" s="593"/>
      <c r="K1469" s="593"/>
    </row>
    <row r="1470" spans="2:11">
      <c r="B1470" s="228"/>
      <c r="C1470" s="228"/>
      <c r="D1470" s="594"/>
      <c r="E1470" s="594"/>
      <c r="F1470" s="594"/>
      <c r="G1470" s="594"/>
      <c r="H1470" s="594"/>
      <c r="I1470" s="593"/>
      <c r="J1470" s="593"/>
      <c r="K1470" s="593"/>
    </row>
    <row r="1471" spans="2:11">
      <c r="B1471" s="228"/>
      <c r="C1471" s="228"/>
      <c r="D1471" s="594"/>
      <c r="E1471" s="594"/>
      <c r="F1471" s="594"/>
      <c r="G1471" s="594"/>
      <c r="H1471" s="594"/>
      <c r="I1471" s="593"/>
      <c r="J1471" s="593"/>
      <c r="K1471" s="593"/>
    </row>
    <row r="1472" spans="2:11">
      <c r="B1472" s="228"/>
      <c r="C1472" s="228"/>
      <c r="D1472" s="594"/>
      <c r="E1472" s="594"/>
      <c r="F1472" s="594"/>
      <c r="G1472" s="594"/>
      <c r="H1472" s="594"/>
      <c r="I1472" s="593"/>
      <c r="J1472" s="593"/>
      <c r="K1472" s="593"/>
    </row>
    <row r="1473" spans="2:11">
      <c r="B1473" s="228"/>
      <c r="C1473" s="228"/>
      <c r="D1473" s="594"/>
      <c r="E1473" s="594"/>
      <c r="F1473" s="594"/>
      <c r="G1473" s="594"/>
      <c r="H1473" s="594"/>
      <c r="I1473" s="593"/>
      <c r="J1473" s="593"/>
      <c r="K1473" s="593"/>
    </row>
    <row r="1474" spans="2:11">
      <c r="B1474" s="228"/>
      <c r="C1474" s="228"/>
      <c r="D1474" s="594"/>
      <c r="E1474" s="594"/>
      <c r="F1474" s="594"/>
      <c r="G1474" s="594"/>
      <c r="H1474" s="594"/>
      <c r="I1474" s="593"/>
      <c r="J1474" s="593"/>
      <c r="K1474" s="593"/>
    </row>
    <row r="1475" spans="2:11">
      <c r="B1475" s="228"/>
      <c r="C1475" s="228"/>
      <c r="D1475" s="594"/>
      <c r="E1475" s="594"/>
      <c r="F1475" s="594"/>
      <c r="G1475" s="594"/>
      <c r="H1475" s="594"/>
      <c r="I1475" s="593"/>
      <c r="J1475" s="593"/>
      <c r="K1475" s="593"/>
    </row>
    <row r="1476" spans="2:11">
      <c r="B1476" s="228"/>
      <c r="C1476" s="228"/>
      <c r="D1476" s="594"/>
      <c r="E1476" s="594"/>
      <c r="F1476" s="594"/>
      <c r="G1476" s="594"/>
      <c r="H1476" s="594"/>
      <c r="I1476" s="593"/>
      <c r="J1476" s="593"/>
      <c r="K1476" s="593"/>
    </row>
    <row r="1477" spans="2:11">
      <c r="B1477" s="228"/>
      <c r="C1477" s="228"/>
      <c r="D1477" s="594"/>
      <c r="E1477" s="594"/>
      <c r="F1477" s="594"/>
      <c r="G1477" s="594"/>
      <c r="H1477" s="594"/>
      <c r="I1477" s="593"/>
      <c r="J1477" s="593"/>
      <c r="K1477" s="593"/>
    </row>
    <row r="1478" spans="2:11">
      <c r="B1478" s="228"/>
      <c r="C1478" s="228"/>
      <c r="D1478" s="594"/>
      <c r="E1478" s="594"/>
      <c r="F1478" s="594"/>
      <c r="G1478" s="594"/>
      <c r="H1478" s="594"/>
      <c r="I1478" s="593"/>
      <c r="J1478" s="593"/>
      <c r="K1478" s="593"/>
    </row>
    <row r="1479" spans="2:11">
      <c r="B1479" s="228"/>
      <c r="C1479" s="228"/>
      <c r="D1479" s="594"/>
      <c r="E1479" s="594"/>
      <c r="F1479" s="594"/>
      <c r="G1479" s="594"/>
      <c r="H1479" s="594"/>
      <c r="I1479" s="593"/>
      <c r="J1479" s="593"/>
      <c r="K1479" s="593"/>
    </row>
    <row r="1480" spans="2:11">
      <c r="B1480" s="228"/>
      <c r="C1480" s="228"/>
      <c r="D1480" s="594"/>
      <c r="E1480" s="594"/>
      <c r="F1480" s="594"/>
      <c r="G1480" s="594"/>
      <c r="H1480" s="594"/>
      <c r="I1480" s="593"/>
      <c r="J1480" s="593"/>
      <c r="K1480" s="593"/>
    </row>
    <row r="1481" spans="2:11">
      <c r="B1481" s="228"/>
      <c r="C1481" s="228"/>
      <c r="D1481" s="594"/>
      <c r="E1481" s="594"/>
      <c r="F1481" s="594"/>
      <c r="G1481" s="594"/>
      <c r="H1481" s="594"/>
      <c r="I1481" s="593"/>
      <c r="J1481" s="593"/>
      <c r="K1481" s="593"/>
    </row>
    <row r="1482" spans="2:11">
      <c r="B1482" s="228"/>
      <c r="C1482" s="228"/>
      <c r="D1482" s="594"/>
      <c r="E1482" s="594"/>
      <c r="F1482" s="594"/>
      <c r="G1482" s="594"/>
      <c r="H1482" s="594"/>
      <c r="I1482" s="593"/>
      <c r="J1482" s="593"/>
      <c r="K1482" s="593"/>
    </row>
    <row r="1483" spans="2:11">
      <c r="B1483" s="228"/>
      <c r="C1483" s="228"/>
      <c r="D1483" s="594"/>
      <c r="E1483" s="594"/>
      <c r="F1483" s="594"/>
      <c r="G1483" s="594"/>
      <c r="H1483" s="594"/>
      <c r="I1483" s="593"/>
      <c r="J1483" s="593"/>
      <c r="K1483" s="593"/>
    </row>
    <row r="1484" spans="2:11">
      <c r="B1484" s="228"/>
      <c r="C1484" s="228"/>
      <c r="D1484" s="594"/>
      <c r="E1484" s="594"/>
      <c r="F1484" s="594"/>
      <c r="G1484" s="594"/>
      <c r="H1484" s="594"/>
      <c r="I1484" s="593"/>
      <c r="J1484" s="593"/>
      <c r="K1484" s="593"/>
    </row>
    <row r="1485" spans="2:11">
      <c r="B1485" s="228"/>
      <c r="C1485" s="228"/>
      <c r="D1485" s="594"/>
      <c r="E1485" s="594"/>
      <c r="F1485" s="594"/>
      <c r="G1485" s="594"/>
      <c r="H1485" s="594"/>
      <c r="I1485" s="593"/>
      <c r="J1485" s="593"/>
      <c r="K1485" s="593"/>
    </row>
    <row r="1486" spans="2:11">
      <c r="B1486" s="228"/>
      <c r="C1486" s="228"/>
      <c r="D1486" s="594"/>
      <c r="E1486" s="594"/>
      <c r="F1486" s="594"/>
      <c r="G1486" s="594"/>
      <c r="H1486" s="594"/>
      <c r="I1486" s="593"/>
      <c r="J1486" s="593"/>
      <c r="K1486" s="593"/>
    </row>
    <row r="1487" spans="2:11">
      <c r="B1487" s="228"/>
      <c r="C1487" s="228"/>
      <c r="D1487" s="594"/>
      <c r="E1487" s="594"/>
      <c r="F1487" s="594"/>
      <c r="G1487" s="594"/>
      <c r="H1487" s="594"/>
      <c r="I1487" s="593"/>
      <c r="J1487" s="593"/>
      <c r="K1487" s="593"/>
    </row>
    <row r="1488" spans="2:11">
      <c r="B1488" s="228"/>
      <c r="C1488" s="228"/>
      <c r="D1488" s="594"/>
      <c r="E1488" s="594"/>
      <c r="F1488" s="594"/>
      <c r="G1488" s="594"/>
      <c r="H1488" s="594"/>
      <c r="I1488" s="593"/>
      <c r="J1488" s="593"/>
      <c r="K1488" s="593"/>
    </row>
    <row r="1489" spans="2:11">
      <c r="B1489" s="228"/>
      <c r="C1489" s="228"/>
      <c r="D1489" s="594"/>
      <c r="E1489" s="594"/>
      <c r="F1489" s="594"/>
      <c r="G1489" s="594"/>
      <c r="H1489" s="594"/>
      <c r="I1489" s="593"/>
      <c r="J1489" s="593"/>
      <c r="K1489" s="593"/>
    </row>
    <row r="1490" spans="2:11">
      <c r="B1490" s="228"/>
      <c r="C1490" s="228"/>
      <c r="D1490" s="594"/>
      <c r="E1490" s="594"/>
      <c r="F1490" s="594"/>
      <c r="G1490" s="594"/>
      <c r="H1490" s="594"/>
      <c r="I1490" s="593"/>
      <c r="J1490" s="593"/>
      <c r="K1490" s="593"/>
    </row>
    <row r="1491" spans="2:11">
      <c r="B1491" s="228"/>
      <c r="C1491" s="228"/>
      <c r="D1491" s="594"/>
      <c r="E1491" s="594"/>
      <c r="F1491" s="594"/>
      <c r="G1491" s="594"/>
      <c r="H1491" s="594"/>
      <c r="I1491" s="593"/>
      <c r="J1491" s="593"/>
      <c r="K1491" s="593"/>
    </row>
    <row r="1492" spans="2:11">
      <c r="B1492" s="228"/>
      <c r="C1492" s="228"/>
      <c r="D1492" s="594"/>
      <c r="E1492" s="594"/>
      <c r="F1492" s="594"/>
      <c r="G1492" s="594"/>
      <c r="H1492" s="594"/>
      <c r="I1492" s="593"/>
      <c r="J1492" s="593"/>
      <c r="K1492" s="593"/>
    </row>
    <row r="1493" spans="2:11">
      <c r="B1493" s="228"/>
      <c r="C1493" s="228"/>
      <c r="D1493" s="594"/>
      <c r="E1493" s="594"/>
      <c r="F1493" s="594"/>
      <c r="G1493" s="594"/>
      <c r="H1493" s="594"/>
      <c r="I1493" s="593"/>
      <c r="J1493" s="593"/>
      <c r="K1493" s="593"/>
    </row>
    <row r="1494" spans="2:11">
      <c r="B1494" s="228"/>
      <c r="C1494" s="228"/>
      <c r="D1494" s="594"/>
      <c r="E1494" s="594"/>
      <c r="F1494" s="594"/>
      <c r="G1494" s="594"/>
      <c r="H1494" s="594"/>
      <c r="I1494" s="593"/>
      <c r="J1494" s="593"/>
      <c r="K1494" s="593"/>
    </row>
    <row r="1495" spans="2:11">
      <c r="B1495" s="228"/>
      <c r="C1495" s="228"/>
      <c r="D1495" s="594"/>
      <c r="E1495" s="594"/>
      <c r="F1495" s="594"/>
      <c r="G1495" s="594"/>
      <c r="H1495" s="594"/>
      <c r="I1495" s="593"/>
      <c r="J1495" s="593"/>
      <c r="K1495" s="593"/>
    </row>
    <row r="1496" spans="2:11">
      <c r="B1496" s="228"/>
      <c r="C1496" s="228"/>
      <c r="D1496" s="594"/>
      <c r="E1496" s="594"/>
      <c r="F1496" s="594"/>
      <c r="G1496" s="594"/>
      <c r="H1496" s="594"/>
      <c r="I1496" s="593"/>
      <c r="J1496" s="593"/>
      <c r="K1496" s="593"/>
    </row>
    <row r="1497" spans="2:11">
      <c r="B1497" s="228"/>
      <c r="C1497" s="228"/>
      <c r="D1497" s="594"/>
      <c r="E1497" s="594"/>
      <c r="F1497" s="594"/>
      <c r="G1497" s="594"/>
      <c r="H1497" s="594"/>
      <c r="I1497" s="593"/>
      <c r="J1497" s="593"/>
      <c r="K1497" s="593"/>
    </row>
    <row r="1498" spans="2:11">
      <c r="B1498" s="228"/>
      <c r="C1498" s="228"/>
      <c r="D1498" s="594"/>
      <c r="E1498" s="594"/>
      <c r="F1498" s="594"/>
      <c r="G1498" s="594"/>
      <c r="H1498" s="594"/>
      <c r="I1498" s="593"/>
      <c r="J1498" s="593"/>
      <c r="K1498" s="593"/>
    </row>
    <row r="1499" spans="2:11">
      <c r="B1499" s="228"/>
      <c r="C1499" s="228"/>
      <c r="D1499" s="594"/>
      <c r="E1499" s="594"/>
      <c r="F1499" s="594"/>
      <c r="G1499" s="594"/>
      <c r="H1499" s="594"/>
      <c r="I1499" s="593"/>
      <c r="J1499" s="593"/>
      <c r="K1499" s="593"/>
    </row>
    <row r="1500" spans="2:11">
      <c r="B1500" s="228"/>
      <c r="C1500" s="228"/>
      <c r="D1500" s="594"/>
      <c r="E1500" s="594"/>
      <c r="F1500" s="594"/>
      <c r="G1500" s="594"/>
      <c r="H1500" s="594"/>
      <c r="I1500" s="593"/>
      <c r="J1500" s="593"/>
      <c r="K1500" s="593"/>
    </row>
    <row r="1501" spans="2:11">
      <c r="B1501" s="228"/>
      <c r="C1501" s="228"/>
      <c r="D1501" s="594"/>
      <c r="E1501" s="594"/>
      <c r="F1501" s="594"/>
      <c r="G1501" s="594"/>
      <c r="H1501" s="594"/>
      <c r="I1501" s="593"/>
      <c r="J1501" s="593"/>
      <c r="K1501" s="593"/>
    </row>
    <row r="1502" spans="2:11">
      <c r="B1502" s="228"/>
      <c r="C1502" s="228"/>
      <c r="D1502" s="594"/>
      <c r="E1502" s="594"/>
      <c r="F1502" s="594"/>
      <c r="G1502" s="594"/>
      <c r="H1502" s="594"/>
      <c r="I1502" s="593"/>
      <c r="J1502" s="593"/>
      <c r="K1502" s="593"/>
    </row>
    <row r="1503" spans="2:11">
      <c r="B1503" s="228"/>
      <c r="C1503" s="228"/>
      <c r="D1503" s="594"/>
      <c r="E1503" s="594"/>
      <c r="F1503" s="594"/>
      <c r="G1503" s="594"/>
      <c r="H1503" s="594"/>
      <c r="I1503" s="593"/>
      <c r="J1503" s="593"/>
      <c r="K1503" s="593"/>
    </row>
    <row r="1504" spans="2:11">
      <c r="B1504" s="228"/>
      <c r="C1504" s="228"/>
      <c r="D1504" s="594"/>
      <c r="E1504" s="594"/>
      <c r="F1504" s="594"/>
      <c r="G1504" s="594"/>
      <c r="H1504" s="594"/>
      <c r="I1504" s="593"/>
      <c r="J1504" s="593"/>
      <c r="K1504" s="593"/>
    </row>
    <row r="1505" spans="2:11">
      <c r="B1505" s="228"/>
      <c r="C1505" s="228"/>
      <c r="D1505" s="594"/>
      <c r="E1505" s="594"/>
      <c r="F1505" s="594"/>
      <c r="G1505" s="594"/>
      <c r="H1505" s="594"/>
      <c r="I1505" s="593"/>
      <c r="J1505" s="593"/>
      <c r="K1505" s="593"/>
    </row>
    <row r="1506" spans="2:11">
      <c r="B1506" s="228"/>
      <c r="C1506" s="228"/>
      <c r="D1506" s="594"/>
      <c r="E1506" s="594"/>
      <c r="F1506" s="594"/>
      <c r="G1506" s="594"/>
      <c r="H1506" s="594"/>
      <c r="I1506" s="593"/>
      <c r="J1506" s="593"/>
      <c r="K1506" s="593"/>
    </row>
    <row r="1507" spans="2:11">
      <c r="B1507" s="228"/>
      <c r="C1507" s="228"/>
      <c r="D1507" s="594"/>
      <c r="E1507" s="594"/>
      <c r="F1507" s="594"/>
      <c r="G1507" s="594"/>
      <c r="H1507" s="594"/>
      <c r="I1507" s="593"/>
      <c r="J1507" s="593"/>
      <c r="K1507" s="593"/>
    </row>
    <row r="1508" spans="2:11">
      <c r="B1508" s="228"/>
      <c r="C1508" s="228"/>
      <c r="D1508" s="594"/>
      <c r="E1508" s="594"/>
      <c r="F1508" s="594"/>
      <c r="G1508" s="594"/>
      <c r="H1508" s="594"/>
      <c r="I1508" s="593"/>
      <c r="J1508" s="593"/>
      <c r="K1508" s="593"/>
    </row>
    <row r="1509" spans="2:11">
      <c r="B1509" s="228"/>
      <c r="C1509" s="228"/>
      <c r="D1509" s="594"/>
      <c r="E1509" s="594"/>
      <c r="F1509" s="594"/>
      <c r="G1509" s="594"/>
      <c r="H1509" s="594"/>
      <c r="I1509" s="593"/>
      <c r="J1509" s="593"/>
      <c r="K1509" s="593"/>
    </row>
    <row r="1510" spans="2:11">
      <c r="B1510" s="228"/>
      <c r="C1510" s="228"/>
      <c r="D1510" s="594"/>
      <c r="E1510" s="594"/>
      <c r="F1510" s="594"/>
      <c r="G1510" s="594"/>
      <c r="H1510" s="594"/>
      <c r="I1510" s="593"/>
      <c r="J1510" s="593"/>
      <c r="K1510" s="593"/>
    </row>
    <row r="1511" spans="2:11">
      <c r="B1511" s="228"/>
      <c r="C1511" s="228"/>
      <c r="D1511" s="594"/>
      <c r="E1511" s="594"/>
      <c r="F1511" s="594"/>
      <c r="G1511" s="594"/>
      <c r="H1511" s="594"/>
      <c r="I1511" s="593"/>
      <c r="J1511" s="593"/>
      <c r="K1511" s="593"/>
    </row>
    <row r="1512" spans="2:11">
      <c r="B1512" s="228"/>
      <c r="C1512" s="228"/>
      <c r="D1512" s="594"/>
      <c r="E1512" s="594"/>
      <c r="F1512" s="594"/>
      <c r="G1512" s="594"/>
      <c r="H1512" s="594"/>
      <c r="I1512" s="593"/>
      <c r="J1512" s="593"/>
      <c r="K1512" s="593"/>
    </row>
    <row r="1513" spans="2:11">
      <c r="B1513" s="228"/>
      <c r="C1513" s="228"/>
      <c r="D1513" s="594"/>
      <c r="E1513" s="594"/>
      <c r="F1513" s="594"/>
      <c r="G1513" s="594"/>
      <c r="H1513" s="594"/>
      <c r="I1513" s="593"/>
      <c r="J1513" s="593"/>
      <c r="K1513" s="593"/>
    </row>
    <row r="1514" spans="2:11">
      <c r="B1514" s="228"/>
      <c r="C1514" s="228"/>
      <c r="D1514" s="594"/>
      <c r="E1514" s="594"/>
      <c r="F1514" s="594"/>
      <c r="G1514" s="594"/>
      <c r="H1514" s="594"/>
      <c r="I1514" s="593"/>
      <c r="J1514" s="593"/>
      <c r="K1514" s="593"/>
    </row>
    <row r="1515" spans="2:11">
      <c r="B1515" s="228"/>
      <c r="C1515" s="228"/>
      <c r="D1515" s="594"/>
      <c r="E1515" s="594"/>
      <c r="F1515" s="594"/>
      <c r="G1515" s="594"/>
      <c r="H1515" s="594"/>
      <c r="I1515" s="593"/>
      <c r="J1515" s="593"/>
      <c r="K1515" s="593"/>
    </row>
    <row r="1516" spans="2:11">
      <c r="B1516" s="228"/>
      <c r="C1516" s="228"/>
      <c r="D1516" s="594"/>
      <c r="E1516" s="594"/>
      <c r="F1516" s="594"/>
      <c r="G1516" s="594"/>
      <c r="H1516" s="594"/>
      <c r="I1516" s="593"/>
      <c r="J1516" s="593"/>
      <c r="K1516" s="593"/>
    </row>
    <row r="1517" spans="2:11">
      <c r="B1517" s="228"/>
      <c r="C1517" s="228"/>
      <c r="D1517" s="594"/>
      <c r="E1517" s="594"/>
      <c r="F1517" s="594"/>
      <c r="G1517" s="594"/>
      <c r="H1517" s="594"/>
      <c r="I1517" s="593"/>
      <c r="J1517" s="593"/>
      <c r="K1517" s="593"/>
    </row>
    <row r="1518" spans="2:11">
      <c r="B1518" s="228"/>
      <c r="C1518" s="228"/>
      <c r="D1518" s="594"/>
      <c r="E1518" s="594"/>
      <c r="F1518" s="594"/>
      <c r="G1518" s="594"/>
      <c r="H1518" s="594"/>
      <c r="I1518" s="593"/>
      <c r="J1518" s="593"/>
      <c r="K1518" s="593"/>
    </row>
    <row r="1519" spans="2:11">
      <c r="B1519" s="228"/>
      <c r="C1519" s="228"/>
      <c r="D1519" s="594"/>
      <c r="E1519" s="594"/>
      <c r="F1519" s="594"/>
      <c r="G1519" s="594"/>
      <c r="H1519" s="594"/>
      <c r="I1519" s="593"/>
      <c r="J1519" s="593"/>
      <c r="K1519" s="593"/>
    </row>
    <row r="1520" spans="2:11">
      <c r="B1520" s="228"/>
      <c r="C1520" s="228"/>
      <c r="D1520" s="594"/>
      <c r="E1520" s="594"/>
      <c r="F1520" s="594"/>
      <c r="G1520" s="594"/>
      <c r="H1520" s="594"/>
      <c r="I1520" s="593"/>
      <c r="J1520" s="593"/>
      <c r="K1520" s="593"/>
    </row>
    <row r="1521" spans="2:11">
      <c r="B1521" s="228"/>
      <c r="C1521" s="228"/>
      <c r="D1521" s="594"/>
      <c r="E1521" s="594"/>
      <c r="F1521" s="594"/>
      <c r="G1521" s="594"/>
      <c r="H1521" s="594"/>
      <c r="I1521" s="593"/>
      <c r="J1521" s="593"/>
      <c r="K1521" s="593"/>
    </row>
    <row r="1522" spans="2:11">
      <c r="B1522" s="228"/>
      <c r="C1522" s="228"/>
      <c r="D1522" s="594"/>
      <c r="E1522" s="594"/>
      <c r="F1522" s="594"/>
      <c r="G1522" s="594"/>
      <c r="H1522" s="594"/>
      <c r="I1522" s="593"/>
      <c r="J1522" s="593"/>
      <c r="K1522" s="593"/>
    </row>
    <row r="1523" spans="2:11">
      <c r="B1523" s="228"/>
      <c r="C1523" s="228"/>
      <c r="D1523" s="594"/>
      <c r="E1523" s="594"/>
      <c r="F1523" s="594"/>
      <c r="G1523" s="594"/>
      <c r="H1523" s="594"/>
      <c r="I1523" s="593"/>
      <c r="J1523" s="593"/>
      <c r="K1523" s="593"/>
    </row>
    <row r="1524" spans="2:11">
      <c r="B1524" s="228"/>
      <c r="C1524" s="228"/>
      <c r="D1524" s="594"/>
      <c r="E1524" s="594"/>
      <c r="F1524" s="594"/>
      <c r="G1524" s="594"/>
      <c r="H1524" s="594"/>
      <c r="I1524" s="593"/>
      <c r="J1524" s="593"/>
      <c r="K1524" s="593"/>
    </row>
    <row r="1525" spans="2:11">
      <c r="B1525" s="228"/>
      <c r="C1525" s="228"/>
      <c r="D1525" s="594"/>
      <c r="E1525" s="594"/>
      <c r="F1525" s="594"/>
      <c r="G1525" s="594"/>
      <c r="H1525" s="594"/>
      <c r="I1525" s="593"/>
      <c r="J1525" s="593"/>
      <c r="K1525" s="593"/>
    </row>
    <row r="1526" spans="2:11">
      <c r="B1526" s="228"/>
      <c r="C1526" s="228"/>
      <c r="D1526" s="594"/>
      <c r="E1526" s="594"/>
      <c r="F1526" s="594"/>
      <c r="G1526" s="594"/>
      <c r="H1526" s="594"/>
      <c r="I1526" s="593"/>
      <c r="J1526" s="593"/>
      <c r="K1526" s="593"/>
    </row>
    <row r="1527" spans="2:11">
      <c r="B1527" s="228"/>
      <c r="C1527" s="228"/>
      <c r="D1527" s="594"/>
      <c r="E1527" s="594"/>
      <c r="F1527" s="594"/>
      <c r="G1527" s="594"/>
      <c r="H1527" s="594"/>
      <c r="I1527" s="593"/>
      <c r="J1527" s="593"/>
      <c r="K1527" s="593"/>
    </row>
    <row r="1528" spans="2:11">
      <c r="B1528" s="228"/>
      <c r="C1528" s="228"/>
      <c r="D1528" s="594"/>
      <c r="E1528" s="594"/>
      <c r="F1528" s="594"/>
      <c r="G1528" s="594"/>
      <c r="H1528" s="594"/>
      <c r="I1528" s="593"/>
      <c r="J1528" s="593"/>
      <c r="K1528" s="593"/>
    </row>
    <row r="1529" spans="2:11">
      <c r="B1529" s="228"/>
      <c r="C1529" s="228"/>
      <c r="D1529" s="594"/>
      <c r="E1529" s="594"/>
      <c r="F1529" s="594"/>
      <c r="G1529" s="594"/>
      <c r="H1529" s="594"/>
      <c r="I1529" s="593"/>
      <c r="J1529" s="593"/>
      <c r="K1529" s="593"/>
    </row>
    <row r="1530" spans="2:11">
      <c r="B1530" s="228"/>
      <c r="C1530" s="228"/>
      <c r="D1530" s="594"/>
      <c r="E1530" s="594"/>
      <c r="F1530" s="594"/>
      <c r="G1530" s="594"/>
      <c r="H1530" s="594"/>
      <c r="I1530" s="593"/>
      <c r="J1530" s="593"/>
      <c r="K1530" s="593"/>
    </row>
    <row r="1531" spans="2:11">
      <c r="B1531" s="228"/>
      <c r="C1531" s="228"/>
      <c r="D1531" s="594"/>
      <c r="E1531" s="594"/>
      <c r="F1531" s="594"/>
      <c r="G1531" s="594"/>
      <c r="H1531" s="594"/>
      <c r="I1531" s="593"/>
      <c r="J1531" s="593"/>
      <c r="K1531" s="593"/>
    </row>
    <row r="1532" spans="2:11">
      <c r="B1532" s="228"/>
      <c r="C1532" s="228"/>
      <c r="D1532" s="594"/>
      <c r="E1532" s="594"/>
      <c r="F1532" s="594"/>
      <c r="G1532" s="594"/>
      <c r="H1532" s="594"/>
      <c r="I1532" s="593"/>
      <c r="J1532" s="593"/>
      <c r="K1532" s="593"/>
    </row>
    <row r="1533" spans="2:11">
      <c r="B1533" s="228"/>
      <c r="C1533" s="228"/>
      <c r="D1533" s="594"/>
      <c r="E1533" s="594"/>
      <c r="F1533" s="594"/>
      <c r="G1533" s="594"/>
      <c r="H1533" s="594"/>
      <c r="I1533" s="593"/>
      <c r="J1533" s="593"/>
      <c r="K1533" s="593"/>
    </row>
    <row r="1534" spans="2:11">
      <c r="B1534" s="228"/>
      <c r="C1534" s="228"/>
      <c r="D1534" s="594"/>
      <c r="E1534" s="594"/>
      <c r="F1534" s="594"/>
      <c r="G1534" s="594"/>
      <c r="H1534" s="594"/>
      <c r="I1534" s="593"/>
      <c r="J1534" s="593"/>
      <c r="K1534" s="593"/>
    </row>
    <row r="1535" spans="2:11">
      <c r="B1535" s="228"/>
      <c r="C1535" s="228"/>
      <c r="D1535" s="594"/>
      <c r="E1535" s="594"/>
      <c r="F1535" s="594"/>
      <c r="G1535" s="594"/>
      <c r="H1535" s="594"/>
      <c r="I1535" s="593"/>
      <c r="J1535" s="593"/>
      <c r="K1535" s="593"/>
    </row>
    <row r="1536" spans="2:11">
      <c r="B1536" s="228"/>
      <c r="C1536" s="228"/>
      <c r="D1536" s="594"/>
      <c r="E1536" s="594"/>
      <c r="F1536" s="594"/>
      <c r="G1536" s="594"/>
      <c r="H1536" s="594"/>
      <c r="I1536" s="593"/>
      <c r="J1536" s="593"/>
      <c r="K1536" s="593"/>
    </row>
    <row r="1537" spans="2:11">
      <c r="B1537" s="228"/>
      <c r="C1537" s="228"/>
      <c r="D1537" s="594"/>
      <c r="E1537" s="594"/>
      <c r="F1537" s="594"/>
      <c r="G1537" s="594"/>
      <c r="H1537" s="594"/>
      <c r="I1537" s="593"/>
      <c r="J1537" s="593"/>
      <c r="K1537" s="593"/>
    </row>
    <row r="1538" spans="2:11">
      <c r="B1538" s="228"/>
      <c r="C1538" s="228"/>
      <c r="D1538" s="594"/>
      <c r="E1538" s="594"/>
      <c r="F1538" s="594"/>
      <c r="G1538" s="594"/>
      <c r="H1538" s="594"/>
      <c r="I1538" s="593"/>
      <c r="J1538" s="593"/>
      <c r="K1538" s="593"/>
    </row>
    <row r="1539" spans="2:11">
      <c r="B1539" s="228"/>
      <c r="C1539" s="228"/>
      <c r="D1539" s="594"/>
      <c r="E1539" s="594"/>
      <c r="F1539" s="594"/>
      <c r="G1539" s="594"/>
      <c r="H1539" s="594"/>
      <c r="I1539" s="593"/>
      <c r="J1539" s="593"/>
      <c r="K1539" s="593"/>
    </row>
    <row r="1540" spans="2:11">
      <c r="B1540" s="228"/>
      <c r="C1540" s="228"/>
      <c r="D1540" s="594"/>
      <c r="E1540" s="594"/>
      <c r="F1540" s="594"/>
      <c r="G1540" s="594"/>
      <c r="H1540" s="594"/>
      <c r="I1540" s="593"/>
      <c r="J1540" s="593"/>
      <c r="K1540" s="593"/>
    </row>
    <row r="1541" spans="2:11">
      <c r="B1541" s="228"/>
      <c r="C1541" s="228"/>
      <c r="D1541" s="594"/>
      <c r="E1541" s="594"/>
      <c r="F1541" s="594"/>
      <c r="G1541" s="594"/>
      <c r="H1541" s="594"/>
      <c r="I1541" s="593"/>
      <c r="J1541" s="593"/>
      <c r="K1541" s="593"/>
    </row>
    <row r="1542" spans="2:11">
      <c r="B1542" s="228"/>
      <c r="C1542" s="228"/>
      <c r="D1542" s="594"/>
      <c r="E1542" s="594"/>
      <c r="F1542" s="594"/>
      <c r="G1542" s="594"/>
      <c r="H1542" s="594"/>
      <c r="I1542" s="593"/>
      <c r="J1542" s="593"/>
      <c r="K1542" s="593"/>
    </row>
    <row r="1543" spans="2:11">
      <c r="B1543" s="228"/>
      <c r="C1543" s="228"/>
      <c r="D1543" s="594"/>
      <c r="E1543" s="594"/>
      <c r="F1543" s="594"/>
      <c r="G1543" s="594"/>
      <c r="H1543" s="594"/>
      <c r="I1543" s="593"/>
      <c r="J1543" s="593"/>
      <c r="K1543" s="593"/>
    </row>
    <row r="1544" spans="2:11">
      <c r="B1544" s="228"/>
      <c r="C1544" s="228"/>
      <c r="D1544" s="594"/>
      <c r="E1544" s="594"/>
      <c r="F1544" s="594"/>
      <c r="G1544" s="594"/>
      <c r="H1544" s="594"/>
      <c r="I1544" s="593"/>
      <c r="J1544" s="593"/>
      <c r="K1544" s="593"/>
    </row>
    <row r="1545" spans="2:11">
      <c r="B1545" s="228"/>
      <c r="C1545" s="228"/>
      <c r="D1545" s="594"/>
      <c r="E1545" s="594"/>
      <c r="F1545" s="594"/>
      <c r="G1545" s="594"/>
      <c r="H1545" s="594"/>
      <c r="I1545" s="593"/>
      <c r="J1545" s="593"/>
      <c r="K1545" s="593"/>
    </row>
    <row r="1546" spans="2:11">
      <c r="B1546" s="228"/>
      <c r="C1546" s="228"/>
      <c r="D1546" s="594"/>
      <c r="E1546" s="594"/>
      <c r="F1546" s="594"/>
      <c r="G1546" s="594"/>
      <c r="H1546" s="594"/>
      <c r="I1546" s="593"/>
      <c r="J1546" s="593"/>
      <c r="K1546" s="593"/>
    </row>
    <row r="1547" spans="2:11">
      <c r="B1547" s="228"/>
      <c r="C1547" s="228"/>
      <c r="D1547" s="594"/>
      <c r="E1547" s="594"/>
      <c r="F1547" s="594"/>
      <c r="G1547" s="594"/>
      <c r="H1547" s="594"/>
      <c r="I1547" s="593"/>
      <c r="J1547" s="593"/>
      <c r="K1547" s="593"/>
    </row>
    <row r="1548" spans="2:11">
      <c r="B1548" s="228"/>
      <c r="C1548" s="228"/>
      <c r="D1548" s="594"/>
      <c r="E1548" s="594"/>
      <c r="F1548" s="594"/>
      <c r="G1548" s="594"/>
      <c r="H1548" s="594"/>
      <c r="I1548" s="593"/>
      <c r="J1548" s="593"/>
      <c r="K1548" s="593"/>
    </row>
    <row r="1549" spans="2:11">
      <c r="B1549" s="228"/>
      <c r="C1549" s="228"/>
      <c r="D1549" s="594"/>
      <c r="E1549" s="594"/>
      <c r="F1549" s="594"/>
      <c r="G1549" s="594"/>
      <c r="H1549" s="594"/>
      <c r="I1549" s="593"/>
      <c r="J1549" s="593"/>
      <c r="K1549" s="593"/>
    </row>
    <row r="1550" spans="2:11">
      <c r="B1550" s="228"/>
      <c r="C1550" s="228"/>
      <c r="D1550" s="594"/>
      <c r="E1550" s="594"/>
      <c r="F1550" s="594"/>
      <c r="G1550" s="594"/>
      <c r="H1550" s="594"/>
      <c r="I1550" s="593"/>
      <c r="J1550" s="593"/>
      <c r="K1550" s="593"/>
    </row>
    <row r="1551" spans="2:11">
      <c r="B1551" s="228"/>
      <c r="C1551" s="228"/>
      <c r="D1551" s="594"/>
      <c r="E1551" s="594"/>
      <c r="F1551" s="594"/>
      <c r="G1551" s="594"/>
      <c r="H1551" s="594"/>
      <c r="I1551" s="593"/>
      <c r="J1551" s="593"/>
      <c r="K1551" s="593"/>
    </row>
    <row r="1552" spans="2:11">
      <c r="B1552" s="228"/>
      <c r="C1552" s="228"/>
      <c r="D1552" s="594"/>
      <c r="E1552" s="594"/>
      <c r="F1552" s="594"/>
      <c r="G1552" s="594"/>
      <c r="H1552" s="594"/>
      <c r="I1552" s="593"/>
      <c r="J1552" s="593"/>
      <c r="K1552" s="593"/>
    </row>
    <row r="1553" spans="2:11">
      <c r="B1553" s="228"/>
      <c r="C1553" s="228"/>
      <c r="D1553" s="594"/>
      <c r="E1553" s="594"/>
      <c r="F1553" s="594"/>
      <c r="G1553" s="594"/>
      <c r="H1553" s="594"/>
      <c r="I1553" s="593"/>
      <c r="J1553" s="593"/>
      <c r="K1553" s="593"/>
    </row>
    <row r="1554" spans="2:11">
      <c r="B1554" s="228"/>
      <c r="C1554" s="228"/>
      <c r="D1554" s="594"/>
      <c r="E1554" s="594"/>
      <c r="F1554" s="594"/>
      <c r="G1554" s="594"/>
      <c r="H1554" s="594"/>
      <c r="I1554" s="593"/>
      <c r="J1554" s="593"/>
      <c r="K1554" s="593"/>
    </row>
    <row r="1555" spans="2:11">
      <c r="B1555" s="228"/>
      <c r="C1555" s="228"/>
      <c r="D1555" s="594"/>
      <c r="E1555" s="594"/>
      <c r="F1555" s="594"/>
      <c r="G1555" s="594"/>
      <c r="H1555" s="594"/>
      <c r="I1555" s="593"/>
      <c r="J1555" s="593"/>
      <c r="K1555" s="593"/>
    </row>
    <row r="1556" spans="2:11">
      <c r="B1556" s="228"/>
      <c r="C1556" s="228"/>
      <c r="D1556" s="594"/>
      <c r="E1556" s="594"/>
      <c r="F1556" s="594"/>
      <c r="G1556" s="594"/>
      <c r="H1556" s="594"/>
      <c r="I1556" s="593"/>
      <c r="J1556" s="593"/>
      <c r="K1556" s="593"/>
    </row>
    <row r="1557" spans="2:11">
      <c r="B1557" s="228"/>
      <c r="C1557" s="228"/>
      <c r="D1557" s="594"/>
      <c r="E1557" s="594"/>
      <c r="F1557" s="594"/>
      <c r="G1557" s="594"/>
      <c r="H1557" s="594"/>
      <c r="I1557" s="593"/>
      <c r="J1557" s="593"/>
      <c r="K1557" s="593"/>
    </row>
    <row r="1558" spans="2:11">
      <c r="B1558" s="228"/>
      <c r="C1558" s="228"/>
      <c r="D1558" s="594"/>
      <c r="E1558" s="594"/>
      <c r="F1558" s="594"/>
      <c r="G1558" s="594"/>
      <c r="H1558" s="594"/>
      <c r="I1558" s="593"/>
      <c r="J1558" s="593"/>
      <c r="K1558" s="593"/>
    </row>
    <row r="1559" spans="2:11">
      <c r="B1559" s="228"/>
      <c r="C1559" s="228"/>
      <c r="D1559" s="594"/>
      <c r="E1559" s="594"/>
      <c r="F1559" s="594"/>
      <c r="G1559" s="594"/>
      <c r="H1559" s="594"/>
      <c r="I1559" s="593"/>
      <c r="J1559" s="593"/>
      <c r="K1559" s="593"/>
    </row>
    <row r="1560" spans="2:11">
      <c r="B1560" s="228"/>
      <c r="C1560" s="228"/>
      <c r="D1560" s="594"/>
      <c r="E1560" s="594"/>
      <c r="F1560" s="594"/>
      <c r="G1560" s="594"/>
      <c r="H1560" s="594"/>
      <c r="I1560" s="593"/>
      <c r="J1560" s="593"/>
      <c r="K1560" s="593"/>
    </row>
    <row r="1561" spans="2:11">
      <c r="B1561" s="228"/>
      <c r="C1561" s="228"/>
      <c r="D1561" s="594"/>
      <c r="E1561" s="594"/>
      <c r="F1561" s="594"/>
      <c r="G1561" s="594"/>
      <c r="H1561" s="594"/>
      <c r="I1561" s="593"/>
      <c r="J1561" s="593"/>
      <c r="K1561" s="593"/>
    </row>
    <row r="1562" spans="2:11">
      <c r="B1562" s="228"/>
      <c r="C1562" s="228"/>
      <c r="D1562" s="594"/>
      <c r="E1562" s="594"/>
      <c r="F1562" s="594"/>
      <c r="G1562" s="594"/>
      <c r="H1562" s="594"/>
      <c r="I1562" s="593"/>
      <c r="J1562" s="593"/>
      <c r="K1562" s="593"/>
    </row>
    <row r="1563" spans="2:11">
      <c r="B1563" s="228"/>
      <c r="C1563" s="228"/>
      <c r="D1563" s="594"/>
      <c r="E1563" s="594"/>
      <c r="F1563" s="594"/>
      <c r="G1563" s="594"/>
      <c r="H1563" s="594"/>
      <c r="I1563" s="593"/>
      <c r="J1563" s="593"/>
      <c r="K1563" s="593"/>
    </row>
    <row r="1564" spans="2:11">
      <c r="B1564" s="228"/>
      <c r="C1564" s="228"/>
      <c r="D1564" s="594"/>
      <c r="E1564" s="594"/>
      <c r="F1564" s="594"/>
      <c r="G1564" s="594"/>
      <c r="H1564" s="594"/>
      <c r="I1564" s="593"/>
      <c r="J1564" s="593"/>
      <c r="K1564" s="593"/>
    </row>
    <row r="1565" spans="2:11">
      <c r="B1565" s="228"/>
      <c r="C1565" s="228"/>
      <c r="D1565" s="594"/>
      <c r="E1565" s="594"/>
      <c r="F1565" s="594"/>
      <c r="G1565" s="594"/>
      <c r="H1565" s="594"/>
      <c r="I1565" s="593"/>
      <c r="J1565" s="593"/>
      <c r="K1565" s="593"/>
    </row>
    <row r="1566" spans="2:11">
      <c r="B1566" s="228"/>
      <c r="C1566" s="228"/>
      <c r="D1566" s="594"/>
      <c r="E1566" s="594"/>
      <c r="F1566" s="594"/>
      <c r="G1566" s="594"/>
      <c r="H1566" s="594"/>
      <c r="I1566" s="593"/>
      <c r="J1566" s="593"/>
      <c r="K1566" s="593"/>
    </row>
    <row r="1567" spans="2:11">
      <c r="B1567" s="228"/>
      <c r="C1567" s="228"/>
      <c r="D1567" s="594"/>
      <c r="E1567" s="594"/>
      <c r="F1567" s="594"/>
      <c r="G1567" s="594"/>
      <c r="H1567" s="594"/>
      <c r="I1567" s="593"/>
      <c r="J1567" s="593"/>
      <c r="K1567" s="593"/>
    </row>
    <row r="1568" spans="2:11">
      <c r="B1568" s="228"/>
      <c r="C1568" s="228"/>
      <c r="D1568" s="594"/>
      <c r="E1568" s="594"/>
      <c r="F1568" s="594"/>
      <c r="G1568" s="594"/>
      <c r="H1568" s="594"/>
      <c r="I1568" s="593"/>
      <c r="J1568" s="593"/>
      <c r="K1568" s="593"/>
    </row>
    <row r="1569" spans="2:11">
      <c r="B1569" s="228"/>
      <c r="C1569" s="228"/>
      <c r="D1569" s="594"/>
      <c r="E1569" s="594"/>
      <c r="F1569" s="594"/>
      <c r="G1569" s="594"/>
      <c r="H1569" s="594"/>
      <c r="I1569" s="593"/>
      <c r="J1569" s="593"/>
      <c r="K1569" s="593"/>
    </row>
    <row r="1570" spans="2:11">
      <c r="B1570" s="228"/>
      <c r="C1570" s="228"/>
      <c r="D1570" s="594"/>
      <c r="E1570" s="594"/>
      <c r="F1570" s="594"/>
      <c r="G1570" s="594"/>
      <c r="H1570" s="594"/>
      <c r="I1570" s="593"/>
      <c r="J1570" s="593"/>
      <c r="K1570" s="593"/>
    </row>
    <row r="1571" spans="2:11">
      <c r="B1571" s="228"/>
      <c r="C1571" s="228"/>
      <c r="D1571" s="594"/>
      <c r="E1571" s="594"/>
      <c r="F1571" s="594"/>
      <c r="G1571" s="594"/>
      <c r="H1571" s="594"/>
      <c r="I1571" s="593"/>
      <c r="J1571" s="593"/>
      <c r="K1571" s="593"/>
    </row>
    <row r="1572" spans="2:11">
      <c r="B1572" s="228"/>
      <c r="C1572" s="228"/>
      <c r="D1572" s="594"/>
      <c r="E1572" s="594"/>
      <c r="F1572" s="594"/>
      <c r="G1572" s="594"/>
      <c r="H1572" s="594"/>
      <c r="I1572" s="593"/>
      <c r="J1572" s="593"/>
      <c r="K1572" s="593"/>
    </row>
    <row r="1573" spans="2:11">
      <c r="B1573" s="228"/>
      <c r="C1573" s="228"/>
      <c r="D1573" s="594"/>
      <c r="E1573" s="594"/>
      <c r="F1573" s="594"/>
      <c r="G1573" s="594"/>
      <c r="H1573" s="594"/>
      <c r="I1573" s="593"/>
      <c r="J1573" s="593"/>
      <c r="K1573" s="593"/>
    </row>
    <row r="1574" spans="2:11">
      <c r="B1574" s="228"/>
      <c r="C1574" s="228"/>
      <c r="D1574" s="594"/>
      <c r="E1574" s="594"/>
      <c r="F1574" s="594"/>
      <c r="G1574" s="594"/>
      <c r="H1574" s="594"/>
      <c r="I1574" s="593"/>
      <c r="J1574" s="593"/>
      <c r="K1574" s="593"/>
    </row>
    <row r="1575" spans="2:11">
      <c r="B1575" s="228"/>
      <c r="C1575" s="228"/>
      <c r="D1575" s="594"/>
      <c r="E1575" s="594"/>
      <c r="F1575" s="594"/>
      <c r="G1575" s="594"/>
      <c r="H1575" s="594"/>
      <c r="I1575" s="593"/>
      <c r="J1575" s="593"/>
      <c r="K1575" s="593"/>
    </row>
    <row r="1576" spans="2:11">
      <c r="B1576" s="228"/>
      <c r="C1576" s="228"/>
      <c r="D1576" s="594"/>
      <c r="E1576" s="594"/>
      <c r="F1576" s="594"/>
      <c r="G1576" s="594"/>
      <c r="H1576" s="594"/>
      <c r="I1576" s="593"/>
      <c r="J1576" s="593"/>
      <c r="K1576" s="593"/>
    </row>
    <row r="1577" spans="2:11">
      <c r="B1577" s="228"/>
      <c r="C1577" s="228"/>
      <c r="D1577" s="594"/>
      <c r="E1577" s="594"/>
      <c r="F1577" s="594"/>
      <c r="G1577" s="594"/>
      <c r="H1577" s="594"/>
      <c r="I1577" s="593"/>
      <c r="J1577" s="593"/>
      <c r="K1577" s="593"/>
    </row>
    <row r="1578" spans="2:11">
      <c r="B1578" s="228"/>
      <c r="C1578" s="228"/>
      <c r="D1578" s="594"/>
      <c r="E1578" s="594"/>
      <c r="F1578" s="594"/>
      <c r="G1578" s="594"/>
      <c r="H1578" s="594"/>
      <c r="I1578" s="593"/>
      <c r="J1578" s="593"/>
      <c r="K1578" s="593"/>
    </row>
    <row r="1579" spans="2:11">
      <c r="B1579" s="228"/>
      <c r="C1579" s="228"/>
      <c r="D1579" s="594"/>
      <c r="E1579" s="594"/>
      <c r="F1579" s="594"/>
      <c r="G1579" s="594"/>
      <c r="H1579" s="594"/>
      <c r="I1579" s="593"/>
      <c r="J1579" s="593"/>
      <c r="K1579" s="593"/>
    </row>
    <row r="1580" spans="2:11">
      <c r="B1580" s="228"/>
      <c r="C1580" s="228"/>
      <c r="D1580" s="594"/>
      <c r="E1580" s="594"/>
      <c r="F1580" s="594"/>
      <c r="G1580" s="594"/>
      <c r="H1580" s="594"/>
      <c r="I1580" s="593"/>
      <c r="J1580" s="593"/>
      <c r="K1580" s="593"/>
    </row>
    <row r="1581" spans="2:11">
      <c r="B1581" s="228"/>
      <c r="C1581" s="228"/>
      <c r="D1581" s="594"/>
      <c r="E1581" s="594"/>
      <c r="F1581" s="594"/>
      <c r="G1581" s="594"/>
      <c r="H1581" s="594"/>
      <c r="I1581" s="593"/>
      <c r="J1581" s="593"/>
      <c r="K1581" s="593"/>
    </row>
    <row r="1582" spans="2:11">
      <c r="B1582" s="228"/>
      <c r="C1582" s="228"/>
      <c r="D1582" s="594"/>
      <c r="E1582" s="594"/>
      <c r="F1582" s="594"/>
      <c r="G1582" s="594"/>
      <c r="H1582" s="594"/>
      <c r="I1582" s="593"/>
      <c r="J1582" s="593"/>
      <c r="K1582" s="593"/>
    </row>
    <row r="1583" spans="2:11">
      <c r="B1583" s="228"/>
      <c r="C1583" s="228"/>
      <c r="D1583" s="594"/>
      <c r="E1583" s="594"/>
      <c r="F1583" s="594"/>
      <c r="G1583" s="594"/>
      <c r="H1583" s="594"/>
      <c r="I1583" s="593"/>
      <c r="J1583" s="593"/>
      <c r="K1583" s="593"/>
    </row>
    <row r="1584" spans="2:11">
      <c r="B1584" s="228"/>
      <c r="C1584" s="228"/>
      <c r="D1584" s="594"/>
      <c r="E1584" s="594"/>
      <c r="F1584" s="594"/>
      <c r="G1584" s="594"/>
      <c r="H1584" s="594"/>
      <c r="I1584" s="593"/>
      <c r="J1584" s="593"/>
      <c r="K1584" s="593"/>
    </row>
    <row r="1585" spans="2:11">
      <c r="B1585" s="228"/>
      <c r="C1585" s="228"/>
      <c r="D1585" s="594"/>
      <c r="E1585" s="594"/>
      <c r="F1585" s="594"/>
      <c r="G1585" s="594"/>
      <c r="H1585" s="594"/>
      <c r="I1585" s="593"/>
      <c r="J1585" s="593"/>
      <c r="K1585" s="593"/>
    </row>
    <row r="1586" spans="2:11">
      <c r="B1586" s="228"/>
      <c r="C1586" s="228"/>
      <c r="D1586" s="594"/>
      <c r="E1586" s="594"/>
      <c r="F1586" s="594"/>
      <c r="G1586" s="594"/>
      <c r="H1586" s="594"/>
      <c r="I1586" s="593"/>
      <c r="J1586" s="593"/>
      <c r="K1586" s="593"/>
    </row>
    <row r="1587" spans="2:11">
      <c r="B1587" s="228"/>
      <c r="C1587" s="228"/>
      <c r="D1587" s="594"/>
      <c r="E1587" s="594"/>
      <c r="F1587" s="594"/>
      <c r="G1587" s="594"/>
      <c r="H1587" s="594"/>
      <c r="I1587" s="593"/>
      <c r="J1587" s="593"/>
      <c r="K1587" s="593"/>
    </row>
    <row r="1588" spans="2:11">
      <c r="B1588" s="228"/>
      <c r="C1588" s="228"/>
      <c r="D1588" s="594"/>
      <c r="E1588" s="594"/>
      <c r="F1588" s="594"/>
      <c r="G1588" s="594"/>
      <c r="H1588" s="594"/>
      <c r="I1588" s="593"/>
      <c r="J1588" s="593"/>
      <c r="K1588" s="593"/>
    </row>
    <row r="1589" spans="2:11">
      <c r="B1589" s="228"/>
      <c r="C1589" s="228"/>
      <c r="D1589" s="594"/>
      <c r="E1589" s="594"/>
      <c r="F1589" s="594"/>
      <c r="G1589" s="594"/>
      <c r="H1589" s="594"/>
      <c r="I1589" s="593"/>
      <c r="J1589" s="593"/>
      <c r="K1589" s="593"/>
    </row>
    <row r="1590" spans="2:11">
      <c r="B1590" s="228"/>
      <c r="C1590" s="228"/>
      <c r="D1590" s="594"/>
      <c r="E1590" s="594"/>
      <c r="F1590" s="594"/>
      <c r="G1590" s="594"/>
      <c r="H1590" s="594"/>
      <c r="I1590" s="593"/>
      <c r="J1590" s="593"/>
      <c r="K1590" s="593"/>
    </row>
    <row r="1591" spans="2:11">
      <c r="B1591" s="228"/>
      <c r="C1591" s="228"/>
      <c r="D1591" s="594"/>
      <c r="E1591" s="594"/>
      <c r="F1591" s="594"/>
      <c r="G1591" s="594"/>
      <c r="H1591" s="594"/>
      <c r="I1591" s="593"/>
      <c r="J1591" s="593"/>
      <c r="K1591" s="593"/>
    </row>
    <row r="1592" spans="2:11">
      <c r="B1592" s="228"/>
      <c r="C1592" s="228"/>
      <c r="D1592" s="594"/>
      <c r="E1592" s="594"/>
      <c r="F1592" s="594"/>
      <c r="G1592" s="594"/>
      <c r="H1592" s="594"/>
      <c r="I1592" s="593"/>
      <c r="J1592" s="593"/>
      <c r="K1592" s="593"/>
    </row>
    <row r="1593" spans="2:11">
      <c r="B1593" s="228"/>
      <c r="C1593" s="228"/>
      <c r="D1593" s="594"/>
      <c r="E1593" s="594"/>
      <c r="F1593" s="594"/>
      <c r="G1593" s="594"/>
      <c r="H1593" s="594"/>
      <c r="I1593" s="593"/>
      <c r="J1593" s="593"/>
      <c r="K1593" s="593"/>
    </row>
    <row r="1594" spans="2:11">
      <c r="B1594" s="228"/>
      <c r="C1594" s="228"/>
      <c r="D1594" s="594"/>
      <c r="E1594" s="594"/>
      <c r="F1594" s="594"/>
      <c r="G1594" s="594"/>
      <c r="H1594" s="594"/>
      <c r="I1594" s="593"/>
      <c r="J1594" s="593"/>
      <c r="K1594" s="593"/>
    </row>
    <row r="1595" spans="2:11">
      <c r="B1595" s="228"/>
      <c r="C1595" s="228"/>
      <c r="D1595" s="594"/>
      <c r="E1595" s="594"/>
      <c r="F1595" s="594"/>
      <c r="G1595" s="594"/>
      <c r="H1595" s="594"/>
      <c r="I1595" s="593"/>
      <c r="J1595" s="593"/>
      <c r="K1595" s="593"/>
    </row>
    <row r="1596" spans="2:11">
      <c r="B1596" s="228"/>
      <c r="C1596" s="228"/>
      <c r="D1596" s="594"/>
      <c r="E1596" s="594"/>
      <c r="F1596" s="594"/>
      <c r="G1596" s="594"/>
      <c r="H1596" s="594"/>
      <c r="I1596" s="593"/>
      <c r="J1596" s="593"/>
      <c r="K1596" s="593"/>
    </row>
    <row r="1597" spans="2:11">
      <c r="B1597" s="228"/>
      <c r="C1597" s="228"/>
      <c r="D1597" s="594"/>
      <c r="E1597" s="594"/>
      <c r="F1597" s="594"/>
      <c r="G1597" s="594"/>
      <c r="H1597" s="594"/>
      <c r="I1597" s="593"/>
      <c r="J1597" s="593"/>
      <c r="K1597" s="593"/>
    </row>
    <row r="1598" spans="2:11">
      <c r="B1598" s="228"/>
      <c r="C1598" s="228"/>
      <c r="D1598" s="594"/>
      <c r="E1598" s="594"/>
      <c r="F1598" s="594"/>
      <c r="G1598" s="594"/>
      <c r="H1598" s="594"/>
      <c r="I1598" s="593"/>
      <c r="J1598" s="593"/>
      <c r="K1598" s="593"/>
    </row>
    <row r="1599" spans="2:11">
      <c r="B1599" s="228"/>
      <c r="C1599" s="228"/>
      <c r="D1599" s="594"/>
      <c r="E1599" s="594"/>
      <c r="F1599" s="594"/>
      <c r="G1599" s="594"/>
      <c r="H1599" s="594"/>
      <c r="I1599" s="593"/>
      <c r="J1599" s="593"/>
      <c r="K1599" s="593"/>
    </row>
    <row r="1600" spans="2:11">
      <c r="B1600" s="228"/>
      <c r="C1600" s="228"/>
      <c r="D1600" s="594"/>
      <c r="E1600" s="594"/>
      <c r="F1600" s="594"/>
      <c r="G1600" s="594"/>
      <c r="H1600" s="594"/>
      <c r="I1600" s="593"/>
      <c r="J1600" s="593"/>
      <c r="K1600" s="593"/>
    </row>
    <row r="1601" spans="2:11">
      <c r="B1601" s="228"/>
      <c r="C1601" s="228"/>
      <c r="D1601" s="594"/>
      <c r="E1601" s="594"/>
      <c r="F1601" s="594"/>
      <c r="G1601" s="594"/>
      <c r="H1601" s="594"/>
      <c r="I1601" s="593"/>
      <c r="J1601" s="593"/>
      <c r="K1601" s="593"/>
    </row>
    <row r="1602" spans="2:11">
      <c r="B1602" s="228"/>
      <c r="C1602" s="228"/>
      <c r="D1602" s="594"/>
      <c r="E1602" s="594"/>
      <c r="F1602" s="594"/>
      <c r="G1602" s="594"/>
      <c r="H1602" s="594"/>
      <c r="I1602" s="593"/>
      <c r="J1602" s="593"/>
      <c r="K1602" s="593"/>
    </row>
    <row r="1603" spans="2:11">
      <c r="B1603" s="228"/>
      <c r="C1603" s="228"/>
      <c r="D1603" s="594"/>
      <c r="E1603" s="594"/>
      <c r="F1603" s="594"/>
      <c r="G1603" s="594"/>
      <c r="H1603" s="594"/>
      <c r="I1603" s="593"/>
      <c r="J1603" s="593"/>
      <c r="K1603" s="593"/>
    </row>
    <row r="1604" spans="2:11">
      <c r="B1604" s="228"/>
      <c r="C1604" s="228"/>
      <c r="D1604" s="594"/>
      <c r="E1604" s="594"/>
      <c r="F1604" s="594"/>
      <c r="G1604" s="594"/>
      <c r="H1604" s="594"/>
      <c r="I1604" s="593"/>
      <c r="J1604" s="593"/>
      <c r="K1604" s="593"/>
    </row>
    <row r="1605" spans="2:11">
      <c r="B1605" s="228"/>
      <c r="C1605" s="228"/>
      <c r="D1605" s="594"/>
      <c r="E1605" s="594"/>
      <c r="F1605" s="594"/>
      <c r="G1605" s="594"/>
      <c r="H1605" s="594"/>
      <c r="I1605" s="593"/>
      <c r="J1605" s="593"/>
      <c r="K1605" s="593"/>
    </row>
    <row r="1606" spans="2:11">
      <c r="B1606" s="228"/>
      <c r="C1606" s="228"/>
      <c r="D1606" s="594"/>
      <c r="E1606" s="594"/>
      <c r="F1606" s="594"/>
      <c r="G1606" s="594"/>
      <c r="H1606" s="594"/>
      <c r="I1606" s="593"/>
      <c r="J1606" s="593"/>
      <c r="K1606" s="593"/>
    </row>
    <row r="1607" spans="2:11">
      <c r="B1607" s="228"/>
      <c r="C1607" s="228"/>
      <c r="D1607" s="594"/>
      <c r="E1607" s="594"/>
      <c r="F1607" s="594"/>
      <c r="G1607" s="594"/>
      <c r="H1607" s="594"/>
      <c r="I1607" s="593"/>
      <c r="J1607" s="593"/>
      <c r="K1607" s="593"/>
    </row>
    <row r="1608" spans="2:11">
      <c r="B1608" s="228"/>
      <c r="C1608" s="228"/>
      <c r="D1608" s="594"/>
      <c r="E1608" s="594"/>
      <c r="F1608" s="594"/>
      <c r="G1608" s="594"/>
      <c r="H1608" s="594"/>
      <c r="I1608" s="593"/>
      <c r="J1608" s="593"/>
      <c r="K1608" s="593"/>
    </row>
    <row r="1609" spans="2:11">
      <c r="B1609" s="228"/>
      <c r="C1609" s="228"/>
      <c r="D1609" s="594"/>
      <c r="E1609" s="594"/>
      <c r="F1609" s="594"/>
      <c r="G1609" s="594"/>
      <c r="H1609" s="594"/>
      <c r="I1609" s="593"/>
      <c r="J1609" s="593"/>
      <c r="K1609" s="593"/>
    </row>
    <row r="1610" spans="2:11">
      <c r="B1610" s="228"/>
      <c r="C1610" s="228"/>
      <c r="D1610" s="594"/>
      <c r="E1610" s="594"/>
      <c r="F1610" s="594"/>
      <c r="G1610" s="594"/>
      <c r="H1610" s="594"/>
      <c r="I1610" s="593"/>
      <c r="J1610" s="593"/>
      <c r="K1610" s="593"/>
    </row>
    <row r="1611" spans="2:11">
      <c r="B1611" s="228"/>
      <c r="C1611" s="228"/>
      <c r="D1611" s="594"/>
      <c r="E1611" s="594"/>
      <c r="F1611" s="594"/>
      <c r="G1611" s="594"/>
      <c r="H1611" s="594"/>
      <c r="I1611" s="593"/>
      <c r="J1611" s="593"/>
      <c r="K1611" s="593"/>
    </row>
    <row r="1612" spans="2:11">
      <c r="B1612" s="228"/>
      <c r="C1612" s="228"/>
      <c r="D1612" s="594"/>
      <c r="E1612" s="594"/>
      <c r="F1612" s="594"/>
      <c r="G1612" s="594"/>
      <c r="H1612" s="594"/>
      <c r="I1612" s="593"/>
      <c r="J1612" s="593"/>
      <c r="K1612" s="593"/>
    </row>
    <row r="1613" spans="2:11">
      <c r="B1613" s="228"/>
      <c r="C1613" s="228"/>
      <c r="D1613" s="594"/>
      <c r="E1613" s="594"/>
      <c r="F1613" s="594"/>
      <c r="G1613" s="594"/>
      <c r="H1613" s="594"/>
      <c r="I1613" s="593"/>
      <c r="J1613" s="593"/>
      <c r="K1613" s="593"/>
    </row>
    <row r="1614" spans="2:11">
      <c r="B1614" s="228"/>
      <c r="C1614" s="228"/>
      <c r="D1614" s="594"/>
      <c r="E1614" s="594"/>
      <c r="F1614" s="594"/>
      <c r="G1614" s="594"/>
      <c r="H1614" s="594"/>
      <c r="I1614" s="593"/>
      <c r="J1614" s="593"/>
      <c r="K1614" s="593"/>
    </row>
    <row r="1615" spans="2:11">
      <c r="B1615" s="228"/>
      <c r="C1615" s="228"/>
      <c r="D1615" s="594"/>
      <c r="E1615" s="594"/>
      <c r="F1615" s="594"/>
      <c r="G1615" s="594"/>
      <c r="H1615" s="594"/>
      <c r="I1615" s="593"/>
      <c r="J1615" s="593"/>
      <c r="K1615" s="593"/>
    </row>
    <row r="1616" spans="2:11">
      <c r="B1616" s="228"/>
      <c r="C1616" s="228"/>
      <c r="D1616" s="594"/>
      <c r="E1616" s="594"/>
      <c r="F1616" s="594"/>
      <c r="G1616" s="594"/>
      <c r="H1616" s="594"/>
      <c r="I1616" s="593"/>
      <c r="J1616" s="593"/>
      <c r="K1616" s="593"/>
    </row>
    <row r="1617" spans="2:11">
      <c r="B1617" s="228"/>
      <c r="C1617" s="228"/>
      <c r="D1617" s="594"/>
      <c r="E1617" s="594"/>
      <c r="F1617" s="594"/>
      <c r="G1617" s="594"/>
      <c r="H1617" s="594"/>
      <c r="I1617" s="593"/>
      <c r="J1617" s="593"/>
      <c r="K1617" s="593"/>
    </row>
    <row r="1618" spans="2:11">
      <c r="B1618" s="228"/>
      <c r="C1618" s="228"/>
      <c r="D1618" s="594"/>
      <c r="E1618" s="594"/>
      <c r="F1618" s="594"/>
      <c r="G1618" s="594"/>
      <c r="H1618" s="594"/>
      <c r="I1618" s="593"/>
      <c r="J1618" s="593"/>
      <c r="K1618" s="593"/>
    </row>
    <row r="1619" spans="2:11">
      <c r="B1619" s="228"/>
      <c r="C1619" s="228"/>
      <c r="D1619" s="594"/>
      <c r="E1619" s="594"/>
      <c r="F1619" s="594"/>
      <c r="G1619" s="594"/>
      <c r="H1619" s="594"/>
      <c r="I1619" s="593"/>
      <c r="J1619" s="593"/>
      <c r="K1619" s="593"/>
    </row>
    <row r="1620" spans="2:11">
      <c r="B1620" s="228"/>
      <c r="C1620" s="228"/>
      <c r="D1620" s="594"/>
      <c r="E1620" s="594"/>
      <c r="F1620" s="594"/>
      <c r="G1620" s="594"/>
      <c r="H1620" s="594"/>
      <c r="I1620" s="593"/>
      <c r="J1620" s="593"/>
      <c r="K1620" s="593"/>
    </row>
    <row r="1621" spans="2:11">
      <c r="B1621" s="228"/>
      <c r="C1621" s="228"/>
      <c r="D1621" s="594"/>
      <c r="E1621" s="594"/>
      <c r="F1621" s="594"/>
      <c r="G1621" s="594"/>
      <c r="H1621" s="594"/>
      <c r="I1621" s="593"/>
      <c r="J1621" s="593"/>
      <c r="K1621" s="593"/>
    </row>
    <row r="1622" spans="2:11">
      <c r="B1622" s="228"/>
      <c r="C1622" s="228"/>
      <c r="D1622" s="594"/>
      <c r="E1622" s="594"/>
      <c r="F1622" s="594"/>
      <c r="G1622" s="594"/>
      <c r="H1622" s="594"/>
      <c r="I1622" s="593"/>
      <c r="J1622" s="593"/>
      <c r="K1622" s="593"/>
    </row>
    <row r="1623" spans="2:11">
      <c r="B1623" s="228"/>
      <c r="C1623" s="228"/>
      <c r="D1623" s="594"/>
      <c r="E1623" s="594"/>
      <c r="F1623" s="594"/>
      <c r="G1623" s="594"/>
      <c r="H1623" s="594"/>
      <c r="I1623" s="593"/>
      <c r="J1623" s="593"/>
      <c r="K1623" s="593"/>
    </row>
    <row r="1624" spans="2:11">
      <c r="B1624" s="228"/>
      <c r="C1624" s="228"/>
      <c r="D1624" s="594"/>
      <c r="E1624" s="594"/>
      <c r="F1624" s="594"/>
      <c r="G1624" s="594"/>
      <c r="H1624" s="594"/>
      <c r="I1624" s="593"/>
      <c r="J1624" s="593"/>
      <c r="K1624" s="593"/>
    </row>
    <row r="1625" spans="2:11">
      <c r="B1625" s="228"/>
      <c r="C1625" s="228"/>
      <c r="D1625" s="594"/>
      <c r="E1625" s="594"/>
      <c r="F1625" s="594"/>
      <c r="G1625" s="594"/>
      <c r="H1625" s="594"/>
      <c r="I1625" s="593"/>
      <c r="J1625" s="593"/>
      <c r="K1625" s="593"/>
    </row>
    <row r="1626" spans="2:11">
      <c r="B1626" s="228"/>
      <c r="C1626" s="228"/>
      <c r="D1626" s="594"/>
      <c r="E1626" s="594"/>
      <c r="F1626" s="594"/>
      <c r="G1626" s="594"/>
      <c r="H1626" s="594"/>
      <c r="I1626" s="593"/>
      <c r="J1626" s="593"/>
      <c r="K1626" s="593"/>
    </row>
    <row r="1627" spans="2:11">
      <c r="B1627" s="228"/>
      <c r="C1627" s="228"/>
      <c r="D1627" s="594"/>
      <c r="E1627" s="594"/>
      <c r="F1627" s="594"/>
      <c r="G1627" s="594"/>
      <c r="H1627" s="594"/>
      <c r="I1627" s="593"/>
      <c r="J1627" s="593"/>
      <c r="K1627" s="593"/>
    </row>
    <row r="1628" spans="2:11">
      <c r="B1628" s="228"/>
      <c r="C1628" s="228"/>
      <c r="D1628" s="594"/>
      <c r="E1628" s="594"/>
      <c r="F1628" s="594"/>
      <c r="G1628" s="594"/>
      <c r="H1628" s="594"/>
      <c r="I1628" s="593"/>
      <c r="J1628" s="593"/>
      <c r="K1628" s="593"/>
    </row>
    <row r="1629" spans="2:11">
      <c r="B1629" s="228"/>
      <c r="C1629" s="228"/>
      <c r="D1629" s="594"/>
      <c r="E1629" s="594"/>
      <c r="F1629" s="594"/>
      <c r="G1629" s="594"/>
      <c r="H1629" s="594"/>
      <c r="I1629" s="593"/>
      <c r="J1629" s="593"/>
      <c r="K1629" s="593"/>
    </row>
    <row r="1630" spans="2:11">
      <c r="B1630" s="228"/>
      <c r="C1630" s="228"/>
      <c r="D1630" s="594"/>
      <c r="E1630" s="594"/>
      <c r="F1630" s="594"/>
      <c r="G1630" s="594"/>
      <c r="H1630" s="594"/>
      <c r="I1630" s="593"/>
      <c r="J1630" s="593"/>
      <c r="K1630" s="593"/>
    </row>
    <row r="1631" spans="2:11">
      <c r="B1631" s="228"/>
      <c r="C1631" s="228"/>
      <c r="D1631" s="594"/>
      <c r="E1631" s="594"/>
      <c r="F1631" s="594"/>
      <c r="G1631" s="594"/>
      <c r="H1631" s="594"/>
      <c r="I1631" s="593"/>
      <c r="J1631" s="593"/>
      <c r="K1631" s="593"/>
    </row>
    <row r="1632" spans="2:11">
      <c r="B1632" s="228"/>
      <c r="C1632" s="228"/>
      <c r="D1632" s="594"/>
      <c r="E1632" s="594"/>
      <c r="F1632" s="594"/>
      <c r="G1632" s="594"/>
      <c r="H1632" s="594"/>
      <c r="I1632" s="593"/>
      <c r="J1632" s="593"/>
      <c r="K1632" s="593"/>
    </row>
    <row r="1633" spans="2:11">
      <c r="B1633" s="228"/>
      <c r="C1633" s="228"/>
      <c r="D1633" s="594"/>
      <c r="E1633" s="594"/>
      <c r="F1633" s="594"/>
      <c r="G1633" s="594"/>
      <c r="H1633" s="594"/>
      <c r="I1633" s="593"/>
      <c r="J1633" s="593"/>
      <c r="K1633" s="593"/>
    </row>
    <row r="1634" spans="2:11">
      <c r="B1634" s="228"/>
      <c r="C1634" s="228"/>
      <c r="D1634" s="594"/>
      <c r="E1634" s="594"/>
      <c r="F1634" s="594"/>
      <c r="G1634" s="594"/>
      <c r="H1634" s="594"/>
      <c r="I1634" s="593"/>
      <c r="J1634" s="593"/>
      <c r="K1634" s="593"/>
    </row>
    <row r="1635" spans="2:11">
      <c r="B1635" s="228"/>
      <c r="C1635" s="228"/>
      <c r="D1635" s="594"/>
      <c r="E1635" s="594"/>
      <c r="F1635" s="594"/>
      <c r="G1635" s="594"/>
      <c r="H1635" s="594"/>
      <c r="I1635" s="593"/>
      <c r="J1635" s="593"/>
      <c r="K1635" s="593"/>
    </row>
    <row r="1636" spans="2:11">
      <c r="B1636" s="228"/>
      <c r="C1636" s="228"/>
      <c r="D1636" s="594"/>
      <c r="E1636" s="594"/>
      <c r="F1636" s="594"/>
      <c r="G1636" s="594"/>
      <c r="H1636" s="594"/>
      <c r="I1636" s="593"/>
      <c r="J1636" s="593"/>
      <c r="K1636" s="593"/>
    </row>
    <row r="1637" spans="2:11">
      <c r="B1637" s="228"/>
      <c r="C1637" s="228"/>
      <c r="D1637" s="594"/>
      <c r="E1637" s="594"/>
      <c r="F1637" s="594"/>
      <c r="G1637" s="594"/>
      <c r="H1637" s="594"/>
      <c r="I1637" s="593"/>
      <c r="J1637" s="593"/>
      <c r="K1637" s="593"/>
    </row>
    <row r="1638" spans="2:11">
      <c r="B1638" s="228"/>
      <c r="C1638" s="228"/>
      <c r="D1638" s="594"/>
      <c r="E1638" s="594"/>
      <c r="F1638" s="594"/>
      <c r="G1638" s="594"/>
      <c r="H1638" s="594"/>
      <c r="I1638" s="593"/>
      <c r="J1638" s="593"/>
      <c r="K1638" s="593"/>
    </row>
    <row r="1639" spans="2:11">
      <c r="B1639" s="228"/>
      <c r="C1639" s="228"/>
      <c r="D1639" s="594"/>
      <c r="E1639" s="594"/>
      <c r="F1639" s="594"/>
      <c r="G1639" s="594"/>
      <c r="H1639" s="594"/>
      <c r="I1639" s="593"/>
      <c r="J1639" s="593"/>
      <c r="K1639" s="593"/>
    </row>
    <row r="1640" spans="2:11">
      <c r="B1640" s="228"/>
      <c r="C1640" s="228"/>
      <c r="D1640" s="594"/>
      <c r="E1640" s="594"/>
      <c r="F1640" s="594"/>
      <c r="G1640" s="594"/>
      <c r="H1640" s="594"/>
      <c r="I1640" s="593"/>
      <c r="J1640" s="593"/>
      <c r="K1640" s="593"/>
    </row>
    <row r="1641" spans="2:11">
      <c r="B1641" s="228"/>
      <c r="C1641" s="228"/>
      <c r="D1641" s="594"/>
      <c r="E1641" s="594"/>
      <c r="F1641" s="594"/>
      <c r="G1641" s="594"/>
      <c r="H1641" s="594"/>
      <c r="I1641" s="593"/>
      <c r="J1641" s="593"/>
      <c r="K1641" s="593"/>
    </row>
    <row r="1642" spans="2:11">
      <c r="B1642" s="228"/>
      <c r="C1642" s="228"/>
      <c r="D1642" s="594"/>
      <c r="E1642" s="594"/>
      <c r="F1642" s="594"/>
      <c r="G1642" s="594"/>
      <c r="H1642" s="594"/>
      <c r="I1642" s="593"/>
      <c r="J1642" s="593"/>
      <c r="K1642" s="593"/>
    </row>
    <row r="1643" spans="2:11">
      <c r="B1643" s="228"/>
      <c r="C1643" s="228"/>
      <c r="D1643" s="594"/>
      <c r="E1643" s="594"/>
      <c r="F1643" s="594"/>
      <c r="G1643" s="594"/>
      <c r="H1643" s="594"/>
      <c r="I1643" s="593"/>
      <c r="J1643" s="593"/>
      <c r="K1643" s="593"/>
    </row>
    <row r="1644" spans="2:11">
      <c r="B1644" s="228"/>
      <c r="C1644" s="228"/>
      <c r="D1644" s="594"/>
      <c r="E1644" s="594"/>
      <c r="F1644" s="594"/>
      <c r="G1644" s="594"/>
      <c r="H1644" s="594"/>
      <c r="I1644" s="593"/>
      <c r="J1644" s="593"/>
      <c r="K1644" s="593"/>
    </row>
    <row r="1645" spans="2:11">
      <c r="B1645" s="228"/>
      <c r="C1645" s="228"/>
      <c r="D1645" s="594"/>
      <c r="E1645" s="594"/>
      <c r="F1645" s="594"/>
      <c r="G1645" s="594"/>
      <c r="H1645" s="594"/>
      <c r="I1645" s="593"/>
      <c r="J1645" s="593"/>
      <c r="K1645" s="593"/>
    </row>
    <row r="1646" spans="2:11">
      <c r="B1646" s="228"/>
      <c r="C1646" s="228"/>
      <c r="D1646" s="594"/>
      <c r="E1646" s="594"/>
      <c r="F1646" s="594"/>
      <c r="G1646" s="594"/>
      <c r="H1646" s="594"/>
      <c r="I1646" s="593"/>
      <c r="J1646" s="593"/>
      <c r="K1646" s="593"/>
    </row>
    <row r="1647" spans="2:11">
      <c r="B1647" s="228"/>
      <c r="C1647" s="228"/>
      <c r="D1647" s="594"/>
      <c r="E1647" s="594"/>
      <c r="F1647" s="594"/>
      <c r="G1647" s="594"/>
      <c r="H1647" s="594"/>
      <c r="I1647" s="593"/>
      <c r="J1647" s="593"/>
      <c r="K1647" s="593"/>
    </row>
    <row r="1648" spans="2:11">
      <c r="B1648" s="228"/>
      <c r="C1648" s="228"/>
      <c r="D1648" s="594"/>
      <c r="E1648" s="594"/>
      <c r="F1648" s="594"/>
      <c r="G1648" s="594"/>
      <c r="H1648" s="594"/>
      <c r="I1648" s="593"/>
      <c r="J1648" s="593"/>
      <c r="K1648" s="593"/>
    </row>
    <row r="1649" spans="2:11">
      <c r="B1649" s="228"/>
      <c r="C1649" s="228"/>
      <c r="D1649" s="594"/>
      <c r="E1649" s="594"/>
      <c r="F1649" s="594"/>
      <c r="G1649" s="594"/>
      <c r="H1649" s="594"/>
      <c r="I1649" s="593"/>
      <c r="J1649" s="593"/>
      <c r="K1649" s="593"/>
    </row>
    <row r="1650" spans="2:11">
      <c r="B1650" s="228"/>
      <c r="C1650" s="228"/>
      <c r="D1650" s="594"/>
      <c r="E1650" s="594"/>
      <c r="F1650" s="594"/>
      <c r="G1650" s="594"/>
      <c r="H1650" s="594"/>
      <c r="I1650" s="593"/>
      <c r="J1650" s="593"/>
      <c r="K1650" s="593"/>
    </row>
    <row r="1651" spans="2:11">
      <c r="B1651" s="228"/>
      <c r="C1651" s="228"/>
      <c r="D1651" s="594"/>
      <c r="E1651" s="594"/>
      <c r="F1651" s="594"/>
      <c r="G1651" s="594"/>
      <c r="H1651" s="594"/>
      <c r="I1651" s="593"/>
      <c r="J1651" s="593"/>
      <c r="K1651" s="593"/>
    </row>
    <row r="1652" spans="2:11">
      <c r="B1652" s="228"/>
      <c r="C1652" s="228"/>
      <c r="D1652" s="594"/>
      <c r="E1652" s="594"/>
      <c r="F1652" s="594"/>
      <c r="G1652" s="594"/>
      <c r="H1652" s="594"/>
      <c r="I1652" s="593"/>
      <c r="J1652" s="593"/>
      <c r="K1652" s="593"/>
    </row>
    <row r="1653" spans="2:11">
      <c r="B1653" s="228"/>
      <c r="C1653" s="228"/>
      <c r="D1653" s="594"/>
      <c r="E1653" s="594"/>
      <c r="F1653" s="594"/>
      <c r="G1653" s="594"/>
      <c r="H1653" s="594"/>
      <c r="I1653" s="593"/>
      <c r="J1653" s="593"/>
      <c r="K1653" s="593"/>
    </row>
    <row r="1654" spans="2:11">
      <c r="B1654" s="228"/>
      <c r="C1654" s="228"/>
      <c r="D1654" s="594"/>
      <c r="E1654" s="594"/>
      <c r="F1654" s="594"/>
      <c r="G1654" s="594"/>
      <c r="H1654" s="594"/>
      <c r="I1654" s="593"/>
      <c r="J1654" s="593"/>
      <c r="K1654" s="593"/>
    </row>
    <row r="1655" spans="2:11">
      <c r="B1655" s="228"/>
      <c r="C1655" s="228"/>
      <c r="D1655" s="594"/>
      <c r="E1655" s="594"/>
      <c r="F1655" s="594"/>
      <c r="G1655" s="594"/>
      <c r="H1655" s="594"/>
      <c r="I1655" s="593"/>
      <c r="J1655" s="593"/>
      <c r="K1655" s="593"/>
    </row>
    <row r="1656" spans="2:11">
      <c r="B1656" s="228"/>
      <c r="C1656" s="228"/>
      <c r="D1656" s="594"/>
      <c r="E1656" s="594"/>
      <c r="F1656" s="594"/>
      <c r="G1656" s="594"/>
      <c r="H1656" s="594"/>
      <c r="I1656" s="593"/>
      <c r="J1656" s="593"/>
      <c r="K1656" s="593"/>
    </row>
    <row r="1657" spans="2:11">
      <c r="B1657" s="228"/>
      <c r="C1657" s="228"/>
      <c r="D1657" s="594"/>
      <c r="E1657" s="594"/>
      <c r="F1657" s="594"/>
      <c r="G1657" s="594"/>
      <c r="H1657" s="594"/>
      <c r="I1657" s="593"/>
      <c r="J1657" s="593"/>
      <c r="K1657" s="593"/>
    </row>
    <row r="1658" spans="2:11">
      <c r="B1658" s="228"/>
      <c r="C1658" s="228"/>
      <c r="D1658" s="594"/>
      <c r="E1658" s="594"/>
      <c r="F1658" s="594"/>
      <c r="G1658" s="594"/>
      <c r="H1658" s="594"/>
      <c r="I1658" s="593"/>
      <c r="J1658" s="593"/>
      <c r="K1658" s="593"/>
    </row>
    <row r="1659" spans="2:11">
      <c r="B1659" s="228"/>
      <c r="C1659" s="228"/>
      <c r="D1659" s="594"/>
      <c r="E1659" s="594"/>
      <c r="F1659" s="594"/>
      <c r="G1659" s="594"/>
      <c r="H1659" s="594"/>
      <c r="I1659" s="593"/>
      <c r="J1659" s="593"/>
      <c r="K1659" s="593"/>
    </row>
    <row r="1660" spans="2:11">
      <c r="B1660" s="228"/>
      <c r="C1660" s="228"/>
      <c r="D1660" s="594"/>
      <c r="E1660" s="594"/>
      <c r="F1660" s="594"/>
      <c r="G1660" s="594"/>
      <c r="H1660" s="594"/>
      <c r="I1660" s="593"/>
      <c r="J1660" s="593"/>
      <c r="K1660" s="593"/>
    </row>
    <row r="1661" spans="2:11">
      <c r="B1661" s="228"/>
      <c r="C1661" s="228"/>
      <c r="D1661" s="594"/>
      <c r="E1661" s="594"/>
      <c r="F1661" s="594"/>
      <c r="G1661" s="594"/>
      <c r="H1661" s="594"/>
      <c r="I1661" s="593"/>
      <c r="J1661" s="593"/>
      <c r="K1661" s="593"/>
    </row>
    <row r="1662" spans="2:11">
      <c r="B1662" s="228"/>
      <c r="C1662" s="228"/>
      <c r="D1662" s="594"/>
      <c r="E1662" s="594"/>
      <c r="F1662" s="594"/>
      <c r="G1662" s="594"/>
      <c r="H1662" s="594"/>
      <c r="I1662" s="593"/>
      <c r="J1662" s="593"/>
      <c r="K1662" s="593"/>
    </row>
    <row r="1663" spans="2:11">
      <c r="B1663" s="228"/>
      <c r="C1663" s="228"/>
      <c r="D1663" s="594"/>
      <c r="E1663" s="594"/>
      <c r="F1663" s="594"/>
      <c r="G1663" s="594"/>
      <c r="H1663" s="594"/>
      <c r="I1663" s="593"/>
      <c r="J1663" s="593"/>
      <c r="K1663" s="593"/>
    </row>
    <row r="1664" spans="2:11">
      <c r="B1664" s="228"/>
      <c r="C1664" s="228"/>
      <c r="D1664" s="594"/>
      <c r="E1664" s="594"/>
      <c r="F1664" s="594"/>
      <c r="G1664" s="594"/>
      <c r="H1664" s="594"/>
      <c r="I1664" s="593"/>
      <c r="J1664" s="593"/>
      <c r="K1664" s="593"/>
    </row>
    <row r="1665" spans="2:11">
      <c r="B1665" s="228"/>
      <c r="C1665" s="228"/>
      <c r="D1665" s="594"/>
      <c r="E1665" s="594"/>
      <c r="F1665" s="594"/>
      <c r="G1665" s="594"/>
      <c r="H1665" s="594"/>
      <c r="I1665" s="593"/>
      <c r="J1665" s="593"/>
      <c r="K1665" s="593"/>
    </row>
    <row r="1666" spans="2:11">
      <c r="B1666" s="228"/>
      <c r="C1666" s="228"/>
      <c r="D1666" s="594"/>
      <c r="E1666" s="594"/>
      <c r="F1666" s="594"/>
      <c r="G1666" s="594"/>
      <c r="H1666" s="594"/>
      <c r="I1666" s="593"/>
      <c r="J1666" s="593"/>
      <c r="K1666" s="593"/>
    </row>
    <row r="1667" spans="2:11">
      <c r="B1667" s="228"/>
      <c r="C1667" s="228"/>
      <c r="D1667" s="594"/>
      <c r="E1667" s="594"/>
      <c r="F1667" s="594"/>
      <c r="G1667" s="594"/>
      <c r="H1667" s="594"/>
      <c r="I1667" s="593"/>
      <c r="J1667" s="593"/>
      <c r="K1667" s="593"/>
    </row>
    <row r="1668" spans="2:11">
      <c r="B1668" s="228"/>
      <c r="C1668" s="228"/>
      <c r="D1668" s="594"/>
      <c r="E1668" s="594"/>
      <c r="F1668" s="594"/>
      <c r="G1668" s="594"/>
      <c r="H1668" s="594"/>
      <c r="I1668" s="593"/>
      <c r="J1668" s="593"/>
      <c r="K1668" s="593"/>
    </row>
    <row r="1669" spans="2:11">
      <c r="B1669" s="228"/>
      <c r="C1669" s="228"/>
      <c r="D1669" s="594"/>
      <c r="E1669" s="594"/>
      <c r="F1669" s="594"/>
      <c r="G1669" s="594"/>
      <c r="H1669" s="594"/>
      <c r="I1669" s="593"/>
      <c r="J1669" s="593"/>
      <c r="K1669" s="593"/>
    </row>
    <row r="1670" spans="2:11">
      <c r="B1670" s="228"/>
      <c r="C1670" s="228"/>
      <c r="D1670" s="594"/>
      <c r="E1670" s="594"/>
      <c r="F1670" s="594"/>
      <c r="G1670" s="594"/>
      <c r="H1670" s="594"/>
      <c r="I1670" s="593"/>
      <c r="J1670" s="593"/>
      <c r="K1670" s="593"/>
    </row>
    <row r="1671" spans="2:11">
      <c r="B1671" s="228"/>
      <c r="C1671" s="228"/>
      <c r="D1671" s="594"/>
      <c r="E1671" s="594"/>
      <c r="F1671" s="594"/>
      <c r="G1671" s="594"/>
      <c r="H1671" s="594"/>
      <c r="I1671" s="593"/>
      <c r="J1671" s="593"/>
      <c r="K1671" s="593"/>
    </row>
    <row r="1672" spans="2:11">
      <c r="B1672" s="228"/>
      <c r="C1672" s="228"/>
      <c r="D1672" s="594"/>
      <c r="E1672" s="594"/>
      <c r="F1672" s="594"/>
      <c r="G1672" s="594"/>
      <c r="H1672" s="594"/>
      <c r="I1672" s="593"/>
      <c r="J1672" s="593"/>
      <c r="K1672" s="593"/>
    </row>
    <row r="1673" spans="2:11">
      <c r="B1673" s="228"/>
      <c r="C1673" s="228"/>
      <c r="D1673" s="594"/>
      <c r="E1673" s="594"/>
      <c r="F1673" s="594"/>
      <c r="G1673" s="594"/>
      <c r="H1673" s="594"/>
      <c r="I1673" s="593"/>
      <c r="J1673" s="593"/>
      <c r="K1673" s="593"/>
    </row>
    <row r="1674" spans="2:11">
      <c r="B1674" s="228"/>
      <c r="C1674" s="228"/>
      <c r="D1674" s="594"/>
      <c r="E1674" s="594"/>
      <c r="F1674" s="594"/>
      <c r="G1674" s="594"/>
      <c r="H1674" s="594"/>
      <c r="I1674" s="593"/>
      <c r="J1674" s="593"/>
      <c r="K1674" s="593"/>
    </row>
    <row r="1675" spans="2:11">
      <c r="B1675" s="228"/>
      <c r="C1675" s="228"/>
      <c r="D1675" s="594"/>
      <c r="E1675" s="594"/>
      <c r="F1675" s="594"/>
      <c r="G1675" s="594"/>
      <c r="H1675" s="594"/>
      <c r="I1675" s="593"/>
      <c r="J1675" s="593"/>
      <c r="K1675" s="593"/>
    </row>
    <row r="1676" spans="2:11">
      <c r="B1676" s="228"/>
      <c r="C1676" s="228"/>
      <c r="D1676" s="594"/>
      <c r="E1676" s="594"/>
      <c r="F1676" s="594"/>
      <c r="G1676" s="594"/>
      <c r="H1676" s="594"/>
      <c r="I1676" s="593"/>
      <c r="J1676" s="593"/>
      <c r="K1676" s="593"/>
    </row>
    <row r="1677" spans="2:11">
      <c r="B1677" s="228"/>
      <c r="C1677" s="228"/>
      <c r="D1677" s="594"/>
      <c r="E1677" s="594"/>
      <c r="F1677" s="594"/>
      <c r="G1677" s="594"/>
      <c r="H1677" s="594"/>
      <c r="I1677" s="593"/>
      <c r="J1677" s="593"/>
      <c r="K1677" s="593"/>
    </row>
    <row r="1678" spans="2:11">
      <c r="B1678" s="228"/>
      <c r="C1678" s="228"/>
      <c r="D1678" s="594"/>
      <c r="E1678" s="594"/>
      <c r="F1678" s="594"/>
      <c r="G1678" s="594"/>
      <c r="H1678" s="594"/>
      <c r="I1678" s="593"/>
      <c r="J1678" s="593"/>
      <c r="K1678" s="593"/>
    </row>
    <row r="1679" spans="2:11">
      <c r="B1679" s="228"/>
      <c r="C1679" s="228"/>
      <c r="D1679" s="594"/>
      <c r="E1679" s="594"/>
      <c r="F1679" s="594"/>
      <c r="G1679" s="594"/>
      <c r="H1679" s="594"/>
      <c r="I1679" s="593"/>
      <c r="J1679" s="593"/>
      <c r="K1679" s="593"/>
    </row>
    <row r="1680" spans="2:11">
      <c r="B1680" s="228"/>
      <c r="C1680" s="228"/>
      <c r="D1680" s="594"/>
      <c r="E1680" s="594"/>
      <c r="F1680" s="594"/>
      <c r="G1680" s="594"/>
      <c r="H1680" s="594"/>
      <c r="I1680" s="593"/>
      <c r="J1680" s="593"/>
      <c r="K1680" s="593"/>
    </row>
    <row r="1681" spans="2:11">
      <c r="B1681" s="228"/>
      <c r="C1681" s="228"/>
      <c r="D1681" s="594"/>
      <c r="E1681" s="594"/>
      <c r="F1681" s="594"/>
      <c r="G1681" s="594"/>
      <c r="H1681" s="594"/>
      <c r="I1681" s="593"/>
      <c r="J1681" s="593"/>
      <c r="K1681" s="593"/>
    </row>
    <row r="1682" spans="2:11">
      <c r="B1682" s="228"/>
      <c r="C1682" s="228"/>
      <c r="D1682" s="594"/>
      <c r="E1682" s="594"/>
      <c r="F1682" s="594"/>
      <c r="G1682" s="594"/>
      <c r="H1682" s="594"/>
      <c r="I1682" s="593"/>
      <c r="J1682" s="593"/>
      <c r="K1682" s="593"/>
    </row>
    <row r="1683" spans="2:11">
      <c r="B1683" s="228"/>
      <c r="C1683" s="228"/>
      <c r="D1683" s="594"/>
      <c r="E1683" s="594"/>
      <c r="F1683" s="594"/>
      <c r="G1683" s="594"/>
      <c r="H1683" s="594"/>
      <c r="I1683" s="593"/>
      <c r="J1683" s="593"/>
      <c r="K1683" s="593"/>
    </row>
    <row r="1684" spans="2:11">
      <c r="B1684" s="228"/>
      <c r="C1684" s="228"/>
      <c r="D1684" s="594"/>
      <c r="E1684" s="594"/>
      <c r="F1684" s="594"/>
      <c r="G1684" s="594"/>
      <c r="H1684" s="594"/>
      <c r="I1684" s="593"/>
      <c r="J1684" s="593"/>
      <c r="K1684" s="593"/>
    </row>
    <row r="1685" spans="2:11">
      <c r="B1685" s="228"/>
      <c r="C1685" s="228"/>
      <c r="D1685" s="594"/>
      <c r="E1685" s="594"/>
      <c r="F1685" s="594"/>
      <c r="G1685" s="594"/>
      <c r="H1685" s="594"/>
      <c r="I1685" s="593"/>
      <c r="J1685" s="593"/>
      <c r="K1685" s="593"/>
    </row>
    <row r="1686" spans="2:11">
      <c r="B1686" s="228"/>
      <c r="C1686" s="228"/>
      <c r="D1686" s="594"/>
      <c r="E1686" s="594"/>
      <c r="F1686" s="594"/>
      <c r="G1686" s="594"/>
      <c r="H1686" s="594"/>
      <c r="I1686" s="593"/>
      <c r="J1686" s="593"/>
      <c r="K1686" s="593"/>
    </row>
    <row r="1687" spans="2:11">
      <c r="B1687" s="228"/>
      <c r="C1687" s="228"/>
      <c r="D1687" s="594"/>
      <c r="E1687" s="594"/>
      <c r="F1687" s="594"/>
      <c r="G1687" s="594"/>
      <c r="H1687" s="594"/>
      <c r="I1687" s="593"/>
      <c r="J1687" s="593"/>
      <c r="K1687" s="593"/>
    </row>
    <row r="1688" spans="2:11">
      <c r="B1688" s="228"/>
      <c r="C1688" s="228"/>
      <c r="D1688" s="594"/>
      <c r="E1688" s="594"/>
      <c r="F1688" s="594"/>
      <c r="G1688" s="594"/>
      <c r="H1688" s="594"/>
      <c r="I1688" s="593"/>
      <c r="J1688" s="593"/>
      <c r="K1688" s="593"/>
    </row>
    <row r="1689" spans="2:11">
      <c r="B1689" s="228"/>
      <c r="C1689" s="228"/>
      <c r="D1689" s="594"/>
      <c r="E1689" s="594"/>
      <c r="F1689" s="594"/>
      <c r="G1689" s="594"/>
      <c r="H1689" s="594"/>
      <c r="I1689" s="593"/>
      <c r="J1689" s="593"/>
      <c r="K1689" s="593"/>
    </row>
    <row r="1690" spans="2:11">
      <c r="B1690" s="228"/>
      <c r="C1690" s="228"/>
      <c r="D1690" s="594"/>
      <c r="E1690" s="594"/>
      <c r="F1690" s="594"/>
      <c r="G1690" s="594"/>
      <c r="H1690" s="594"/>
      <c r="I1690" s="593"/>
      <c r="J1690" s="593"/>
      <c r="K1690" s="593"/>
    </row>
    <row r="1691" spans="2:11">
      <c r="B1691" s="228"/>
      <c r="C1691" s="228"/>
      <c r="D1691" s="594"/>
      <c r="E1691" s="594"/>
      <c r="F1691" s="594"/>
      <c r="G1691" s="594"/>
      <c r="H1691" s="594"/>
      <c r="I1691" s="593"/>
      <c r="J1691" s="593"/>
      <c r="K1691" s="593"/>
    </row>
    <row r="1692" spans="2:11">
      <c r="B1692" s="228"/>
      <c r="C1692" s="228"/>
      <c r="D1692" s="594"/>
      <c r="E1692" s="594"/>
      <c r="F1692" s="594"/>
      <c r="G1692" s="594"/>
      <c r="H1692" s="594"/>
      <c r="I1692" s="593"/>
      <c r="J1692" s="593"/>
      <c r="K1692" s="593"/>
    </row>
    <row r="1693" spans="2:11">
      <c r="B1693" s="228"/>
      <c r="C1693" s="228"/>
      <c r="D1693" s="594"/>
      <c r="E1693" s="594"/>
      <c r="F1693" s="594"/>
      <c r="G1693" s="594"/>
      <c r="H1693" s="594"/>
      <c r="I1693" s="593"/>
      <c r="J1693" s="593"/>
      <c r="K1693" s="593"/>
    </row>
    <row r="1694" spans="2:11">
      <c r="B1694" s="228"/>
      <c r="C1694" s="228"/>
      <c r="D1694" s="594"/>
      <c r="E1694" s="594"/>
      <c r="F1694" s="594"/>
      <c r="G1694" s="594"/>
      <c r="H1694" s="594"/>
      <c r="I1694" s="593"/>
      <c r="J1694" s="593"/>
      <c r="K1694" s="593"/>
    </row>
    <row r="1695" spans="2:11">
      <c r="B1695" s="228"/>
      <c r="C1695" s="228"/>
      <c r="D1695" s="594"/>
      <c r="E1695" s="594"/>
      <c r="F1695" s="594"/>
      <c r="G1695" s="594"/>
      <c r="H1695" s="594"/>
      <c r="I1695" s="593"/>
      <c r="J1695" s="593"/>
      <c r="K1695" s="593"/>
    </row>
    <row r="1696" spans="2:11">
      <c r="B1696" s="228"/>
      <c r="C1696" s="228"/>
      <c r="D1696" s="594"/>
      <c r="E1696" s="594"/>
      <c r="F1696" s="594"/>
      <c r="G1696" s="594"/>
      <c r="H1696" s="594"/>
      <c r="I1696" s="593"/>
      <c r="J1696" s="593"/>
      <c r="K1696" s="593"/>
    </row>
    <row r="1697" spans="2:11">
      <c r="B1697" s="228"/>
      <c r="C1697" s="228"/>
      <c r="D1697" s="594"/>
      <c r="E1697" s="594"/>
      <c r="F1697" s="594"/>
      <c r="G1697" s="594"/>
      <c r="H1697" s="594"/>
      <c r="I1697" s="593"/>
      <c r="J1697" s="593"/>
      <c r="K1697" s="593"/>
    </row>
    <row r="1698" spans="2:11">
      <c r="B1698" s="228"/>
      <c r="C1698" s="228"/>
      <c r="D1698" s="594"/>
      <c r="E1698" s="594"/>
      <c r="F1698" s="594"/>
      <c r="G1698" s="594"/>
      <c r="H1698" s="594"/>
      <c r="I1698" s="593"/>
      <c r="J1698" s="593"/>
      <c r="K1698" s="593"/>
    </row>
    <row r="1699" spans="2:11">
      <c r="B1699" s="228"/>
      <c r="C1699" s="228"/>
      <c r="D1699" s="594"/>
      <c r="E1699" s="594"/>
      <c r="F1699" s="594"/>
      <c r="G1699" s="594"/>
      <c r="H1699" s="594"/>
      <c r="I1699" s="593"/>
      <c r="J1699" s="593"/>
      <c r="K1699" s="593"/>
    </row>
    <row r="1700" spans="2:11">
      <c r="B1700" s="228"/>
      <c r="C1700" s="228"/>
      <c r="D1700" s="594"/>
      <c r="E1700" s="594"/>
      <c r="F1700" s="594"/>
      <c r="G1700" s="594"/>
      <c r="H1700" s="594"/>
      <c r="I1700" s="593"/>
      <c r="J1700" s="593"/>
      <c r="K1700" s="593"/>
    </row>
    <row r="1701" spans="2:11">
      <c r="B1701" s="228"/>
      <c r="C1701" s="228"/>
      <c r="D1701" s="594"/>
      <c r="E1701" s="594"/>
      <c r="F1701" s="594"/>
      <c r="G1701" s="594"/>
      <c r="H1701" s="594"/>
      <c r="I1701" s="593"/>
      <c r="J1701" s="593"/>
      <c r="K1701" s="593"/>
    </row>
    <row r="1702" spans="2:11">
      <c r="B1702" s="228"/>
      <c r="C1702" s="228"/>
      <c r="D1702" s="594"/>
      <c r="E1702" s="594"/>
      <c r="F1702" s="594"/>
      <c r="G1702" s="594"/>
      <c r="H1702" s="594"/>
      <c r="I1702" s="593"/>
      <c r="J1702" s="593"/>
      <c r="K1702" s="593"/>
    </row>
    <row r="1703" spans="2:11">
      <c r="B1703" s="228"/>
      <c r="C1703" s="228"/>
      <c r="D1703" s="594"/>
      <c r="E1703" s="594"/>
      <c r="F1703" s="594"/>
      <c r="G1703" s="594"/>
      <c r="H1703" s="594"/>
      <c r="I1703" s="593"/>
      <c r="J1703" s="593"/>
      <c r="K1703" s="593"/>
    </row>
    <row r="1704" spans="2:11">
      <c r="B1704" s="228"/>
      <c r="C1704" s="228"/>
      <c r="D1704" s="594"/>
      <c r="E1704" s="594"/>
      <c r="F1704" s="594"/>
      <c r="G1704" s="594"/>
      <c r="H1704" s="594"/>
      <c r="I1704" s="593"/>
      <c r="J1704" s="593"/>
      <c r="K1704" s="593"/>
    </row>
    <row r="1705" spans="2:11">
      <c r="B1705" s="228"/>
      <c r="C1705" s="228"/>
      <c r="D1705" s="594"/>
      <c r="E1705" s="594"/>
      <c r="F1705" s="594"/>
      <c r="G1705" s="594"/>
      <c r="H1705" s="594"/>
      <c r="I1705" s="593"/>
      <c r="J1705" s="593"/>
      <c r="K1705" s="593"/>
    </row>
    <row r="1706" spans="2:11">
      <c r="B1706" s="228"/>
      <c r="C1706" s="228"/>
      <c r="D1706" s="594"/>
      <c r="E1706" s="594"/>
      <c r="F1706" s="594"/>
      <c r="G1706" s="594"/>
      <c r="H1706" s="594"/>
      <c r="I1706" s="593"/>
      <c r="J1706" s="593"/>
      <c r="K1706" s="593"/>
    </row>
    <row r="1707" spans="2:11">
      <c r="B1707" s="228"/>
      <c r="C1707" s="228"/>
      <c r="D1707" s="594"/>
      <c r="E1707" s="594"/>
      <c r="F1707" s="594"/>
      <c r="G1707" s="594"/>
      <c r="H1707" s="594"/>
      <c r="I1707" s="593"/>
      <c r="J1707" s="593"/>
      <c r="K1707" s="593"/>
    </row>
    <row r="1708" spans="2:11">
      <c r="B1708" s="228"/>
      <c r="C1708" s="228"/>
      <c r="D1708" s="594"/>
      <c r="E1708" s="594"/>
      <c r="F1708" s="594"/>
      <c r="G1708" s="594"/>
      <c r="H1708" s="594"/>
      <c r="I1708" s="593"/>
      <c r="J1708" s="593"/>
      <c r="K1708" s="593"/>
    </row>
    <row r="1709" spans="2:11">
      <c r="B1709" s="228"/>
      <c r="C1709" s="228"/>
      <c r="D1709" s="594"/>
      <c r="E1709" s="594"/>
      <c r="F1709" s="594"/>
      <c r="G1709" s="594"/>
      <c r="H1709" s="594"/>
      <c r="I1709" s="593"/>
      <c r="J1709" s="593"/>
      <c r="K1709" s="593"/>
    </row>
    <row r="1710" spans="2:11">
      <c r="B1710" s="228"/>
      <c r="C1710" s="228"/>
      <c r="D1710" s="594"/>
      <c r="E1710" s="594"/>
      <c r="F1710" s="594"/>
      <c r="G1710" s="594"/>
      <c r="H1710" s="594"/>
      <c r="I1710" s="593"/>
      <c r="J1710" s="593"/>
      <c r="K1710" s="593"/>
    </row>
    <row r="1711" spans="2:11">
      <c r="B1711" s="228"/>
      <c r="C1711" s="228"/>
      <c r="D1711" s="594"/>
      <c r="E1711" s="594"/>
      <c r="F1711" s="594"/>
      <c r="G1711" s="594"/>
      <c r="H1711" s="594"/>
      <c r="I1711" s="593"/>
      <c r="J1711" s="593"/>
      <c r="K1711" s="593"/>
    </row>
    <row r="1712" spans="2:11">
      <c r="B1712" s="228"/>
      <c r="C1712" s="228"/>
      <c r="D1712" s="594"/>
      <c r="E1712" s="594"/>
      <c r="F1712" s="594"/>
      <c r="G1712" s="594"/>
      <c r="H1712" s="594"/>
      <c r="I1712" s="593"/>
      <c r="J1712" s="593"/>
      <c r="K1712" s="593"/>
    </row>
    <row r="1713" spans="2:11">
      <c r="B1713" s="228"/>
      <c r="C1713" s="228"/>
      <c r="D1713" s="594"/>
      <c r="E1713" s="594"/>
      <c r="F1713" s="594"/>
      <c r="G1713" s="594"/>
      <c r="H1713" s="594"/>
      <c r="I1713" s="593"/>
      <c r="J1713" s="593"/>
      <c r="K1713" s="593"/>
    </row>
    <row r="1714" spans="2:11">
      <c r="B1714" s="228"/>
      <c r="C1714" s="228"/>
      <c r="D1714" s="594"/>
      <c r="E1714" s="594"/>
      <c r="F1714" s="594"/>
      <c r="G1714" s="594"/>
      <c r="H1714" s="594"/>
      <c r="I1714" s="593"/>
      <c r="J1714" s="593"/>
      <c r="K1714" s="593"/>
    </row>
    <row r="1715" spans="2:11">
      <c r="B1715" s="228"/>
      <c r="C1715" s="228"/>
      <c r="D1715" s="594"/>
      <c r="E1715" s="594"/>
      <c r="F1715" s="594"/>
      <c r="G1715" s="594"/>
      <c r="H1715" s="594"/>
      <c r="I1715" s="593"/>
      <c r="J1715" s="593"/>
      <c r="K1715" s="593"/>
    </row>
    <row r="1716" spans="2:11">
      <c r="B1716" s="228"/>
      <c r="C1716" s="228"/>
      <c r="D1716" s="594"/>
      <c r="E1716" s="594"/>
      <c r="F1716" s="594"/>
      <c r="G1716" s="594"/>
      <c r="H1716" s="594"/>
      <c r="I1716" s="593"/>
      <c r="J1716" s="593"/>
      <c r="K1716" s="593"/>
    </row>
    <row r="1717" spans="2:11">
      <c r="B1717" s="228"/>
      <c r="C1717" s="228"/>
      <c r="D1717" s="594"/>
      <c r="E1717" s="594"/>
      <c r="F1717" s="594"/>
      <c r="G1717" s="594"/>
      <c r="H1717" s="594"/>
      <c r="I1717" s="593"/>
      <c r="J1717" s="593"/>
      <c r="K1717" s="593"/>
    </row>
    <row r="1718" spans="2:11">
      <c r="B1718" s="228"/>
      <c r="C1718" s="228"/>
      <c r="D1718" s="594"/>
      <c r="E1718" s="594"/>
      <c r="F1718" s="594"/>
      <c r="G1718" s="594"/>
      <c r="H1718" s="594"/>
      <c r="I1718" s="593"/>
      <c r="J1718" s="593"/>
      <c r="K1718" s="593"/>
    </row>
    <row r="1719" spans="2:11">
      <c r="B1719" s="228"/>
      <c r="C1719" s="228"/>
      <c r="D1719" s="594"/>
      <c r="E1719" s="594"/>
      <c r="F1719" s="594"/>
      <c r="G1719" s="594"/>
      <c r="H1719" s="594"/>
      <c r="I1719" s="593"/>
      <c r="J1719" s="593"/>
      <c r="K1719" s="593"/>
    </row>
    <row r="1720" spans="2:11">
      <c r="B1720" s="228"/>
      <c r="C1720" s="228"/>
      <c r="D1720" s="594"/>
      <c r="E1720" s="594"/>
      <c r="F1720" s="594"/>
      <c r="G1720" s="594"/>
      <c r="H1720" s="594"/>
      <c r="I1720" s="593"/>
      <c r="J1720" s="593"/>
      <c r="K1720" s="593"/>
    </row>
    <row r="1721" spans="2:11">
      <c r="B1721" s="228"/>
      <c r="C1721" s="228"/>
      <c r="D1721" s="594"/>
      <c r="E1721" s="594"/>
      <c r="F1721" s="594"/>
      <c r="G1721" s="594"/>
      <c r="H1721" s="594"/>
      <c r="I1721" s="593"/>
      <c r="J1721" s="593"/>
      <c r="K1721" s="593"/>
    </row>
    <row r="1722" spans="2:11">
      <c r="B1722" s="228"/>
      <c r="C1722" s="228"/>
      <c r="D1722" s="594"/>
      <c r="E1722" s="594"/>
      <c r="F1722" s="594"/>
      <c r="G1722" s="594"/>
      <c r="H1722" s="594"/>
      <c r="I1722" s="593"/>
      <c r="J1722" s="593"/>
      <c r="K1722" s="593"/>
    </row>
    <row r="1723" spans="2:11">
      <c r="B1723" s="228"/>
      <c r="C1723" s="228"/>
      <c r="D1723" s="594"/>
      <c r="E1723" s="594"/>
      <c r="F1723" s="594"/>
      <c r="G1723" s="594"/>
      <c r="H1723" s="594"/>
      <c r="I1723" s="593"/>
      <c r="J1723" s="593"/>
      <c r="K1723" s="593"/>
    </row>
    <row r="1724" spans="2:11">
      <c r="B1724" s="228"/>
      <c r="C1724" s="228"/>
      <c r="D1724" s="594"/>
      <c r="E1724" s="594"/>
      <c r="F1724" s="594"/>
      <c r="G1724" s="594"/>
      <c r="H1724" s="594"/>
      <c r="I1724" s="593"/>
      <c r="J1724" s="593"/>
      <c r="K1724" s="593"/>
    </row>
    <row r="1725" spans="2:11">
      <c r="B1725" s="228"/>
      <c r="C1725" s="228"/>
      <c r="D1725" s="594"/>
      <c r="E1725" s="594"/>
      <c r="F1725" s="594"/>
      <c r="G1725" s="594"/>
      <c r="H1725" s="594"/>
      <c r="I1725" s="593"/>
      <c r="J1725" s="593"/>
      <c r="K1725" s="593"/>
    </row>
    <row r="1726" spans="2:11">
      <c r="B1726" s="228"/>
      <c r="C1726" s="228"/>
      <c r="D1726" s="594"/>
      <c r="E1726" s="594"/>
      <c r="F1726" s="594"/>
      <c r="G1726" s="594"/>
      <c r="H1726" s="594"/>
      <c r="I1726" s="593"/>
      <c r="J1726" s="593"/>
      <c r="K1726" s="593"/>
    </row>
    <row r="1727" spans="2:11">
      <c r="B1727" s="228"/>
      <c r="C1727" s="228"/>
      <c r="D1727" s="594"/>
      <c r="E1727" s="594"/>
      <c r="F1727" s="594"/>
      <c r="G1727" s="594"/>
      <c r="H1727" s="594"/>
      <c r="I1727" s="593"/>
      <c r="J1727" s="593"/>
      <c r="K1727" s="593"/>
    </row>
    <row r="1728" spans="2:11">
      <c r="B1728" s="228"/>
      <c r="C1728" s="228"/>
      <c r="D1728" s="594"/>
      <c r="E1728" s="594"/>
      <c r="F1728" s="594"/>
      <c r="G1728" s="594"/>
      <c r="H1728" s="594"/>
      <c r="I1728" s="593"/>
      <c r="J1728" s="593"/>
      <c r="K1728" s="593"/>
    </row>
    <row r="1729" spans="2:11">
      <c r="B1729" s="228"/>
      <c r="C1729" s="228"/>
      <c r="D1729" s="594"/>
      <c r="E1729" s="594"/>
      <c r="F1729" s="594"/>
      <c r="G1729" s="594"/>
      <c r="H1729" s="594"/>
      <c r="I1729" s="593"/>
      <c r="J1729" s="593"/>
      <c r="K1729" s="593"/>
    </row>
    <row r="1730" spans="2:11">
      <c r="B1730" s="228"/>
      <c r="C1730" s="228"/>
      <c r="D1730" s="594"/>
      <c r="E1730" s="594"/>
      <c r="F1730" s="594"/>
      <c r="G1730" s="594"/>
      <c r="H1730" s="594"/>
      <c r="I1730" s="593"/>
      <c r="J1730" s="593"/>
      <c r="K1730" s="593"/>
    </row>
    <row r="1731" spans="2:11">
      <c r="B1731" s="228"/>
      <c r="C1731" s="228"/>
      <c r="D1731" s="594"/>
      <c r="E1731" s="594"/>
      <c r="F1731" s="594"/>
      <c r="G1731" s="594"/>
      <c r="H1731" s="594"/>
      <c r="I1731" s="593"/>
      <c r="J1731" s="593"/>
      <c r="K1731" s="593"/>
    </row>
    <row r="1732" spans="2:11">
      <c r="B1732" s="228"/>
      <c r="C1732" s="228"/>
      <c r="D1732" s="594"/>
      <c r="E1732" s="594"/>
      <c r="F1732" s="594"/>
      <c r="G1732" s="594"/>
      <c r="H1732" s="594"/>
      <c r="I1732" s="593"/>
      <c r="J1732" s="593"/>
      <c r="K1732" s="593"/>
    </row>
    <row r="1733" spans="2:11">
      <c r="B1733" s="228"/>
      <c r="C1733" s="228"/>
      <c r="D1733" s="594"/>
      <c r="E1733" s="594"/>
      <c r="F1733" s="594"/>
      <c r="G1733" s="594"/>
      <c r="H1733" s="594"/>
      <c r="I1733" s="593"/>
      <c r="J1733" s="593"/>
      <c r="K1733" s="593"/>
    </row>
    <row r="1734" spans="2:11">
      <c r="B1734" s="228"/>
      <c r="C1734" s="228"/>
      <c r="D1734" s="594"/>
      <c r="E1734" s="594"/>
      <c r="F1734" s="594"/>
      <c r="G1734" s="594"/>
      <c r="H1734" s="594"/>
      <c r="I1734" s="593"/>
      <c r="J1734" s="593"/>
      <c r="K1734" s="593"/>
    </row>
    <row r="1735" spans="2:11">
      <c r="B1735" s="228"/>
      <c r="C1735" s="228"/>
      <c r="D1735" s="594"/>
      <c r="E1735" s="594"/>
      <c r="F1735" s="594"/>
      <c r="G1735" s="594"/>
      <c r="H1735" s="594"/>
      <c r="I1735" s="593"/>
      <c r="J1735" s="593"/>
      <c r="K1735" s="593"/>
    </row>
    <row r="1736" spans="2:11">
      <c r="B1736" s="228"/>
      <c r="C1736" s="228"/>
      <c r="D1736" s="594"/>
      <c r="E1736" s="594"/>
      <c r="F1736" s="594"/>
      <c r="G1736" s="594"/>
      <c r="H1736" s="594"/>
      <c r="I1736" s="593"/>
      <c r="J1736" s="593"/>
      <c r="K1736" s="593"/>
    </row>
    <row r="1737" spans="2:11">
      <c r="B1737" s="228"/>
      <c r="C1737" s="228"/>
      <c r="D1737" s="594"/>
      <c r="E1737" s="594"/>
      <c r="F1737" s="594"/>
      <c r="G1737" s="594"/>
      <c r="H1737" s="594"/>
      <c r="I1737" s="593"/>
      <c r="J1737" s="593"/>
      <c r="K1737" s="593"/>
    </row>
    <row r="1738" spans="2:11">
      <c r="B1738" s="228"/>
      <c r="C1738" s="228"/>
      <c r="D1738" s="594"/>
      <c r="E1738" s="594"/>
      <c r="F1738" s="594"/>
      <c r="G1738" s="594"/>
      <c r="H1738" s="594"/>
      <c r="I1738" s="593"/>
      <c r="J1738" s="593"/>
      <c r="K1738" s="593"/>
    </row>
  </sheetData>
  <mergeCells count="19">
    <mergeCell ref="H158:I158"/>
    <mergeCell ref="F146:H146"/>
    <mergeCell ref="I146:K146"/>
    <mergeCell ref="L146:N146"/>
    <mergeCell ref="E104:F104"/>
    <mergeCell ref="G104:H104"/>
    <mergeCell ref="N134:O134"/>
    <mergeCell ref="AA21:AC21"/>
    <mergeCell ref="E52:G52"/>
    <mergeCell ref="H52:J52"/>
    <mergeCell ref="D66:I66"/>
    <mergeCell ref="D67:F67"/>
    <mergeCell ref="G67:I67"/>
    <mergeCell ref="J66:O66"/>
    <mergeCell ref="P66:U66"/>
    <mergeCell ref="J67:L67"/>
    <mergeCell ref="M67:O67"/>
    <mergeCell ref="P67:R67"/>
    <mergeCell ref="S67:U67"/>
  </mergeCells>
  <pageMargins left="0.75" right="0.75" top="1" bottom="1" header="0.5" footer="0.5"/>
  <pageSetup paperSize="9" orientation="landscape"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9" tint="0.59999389629810485"/>
  </sheetPr>
  <dimension ref="B2:AP57"/>
  <sheetViews>
    <sheetView zoomScaleNormal="100" workbookViewId="0">
      <selection activeCell="B8" sqref="B8"/>
    </sheetView>
  </sheetViews>
  <sheetFormatPr defaultRowHeight="13.2"/>
  <cols>
    <col min="1" max="1" width="2.88671875" customWidth="1"/>
    <col min="2" max="2" width="10.6640625" customWidth="1"/>
    <col min="3" max="3" width="54" bestFit="1" customWidth="1"/>
    <col min="4" max="4" width="9.5546875" style="30" bestFit="1" customWidth="1"/>
    <col min="5" max="5" width="12.5546875" customWidth="1"/>
    <col min="6" max="6" width="15" customWidth="1"/>
    <col min="7" max="8" width="7.5546875" bestFit="1" customWidth="1"/>
    <col min="9" max="9" width="12.6640625" bestFit="1" customWidth="1"/>
    <col min="10" max="11" width="5.88671875" bestFit="1" customWidth="1"/>
    <col min="12" max="12" width="13.6640625" bestFit="1" customWidth="1"/>
    <col min="13" max="13" width="12.109375" bestFit="1" customWidth="1"/>
    <col min="14" max="15" width="13.6640625" customWidth="1"/>
    <col min="16" max="16" width="6.88671875" bestFit="1" customWidth="1"/>
    <col min="17" max="17" width="12.6640625" bestFit="1" customWidth="1"/>
    <col min="18" max="18" width="5.5546875" bestFit="1" customWidth="1"/>
    <col min="19" max="19" width="5.88671875" bestFit="1" customWidth="1"/>
    <col min="20" max="21" width="11.6640625" bestFit="1" customWidth="1"/>
    <col min="22" max="22" width="5.88671875" bestFit="1" customWidth="1"/>
    <col min="23" max="23" width="7" bestFit="1" customWidth="1"/>
    <col min="24" max="24" width="14.88671875" customWidth="1"/>
    <col min="25" max="25" width="10.6640625" bestFit="1" customWidth="1"/>
    <col min="26" max="26" width="5.6640625" bestFit="1" customWidth="1"/>
    <col min="27" max="27" width="6.33203125" bestFit="1" customWidth="1"/>
    <col min="28" max="28" width="6.44140625" bestFit="1" customWidth="1"/>
    <col min="29" max="29" width="6.5546875" bestFit="1" customWidth="1"/>
    <col min="30" max="30" width="6.44140625" bestFit="1" customWidth="1"/>
    <col min="31" max="31" width="21.33203125" bestFit="1" customWidth="1"/>
    <col min="32" max="33" width="6.5546875" bestFit="1" customWidth="1"/>
    <col min="34" max="35" width="6.109375" bestFit="1" customWidth="1"/>
    <col min="36" max="38" width="6" bestFit="1" customWidth="1"/>
    <col min="39" max="39" width="5.33203125" bestFit="1" customWidth="1"/>
    <col min="40" max="41" width="5.88671875" bestFit="1" customWidth="1"/>
  </cols>
  <sheetData>
    <row r="2" spans="2:42">
      <c r="G2" s="618"/>
      <c r="H2" s="618"/>
      <c r="I2" s="618"/>
      <c r="AG2" s="618"/>
      <c r="AH2" s="618"/>
      <c r="AI2" s="618"/>
      <c r="AJ2" s="618"/>
      <c r="AK2" s="618"/>
      <c r="AL2" s="618"/>
      <c r="AM2" s="618"/>
      <c r="AN2" s="618"/>
      <c r="AO2" s="618"/>
    </row>
    <row r="3" spans="2:42">
      <c r="B3" s="10" t="s">
        <v>8</v>
      </c>
      <c r="C3" s="10"/>
    </row>
    <row r="4" spans="2:42" s="15" customFormat="1" ht="13.8">
      <c r="B4" s="31" t="s">
        <v>4</v>
      </c>
      <c r="C4" s="127" t="s">
        <v>228</v>
      </c>
      <c r="D4" s="127" t="s">
        <v>27</v>
      </c>
      <c r="E4" s="671" t="s">
        <v>1018</v>
      </c>
      <c r="F4" s="671" t="s">
        <v>1019</v>
      </c>
      <c r="G4"/>
      <c r="H4"/>
      <c r="I4"/>
      <c r="AG4"/>
      <c r="AH4"/>
      <c r="AI4"/>
      <c r="AJ4"/>
      <c r="AK4"/>
      <c r="AL4"/>
      <c r="AM4"/>
      <c r="AN4"/>
      <c r="AO4"/>
      <c r="AP4"/>
    </row>
    <row r="5" spans="2:42" s="11" customFormat="1">
      <c r="B5" s="12" t="str">
        <f>Commodities!C6</f>
        <v>RHDDB</v>
      </c>
      <c r="C5" s="128" t="str">
        <f>Commodities!D6</f>
        <v>Residential heating Decentralised Detached Buildings Demand</v>
      </c>
      <c r="D5" s="128" t="str">
        <f>Commodities!E6</f>
        <v>Mm2</v>
      </c>
      <c r="E5" s="29">
        <f>Buildings_DR!E54+Buildings_DR!F54</f>
        <v>2.5441534868353273</v>
      </c>
      <c r="F5" s="60">
        <f>Buildings_DR!H54+Buildings_DR!I54</f>
        <v>1.2170541356251827</v>
      </c>
      <c r="G5"/>
      <c r="H5"/>
      <c r="I5"/>
      <c r="AG5"/>
      <c r="AH5"/>
      <c r="AI5"/>
      <c r="AJ5"/>
      <c r="AK5"/>
      <c r="AL5"/>
      <c r="AM5"/>
      <c r="AN5"/>
      <c r="AO5"/>
      <c r="AP5"/>
    </row>
    <row r="6" spans="2:42">
      <c r="B6" s="12" t="str">
        <f>Commodities!C7</f>
        <v>RHCDB</v>
      </c>
      <c r="C6" s="128" t="str">
        <f>Commodities!D7</f>
        <v>Residential heating Centralised Detached Buildings Demand</v>
      </c>
      <c r="D6" s="128" t="str">
        <f>Commodities!E7</f>
        <v>Mm2</v>
      </c>
      <c r="E6" s="29">
        <f>Buildings_DR!E55+Buildings_DR!F55</f>
        <v>1.1624450174379621</v>
      </c>
      <c r="F6" s="60">
        <f>Buildings_DR!H55+Buildings_DR!I55</f>
        <v>0.16227314485005756</v>
      </c>
    </row>
    <row r="7" spans="2:42">
      <c r="B7" s="12" t="str">
        <f>Commodities!C8</f>
        <v>RHIDB</v>
      </c>
      <c r="C7" s="128" t="str">
        <f>Commodities!D8</f>
        <v>Residential heating Indivdual Detached Buildings Demand</v>
      </c>
      <c r="D7" s="128" t="str">
        <f>Commodities!E8</f>
        <v>Mm2</v>
      </c>
      <c r="E7" s="29">
        <f>Buildings_DR!E56+Buildings_DR!F56</f>
        <v>181.62332670939116</v>
      </c>
      <c r="F7" s="60">
        <f>Buildings_DR!H56+Buildings_DR!I56</f>
        <v>67.587036743286774</v>
      </c>
    </row>
    <row r="8" spans="2:42">
      <c r="B8" s="12" t="str">
        <f>Commodities!C9</f>
        <v>RHDMB</v>
      </c>
      <c r="C8" s="128" t="str">
        <f>Commodities!D9</f>
        <v>Residential heating Decentralised Multi S. Buildings Demand</v>
      </c>
      <c r="D8" s="128" t="str">
        <f>Commodities!E9</f>
        <v>Mm2</v>
      </c>
      <c r="E8" s="29">
        <f>Buildings_DR!E57+Buildings_DR!F57</f>
        <v>0.20995262906876888</v>
      </c>
      <c r="F8" s="60">
        <f>Buildings_DR!H57+Buildings_DR!I57</f>
        <v>0.11693385275733678</v>
      </c>
      <c r="AI8" s="14"/>
      <c r="AJ8" s="14"/>
    </row>
    <row r="9" spans="2:42">
      <c r="B9" s="12" t="str">
        <f>Commodities!C10</f>
        <v>RHCMB</v>
      </c>
      <c r="C9" s="128" t="str">
        <f>Commodities!D10</f>
        <v>Residential heating Centralised Multi S. Buildings Demand</v>
      </c>
      <c r="D9" s="128" t="str">
        <f>Commodities!E10</f>
        <v>Mm2</v>
      </c>
      <c r="E9" s="29">
        <f>Buildings_DR!E58+Buildings_DR!F58</f>
        <v>0.43316379872176258</v>
      </c>
      <c r="F9" s="60">
        <f>Buildings_DR!H58+Buildings_DR!I58</f>
        <v>8.5968219177677049E-3</v>
      </c>
      <c r="AI9" s="14"/>
    </row>
    <row r="10" spans="2:42">
      <c r="B10" s="12" t="str">
        <f>Commodities!C11</f>
        <v>RHIMB</v>
      </c>
      <c r="C10" s="128" t="str">
        <f>Commodities!D11</f>
        <v>Residential heating Individual Multi S. Buildings Demand</v>
      </c>
      <c r="D10" s="128" t="str">
        <f>Commodities!E11</f>
        <v>Mm2</v>
      </c>
      <c r="E10" s="29">
        <f>Buildings_DR!E59+Buildings_DR!F59</f>
        <v>31.512704961736034</v>
      </c>
      <c r="F10" s="60">
        <f>Buildings_DR!H59+Buildings_DR!I59</f>
        <v>6.1510030590801197</v>
      </c>
    </row>
    <row r="11" spans="2:42">
      <c r="E11" s="14"/>
      <c r="F11" s="14"/>
    </row>
    <row r="12" spans="2:42">
      <c r="E12" s="182" t="s">
        <v>147</v>
      </c>
      <c r="F12" s="1040">
        <f>SUM(E5:F10)</f>
        <v>292.72864436070819</v>
      </c>
    </row>
    <row r="14" spans="2:42">
      <c r="D14"/>
      <c r="F14" s="14"/>
    </row>
    <row r="15" spans="2:42">
      <c r="D15"/>
      <c r="F15" s="62"/>
    </row>
    <row r="16" spans="2:42">
      <c r="D16"/>
      <c r="F16" s="62"/>
    </row>
    <row r="17" spans="2:28">
      <c r="D17"/>
      <c r="F17" s="62"/>
    </row>
    <row r="18" spans="2:28">
      <c r="B18" s="11"/>
      <c r="C18" s="11"/>
      <c r="D18" s="11"/>
      <c r="E18" s="11"/>
      <c r="F18" s="705"/>
      <c r="G18" s="11"/>
      <c r="H18" s="11"/>
      <c r="I18" s="11"/>
      <c r="J18" s="11"/>
      <c r="K18" s="11"/>
      <c r="L18" s="11"/>
      <c r="M18" s="11"/>
      <c r="N18" s="11"/>
      <c r="O18" s="11"/>
      <c r="P18" s="11"/>
      <c r="Q18" s="11"/>
      <c r="R18" s="11"/>
      <c r="S18" s="11"/>
      <c r="T18" s="11"/>
      <c r="U18" s="11"/>
      <c r="V18" s="11"/>
      <c r="W18" s="11"/>
      <c r="X18" s="11"/>
      <c r="Y18" s="11"/>
      <c r="Z18" s="11"/>
      <c r="AA18" s="11"/>
      <c r="AB18" s="11"/>
    </row>
    <row r="19" spans="2:28">
      <c r="B19" s="11"/>
      <c r="C19" s="11"/>
      <c r="D19" s="11"/>
      <c r="E19" s="11"/>
      <c r="F19" s="705"/>
      <c r="G19" s="11"/>
      <c r="H19" s="11"/>
      <c r="I19" s="11"/>
      <c r="J19" s="11"/>
      <c r="K19" s="11"/>
      <c r="L19" s="11"/>
      <c r="M19" s="11"/>
      <c r="N19" s="11"/>
      <c r="O19" s="11"/>
      <c r="P19" s="11"/>
      <c r="Q19" s="11"/>
      <c r="R19" s="11"/>
      <c r="S19" s="11"/>
      <c r="T19" s="11"/>
      <c r="U19" s="11"/>
      <c r="V19" s="11"/>
      <c r="W19" s="11"/>
      <c r="X19" s="11"/>
      <c r="Y19" s="11"/>
      <c r="Z19" s="11"/>
      <c r="AA19" s="11"/>
      <c r="AB19" s="11"/>
    </row>
    <row r="20" spans="2:28">
      <c r="B20" s="11"/>
      <c r="C20" s="11"/>
      <c r="D20" s="706"/>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2:28" s="3" customFormat="1">
      <c r="C21" s="704"/>
      <c r="D21" s="704"/>
      <c r="E21" s="704"/>
      <c r="F21" s="704"/>
      <c r="G21" s="704"/>
      <c r="H21" s="704"/>
      <c r="I21" s="704"/>
      <c r="J21" s="704"/>
      <c r="K21" s="704"/>
      <c r="L21" s="704"/>
      <c r="M21" s="704"/>
      <c r="N21" s="704"/>
      <c r="O21" s="704"/>
      <c r="P21" s="704"/>
      <c r="Q21" s="704"/>
      <c r="R21" s="704"/>
      <c r="S21" s="704"/>
      <c r="T21" s="704"/>
      <c r="U21" s="704"/>
      <c r="V21" s="704"/>
      <c r="W21" s="704"/>
      <c r="X21" s="704"/>
      <c r="Y21" s="704"/>
    </row>
    <row r="22" spans="2:28">
      <c r="B22" s="3"/>
      <c r="C22" s="3"/>
      <c r="D22" s="1476"/>
      <c r="E22" s="1477"/>
      <c r="F22" s="130"/>
      <c r="G22" s="1478"/>
      <c r="H22" s="1475"/>
      <c r="I22" s="11"/>
      <c r="J22" s="1475"/>
      <c r="K22" s="1475"/>
      <c r="L22" s="11"/>
      <c r="M22" s="1475"/>
      <c r="N22" s="1475"/>
      <c r="O22" s="1475"/>
      <c r="P22" s="1475"/>
      <c r="Q22" s="1475"/>
      <c r="R22" s="11"/>
      <c r="S22" s="568"/>
      <c r="T22" s="11"/>
      <c r="U22" s="11"/>
      <c r="V22" s="11"/>
      <c r="W22" s="11"/>
      <c r="X22" s="11"/>
      <c r="Y22" s="11"/>
      <c r="Z22" s="11"/>
      <c r="AA22" s="11"/>
      <c r="AB22" s="11"/>
    </row>
    <row r="23" spans="2:28">
      <c r="B23" s="3"/>
      <c r="C23" s="3"/>
      <c r="D23" s="573"/>
      <c r="E23" s="573"/>
      <c r="F23" s="573"/>
      <c r="G23" s="705"/>
      <c r="H23" s="705"/>
      <c r="I23" s="11"/>
      <c r="J23" s="705"/>
      <c r="K23" s="705"/>
      <c r="L23" s="11"/>
      <c r="M23" s="705"/>
      <c r="N23" s="705"/>
      <c r="O23" s="11"/>
      <c r="P23" s="11"/>
      <c r="Q23" s="11"/>
      <c r="R23" s="11"/>
      <c r="S23" s="568"/>
      <c r="T23" s="11"/>
      <c r="U23" s="11"/>
      <c r="V23" s="11"/>
      <c r="W23" s="11"/>
      <c r="X23" s="11"/>
      <c r="Y23" s="11"/>
      <c r="Z23" s="11"/>
      <c r="AA23" s="11"/>
      <c r="AB23" s="11"/>
    </row>
    <row r="24" spans="2:28">
      <c r="B24" s="3"/>
      <c r="C24" s="240"/>
      <c r="D24" s="573"/>
      <c r="E24" s="573"/>
      <c r="F24" s="573"/>
      <c r="G24" s="705"/>
      <c r="H24" s="705"/>
      <c r="I24" s="11"/>
      <c r="J24" s="705"/>
      <c r="K24" s="705"/>
      <c r="L24" s="11"/>
      <c r="M24" s="620"/>
      <c r="N24" s="620"/>
      <c r="O24" s="620"/>
      <c r="P24" s="620"/>
      <c r="Q24" s="620"/>
      <c r="R24" s="620"/>
      <c r="S24" s="620"/>
      <c r="T24" s="620"/>
      <c r="U24" s="620"/>
      <c r="V24" s="620"/>
      <c r="W24" s="620"/>
      <c r="X24" s="11"/>
      <c r="Y24" s="11"/>
      <c r="Z24" s="11"/>
      <c r="AA24" s="11"/>
      <c r="AB24" s="11"/>
    </row>
    <row r="25" spans="2:28">
      <c r="B25" s="3"/>
      <c r="C25" s="240"/>
      <c r="D25" s="573"/>
      <c r="E25" s="573"/>
      <c r="F25" s="573"/>
      <c r="G25" s="705"/>
      <c r="H25" s="705"/>
      <c r="I25" s="11"/>
      <c r="J25" s="705"/>
      <c r="K25" s="705"/>
      <c r="L25" s="11"/>
      <c r="M25" s="620"/>
      <c r="N25" s="620"/>
      <c r="O25" s="620"/>
      <c r="P25" s="620"/>
      <c r="Q25" s="620"/>
      <c r="R25" s="620"/>
      <c r="S25" s="620"/>
      <c r="T25" s="620"/>
      <c r="U25" s="620"/>
      <c r="V25" s="620"/>
      <c r="W25" s="620"/>
      <c r="X25" s="11"/>
      <c r="Y25" s="11"/>
      <c r="Z25" s="11"/>
      <c r="AA25" s="11"/>
      <c r="AB25" s="11"/>
    </row>
    <row r="26" spans="2:28">
      <c r="B26" s="3"/>
      <c r="C26" s="240"/>
      <c r="D26" s="573"/>
      <c r="E26" s="573"/>
      <c r="F26" s="573"/>
      <c r="G26" s="705"/>
      <c r="H26" s="705"/>
      <c r="I26" s="11"/>
      <c r="J26" s="705"/>
      <c r="K26" s="705"/>
      <c r="L26" s="11"/>
      <c r="M26" s="620"/>
      <c r="N26" s="620"/>
      <c r="O26" s="620"/>
      <c r="P26" s="620"/>
      <c r="Q26" s="620"/>
      <c r="R26" s="620"/>
      <c r="S26" s="620"/>
      <c r="T26" s="620"/>
      <c r="U26" s="620"/>
      <c r="V26" s="620"/>
      <c r="W26" s="620"/>
      <c r="X26" s="11"/>
      <c r="Y26" s="11"/>
      <c r="Z26" s="11"/>
      <c r="AA26" s="11"/>
      <c r="AB26" s="11"/>
    </row>
    <row r="27" spans="2:28">
      <c r="B27" s="3"/>
      <c r="C27" s="240"/>
      <c r="D27" s="573"/>
      <c r="E27" s="573"/>
      <c r="F27" s="573"/>
      <c r="G27" s="705"/>
      <c r="H27" s="705"/>
      <c r="I27" s="11"/>
      <c r="J27" s="705"/>
      <c r="K27" s="705"/>
      <c r="L27" s="11"/>
      <c r="M27" s="620"/>
      <c r="N27" s="620"/>
      <c r="O27" s="620"/>
      <c r="P27" s="620"/>
      <c r="Q27" s="620"/>
      <c r="R27" s="620"/>
      <c r="S27" s="620"/>
      <c r="T27" s="620"/>
      <c r="U27" s="620"/>
      <c r="V27" s="620"/>
      <c r="W27" s="620"/>
      <c r="X27" s="11"/>
      <c r="Y27" s="11"/>
      <c r="Z27" s="11"/>
      <c r="AA27" s="11"/>
      <c r="AB27" s="11"/>
    </row>
    <row r="28" spans="2:28">
      <c r="B28" s="3"/>
      <c r="C28" s="240"/>
      <c r="D28" s="573"/>
      <c r="E28" s="573"/>
      <c r="F28" s="573"/>
      <c r="G28" s="705"/>
      <c r="H28" s="705"/>
      <c r="I28" s="11"/>
      <c r="J28" s="705"/>
      <c r="K28" s="705"/>
      <c r="L28" s="11"/>
      <c r="M28" s="620"/>
      <c r="N28" s="620"/>
      <c r="O28" s="620"/>
      <c r="P28" s="620"/>
      <c r="Q28" s="620"/>
      <c r="R28" s="620"/>
      <c r="S28" s="620"/>
      <c r="T28" s="620"/>
      <c r="U28" s="620"/>
      <c r="V28" s="620"/>
      <c r="W28" s="620"/>
      <c r="X28" s="11"/>
      <c r="Y28" s="11"/>
      <c r="Z28" s="11"/>
      <c r="AA28" s="11"/>
      <c r="AB28" s="11"/>
    </row>
    <row r="29" spans="2:28">
      <c r="B29" s="3"/>
      <c r="C29" s="240"/>
      <c r="D29" s="573"/>
      <c r="E29" s="573"/>
      <c r="F29" s="573"/>
      <c r="G29" s="705"/>
      <c r="H29" s="705"/>
      <c r="I29" s="11"/>
      <c r="J29" s="705"/>
      <c r="K29" s="705"/>
      <c r="L29" s="11"/>
      <c r="M29" s="620"/>
      <c r="N29" s="620"/>
      <c r="O29" s="620"/>
      <c r="P29" s="620"/>
      <c r="Q29" s="620"/>
      <c r="R29" s="620"/>
      <c r="S29" s="620"/>
      <c r="T29" s="620"/>
      <c r="U29" s="620"/>
      <c r="V29" s="620"/>
      <c r="W29" s="620"/>
      <c r="X29" s="11"/>
      <c r="Y29" s="11"/>
      <c r="Z29" s="11"/>
      <c r="AA29" s="11"/>
      <c r="AB29" s="11"/>
    </row>
    <row r="30" spans="2:28">
      <c r="B30" s="3"/>
      <c r="C30" s="3"/>
      <c r="D30" s="3"/>
      <c r="E30" s="3"/>
      <c r="F30" s="3"/>
      <c r="G30" s="11"/>
      <c r="H30" s="11"/>
      <c r="I30" s="11"/>
      <c r="J30" s="11"/>
      <c r="K30" s="11"/>
      <c r="L30" s="11"/>
      <c r="M30" s="11"/>
      <c r="N30" s="11"/>
      <c r="O30" s="11"/>
      <c r="P30" s="11"/>
      <c r="Q30" s="11"/>
      <c r="R30" s="11"/>
      <c r="S30" s="11"/>
      <c r="T30" s="11"/>
      <c r="U30" s="11"/>
      <c r="V30" s="11"/>
      <c r="W30" s="11"/>
      <c r="X30" s="11"/>
      <c r="Y30" s="11"/>
      <c r="Z30" s="11"/>
      <c r="AA30" s="11"/>
      <c r="AB30" s="11"/>
    </row>
    <row r="31" spans="2:28">
      <c r="B31" s="3"/>
      <c r="C31" s="3"/>
      <c r="D31" s="3"/>
      <c r="E31" s="3"/>
      <c r="F31" s="3"/>
      <c r="G31" s="11"/>
      <c r="H31" s="11"/>
      <c r="I31" s="11"/>
      <c r="J31" s="11"/>
      <c r="K31" s="11"/>
      <c r="L31" s="11"/>
      <c r="M31" s="11"/>
      <c r="N31" s="11"/>
      <c r="O31" s="11"/>
      <c r="P31" s="11"/>
      <c r="Q31" s="11"/>
      <c r="R31" s="11"/>
      <c r="S31" s="11"/>
      <c r="T31" s="11"/>
      <c r="U31" s="11"/>
      <c r="V31" s="11"/>
      <c r="W31" s="11"/>
      <c r="X31" s="11"/>
      <c r="Y31" s="11"/>
      <c r="Z31" s="11"/>
      <c r="AA31" s="11"/>
      <c r="AB31" s="11"/>
    </row>
    <row r="32" spans="2:28">
      <c r="B32" s="3"/>
      <c r="C32" s="3"/>
      <c r="D32" s="3"/>
      <c r="E32" s="3"/>
      <c r="F32" s="3"/>
      <c r="G32" s="11"/>
      <c r="H32" s="11"/>
      <c r="I32" s="11"/>
      <c r="J32" s="11"/>
      <c r="K32" s="11"/>
      <c r="L32" s="11"/>
      <c r="M32" s="11"/>
      <c r="N32" s="11"/>
      <c r="O32" s="11"/>
      <c r="P32" s="11"/>
      <c r="Q32" s="11"/>
      <c r="R32" s="153"/>
      <c r="S32" s="11"/>
      <c r="T32" s="568"/>
      <c r="U32" s="11"/>
      <c r="V32" s="11"/>
      <c r="W32" s="11"/>
      <c r="X32" s="11"/>
      <c r="Y32" s="11"/>
      <c r="Z32" s="11"/>
      <c r="AA32" s="11"/>
      <c r="AB32" s="11"/>
    </row>
    <row r="33" spans="2:28">
      <c r="B33" s="3"/>
      <c r="C33" s="3"/>
      <c r="D33" s="3"/>
      <c r="E33" s="3"/>
      <c r="F33" s="3"/>
      <c r="G33" s="11"/>
      <c r="H33" s="11"/>
      <c r="I33" s="11"/>
      <c r="J33" s="11"/>
      <c r="K33" s="11"/>
      <c r="L33" s="11"/>
      <c r="M33" s="11"/>
      <c r="N33" s="11"/>
      <c r="O33" s="11"/>
      <c r="P33" s="11"/>
      <c r="Q33" s="11"/>
      <c r="R33" s="11"/>
      <c r="S33" s="11"/>
      <c r="T33" s="568"/>
      <c r="U33" s="11"/>
      <c r="V33" s="11"/>
      <c r="W33" s="11"/>
      <c r="X33" s="11"/>
      <c r="Y33" s="11"/>
      <c r="Z33" s="11"/>
      <c r="AA33" s="11"/>
      <c r="AB33" s="11"/>
    </row>
    <row r="34" spans="2:28">
      <c r="B34" s="3"/>
      <c r="C34" s="3"/>
      <c r="D34" s="3"/>
      <c r="E34" s="3"/>
      <c r="F34" s="3"/>
      <c r="G34" s="11"/>
      <c r="H34" s="11"/>
      <c r="I34" s="11"/>
      <c r="J34" s="11"/>
      <c r="K34" s="11"/>
      <c r="L34" s="11"/>
      <c r="M34" s="11"/>
      <c r="N34" s="11"/>
      <c r="O34" s="11"/>
      <c r="P34" s="11"/>
      <c r="Q34" s="11"/>
      <c r="R34" s="153"/>
      <c r="S34" s="11"/>
      <c r="T34" s="568"/>
      <c r="U34" s="11"/>
      <c r="V34" s="11"/>
      <c r="W34" s="11"/>
      <c r="X34" s="11"/>
      <c r="Y34" s="11"/>
      <c r="Z34" s="11"/>
      <c r="AA34" s="11"/>
      <c r="AB34" s="11"/>
    </row>
    <row r="35" spans="2:28">
      <c r="B35" s="11"/>
      <c r="C35" s="11"/>
      <c r="D35" s="11"/>
      <c r="E35" s="11"/>
      <c r="F35" s="11"/>
      <c r="G35" s="11"/>
      <c r="H35" s="11"/>
      <c r="I35" s="11"/>
      <c r="J35" s="11"/>
      <c r="K35" s="11"/>
      <c r="L35" s="11"/>
      <c r="M35" s="11"/>
      <c r="N35" s="11"/>
      <c r="O35" s="11"/>
      <c r="P35" s="11"/>
      <c r="Q35" s="11"/>
      <c r="R35" s="11"/>
      <c r="S35" s="11"/>
      <c r="T35" s="568"/>
      <c r="U35" s="11"/>
      <c r="V35" s="11"/>
      <c r="W35" s="11"/>
      <c r="X35" s="11"/>
      <c r="Y35" s="11"/>
      <c r="Z35" s="11"/>
      <c r="AA35" s="11"/>
      <c r="AB35" s="11"/>
    </row>
    <row r="36" spans="2:28">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2:28">
      <c r="B37" s="11"/>
      <c r="C37" s="153"/>
      <c r="D37" s="11"/>
      <c r="E37" s="568"/>
      <c r="F37" s="11"/>
      <c r="G37" s="11"/>
      <c r="H37" s="11"/>
      <c r="I37" s="11"/>
      <c r="J37" s="11"/>
      <c r="K37" s="11"/>
      <c r="L37" s="11"/>
      <c r="M37" s="11"/>
      <c r="N37" s="11"/>
      <c r="O37" s="11"/>
      <c r="P37" s="11"/>
      <c r="Q37" s="11"/>
      <c r="R37" s="11"/>
      <c r="S37" s="11"/>
      <c r="T37" s="11"/>
      <c r="U37" s="11"/>
      <c r="V37" s="11"/>
      <c r="W37" s="11"/>
      <c r="X37" s="11"/>
      <c r="Y37" s="11"/>
      <c r="Z37" s="11"/>
      <c r="AA37" s="11"/>
      <c r="AB37" s="11"/>
    </row>
    <row r="38" spans="2:28">
      <c r="B38" s="11"/>
      <c r="C38" s="153"/>
      <c r="D38" s="11"/>
      <c r="E38" s="568"/>
      <c r="F38" s="11"/>
      <c r="G38" s="11"/>
      <c r="H38" s="11"/>
      <c r="I38" s="11"/>
      <c r="J38" s="11"/>
      <c r="K38" s="11"/>
      <c r="L38" s="11"/>
      <c r="M38" s="11"/>
      <c r="N38" s="11"/>
      <c r="O38" s="11"/>
      <c r="P38" s="11"/>
      <c r="Q38" s="11"/>
      <c r="R38" s="11"/>
      <c r="S38" s="11"/>
      <c r="T38" s="11"/>
      <c r="U38" s="11"/>
      <c r="V38" s="11"/>
      <c r="W38" s="11"/>
      <c r="X38" s="11"/>
      <c r="Y38" s="11"/>
      <c r="Z38" s="11"/>
      <c r="AA38" s="11"/>
      <c r="AB38" s="11"/>
    </row>
    <row r="39" spans="2:28">
      <c r="B39" s="11"/>
      <c r="C39" s="153"/>
      <c r="D39" s="11"/>
      <c r="E39" s="568"/>
      <c r="F39" s="11"/>
      <c r="G39" s="11"/>
      <c r="H39" s="11"/>
      <c r="I39" s="11"/>
      <c r="J39" s="11"/>
      <c r="K39" s="11"/>
      <c r="L39" s="11"/>
      <c r="M39" s="11"/>
      <c r="N39" s="11"/>
      <c r="O39" s="11"/>
      <c r="P39" s="11"/>
      <c r="Q39" s="11"/>
      <c r="R39" s="11"/>
      <c r="S39" s="11"/>
      <c r="T39" s="11"/>
      <c r="U39" s="11"/>
      <c r="V39" s="11"/>
      <c r="W39" s="11"/>
      <c r="X39" s="11"/>
      <c r="Y39" s="11"/>
      <c r="Z39" s="11"/>
      <c r="AA39" s="11"/>
      <c r="AB39" s="11"/>
    </row>
    <row r="40" spans="2:28">
      <c r="B40" s="11"/>
      <c r="C40" s="153"/>
      <c r="D40" s="11"/>
      <c r="E40" s="568"/>
      <c r="F40" s="11"/>
      <c r="G40" s="11"/>
      <c r="H40" s="11"/>
      <c r="I40" s="11"/>
      <c r="J40" s="11"/>
      <c r="K40" s="11"/>
      <c r="L40" s="11"/>
      <c r="M40" s="11"/>
      <c r="N40" s="11"/>
      <c r="O40" s="11"/>
      <c r="P40" s="11"/>
      <c r="Q40" s="11"/>
      <c r="R40" s="11"/>
      <c r="S40" s="11"/>
      <c r="T40" s="11"/>
      <c r="U40" s="11"/>
      <c r="V40" s="11"/>
      <c r="W40" s="11"/>
      <c r="X40" s="11"/>
      <c r="Y40" s="11"/>
      <c r="Z40" s="11"/>
      <c r="AA40" s="11"/>
      <c r="AB40" s="11"/>
    </row>
    <row r="41" spans="2:28">
      <c r="B41" s="11"/>
      <c r="C41" s="153"/>
      <c r="D41" s="11"/>
      <c r="E41" s="568"/>
      <c r="F41" s="11"/>
      <c r="G41" s="11"/>
      <c r="H41" s="11"/>
      <c r="I41" s="11"/>
      <c r="J41" s="11"/>
      <c r="K41" s="11"/>
      <c r="L41" s="11"/>
      <c r="M41" s="11"/>
      <c r="N41" s="11"/>
      <c r="O41" s="11"/>
      <c r="P41" s="11"/>
      <c r="Q41" s="11"/>
      <c r="R41" s="11"/>
      <c r="S41" s="11"/>
      <c r="T41" s="11"/>
      <c r="U41" s="11"/>
      <c r="V41" s="11"/>
      <c r="W41" s="11"/>
      <c r="X41" s="11"/>
      <c r="Y41" s="11"/>
      <c r="Z41" s="11"/>
      <c r="AA41" s="11"/>
      <c r="AB41" s="11"/>
    </row>
    <row r="42" spans="2:28">
      <c r="B42" s="11"/>
      <c r="C42" s="153"/>
      <c r="D42" s="11"/>
      <c r="E42" s="568"/>
      <c r="F42" s="11"/>
      <c r="G42" s="11"/>
      <c r="H42" s="11"/>
      <c r="I42" s="11"/>
      <c r="J42" s="11"/>
      <c r="K42" s="11"/>
      <c r="L42" s="11"/>
      <c r="M42" s="11"/>
      <c r="N42" s="11"/>
      <c r="O42" s="11"/>
      <c r="P42" s="11"/>
      <c r="Q42" s="11"/>
      <c r="R42" s="11"/>
      <c r="S42" s="11"/>
      <c r="T42" s="11"/>
      <c r="U42" s="11"/>
      <c r="V42" s="11"/>
      <c r="W42" s="11"/>
      <c r="X42" s="11"/>
      <c r="Y42" s="11"/>
      <c r="Z42" s="11"/>
      <c r="AA42" s="11"/>
      <c r="AB42" s="11"/>
    </row>
    <row r="43" spans="2:28">
      <c r="B43" s="11"/>
      <c r="C43" s="153"/>
      <c r="D43" s="11"/>
      <c r="E43" s="568"/>
      <c r="F43" s="11"/>
      <c r="G43" s="11"/>
      <c r="H43" s="11"/>
      <c r="I43" s="11"/>
      <c r="J43" s="11"/>
      <c r="K43" s="11"/>
      <c r="L43" s="11"/>
      <c r="M43" s="11"/>
      <c r="N43" s="11"/>
      <c r="O43" s="11"/>
      <c r="P43" s="11"/>
      <c r="Q43" s="11"/>
      <c r="R43" s="11"/>
      <c r="S43" s="11"/>
      <c r="T43" s="11"/>
      <c r="U43" s="11"/>
      <c r="V43" s="11"/>
      <c r="W43" s="11"/>
      <c r="X43" s="11"/>
      <c r="Y43" s="11"/>
      <c r="Z43" s="11"/>
      <c r="AA43" s="11"/>
      <c r="AB43" s="11"/>
    </row>
    <row r="44" spans="2:28">
      <c r="B44" s="11"/>
      <c r="C44" s="153"/>
      <c r="D44" s="11"/>
      <c r="E44" s="568"/>
      <c r="F44" s="11"/>
      <c r="G44" s="11"/>
      <c r="H44" s="11"/>
      <c r="I44" s="11"/>
      <c r="J44" s="11"/>
      <c r="K44" s="11"/>
      <c r="L44" s="11"/>
      <c r="M44" s="11"/>
      <c r="N44" s="11"/>
      <c r="O44" s="11"/>
      <c r="P44" s="11"/>
      <c r="Q44" s="11"/>
      <c r="R44" s="11"/>
      <c r="S44" s="11"/>
      <c r="T44" s="11"/>
      <c r="U44" s="11"/>
      <c r="V44" s="11"/>
      <c r="W44" s="11"/>
      <c r="X44" s="11"/>
      <c r="Y44" s="11"/>
      <c r="Z44" s="11"/>
      <c r="AA44" s="11"/>
      <c r="AB44" s="11"/>
    </row>
    <row r="45" spans="2:28">
      <c r="B45" s="11"/>
      <c r="C45" s="153"/>
      <c r="D45" s="11"/>
      <c r="E45" s="568"/>
      <c r="F45" s="11"/>
      <c r="G45" s="11"/>
      <c r="H45" s="11"/>
      <c r="I45" s="11"/>
      <c r="J45" s="11"/>
      <c r="K45" s="11"/>
      <c r="L45" s="11"/>
      <c r="M45" s="11"/>
      <c r="N45" s="11"/>
      <c r="O45" s="11"/>
      <c r="P45" s="11"/>
      <c r="Q45" s="11"/>
      <c r="R45" s="11"/>
      <c r="S45" s="11"/>
      <c r="T45" s="11"/>
      <c r="U45" s="11"/>
      <c r="V45" s="11"/>
      <c r="W45" s="11"/>
      <c r="X45" s="11"/>
      <c r="Y45" s="11"/>
      <c r="Z45" s="11"/>
      <c r="AA45" s="11"/>
      <c r="AB45" s="11"/>
    </row>
    <row r="46" spans="2:28">
      <c r="B46" s="11"/>
      <c r="C46" s="153"/>
      <c r="D46" s="11"/>
      <c r="E46" s="568"/>
      <c r="F46" s="11"/>
      <c r="G46" s="11"/>
      <c r="H46" s="11"/>
      <c r="I46" s="11"/>
      <c r="J46" s="11"/>
      <c r="K46" s="11"/>
      <c r="L46" s="11"/>
      <c r="M46" s="11"/>
      <c r="N46" s="11"/>
      <c r="O46" s="11"/>
      <c r="P46" s="11"/>
      <c r="Q46" s="11"/>
      <c r="R46" s="11"/>
      <c r="S46" s="11"/>
      <c r="T46" s="11"/>
      <c r="U46" s="11"/>
      <c r="V46" s="11"/>
      <c r="W46" s="11"/>
      <c r="X46" s="11"/>
      <c r="Y46" s="11"/>
      <c r="Z46" s="11"/>
      <c r="AA46" s="11"/>
      <c r="AB46" s="11"/>
    </row>
    <row r="47" spans="2:28">
      <c r="B47" s="11"/>
      <c r="C47" s="153"/>
      <c r="D47" s="11"/>
      <c r="E47" s="568"/>
      <c r="F47" s="11"/>
      <c r="G47" s="11"/>
      <c r="H47" s="11"/>
      <c r="I47" s="11"/>
      <c r="J47" s="11"/>
      <c r="K47" s="11"/>
      <c r="L47" s="11"/>
      <c r="M47" s="11"/>
      <c r="N47" s="11"/>
      <c r="O47" s="11"/>
      <c r="P47" s="11"/>
      <c r="Q47" s="11"/>
      <c r="R47" s="11"/>
      <c r="S47" s="11"/>
      <c r="T47" s="11"/>
      <c r="U47" s="11"/>
      <c r="V47" s="11"/>
      <c r="W47" s="11"/>
      <c r="X47" s="11"/>
      <c r="Y47" s="11"/>
      <c r="Z47" s="11"/>
      <c r="AA47" s="11"/>
      <c r="AB47" s="11"/>
    </row>
    <row r="48" spans="2:28">
      <c r="B48" s="11"/>
      <c r="C48" s="153"/>
      <c r="D48" s="11"/>
      <c r="E48" s="568"/>
      <c r="F48" s="11"/>
      <c r="G48" s="11"/>
      <c r="H48" s="11"/>
      <c r="I48" s="11"/>
      <c r="J48" s="11"/>
      <c r="K48" s="11"/>
      <c r="L48" s="11"/>
      <c r="M48" s="11"/>
      <c r="N48" s="11"/>
      <c r="O48" s="11"/>
      <c r="P48" s="11"/>
      <c r="Q48" s="11"/>
      <c r="R48" s="11"/>
      <c r="S48" s="11"/>
      <c r="T48" s="11"/>
      <c r="U48" s="11"/>
      <c r="V48" s="11"/>
      <c r="W48" s="11"/>
      <c r="X48" s="11"/>
      <c r="Y48" s="11"/>
      <c r="Z48" s="11"/>
      <c r="AA48" s="11"/>
      <c r="AB48" s="11"/>
    </row>
    <row r="49" spans="2:28">
      <c r="B49" s="11"/>
      <c r="C49" s="11"/>
      <c r="D49" s="11"/>
      <c r="E49" s="568"/>
      <c r="F49" s="11"/>
      <c r="G49" s="11"/>
      <c r="H49" s="11"/>
      <c r="I49" s="11"/>
      <c r="J49" s="11"/>
      <c r="K49" s="11"/>
      <c r="L49" s="11"/>
      <c r="M49" s="11"/>
      <c r="N49" s="11"/>
      <c r="O49" s="11"/>
      <c r="P49" s="11"/>
      <c r="Q49" s="11"/>
      <c r="R49" s="11"/>
      <c r="S49" s="11"/>
      <c r="T49" s="11"/>
      <c r="U49" s="11"/>
      <c r="V49" s="11"/>
      <c r="W49" s="11"/>
      <c r="X49" s="11"/>
      <c r="Y49" s="11"/>
      <c r="Z49" s="11"/>
      <c r="AA49" s="11"/>
      <c r="AB49" s="11"/>
    </row>
    <row r="50" spans="2:28">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2:28">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2:28">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2:28">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2:28">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2:28">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2:28">
      <c r="D56"/>
    </row>
    <row r="57" spans="2:28">
      <c r="D57"/>
    </row>
  </sheetData>
  <mergeCells count="4">
    <mergeCell ref="J22:K22"/>
    <mergeCell ref="D22:E22"/>
    <mergeCell ref="G22:H22"/>
    <mergeCell ref="M22:Q22"/>
  </mergeCells>
  <phoneticPr fontId="38"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59999389629810485"/>
  </sheetPr>
  <dimension ref="B1:I28"/>
  <sheetViews>
    <sheetView zoomScaleNormal="100" workbookViewId="0">
      <selection activeCell="H13" sqref="H13"/>
    </sheetView>
  </sheetViews>
  <sheetFormatPr defaultRowHeight="13.2"/>
  <cols>
    <col min="1" max="1" width="4.6640625" customWidth="1"/>
    <col min="2" max="2" width="16.33203125" customWidth="1"/>
    <col min="3" max="3" width="53.44140625" bestFit="1" customWidth="1"/>
    <col min="4" max="4" width="10.44140625" bestFit="1" customWidth="1"/>
    <col min="5" max="5" width="11.5546875" customWidth="1"/>
    <col min="6" max="6" width="5" bestFit="1" customWidth="1"/>
    <col min="7" max="7" width="4" bestFit="1" customWidth="1"/>
    <col min="8" max="8" width="15" customWidth="1"/>
    <col min="9" max="9" width="15.109375" customWidth="1"/>
  </cols>
  <sheetData>
    <row r="1" spans="2:9">
      <c r="E1">
        <v>1</v>
      </c>
      <c r="G1" s="65"/>
      <c r="H1" s="66"/>
    </row>
    <row r="3" spans="2:9" ht="13.8">
      <c r="B3" s="13"/>
      <c r="C3" s="19"/>
      <c r="D3" s="19"/>
      <c r="E3" s="20" t="s">
        <v>8</v>
      </c>
      <c r="F3" s="19"/>
    </row>
    <row r="4" spans="2:9" ht="13.8">
      <c r="B4" s="18" t="s">
        <v>2</v>
      </c>
      <c r="C4" s="18" t="s">
        <v>26</v>
      </c>
      <c r="D4" s="18" t="s">
        <v>14</v>
      </c>
      <c r="E4" s="21" t="s">
        <v>15</v>
      </c>
      <c r="F4" s="22" t="s">
        <v>16</v>
      </c>
      <c r="G4" s="22" t="s">
        <v>162</v>
      </c>
      <c r="H4" s="22" t="s">
        <v>1010</v>
      </c>
      <c r="I4" s="22" t="s">
        <v>1011</v>
      </c>
    </row>
    <row r="5" spans="2:9" ht="13.8" thickBot="1">
      <c r="B5" s="23" t="s">
        <v>45</v>
      </c>
      <c r="C5" s="24"/>
      <c r="D5" s="24"/>
      <c r="E5" s="25"/>
      <c r="F5" s="26"/>
      <c r="G5" s="26"/>
      <c r="H5" s="26" t="s">
        <v>44</v>
      </c>
      <c r="I5" s="26" t="s">
        <v>44</v>
      </c>
    </row>
    <row r="6" spans="2:9">
      <c r="B6" s="666" t="str">
        <f>Processes!D44</f>
        <v>FT-RESNGA</v>
      </c>
      <c r="C6" s="666" t="str">
        <f>Processes!E44</f>
        <v>Fuel Technology Nat. Gas RES</v>
      </c>
      <c r="D6" s="666" t="str">
        <f>RIGHT(Commodities!C12,3)</f>
        <v>NGA</v>
      </c>
      <c r="E6" s="666" t="str">
        <f>Commodities!C12</f>
        <v>RESNGA</v>
      </c>
      <c r="F6" s="667">
        <v>1</v>
      </c>
      <c r="G6" s="666">
        <v>50</v>
      </c>
      <c r="H6" s="1325">
        <f>Boilers_DR!T6+Boilers_DR!T16</f>
        <v>0.11915651693116072</v>
      </c>
      <c r="I6" s="1325">
        <f>Boilers_DR!V6+Boilers_DR!V16</f>
        <v>4.6444259834283956E-2</v>
      </c>
    </row>
    <row r="7" spans="2:9">
      <c r="B7" s="1" t="str">
        <f>Processes!D45</f>
        <v>FT-RESDSL</v>
      </c>
      <c r="C7" s="1" t="str">
        <f>Processes!E45</f>
        <v>Fuel Technology Diesel RES</v>
      </c>
      <c r="D7" s="1" t="str">
        <f>RIGHT(Commodities!C13,3)</f>
        <v>DSL</v>
      </c>
      <c r="E7" s="1" t="str">
        <f>Commodities!C13</f>
        <v>RESDSL</v>
      </c>
      <c r="F7" s="27">
        <v>1</v>
      </c>
      <c r="G7" s="1">
        <v>50</v>
      </c>
      <c r="H7" s="1326">
        <f>Boilers_DR!T7+Boilers_DR!T17</f>
        <v>5.9396933331119888</v>
      </c>
      <c r="I7" s="1326">
        <f>Boilers_DR!V7+Boilers_DR!V17</f>
        <v>2.3151453869568064</v>
      </c>
    </row>
    <row r="8" spans="2:9">
      <c r="B8" s="1" t="str">
        <f>Processes!D46</f>
        <v>FT-RESWPE</v>
      </c>
      <c r="C8" s="1" t="str">
        <f>Processes!E46</f>
        <v>Fuel Technology Wood Pellets RES</v>
      </c>
      <c r="D8" s="1" t="str">
        <f>RIGHT(Commodities!C14,3)</f>
        <v>WPE</v>
      </c>
      <c r="E8" s="1" t="str">
        <f>Commodities!C14</f>
        <v>RESWPE</v>
      </c>
      <c r="F8" s="27">
        <v>1</v>
      </c>
      <c r="G8" s="1">
        <v>50</v>
      </c>
      <c r="H8" s="1326">
        <f>Boilers_DR!T8+Boilers_DR!T18</f>
        <v>0</v>
      </c>
      <c r="I8" s="1326">
        <f>Boilers_DR!V8+Boilers_DR!V18</f>
        <v>0</v>
      </c>
    </row>
    <row r="9" spans="2:9">
      <c r="B9" s="1" t="str">
        <f>Processes!D47</f>
        <v>FT-RESFIW</v>
      </c>
      <c r="C9" s="1" t="str">
        <f>Processes!E47</f>
        <v>Fuel Technology Firewoods RES</v>
      </c>
      <c r="D9" s="1" t="str">
        <f>RIGHT(Commodities!C15,3)</f>
        <v>FIW</v>
      </c>
      <c r="E9" s="1" t="str">
        <f>Commodities!C15</f>
        <v>RESFIW</v>
      </c>
      <c r="F9" s="27">
        <v>1</v>
      </c>
      <c r="G9" s="1">
        <v>50</v>
      </c>
      <c r="H9" s="1326">
        <f>Boilers_DR!T9</f>
        <v>18.45580285030152</v>
      </c>
      <c r="I9" s="1326">
        <f>Boilers_DR!V9</f>
        <v>7.7375640172354547</v>
      </c>
    </row>
    <row r="10" spans="2:9">
      <c r="B10" s="1" t="str">
        <f>Processes!D48</f>
        <v>FT-RESSTR</v>
      </c>
      <c r="C10" s="1" t="str">
        <f>Processes!E48</f>
        <v>Fuel Technology Straw RES</v>
      </c>
      <c r="D10" s="1" t="str">
        <f>RIGHT(Commodities!C16,3)</f>
        <v>STR</v>
      </c>
      <c r="E10" s="1" t="str">
        <f>Commodities!C16</f>
        <v>RESSTR</v>
      </c>
      <c r="F10" s="27">
        <v>1</v>
      </c>
      <c r="G10" s="1">
        <v>50</v>
      </c>
      <c r="H10" s="1326">
        <f>Boilers_DR!T10+Boilers_DR!T20</f>
        <v>0</v>
      </c>
      <c r="I10" s="1326">
        <f>Boilers_DR!V10+Boilers_DR!V20</f>
        <v>0</v>
      </c>
    </row>
    <row r="11" spans="2:9">
      <c r="B11" s="1" t="str">
        <f>Processes!D49</f>
        <v>FT-RESH2</v>
      </c>
      <c r="C11" s="1" t="str">
        <f>Processes!E49</f>
        <v>Fuel Technology Hydrogen RES</v>
      </c>
      <c r="D11" s="1" t="s">
        <v>1056</v>
      </c>
      <c r="E11" s="1" t="str">
        <f>Commodities!C17</f>
        <v>RESH2</v>
      </c>
      <c r="F11" s="27">
        <v>1</v>
      </c>
      <c r="G11" s="1">
        <v>50</v>
      </c>
      <c r="H11" s="1326">
        <v>0</v>
      </c>
      <c r="I11" s="1326">
        <v>0</v>
      </c>
    </row>
    <row r="12" spans="2:9">
      <c r="B12" s="1" t="str">
        <f>Processes!D50</f>
        <v>FT-RESSOL</v>
      </c>
      <c r="C12" s="1" t="str">
        <f>Processes!E50</f>
        <v>Fuel Technology Solar RES</v>
      </c>
      <c r="D12" s="1" t="str">
        <f>RIGHT(Commodities!C18,3)</f>
        <v>SOL</v>
      </c>
      <c r="E12" s="1" t="str">
        <f>Commodities!C18</f>
        <v>RESSOL</v>
      </c>
      <c r="F12" s="27">
        <v>1</v>
      </c>
      <c r="G12" s="1">
        <v>50</v>
      </c>
      <c r="H12" s="1326">
        <f>Boilers_DR!T11+Boilers_DR!T21</f>
        <v>0</v>
      </c>
      <c r="I12" s="1326">
        <f>Boilers_DR!V11+Boilers_DR!V21</f>
        <v>0</v>
      </c>
    </row>
    <row r="13" spans="2:9">
      <c r="B13" s="1" t="str">
        <f>Processes!D51</f>
        <v>FT-RESELCH</v>
      </c>
      <c r="C13" s="1" t="str">
        <f>Processes!E51</f>
        <v>Fuel Technology for Heating Electricity RES</v>
      </c>
      <c r="D13" s="1" t="s">
        <v>164</v>
      </c>
      <c r="E13" s="1" t="str">
        <f>Commodities!C19</f>
        <v>RESELCH</v>
      </c>
      <c r="F13" s="27">
        <v>1</v>
      </c>
      <c r="G13" s="1">
        <v>50</v>
      </c>
      <c r="H13" s="1326">
        <f>Boilers_DR!T12+Boilers_DR!T13+Boilers_DR!T22+Boilers_DR!T23</f>
        <v>72.047728926519966</v>
      </c>
      <c r="I13" s="1326">
        <f>Boilers_DR!V12+Boilers_DR!V13+Boilers_DR!V22+Boilers_DR!V23</f>
        <v>28.08242074301754</v>
      </c>
    </row>
    <row r="14" spans="2:9">
      <c r="B14" s="1" t="str">
        <f>Processes!D52</f>
        <v>FT-RESHCE</v>
      </c>
      <c r="C14" s="1" t="str">
        <f>Processes!E52</f>
        <v>Fuel Technology Centralised District Heat RES</v>
      </c>
      <c r="D14" s="39" t="s">
        <v>211</v>
      </c>
      <c r="E14" s="3" t="str">
        <f>Commodities!C20</f>
        <v>RESHCE</v>
      </c>
      <c r="F14" s="27">
        <v>1</v>
      </c>
      <c r="G14" s="1">
        <v>50</v>
      </c>
      <c r="H14" s="1326">
        <f>Boilers_DR!T14+Boilers_DR!T24</f>
        <v>1.0300418783375822</v>
      </c>
      <c r="I14" s="1326">
        <f>Boilers_DR!V14+Boilers_DR!V24</f>
        <v>0.12427212456499837</v>
      </c>
    </row>
    <row r="15" spans="2:9">
      <c r="B15" s="567" t="str">
        <f>Processes!D53</f>
        <v>FT-RESHDE</v>
      </c>
      <c r="C15" s="567" t="str">
        <f>Processes!E53</f>
        <v>Fuel Technology Decentralised District Heat RES</v>
      </c>
      <c r="D15" s="668" t="s">
        <v>213</v>
      </c>
      <c r="E15" s="669" t="str">
        <f>Commodities!C21</f>
        <v>RESHDE</v>
      </c>
      <c r="F15" s="670">
        <v>1</v>
      </c>
      <c r="G15" s="567">
        <v>50</v>
      </c>
      <c r="H15" s="1327">
        <f>Boilers_DR!T15+Boilers_DR!T25</f>
        <v>1.7779073467358575</v>
      </c>
      <c r="I15" s="1327">
        <f>Boilers_DR!V15+Boilers_DR!V25</f>
        <v>0.97019695500812786</v>
      </c>
    </row>
    <row r="16" spans="2:9">
      <c r="B16" s="1" t="str">
        <f>Processes!D54</f>
        <v>FT-RESSNG</v>
      </c>
      <c r="C16" s="1" t="str">
        <f>Processes!E54</f>
        <v>Fuel Technology Bio Synt. Nat. Gas RES</v>
      </c>
      <c r="D16" t="str">
        <f>RIGHT(Commodities!C22,3)&amp;"1"</f>
        <v>SNG1</v>
      </c>
      <c r="E16" t="str">
        <f>Commodities!C22</f>
        <v>RESSNG</v>
      </c>
      <c r="F16" s="27">
        <v>1</v>
      </c>
      <c r="G16">
        <v>50</v>
      </c>
    </row>
    <row r="17" spans="2:9">
      <c r="B17" s="1"/>
      <c r="C17" s="1"/>
      <c r="D17" t="str">
        <f>RIGHT(Commodities!C22,3)&amp;"2"</f>
        <v>SNG2</v>
      </c>
      <c r="F17" s="27"/>
    </row>
    <row r="18" spans="2:9">
      <c r="B18" s="1" t="str">
        <f>Processes!D55</f>
        <v>FT-RESDSB</v>
      </c>
      <c r="C18" s="1" t="str">
        <f>Processes!E55</f>
        <v>Fuel Technology BioDiesel RES</v>
      </c>
      <c r="D18" t="str">
        <f>RIGHT(Commodities!C23,3)&amp;"1"</f>
        <v>DSB1</v>
      </c>
      <c r="E18" t="str">
        <f>Commodities!C23</f>
        <v>RESDSB</v>
      </c>
      <c r="F18" s="27">
        <v>1</v>
      </c>
      <c r="G18">
        <v>50</v>
      </c>
      <c r="H18" s="1"/>
      <c r="I18" s="3"/>
    </row>
    <row r="19" spans="2:9">
      <c r="D19" t="str">
        <f>RIGHT(Commodities!C23,3)&amp;"2"</f>
        <v>DSB2</v>
      </c>
      <c r="F19" s="27"/>
    </row>
    <row r="20" spans="2:9">
      <c r="B20" s="11"/>
      <c r="D20" s="8"/>
      <c r="E20" s="46"/>
      <c r="F20" s="42"/>
    </row>
    <row r="21" spans="2:9">
      <c r="B21" s="11"/>
      <c r="D21" s="8"/>
      <c r="E21" s="46"/>
      <c r="F21" s="42"/>
    </row>
    <row r="22" spans="2:9">
      <c r="H22" s="182" t="s">
        <v>147</v>
      </c>
      <c r="I22" s="1419">
        <f>SUM(H6:I15)</f>
        <v>138.64637433855529</v>
      </c>
    </row>
    <row r="23" spans="2:9" ht="14.4">
      <c r="I23" s="187"/>
    </row>
    <row r="28" spans="2:9">
      <c r="I28" s="132"/>
    </row>
  </sheetData>
  <pageMargins left="0.7" right="0.7" top="0.75" bottom="0.75" header="0.3" footer="0.3"/>
  <pageSetup paperSize="9" orientation="portrait"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B2:D11"/>
  <sheetViews>
    <sheetView zoomScaleNormal="100" workbookViewId="0">
      <selection activeCell="H32" sqref="H32"/>
    </sheetView>
  </sheetViews>
  <sheetFormatPr defaultRowHeight="13.2"/>
  <cols>
    <col min="2" max="2" width="30.6640625" bestFit="1" customWidth="1"/>
    <col min="3" max="3" width="7.6640625" bestFit="1" customWidth="1"/>
    <col min="4" max="4" width="6.5546875" bestFit="1" customWidth="1"/>
  </cols>
  <sheetData>
    <row r="2" spans="2:4" ht="13.8">
      <c r="B2" s="70" t="s">
        <v>191</v>
      </c>
      <c r="C2" s="69"/>
      <c r="D2" s="70"/>
    </row>
    <row r="4" spans="2:4" ht="13.8">
      <c r="B4" s="71" t="s">
        <v>192</v>
      </c>
      <c r="C4" s="73"/>
      <c r="D4" s="75"/>
    </row>
    <row r="5" spans="2:4" ht="13.8">
      <c r="B5" s="70" t="s">
        <v>193</v>
      </c>
      <c r="C5" s="69"/>
      <c r="D5" s="70"/>
    </row>
    <row r="6" spans="2:4" ht="13.8">
      <c r="B6" s="69"/>
      <c r="C6" s="69"/>
      <c r="D6" s="69"/>
    </row>
    <row r="7" spans="2:4" ht="13.8">
      <c r="B7" s="69"/>
      <c r="C7" s="74" t="s">
        <v>195</v>
      </c>
      <c r="D7" s="74" t="s">
        <v>194</v>
      </c>
    </row>
    <row r="8" spans="2:4" ht="13.8">
      <c r="B8" s="72" t="s">
        <v>196</v>
      </c>
      <c r="C8" s="69"/>
      <c r="D8" s="69"/>
    </row>
    <row r="9" spans="2:4" ht="13.8">
      <c r="B9" s="76" t="s">
        <v>4</v>
      </c>
      <c r="C9" s="77" t="s">
        <v>46</v>
      </c>
      <c r="D9" s="77" t="s">
        <v>166</v>
      </c>
    </row>
    <row r="10" spans="2:4" ht="14.4" thickBot="1">
      <c r="B10" s="78" t="s">
        <v>197</v>
      </c>
      <c r="C10" s="79" t="s">
        <v>198</v>
      </c>
      <c r="D10" s="79" t="s">
        <v>198</v>
      </c>
    </row>
    <row r="11" spans="2:4" ht="13.8">
      <c r="B11" s="80" t="s">
        <v>188</v>
      </c>
      <c r="C11" s="81">
        <v>56.97</v>
      </c>
      <c r="D11" s="81">
        <v>74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F03A-28D7-4840-9C16-4DB598CA8C25}">
  <sheetPr>
    <tabColor theme="9" tint="-0.249977111117893"/>
  </sheetPr>
  <dimension ref="A1:BW269"/>
  <sheetViews>
    <sheetView topLeftCell="A79" zoomScale="49" zoomScaleNormal="70" workbookViewId="0">
      <selection activeCell="M102" sqref="M102"/>
    </sheetView>
  </sheetViews>
  <sheetFormatPr defaultColWidth="9.109375" defaultRowHeight="14.4"/>
  <cols>
    <col min="1" max="1" width="22.44140625" style="266" customWidth="1"/>
    <col min="2" max="2" width="33.88671875" style="266" customWidth="1"/>
    <col min="3" max="3" width="16.44140625" style="266" customWidth="1"/>
    <col min="4" max="4" width="14.5546875" style="266" customWidth="1"/>
    <col min="5" max="5" width="11.5546875" style="266" bestFit="1" customWidth="1"/>
    <col min="6" max="6" width="13.5546875" style="266" bestFit="1" customWidth="1"/>
    <col min="7" max="7" width="13.88671875" style="266" customWidth="1"/>
    <col min="8" max="8" width="14" style="266" customWidth="1"/>
    <col min="9" max="9" width="11.33203125" style="266" bestFit="1" customWidth="1"/>
    <col min="10" max="10" width="11.109375" style="266" bestFit="1" customWidth="1"/>
    <col min="11" max="11" width="13.33203125" style="266" customWidth="1"/>
    <col min="12" max="12" width="14.109375" style="266" bestFit="1" customWidth="1"/>
    <col min="13" max="13" width="14.5546875" style="266" bestFit="1" customWidth="1"/>
    <col min="14" max="14" width="16.109375" style="266" customWidth="1"/>
    <col min="15" max="15" width="14.33203125" style="266" customWidth="1"/>
    <col min="16" max="16" width="13.5546875" style="266" customWidth="1"/>
    <col min="17" max="17" width="9.44140625" style="266" bestFit="1" customWidth="1"/>
    <col min="18" max="18" width="12.6640625" style="266" customWidth="1"/>
    <col min="19" max="19" width="12.44140625" style="266" customWidth="1"/>
    <col min="20" max="20" width="18.6640625" style="266" customWidth="1"/>
    <col min="21" max="21" width="17.88671875" style="266" customWidth="1"/>
    <col min="22" max="22" width="14.44140625" style="266" bestFit="1" customWidth="1"/>
    <col min="23" max="23" width="16.5546875" style="266" customWidth="1"/>
    <col min="24" max="24" width="12" style="266" customWidth="1"/>
    <col min="25" max="25" width="10.5546875" style="266" customWidth="1"/>
    <col min="26" max="26" width="11.5546875" style="266" bestFit="1" customWidth="1"/>
    <col min="27" max="27" width="9.109375" style="266"/>
    <col min="28" max="28" width="11.109375" style="266" customWidth="1"/>
    <col min="29" max="29" width="9.109375" style="266"/>
    <col min="30" max="31" width="10" style="266" bestFit="1" customWidth="1"/>
    <col min="32" max="33" width="13.33203125" style="266" bestFit="1" customWidth="1"/>
    <col min="34" max="34" width="13.44140625" style="266" bestFit="1" customWidth="1"/>
    <col min="35" max="36" width="12.6640625" style="266" bestFit="1" customWidth="1"/>
    <col min="37" max="37" width="13" style="266" bestFit="1" customWidth="1"/>
    <col min="38" max="38" width="11.33203125" style="266" bestFit="1" customWidth="1"/>
    <col min="39" max="39" width="12.6640625" style="266" bestFit="1" customWidth="1"/>
    <col min="40" max="41" width="12.33203125" style="266" bestFit="1" customWidth="1"/>
    <col min="42" max="42" width="12.6640625" style="266" bestFit="1" customWidth="1"/>
    <col min="43" max="43" width="11.6640625" style="266" bestFit="1" customWidth="1"/>
    <col min="44" max="44" width="12.88671875" style="266" customWidth="1"/>
    <col min="45" max="47" width="9.109375" style="266"/>
    <col min="48" max="48" width="13.5546875" style="266" customWidth="1"/>
    <col min="49" max="16384" width="9.109375" style="266"/>
  </cols>
  <sheetData>
    <row r="1" spans="2:75">
      <c r="B1" s="265" t="s">
        <v>358</v>
      </c>
      <c r="C1" s="952" t="s">
        <v>359</v>
      </c>
    </row>
    <row r="2" spans="2:75">
      <c r="B2" s="267" t="s">
        <v>360</v>
      </c>
    </row>
    <row r="3" spans="2:75">
      <c r="B3" s="268" t="s">
        <v>361</v>
      </c>
    </row>
    <row r="4" spans="2:75">
      <c r="B4" s="906" t="s">
        <v>362</v>
      </c>
    </row>
    <row r="6" spans="2:75" ht="16.2" thickBot="1">
      <c r="B6" s="1007" t="s">
        <v>977</v>
      </c>
      <c r="C6" s="1069"/>
      <c r="D6" s="1069"/>
      <c r="E6" s="1069"/>
      <c r="F6" s="1069"/>
      <c r="G6" s="1069"/>
      <c r="H6" s="1069"/>
      <c r="I6" s="1069"/>
      <c r="J6" s="1069"/>
      <c r="K6" s="1069"/>
      <c r="L6" s="1069"/>
      <c r="M6" s="1069"/>
      <c r="N6" s="1069"/>
      <c r="O6" s="1069"/>
      <c r="P6" s="1069"/>
      <c r="Q6" s="1069"/>
      <c r="R6" s="1069"/>
      <c r="S6" s="1069"/>
    </row>
    <row r="7" spans="2:75">
      <c r="B7" s="807"/>
      <c r="C7" s="1526" t="s">
        <v>342</v>
      </c>
      <c r="D7" s="1527"/>
      <c r="E7" s="1527"/>
      <c r="F7" s="1527"/>
      <c r="G7" s="1527"/>
      <c r="H7" s="1527"/>
      <c r="I7" s="1527"/>
      <c r="J7" s="1527"/>
      <c r="K7" s="1527"/>
      <c r="L7" s="1527"/>
      <c r="M7" s="1527"/>
      <c r="N7" s="1528"/>
      <c r="O7" s="1526" t="s">
        <v>346</v>
      </c>
      <c r="P7" s="1527"/>
      <c r="Q7" s="1527"/>
      <c r="R7" s="1527"/>
      <c r="S7" s="1527"/>
      <c r="T7" s="1527"/>
      <c r="U7" s="1527"/>
      <c r="V7" s="1527"/>
      <c r="W7" s="1527"/>
      <c r="X7" s="1527"/>
      <c r="Y7" s="1527"/>
      <c r="Z7" s="1528"/>
      <c r="AA7" s="1526" t="s">
        <v>349</v>
      </c>
      <c r="AB7" s="1527"/>
      <c r="AC7" s="1527"/>
      <c r="AD7" s="1527"/>
      <c r="AE7" s="1527"/>
      <c r="AF7" s="1527"/>
      <c r="AG7" s="1527"/>
      <c r="AH7" s="1527"/>
      <c r="AI7" s="1527"/>
      <c r="AJ7" s="1527"/>
      <c r="AK7" s="1527"/>
      <c r="AL7" s="1528"/>
      <c r="AM7" s="1529" t="s">
        <v>341</v>
      </c>
      <c r="AN7" s="1530"/>
      <c r="AO7" s="1530"/>
      <c r="AP7" s="1530"/>
      <c r="AQ7" s="1530"/>
      <c r="AR7" s="1530"/>
      <c r="AS7" s="1530"/>
      <c r="AT7" s="1530"/>
      <c r="AU7" s="1530"/>
      <c r="AV7" s="1530"/>
      <c r="AW7" s="1530"/>
      <c r="AX7" s="1531"/>
      <c r="AY7" s="1529" t="s">
        <v>351</v>
      </c>
      <c r="AZ7" s="1530"/>
      <c r="BA7" s="1530"/>
      <c r="BB7" s="1530"/>
      <c r="BC7" s="1530"/>
      <c r="BD7" s="1530"/>
      <c r="BE7" s="1530"/>
      <c r="BF7" s="1530"/>
      <c r="BG7" s="1530"/>
      <c r="BH7" s="1530"/>
      <c r="BI7" s="1530"/>
      <c r="BJ7" s="1531"/>
      <c r="BK7" s="1519" t="s">
        <v>352</v>
      </c>
      <c r="BL7" s="1520"/>
      <c r="BM7" s="1520"/>
      <c r="BN7" s="1520"/>
      <c r="BO7" s="1520"/>
      <c r="BP7" s="1520"/>
      <c r="BQ7" s="1520"/>
      <c r="BR7" s="1520"/>
      <c r="BS7" s="1520"/>
      <c r="BT7" s="1520"/>
      <c r="BU7" s="1520"/>
      <c r="BV7" s="1521"/>
      <c r="BW7" s="803"/>
    </row>
    <row r="8" spans="2:75">
      <c r="B8" s="820"/>
      <c r="C8" s="804" t="s">
        <v>363</v>
      </c>
      <c r="D8" s="805" t="s">
        <v>364</v>
      </c>
      <c r="E8" s="805" t="s">
        <v>365</v>
      </c>
      <c r="F8" s="805" t="s">
        <v>366</v>
      </c>
      <c r="G8" s="805" t="s">
        <v>367</v>
      </c>
      <c r="H8" s="805" t="s">
        <v>368</v>
      </c>
      <c r="I8" s="805" t="s">
        <v>369</v>
      </c>
      <c r="J8" s="805" t="s">
        <v>370</v>
      </c>
      <c r="K8" s="805" t="s">
        <v>371</v>
      </c>
      <c r="L8" s="805" t="s">
        <v>372</v>
      </c>
      <c r="M8" s="805" t="s">
        <v>353</v>
      </c>
      <c r="N8" s="806" t="s">
        <v>373</v>
      </c>
      <c r="O8" s="804" t="s">
        <v>363</v>
      </c>
      <c r="P8" s="805" t="s">
        <v>364</v>
      </c>
      <c r="Q8" s="805" t="s">
        <v>365</v>
      </c>
      <c r="R8" s="805" t="s">
        <v>366</v>
      </c>
      <c r="S8" s="805" t="s">
        <v>367</v>
      </c>
      <c r="T8" s="805" t="s">
        <v>368</v>
      </c>
      <c r="U8" s="805" t="s">
        <v>369</v>
      </c>
      <c r="V8" s="805" t="s">
        <v>370</v>
      </c>
      <c r="W8" s="805" t="s">
        <v>371</v>
      </c>
      <c r="X8" s="805" t="s">
        <v>372</v>
      </c>
      <c r="Y8" s="805" t="s">
        <v>353</v>
      </c>
      <c r="Z8" s="806" t="s">
        <v>373</v>
      </c>
      <c r="AA8" s="804" t="s">
        <v>363</v>
      </c>
      <c r="AB8" s="805" t="s">
        <v>364</v>
      </c>
      <c r="AC8" s="805" t="s">
        <v>365</v>
      </c>
      <c r="AD8" s="805" t="s">
        <v>366</v>
      </c>
      <c r="AE8" s="805" t="s">
        <v>367</v>
      </c>
      <c r="AF8" s="805" t="s">
        <v>368</v>
      </c>
      <c r="AG8" s="805" t="s">
        <v>369</v>
      </c>
      <c r="AH8" s="805" t="s">
        <v>370</v>
      </c>
      <c r="AI8" s="805" t="s">
        <v>371</v>
      </c>
      <c r="AJ8" s="805" t="s">
        <v>372</v>
      </c>
      <c r="AK8" s="805" t="s">
        <v>353</v>
      </c>
      <c r="AL8" s="806" t="s">
        <v>373</v>
      </c>
      <c r="AM8" s="1070" t="s">
        <v>363</v>
      </c>
      <c r="AN8" s="1071" t="s">
        <v>364</v>
      </c>
      <c r="AO8" s="1071" t="s">
        <v>365</v>
      </c>
      <c r="AP8" s="1071" t="s">
        <v>366</v>
      </c>
      <c r="AQ8" s="1071" t="s">
        <v>367</v>
      </c>
      <c r="AR8" s="1071" t="s">
        <v>368</v>
      </c>
      <c r="AS8" s="1071" t="s">
        <v>369</v>
      </c>
      <c r="AT8" s="1071" t="s">
        <v>370</v>
      </c>
      <c r="AU8" s="1071" t="s">
        <v>371</v>
      </c>
      <c r="AV8" s="1071" t="s">
        <v>372</v>
      </c>
      <c r="AW8" s="1071" t="s">
        <v>353</v>
      </c>
      <c r="AX8" s="1072" t="s">
        <v>373</v>
      </c>
      <c r="AY8" s="1070" t="s">
        <v>363</v>
      </c>
      <c r="AZ8" s="1071" t="s">
        <v>364</v>
      </c>
      <c r="BA8" s="1071" t="s">
        <v>365</v>
      </c>
      <c r="BB8" s="1071" t="s">
        <v>366</v>
      </c>
      <c r="BC8" s="1071" t="s">
        <v>367</v>
      </c>
      <c r="BD8" s="1071" t="s">
        <v>368</v>
      </c>
      <c r="BE8" s="1071" t="s">
        <v>369</v>
      </c>
      <c r="BF8" s="1071" t="s">
        <v>370</v>
      </c>
      <c r="BG8" s="1071" t="s">
        <v>371</v>
      </c>
      <c r="BH8" s="1071" t="s">
        <v>372</v>
      </c>
      <c r="BI8" s="1071" t="s">
        <v>353</v>
      </c>
      <c r="BJ8" s="1072" t="s">
        <v>373</v>
      </c>
      <c r="BK8" s="1057" t="s">
        <v>363</v>
      </c>
      <c r="BL8" s="1058" t="s">
        <v>364</v>
      </c>
      <c r="BM8" s="1058" t="s">
        <v>365</v>
      </c>
      <c r="BN8" s="1058" t="s">
        <v>366</v>
      </c>
      <c r="BO8" s="1058" t="s">
        <v>367</v>
      </c>
      <c r="BP8" s="1058" t="s">
        <v>368</v>
      </c>
      <c r="BQ8" s="1058" t="s">
        <v>369</v>
      </c>
      <c r="BR8" s="1058" t="s">
        <v>370</v>
      </c>
      <c r="BS8" s="1058" t="s">
        <v>371</v>
      </c>
      <c r="BT8" s="1058" t="s">
        <v>372</v>
      </c>
      <c r="BU8" s="1058" t="s">
        <v>353</v>
      </c>
      <c r="BV8" s="1059" t="s">
        <v>373</v>
      </c>
    </row>
    <row r="9" spans="2:75">
      <c r="B9" s="809" t="s">
        <v>374</v>
      </c>
      <c r="C9" s="1052">
        <f>'Statistics Norway - STOCK'!C7</f>
        <v>4586</v>
      </c>
      <c r="D9" s="801">
        <v>3777</v>
      </c>
      <c r="E9" s="801">
        <v>5649</v>
      </c>
      <c r="F9" s="801">
        <v>527</v>
      </c>
      <c r="G9" s="801">
        <v>9424</v>
      </c>
      <c r="H9" s="801">
        <v>9286</v>
      </c>
      <c r="I9" s="801">
        <v>11429</v>
      </c>
      <c r="J9" s="801">
        <v>10484</v>
      </c>
      <c r="K9" s="801">
        <v>4812</v>
      </c>
      <c r="L9" s="801">
        <v>4650</v>
      </c>
      <c r="M9" s="801">
        <v>0</v>
      </c>
      <c r="N9" s="802">
        <v>5356</v>
      </c>
      <c r="O9" s="800">
        <v>871</v>
      </c>
      <c r="P9" s="801">
        <v>853</v>
      </c>
      <c r="Q9" s="801">
        <v>1718</v>
      </c>
      <c r="R9" s="801">
        <v>124</v>
      </c>
      <c r="S9" s="801">
        <v>4583</v>
      </c>
      <c r="T9" s="801">
        <v>943</v>
      </c>
      <c r="U9" s="801">
        <v>743</v>
      </c>
      <c r="V9" s="801">
        <v>860</v>
      </c>
      <c r="W9" s="801">
        <v>702</v>
      </c>
      <c r="X9" s="801">
        <v>1476</v>
      </c>
      <c r="Y9" s="801">
        <v>0</v>
      </c>
      <c r="Z9" s="802">
        <v>1601</v>
      </c>
      <c r="AA9" s="800">
        <v>635</v>
      </c>
      <c r="AB9" s="801">
        <v>389</v>
      </c>
      <c r="AC9" s="801">
        <v>384</v>
      </c>
      <c r="AD9" s="801">
        <v>40</v>
      </c>
      <c r="AE9" s="801">
        <v>2080</v>
      </c>
      <c r="AF9" s="801">
        <v>2731</v>
      </c>
      <c r="AG9" s="801">
        <v>3942</v>
      </c>
      <c r="AH9" s="801">
        <v>2207</v>
      </c>
      <c r="AI9" s="801">
        <v>1244</v>
      </c>
      <c r="AJ9" s="801">
        <v>2608</v>
      </c>
      <c r="AK9" s="801">
        <v>0</v>
      </c>
      <c r="AL9" s="802">
        <v>1123</v>
      </c>
      <c r="AM9" s="1073">
        <v>553</v>
      </c>
      <c r="AN9" s="1074">
        <v>321</v>
      </c>
      <c r="AO9" s="1074">
        <v>257</v>
      </c>
      <c r="AP9" s="1074">
        <v>0</v>
      </c>
      <c r="AQ9" s="1074">
        <v>1430</v>
      </c>
      <c r="AR9" s="1074">
        <v>3773</v>
      </c>
      <c r="AS9" s="1074">
        <v>3804</v>
      </c>
      <c r="AT9" s="1074">
        <v>1808</v>
      </c>
      <c r="AU9" s="1074">
        <v>1702</v>
      </c>
      <c r="AV9" s="1074">
        <v>3912</v>
      </c>
      <c r="AW9" s="1074">
        <v>0</v>
      </c>
      <c r="AX9" s="1075">
        <v>669</v>
      </c>
      <c r="AY9" s="1073">
        <v>15</v>
      </c>
      <c r="AZ9" s="1074">
        <v>11</v>
      </c>
      <c r="BA9" s="1074">
        <v>10</v>
      </c>
      <c r="BB9" s="1074">
        <v>0</v>
      </c>
      <c r="BC9" s="1074">
        <v>32</v>
      </c>
      <c r="BD9" s="1074">
        <v>14</v>
      </c>
      <c r="BE9" s="1074">
        <v>161</v>
      </c>
      <c r="BF9" s="1074">
        <v>119</v>
      </c>
      <c r="BG9" s="1074">
        <v>438</v>
      </c>
      <c r="BH9" s="1074">
        <v>241</v>
      </c>
      <c r="BI9" s="1074">
        <v>0</v>
      </c>
      <c r="BJ9" s="1075">
        <v>186</v>
      </c>
      <c r="BK9" s="1060">
        <v>412</v>
      </c>
      <c r="BL9" s="1061">
        <v>323</v>
      </c>
      <c r="BM9" s="1061">
        <v>317</v>
      </c>
      <c r="BN9" s="1061">
        <v>19</v>
      </c>
      <c r="BO9" s="1061">
        <v>333</v>
      </c>
      <c r="BP9" s="1061">
        <v>202</v>
      </c>
      <c r="BQ9" s="1061">
        <v>96</v>
      </c>
      <c r="BR9" s="1061">
        <v>585</v>
      </c>
      <c r="BS9" s="1061">
        <v>510</v>
      </c>
      <c r="BT9" s="1061">
        <v>642</v>
      </c>
      <c r="BU9" s="1061">
        <v>0</v>
      </c>
      <c r="BV9" s="1062">
        <v>849</v>
      </c>
    </row>
    <row r="10" spans="2:75">
      <c r="B10" s="809" t="s">
        <v>375</v>
      </c>
      <c r="C10" s="800">
        <v>3736</v>
      </c>
      <c r="D10" s="801">
        <v>3447</v>
      </c>
      <c r="E10" s="801">
        <v>6242</v>
      </c>
      <c r="F10" s="801">
        <v>701</v>
      </c>
      <c r="G10" s="801">
        <v>12391</v>
      </c>
      <c r="H10" s="801">
        <v>15703</v>
      </c>
      <c r="I10" s="801">
        <v>16122</v>
      </c>
      <c r="J10" s="801">
        <v>21199</v>
      </c>
      <c r="K10" s="801">
        <v>12808</v>
      </c>
      <c r="L10" s="801">
        <v>10390</v>
      </c>
      <c r="M10" s="801">
        <v>0</v>
      </c>
      <c r="N10" s="802">
        <v>8448</v>
      </c>
      <c r="O10" s="800">
        <v>383</v>
      </c>
      <c r="P10" s="801">
        <v>559</v>
      </c>
      <c r="Q10" s="801">
        <v>1481</v>
      </c>
      <c r="R10" s="801">
        <v>100</v>
      </c>
      <c r="S10" s="801">
        <v>6289</v>
      </c>
      <c r="T10" s="801">
        <v>3045</v>
      </c>
      <c r="U10" s="801">
        <v>2223</v>
      </c>
      <c r="V10" s="801">
        <v>3721</v>
      </c>
      <c r="W10" s="801">
        <v>2150</v>
      </c>
      <c r="X10" s="801">
        <v>2963</v>
      </c>
      <c r="Y10" s="801">
        <v>0</v>
      </c>
      <c r="Z10" s="802">
        <v>1614</v>
      </c>
      <c r="AA10" s="800">
        <v>146</v>
      </c>
      <c r="AB10" s="801">
        <v>137</v>
      </c>
      <c r="AC10" s="801">
        <v>201</v>
      </c>
      <c r="AD10" s="801">
        <v>46</v>
      </c>
      <c r="AE10" s="801">
        <v>4207</v>
      </c>
      <c r="AF10" s="801">
        <v>5875</v>
      </c>
      <c r="AG10" s="801">
        <v>8929</v>
      </c>
      <c r="AH10" s="801">
        <v>7932</v>
      </c>
      <c r="AI10" s="801">
        <v>4920</v>
      </c>
      <c r="AJ10" s="801">
        <v>4148</v>
      </c>
      <c r="AK10" s="801">
        <v>0</v>
      </c>
      <c r="AL10" s="802">
        <v>1090</v>
      </c>
      <c r="AM10" s="1073">
        <v>50</v>
      </c>
      <c r="AN10" s="1074">
        <v>36</v>
      </c>
      <c r="AO10" s="1074">
        <v>66</v>
      </c>
      <c r="AP10" s="1074">
        <v>32</v>
      </c>
      <c r="AQ10" s="1074">
        <v>3773</v>
      </c>
      <c r="AR10" s="1074">
        <v>10665</v>
      </c>
      <c r="AS10" s="1074">
        <v>7221</v>
      </c>
      <c r="AT10" s="1074">
        <v>3876</v>
      </c>
      <c r="AU10" s="1074">
        <v>4558</v>
      </c>
      <c r="AV10" s="1074">
        <v>13985</v>
      </c>
      <c r="AW10" s="1074">
        <v>0</v>
      </c>
      <c r="AX10" s="1075">
        <v>302</v>
      </c>
      <c r="AY10" s="1073">
        <v>10</v>
      </c>
      <c r="AZ10" s="1074">
        <v>13</v>
      </c>
      <c r="BA10" s="1074">
        <v>4</v>
      </c>
      <c r="BB10" s="1074">
        <v>0</v>
      </c>
      <c r="BC10" s="1074">
        <v>92</v>
      </c>
      <c r="BD10" s="1074">
        <v>179</v>
      </c>
      <c r="BE10" s="1074">
        <v>119</v>
      </c>
      <c r="BF10" s="1074">
        <v>199</v>
      </c>
      <c r="BG10" s="1074">
        <v>460</v>
      </c>
      <c r="BH10" s="1074">
        <v>699</v>
      </c>
      <c r="BI10" s="1074">
        <v>0</v>
      </c>
      <c r="BJ10" s="1075">
        <v>185</v>
      </c>
      <c r="BK10" s="1060">
        <v>168</v>
      </c>
      <c r="BL10" s="1061">
        <v>111</v>
      </c>
      <c r="BM10" s="1061">
        <v>275</v>
      </c>
      <c r="BN10" s="1061">
        <v>15</v>
      </c>
      <c r="BO10" s="1061">
        <v>472</v>
      </c>
      <c r="BP10" s="1061">
        <v>474</v>
      </c>
      <c r="BQ10" s="1061">
        <v>463</v>
      </c>
      <c r="BR10" s="1061">
        <v>1171</v>
      </c>
      <c r="BS10" s="1061">
        <v>991</v>
      </c>
      <c r="BT10" s="1061">
        <v>1284</v>
      </c>
      <c r="BU10" s="1061">
        <v>0</v>
      </c>
      <c r="BV10" s="1062">
        <v>1003</v>
      </c>
    </row>
    <row r="11" spans="2:75">
      <c r="B11" s="809" t="s">
        <v>376</v>
      </c>
      <c r="C11" s="800">
        <v>900</v>
      </c>
      <c r="D11" s="801">
        <v>1957</v>
      </c>
      <c r="E11" s="801">
        <v>4207</v>
      </c>
      <c r="F11" s="801">
        <v>176</v>
      </c>
      <c r="G11" s="801">
        <v>2910</v>
      </c>
      <c r="H11" s="801">
        <v>2529</v>
      </c>
      <c r="I11" s="801">
        <v>3477</v>
      </c>
      <c r="J11" s="801">
        <v>4942</v>
      </c>
      <c r="K11" s="801">
        <v>2866</v>
      </c>
      <c r="L11" s="801">
        <v>1433</v>
      </c>
      <c r="M11" s="801">
        <v>0</v>
      </c>
      <c r="N11" s="802">
        <v>386</v>
      </c>
      <c r="O11" s="800">
        <v>627</v>
      </c>
      <c r="P11" s="801">
        <v>1174</v>
      </c>
      <c r="Q11" s="801">
        <v>4034</v>
      </c>
      <c r="R11" s="801">
        <v>247</v>
      </c>
      <c r="S11" s="801">
        <v>5192</v>
      </c>
      <c r="T11" s="801">
        <v>1685</v>
      </c>
      <c r="U11" s="801">
        <v>1873</v>
      </c>
      <c r="V11" s="801">
        <v>1903</v>
      </c>
      <c r="W11" s="801">
        <v>995</v>
      </c>
      <c r="X11" s="801">
        <v>1107</v>
      </c>
      <c r="Y11" s="801">
        <v>0</v>
      </c>
      <c r="Z11" s="802">
        <v>241</v>
      </c>
      <c r="AA11" s="800">
        <v>1401</v>
      </c>
      <c r="AB11" s="801">
        <v>1015</v>
      </c>
      <c r="AC11" s="801">
        <v>2182</v>
      </c>
      <c r="AD11" s="801">
        <v>85</v>
      </c>
      <c r="AE11" s="801">
        <v>4485</v>
      </c>
      <c r="AF11" s="801">
        <v>3536</v>
      </c>
      <c r="AG11" s="801">
        <v>4375</v>
      </c>
      <c r="AH11" s="801">
        <v>7695</v>
      </c>
      <c r="AI11" s="801">
        <v>2837</v>
      </c>
      <c r="AJ11" s="801">
        <v>1810</v>
      </c>
      <c r="AK11" s="801">
        <v>0</v>
      </c>
      <c r="AL11" s="802">
        <v>338</v>
      </c>
      <c r="AM11" s="1073">
        <v>28427</v>
      </c>
      <c r="AN11" s="1074">
        <v>9260</v>
      </c>
      <c r="AO11" s="1074">
        <v>36638</v>
      </c>
      <c r="AP11" s="1074">
        <v>1453</v>
      </c>
      <c r="AQ11" s="1074">
        <v>36138</v>
      </c>
      <c r="AR11" s="1074">
        <v>23428</v>
      </c>
      <c r="AS11" s="1074">
        <v>27528</v>
      </c>
      <c r="AT11" s="1074">
        <v>20582</v>
      </c>
      <c r="AU11" s="1074">
        <v>18039</v>
      </c>
      <c r="AV11" s="1074">
        <v>22376</v>
      </c>
      <c r="AW11" s="1074">
        <v>0</v>
      </c>
      <c r="AX11" s="1075">
        <v>649</v>
      </c>
      <c r="AY11" s="1073">
        <v>219</v>
      </c>
      <c r="AZ11" s="1074">
        <v>42</v>
      </c>
      <c r="BA11" s="1074">
        <v>33</v>
      </c>
      <c r="BB11" s="1074">
        <v>0</v>
      </c>
      <c r="BC11" s="1074">
        <v>400</v>
      </c>
      <c r="BD11" s="1074">
        <v>448</v>
      </c>
      <c r="BE11" s="1074">
        <v>504</v>
      </c>
      <c r="BF11" s="1074">
        <v>323</v>
      </c>
      <c r="BG11" s="1074">
        <v>463</v>
      </c>
      <c r="BH11" s="1074">
        <v>1783</v>
      </c>
      <c r="BI11" s="1074">
        <v>0</v>
      </c>
      <c r="BJ11" s="1075">
        <v>18</v>
      </c>
      <c r="BK11" s="1060">
        <v>450</v>
      </c>
      <c r="BL11" s="1061">
        <v>145</v>
      </c>
      <c r="BM11" s="1061">
        <v>372</v>
      </c>
      <c r="BN11" s="1061">
        <v>7</v>
      </c>
      <c r="BO11" s="1061">
        <v>574</v>
      </c>
      <c r="BP11" s="1061">
        <v>506</v>
      </c>
      <c r="BQ11" s="1061">
        <v>535</v>
      </c>
      <c r="BR11" s="1061">
        <v>544</v>
      </c>
      <c r="BS11" s="1061">
        <v>778</v>
      </c>
      <c r="BT11" s="1061">
        <v>146</v>
      </c>
      <c r="BU11" s="1061">
        <v>0</v>
      </c>
      <c r="BV11" s="1062">
        <v>109</v>
      </c>
    </row>
    <row r="12" spans="2:75">
      <c r="B12" s="809" t="s">
        <v>377</v>
      </c>
      <c r="C12" s="800">
        <v>3377</v>
      </c>
      <c r="D12" s="801">
        <v>2775</v>
      </c>
      <c r="E12" s="801">
        <v>4025</v>
      </c>
      <c r="F12" s="801">
        <v>645</v>
      </c>
      <c r="G12" s="801">
        <v>10308</v>
      </c>
      <c r="H12" s="801">
        <v>8164</v>
      </c>
      <c r="I12" s="801">
        <v>14520</v>
      </c>
      <c r="J12" s="801">
        <v>8626</v>
      </c>
      <c r="K12" s="801">
        <v>3835</v>
      </c>
      <c r="L12" s="801">
        <v>3132</v>
      </c>
      <c r="M12" s="801">
        <v>0</v>
      </c>
      <c r="N12" s="802">
        <v>10450</v>
      </c>
      <c r="O12" s="800">
        <v>152</v>
      </c>
      <c r="P12" s="801">
        <v>228</v>
      </c>
      <c r="Q12" s="801">
        <v>241</v>
      </c>
      <c r="R12" s="801">
        <v>30</v>
      </c>
      <c r="S12" s="801">
        <v>872</v>
      </c>
      <c r="T12" s="801">
        <v>276</v>
      </c>
      <c r="U12" s="801">
        <v>727</v>
      </c>
      <c r="V12" s="801">
        <v>807</v>
      </c>
      <c r="W12" s="801">
        <v>993</v>
      </c>
      <c r="X12" s="801">
        <v>1013</v>
      </c>
      <c r="Y12" s="801">
        <v>0</v>
      </c>
      <c r="Z12" s="802">
        <v>758</v>
      </c>
      <c r="AA12" s="800">
        <v>295</v>
      </c>
      <c r="AB12" s="801">
        <v>146</v>
      </c>
      <c r="AC12" s="801">
        <v>93</v>
      </c>
      <c r="AD12" s="801">
        <v>12</v>
      </c>
      <c r="AE12" s="801">
        <v>668</v>
      </c>
      <c r="AF12" s="801">
        <v>535</v>
      </c>
      <c r="AG12" s="801">
        <v>1668</v>
      </c>
      <c r="AH12" s="801">
        <v>770</v>
      </c>
      <c r="AI12" s="801">
        <v>1250</v>
      </c>
      <c r="AJ12" s="801">
        <v>1296</v>
      </c>
      <c r="AK12" s="801">
        <v>0</v>
      </c>
      <c r="AL12" s="802">
        <v>671</v>
      </c>
      <c r="AM12" s="1073">
        <v>130</v>
      </c>
      <c r="AN12" s="1074">
        <v>233</v>
      </c>
      <c r="AO12" s="1074">
        <v>88</v>
      </c>
      <c r="AP12" s="1074">
        <v>18</v>
      </c>
      <c r="AQ12" s="1074">
        <v>732</v>
      </c>
      <c r="AR12" s="1074">
        <v>1640</v>
      </c>
      <c r="AS12" s="1074">
        <v>2372</v>
      </c>
      <c r="AT12" s="1074">
        <v>473</v>
      </c>
      <c r="AU12" s="1074">
        <v>690</v>
      </c>
      <c r="AV12" s="1074">
        <v>1922</v>
      </c>
      <c r="AW12" s="1074">
        <v>0</v>
      </c>
      <c r="AX12" s="1075">
        <v>235</v>
      </c>
      <c r="AY12" s="1073">
        <v>9</v>
      </c>
      <c r="AZ12" s="1074">
        <v>31</v>
      </c>
      <c r="BA12" s="1074">
        <v>7</v>
      </c>
      <c r="BB12" s="1074">
        <v>0</v>
      </c>
      <c r="BC12" s="1074">
        <v>9</v>
      </c>
      <c r="BD12" s="1074">
        <v>22</v>
      </c>
      <c r="BE12" s="1074">
        <v>38</v>
      </c>
      <c r="BF12" s="1074">
        <v>222</v>
      </c>
      <c r="BG12" s="1074">
        <v>367</v>
      </c>
      <c r="BH12" s="1074">
        <v>431</v>
      </c>
      <c r="BI12" s="1074">
        <v>0</v>
      </c>
      <c r="BJ12" s="1075">
        <v>269</v>
      </c>
      <c r="BK12" s="1060">
        <v>248</v>
      </c>
      <c r="BL12" s="1061">
        <v>101</v>
      </c>
      <c r="BM12" s="1061">
        <v>153</v>
      </c>
      <c r="BN12" s="1061">
        <v>7</v>
      </c>
      <c r="BO12" s="1061">
        <v>426</v>
      </c>
      <c r="BP12" s="1061">
        <v>152</v>
      </c>
      <c r="BQ12" s="1061">
        <v>113</v>
      </c>
      <c r="BR12" s="1061">
        <v>306</v>
      </c>
      <c r="BS12" s="1061">
        <v>553</v>
      </c>
      <c r="BT12" s="1061">
        <v>452</v>
      </c>
      <c r="BU12" s="1061">
        <v>0</v>
      </c>
      <c r="BV12" s="1062">
        <v>953</v>
      </c>
    </row>
    <row r="13" spans="2:75">
      <c r="B13" s="809" t="s">
        <v>378</v>
      </c>
      <c r="C13" s="800">
        <v>3249</v>
      </c>
      <c r="D13" s="801">
        <v>2234</v>
      </c>
      <c r="E13" s="801">
        <v>4097</v>
      </c>
      <c r="F13" s="801">
        <v>742</v>
      </c>
      <c r="G13" s="801">
        <v>9726</v>
      </c>
      <c r="H13" s="801">
        <v>7932</v>
      </c>
      <c r="I13" s="801">
        <v>11298</v>
      </c>
      <c r="J13" s="801">
        <v>9426</v>
      </c>
      <c r="K13" s="801">
        <v>4295</v>
      </c>
      <c r="L13" s="801">
        <v>3036</v>
      </c>
      <c r="M13" s="801">
        <v>0</v>
      </c>
      <c r="N13" s="802">
        <v>12220</v>
      </c>
      <c r="O13" s="800">
        <v>227</v>
      </c>
      <c r="P13" s="801">
        <v>264</v>
      </c>
      <c r="Q13" s="801">
        <v>520</v>
      </c>
      <c r="R13" s="801">
        <v>50</v>
      </c>
      <c r="S13" s="801">
        <v>1374</v>
      </c>
      <c r="T13" s="801">
        <v>408</v>
      </c>
      <c r="U13" s="801">
        <v>733</v>
      </c>
      <c r="V13" s="801">
        <v>1112</v>
      </c>
      <c r="W13" s="801">
        <v>987</v>
      </c>
      <c r="X13" s="801">
        <v>1040</v>
      </c>
      <c r="Y13" s="801">
        <v>0</v>
      </c>
      <c r="Z13" s="802">
        <v>1761</v>
      </c>
      <c r="AA13" s="800">
        <v>78</v>
      </c>
      <c r="AB13" s="801">
        <v>118</v>
      </c>
      <c r="AC13" s="801">
        <v>144</v>
      </c>
      <c r="AD13" s="801">
        <v>14</v>
      </c>
      <c r="AE13" s="801">
        <v>446</v>
      </c>
      <c r="AF13" s="801">
        <v>722</v>
      </c>
      <c r="AG13" s="801">
        <v>1001</v>
      </c>
      <c r="AH13" s="801">
        <v>728</v>
      </c>
      <c r="AI13" s="801">
        <v>1158</v>
      </c>
      <c r="AJ13" s="801">
        <v>1307</v>
      </c>
      <c r="AK13" s="801">
        <v>0</v>
      </c>
      <c r="AL13" s="802">
        <v>597</v>
      </c>
      <c r="AM13" s="1073">
        <v>55</v>
      </c>
      <c r="AN13" s="1074">
        <v>137</v>
      </c>
      <c r="AO13" s="1074">
        <v>65</v>
      </c>
      <c r="AP13" s="1074">
        <v>39</v>
      </c>
      <c r="AQ13" s="1074">
        <v>536</v>
      </c>
      <c r="AR13" s="1074">
        <v>779</v>
      </c>
      <c r="AS13" s="1074">
        <v>1164</v>
      </c>
      <c r="AT13" s="1074">
        <v>540</v>
      </c>
      <c r="AU13" s="1074">
        <v>529</v>
      </c>
      <c r="AV13" s="1074">
        <v>1545</v>
      </c>
      <c r="AW13" s="1074">
        <v>0</v>
      </c>
      <c r="AX13" s="1075">
        <v>494</v>
      </c>
      <c r="AY13" s="1073">
        <v>0</v>
      </c>
      <c r="AZ13" s="1074">
        <v>0</v>
      </c>
      <c r="BA13" s="1074">
        <v>10</v>
      </c>
      <c r="BB13" s="1074">
        <v>7</v>
      </c>
      <c r="BC13" s="1074">
        <v>36</v>
      </c>
      <c r="BD13" s="1074">
        <v>137</v>
      </c>
      <c r="BE13" s="1074">
        <v>268</v>
      </c>
      <c r="BF13" s="1074">
        <v>190</v>
      </c>
      <c r="BG13" s="1074">
        <v>940</v>
      </c>
      <c r="BH13" s="1074">
        <v>411</v>
      </c>
      <c r="BI13" s="1074">
        <v>0</v>
      </c>
      <c r="BJ13" s="1075">
        <v>85</v>
      </c>
      <c r="BK13" s="1060">
        <v>79</v>
      </c>
      <c r="BL13" s="1061">
        <v>93</v>
      </c>
      <c r="BM13" s="1061">
        <v>119</v>
      </c>
      <c r="BN13" s="1061">
        <v>12</v>
      </c>
      <c r="BO13" s="1061">
        <v>254</v>
      </c>
      <c r="BP13" s="1061">
        <v>138</v>
      </c>
      <c r="BQ13" s="1061">
        <v>77</v>
      </c>
      <c r="BR13" s="1061">
        <v>221</v>
      </c>
      <c r="BS13" s="1061">
        <v>381</v>
      </c>
      <c r="BT13" s="1061">
        <v>256</v>
      </c>
      <c r="BU13" s="1061">
        <v>0</v>
      </c>
      <c r="BV13" s="1062">
        <v>808</v>
      </c>
    </row>
    <row r="14" spans="2:75">
      <c r="B14" s="809" t="s">
        <v>379</v>
      </c>
      <c r="C14" s="800">
        <v>3725</v>
      </c>
      <c r="D14" s="801">
        <v>3216</v>
      </c>
      <c r="E14" s="801">
        <v>4706</v>
      </c>
      <c r="F14" s="801">
        <v>541</v>
      </c>
      <c r="G14" s="801">
        <v>9332</v>
      </c>
      <c r="H14" s="801">
        <v>8219</v>
      </c>
      <c r="I14" s="801">
        <v>10811</v>
      </c>
      <c r="J14" s="801">
        <v>11215</v>
      </c>
      <c r="K14" s="801">
        <v>5702</v>
      </c>
      <c r="L14" s="801">
        <v>4744</v>
      </c>
      <c r="M14" s="801">
        <v>0</v>
      </c>
      <c r="N14" s="802">
        <v>9222</v>
      </c>
      <c r="O14" s="800">
        <v>708</v>
      </c>
      <c r="P14" s="801">
        <v>735</v>
      </c>
      <c r="Q14" s="801">
        <v>1300</v>
      </c>
      <c r="R14" s="801">
        <v>53</v>
      </c>
      <c r="S14" s="801">
        <v>2475</v>
      </c>
      <c r="T14" s="801">
        <v>725</v>
      </c>
      <c r="U14" s="801">
        <v>1346</v>
      </c>
      <c r="V14" s="801">
        <v>1643</v>
      </c>
      <c r="W14" s="801">
        <v>1043</v>
      </c>
      <c r="X14" s="801">
        <v>1376</v>
      </c>
      <c r="Y14" s="801">
        <v>0</v>
      </c>
      <c r="Z14" s="802">
        <v>1391</v>
      </c>
      <c r="AA14" s="800">
        <v>434</v>
      </c>
      <c r="AB14" s="801">
        <v>383</v>
      </c>
      <c r="AC14" s="801">
        <v>442</v>
      </c>
      <c r="AD14" s="801">
        <v>30</v>
      </c>
      <c r="AE14" s="801">
        <v>1335</v>
      </c>
      <c r="AF14" s="801">
        <v>748</v>
      </c>
      <c r="AG14" s="801">
        <v>2620</v>
      </c>
      <c r="AH14" s="801">
        <v>2377</v>
      </c>
      <c r="AI14" s="801">
        <v>1787</v>
      </c>
      <c r="AJ14" s="801">
        <v>2075</v>
      </c>
      <c r="AK14" s="801">
        <v>0</v>
      </c>
      <c r="AL14" s="802">
        <v>742</v>
      </c>
      <c r="AM14" s="1073">
        <v>457</v>
      </c>
      <c r="AN14" s="1074">
        <v>257</v>
      </c>
      <c r="AO14" s="1074">
        <v>338</v>
      </c>
      <c r="AP14" s="1074">
        <v>0</v>
      </c>
      <c r="AQ14" s="1074">
        <v>1609</v>
      </c>
      <c r="AR14" s="1074">
        <v>3131</v>
      </c>
      <c r="AS14" s="1074">
        <v>5194</v>
      </c>
      <c r="AT14" s="1074">
        <v>1138</v>
      </c>
      <c r="AU14" s="1074">
        <v>1821</v>
      </c>
      <c r="AV14" s="1074">
        <v>4425</v>
      </c>
      <c r="AW14" s="1074">
        <v>0</v>
      </c>
      <c r="AX14" s="1075">
        <v>194</v>
      </c>
      <c r="AY14" s="1073">
        <v>8</v>
      </c>
      <c r="AZ14" s="1074">
        <v>30</v>
      </c>
      <c r="BA14" s="1074">
        <v>0</v>
      </c>
      <c r="BB14" s="1074">
        <v>0</v>
      </c>
      <c r="BC14" s="1074">
        <v>44</v>
      </c>
      <c r="BD14" s="1074">
        <v>87</v>
      </c>
      <c r="BE14" s="1074">
        <v>315</v>
      </c>
      <c r="BF14" s="1074">
        <v>198</v>
      </c>
      <c r="BG14" s="1074">
        <v>429</v>
      </c>
      <c r="BH14" s="1074">
        <v>695</v>
      </c>
      <c r="BI14" s="1074">
        <v>0</v>
      </c>
      <c r="BJ14" s="1075">
        <v>120</v>
      </c>
      <c r="BK14" s="1060">
        <v>240</v>
      </c>
      <c r="BL14" s="1061">
        <v>144</v>
      </c>
      <c r="BM14" s="1061">
        <v>151</v>
      </c>
      <c r="BN14" s="1061">
        <v>8</v>
      </c>
      <c r="BO14" s="1061">
        <v>241</v>
      </c>
      <c r="BP14" s="1061">
        <v>162</v>
      </c>
      <c r="BQ14" s="1061">
        <v>144</v>
      </c>
      <c r="BR14" s="1061">
        <v>430</v>
      </c>
      <c r="BS14" s="1061">
        <v>622</v>
      </c>
      <c r="BT14" s="1061">
        <v>612</v>
      </c>
      <c r="BU14" s="1061">
        <v>0</v>
      </c>
      <c r="BV14" s="1062">
        <v>766</v>
      </c>
    </row>
    <row r="15" spans="2:75">
      <c r="B15" s="809" t="s">
        <v>380</v>
      </c>
      <c r="C15" s="800">
        <v>4455</v>
      </c>
      <c r="D15" s="801">
        <v>2914</v>
      </c>
      <c r="E15" s="801">
        <v>4477</v>
      </c>
      <c r="F15" s="801">
        <v>304</v>
      </c>
      <c r="G15" s="801">
        <v>7784</v>
      </c>
      <c r="H15" s="801">
        <v>8958</v>
      </c>
      <c r="I15" s="801">
        <v>8598</v>
      </c>
      <c r="J15" s="801">
        <v>8475</v>
      </c>
      <c r="K15" s="801">
        <v>4765</v>
      </c>
      <c r="L15" s="801">
        <v>4067</v>
      </c>
      <c r="M15" s="801">
        <v>0</v>
      </c>
      <c r="N15" s="802">
        <v>5653</v>
      </c>
      <c r="O15" s="800">
        <v>462</v>
      </c>
      <c r="P15" s="801">
        <v>716</v>
      </c>
      <c r="Q15" s="801">
        <v>1027</v>
      </c>
      <c r="R15" s="801">
        <v>21</v>
      </c>
      <c r="S15" s="801">
        <v>2091</v>
      </c>
      <c r="T15" s="801">
        <v>478</v>
      </c>
      <c r="U15" s="801">
        <v>629</v>
      </c>
      <c r="V15" s="801">
        <v>921</v>
      </c>
      <c r="W15" s="801">
        <v>1245</v>
      </c>
      <c r="X15" s="801">
        <v>1256</v>
      </c>
      <c r="Y15" s="801">
        <v>0</v>
      </c>
      <c r="Z15" s="802">
        <v>1795</v>
      </c>
      <c r="AA15" s="800">
        <v>298</v>
      </c>
      <c r="AB15" s="801">
        <v>376</v>
      </c>
      <c r="AC15" s="801">
        <v>374</v>
      </c>
      <c r="AD15" s="801">
        <v>22</v>
      </c>
      <c r="AE15" s="801">
        <v>1932</v>
      </c>
      <c r="AF15" s="801">
        <v>1450</v>
      </c>
      <c r="AG15" s="801">
        <v>2512</v>
      </c>
      <c r="AH15" s="801">
        <v>2838</v>
      </c>
      <c r="AI15" s="801">
        <v>1913</v>
      </c>
      <c r="AJ15" s="801">
        <v>1882</v>
      </c>
      <c r="AK15" s="801">
        <v>0</v>
      </c>
      <c r="AL15" s="802">
        <v>1315</v>
      </c>
      <c r="AM15" s="1073">
        <v>252</v>
      </c>
      <c r="AN15" s="1074">
        <v>176</v>
      </c>
      <c r="AO15" s="1074">
        <v>122</v>
      </c>
      <c r="AP15" s="1074">
        <v>0</v>
      </c>
      <c r="AQ15" s="1074">
        <v>767</v>
      </c>
      <c r="AR15" s="1074">
        <v>1656</v>
      </c>
      <c r="AS15" s="1074">
        <v>3163</v>
      </c>
      <c r="AT15" s="1074">
        <v>1529</v>
      </c>
      <c r="AU15" s="1074">
        <v>1332</v>
      </c>
      <c r="AV15" s="1074">
        <v>3560</v>
      </c>
      <c r="AW15" s="1074">
        <v>0</v>
      </c>
      <c r="AX15" s="1075">
        <v>695</v>
      </c>
      <c r="AY15" s="1073">
        <v>0</v>
      </c>
      <c r="AZ15" s="1074">
        <v>7</v>
      </c>
      <c r="BA15" s="1074">
        <v>0</v>
      </c>
      <c r="BB15" s="1074">
        <v>0</v>
      </c>
      <c r="BC15" s="1074">
        <v>40</v>
      </c>
      <c r="BD15" s="1074">
        <v>82</v>
      </c>
      <c r="BE15" s="1074">
        <v>86</v>
      </c>
      <c r="BF15" s="1074">
        <v>198</v>
      </c>
      <c r="BG15" s="1074">
        <v>587</v>
      </c>
      <c r="BH15" s="1074">
        <v>799</v>
      </c>
      <c r="BI15" s="1074">
        <v>0</v>
      </c>
      <c r="BJ15" s="1075">
        <v>272</v>
      </c>
      <c r="BK15" s="1060">
        <v>319</v>
      </c>
      <c r="BL15" s="1061">
        <v>268</v>
      </c>
      <c r="BM15" s="1061">
        <v>205</v>
      </c>
      <c r="BN15" s="1061">
        <v>8</v>
      </c>
      <c r="BO15" s="1061">
        <v>218</v>
      </c>
      <c r="BP15" s="1061">
        <v>204</v>
      </c>
      <c r="BQ15" s="1061">
        <v>200</v>
      </c>
      <c r="BR15" s="1061">
        <v>492</v>
      </c>
      <c r="BS15" s="1061">
        <v>298</v>
      </c>
      <c r="BT15" s="1061">
        <v>531</v>
      </c>
      <c r="BU15" s="1061">
        <v>0</v>
      </c>
      <c r="BV15" s="1062">
        <v>1095</v>
      </c>
    </row>
    <row r="16" spans="2:75">
      <c r="B16" s="809" t="s">
        <v>381</v>
      </c>
      <c r="C16" s="800">
        <v>4238</v>
      </c>
      <c r="D16" s="801">
        <v>3007</v>
      </c>
      <c r="E16" s="801">
        <v>3674</v>
      </c>
      <c r="F16" s="801">
        <v>406</v>
      </c>
      <c r="G16" s="801">
        <v>7876</v>
      </c>
      <c r="H16" s="801">
        <v>6661</v>
      </c>
      <c r="I16" s="801">
        <v>7843</v>
      </c>
      <c r="J16" s="801">
        <v>7316</v>
      </c>
      <c r="K16" s="801">
        <v>3259</v>
      </c>
      <c r="L16" s="801">
        <v>2656</v>
      </c>
      <c r="M16" s="801">
        <v>0</v>
      </c>
      <c r="N16" s="802">
        <v>8158</v>
      </c>
      <c r="O16" s="800">
        <v>328</v>
      </c>
      <c r="P16" s="801">
        <v>453</v>
      </c>
      <c r="Q16" s="801">
        <v>364</v>
      </c>
      <c r="R16" s="801">
        <v>42</v>
      </c>
      <c r="S16" s="801">
        <v>1145</v>
      </c>
      <c r="T16" s="801">
        <v>323</v>
      </c>
      <c r="U16" s="801">
        <v>396</v>
      </c>
      <c r="V16" s="801">
        <v>737</v>
      </c>
      <c r="W16" s="801">
        <v>641</v>
      </c>
      <c r="X16" s="801">
        <v>679</v>
      </c>
      <c r="Y16" s="801">
        <v>0</v>
      </c>
      <c r="Z16" s="802">
        <v>973</v>
      </c>
      <c r="AA16" s="800">
        <v>140</v>
      </c>
      <c r="AB16" s="801">
        <v>275</v>
      </c>
      <c r="AC16" s="801">
        <v>65</v>
      </c>
      <c r="AD16" s="801">
        <v>7</v>
      </c>
      <c r="AE16" s="801">
        <v>1230</v>
      </c>
      <c r="AF16" s="801">
        <v>1116</v>
      </c>
      <c r="AG16" s="801">
        <v>1891</v>
      </c>
      <c r="AH16" s="801">
        <v>964</v>
      </c>
      <c r="AI16" s="801">
        <v>863</v>
      </c>
      <c r="AJ16" s="801">
        <v>1155</v>
      </c>
      <c r="AK16" s="801">
        <v>0</v>
      </c>
      <c r="AL16" s="802">
        <v>508</v>
      </c>
      <c r="AM16" s="1073">
        <v>107</v>
      </c>
      <c r="AN16" s="1074">
        <v>201</v>
      </c>
      <c r="AO16" s="1074">
        <v>50</v>
      </c>
      <c r="AP16" s="1074">
        <v>0</v>
      </c>
      <c r="AQ16" s="1074">
        <v>1323</v>
      </c>
      <c r="AR16" s="1074">
        <v>2080</v>
      </c>
      <c r="AS16" s="1074">
        <v>2178</v>
      </c>
      <c r="AT16" s="1074">
        <v>461</v>
      </c>
      <c r="AU16" s="1074">
        <v>857</v>
      </c>
      <c r="AV16" s="1074">
        <v>1333</v>
      </c>
      <c r="AW16" s="1074">
        <v>0</v>
      </c>
      <c r="AX16" s="1075">
        <v>610</v>
      </c>
      <c r="AY16" s="1073">
        <v>24</v>
      </c>
      <c r="AZ16" s="1074">
        <v>22</v>
      </c>
      <c r="BA16" s="1074">
        <v>15</v>
      </c>
      <c r="BB16" s="1074">
        <v>0</v>
      </c>
      <c r="BC16" s="1074">
        <v>81</v>
      </c>
      <c r="BD16" s="1074">
        <v>61</v>
      </c>
      <c r="BE16" s="1074">
        <v>40</v>
      </c>
      <c r="BF16" s="1074">
        <v>364</v>
      </c>
      <c r="BG16" s="1074">
        <v>661</v>
      </c>
      <c r="BH16" s="1074">
        <v>253</v>
      </c>
      <c r="BI16" s="1074">
        <v>0</v>
      </c>
      <c r="BJ16" s="1075">
        <v>194</v>
      </c>
      <c r="BK16" s="1060">
        <v>151</v>
      </c>
      <c r="BL16" s="1061">
        <v>149</v>
      </c>
      <c r="BM16" s="1061">
        <v>109</v>
      </c>
      <c r="BN16" s="1061">
        <v>11</v>
      </c>
      <c r="BO16" s="1061">
        <v>136</v>
      </c>
      <c r="BP16" s="1061">
        <v>70</v>
      </c>
      <c r="BQ16" s="1061">
        <v>65</v>
      </c>
      <c r="BR16" s="1061">
        <v>247</v>
      </c>
      <c r="BS16" s="1061">
        <v>566</v>
      </c>
      <c r="BT16" s="1061">
        <v>314</v>
      </c>
      <c r="BU16" s="1061">
        <v>0</v>
      </c>
      <c r="BV16" s="1062">
        <v>863</v>
      </c>
    </row>
    <row r="17" spans="2:75">
      <c r="B17" s="809" t="s">
        <v>382</v>
      </c>
      <c r="C17" s="800">
        <v>4614</v>
      </c>
      <c r="D17" s="801">
        <v>1177</v>
      </c>
      <c r="E17" s="801">
        <v>1549</v>
      </c>
      <c r="F17" s="801">
        <v>174</v>
      </c>
      <c r="G17" s="801">
        <v>4181</v>
      </c>
      <c r="H17" s="801">
        <v>4301</v>
      </c>
      <c r="I17" s="801">
        <v>6296</v>
      </c>
      <c r="J17" s="801">
        <v>5349</v>
      </c>
      <c r="K17" s="801">
        <v>3260</v>
      </c>
      <c r="L17" s="801">
        <v>3233</v>
      </c>
      <c r="M17" s="801">
        <v>0</v>
      </c>
      <c r="N17" s="802">
        <v>5086</v>
      </c>
      <c r="O17" s="800">
        <v>145</v>
      </c>
      <c r="P17" s="801">
        <v>44</v>
      </c>
      <c r="Q17" s="801">
        <v>78</v>
      </c>
      <c r="R17" s="801">
        <v>8</v>
      </c>
      <c r="S17" s="801">
        <v>247</v>
      </c>
      <c r="T17" s="801">
        <v>95</v>
      </c>
      <c r="U17" s="801">
        <v>262</v>
      </c>
      <c r="V17" s="801">
        <v>579</v>
      </c>
      <c r="W17" s="801">
        <v>395</v>
      </c>
      <c r="X17" s="801">
        <v>524</v>
      </c>
      <c r="Y17" s="801">
        <v>0</v>
      </c>
      <c r="Z17" s="802">
        <v>362</v>
      </c>
      <c r="AA17" s="800">
        <v>141</v>
      </c>
      <c r="AB17" s="801">
        <v>18</v>
      </c>
      <c r="AC17" s="801">
        <v>38</v>
      </c>
      <c r="AD17" s="801">
        <v>3</v>
      </c>
      <c r="AE17" s="801">
        <v>143</v>
      </c>
      <c r="AF17" s="801">
        <v>124</v>
      </c>
      <c r="AG17" s="801">
        <v>878</v>
      </c>
      <c r="AH17" s="801">
        <v>602</v>
      </c>
      <c r="AI17" s="801">
        <v>483</v>
      </c>
      <c r="AJ17" s="801">
        <v>885</v>
      </c>
      <c r="AK17" s="801">
        <v>0</v>
      </c>
      <c r="AL17" s="802">
        <v>400</v>
      </c>
      <c r="AM17" s="1073">
        <v>77</v>
      </c>
      <c r="AN17" s="1074">
        <v>5</v>
      </c>
      <c r="AO17" s="1074">
        <v>0</v>
      </c>
      <c r="AP17" s="1074">
        <v>0</v>
      </c>
      <c r="AQ17" s="1074">
        <v>69</v>
      </c>
      <c r="AR17" s="1074">
        <v>210</v>
      </c>
      <c r="AS17" s="1074">
        <v>567</v>
      </c>
      <c r="AT17" s="1074">
        <v>489</v>
      </c>
      <c r="AU17" s="1074">
        <v>277</v>
      </c>
      <c r="AV17" s="1074">
        <v>899</v>
      </c>
      <c r="AW17" s="1074">
        <v>0</v>
      </c>
      <c r="AX17" s="1075">
        <v>211</v>
      </c>
      <c r="AY17" s="1073">
        <v>15</v>
      </c>
      <c r="AZ17" s="1074">
        <v>102</v>
      </c>
      <c r="BA17" s="1074">
        <v>0</v>
      </c>
      <c r="BB17" s="1074">
        <v>0</v>
      </c>
      <c r="BC17" s="1074">
        <v>0</v>
      </c>
      <c r="BD17" s="1074">
        <v>20</v>
      </c>
      <c r="BE17" s="1074">
        <v>114</v>
      </c>
      <c r="BF17" s="1074">
        <v>91</v>
      </c>
      <c r="BG17" s="1074">
        <v>311</v>
      </c>
      <c r="BH17" s="1074">
        <v>80</v>
      </c>
      <c r="BI17" s="1074">
        <v>0</v>
      </c>
      <c r="BJ17" s="1075">
        <v>497</v>
      </c>
      <c r="BK17" s="1060">
        <v>183</v>
      </c>
      <c r="BL17" s="1061">
        <v>51</v>
      </c>
      <c r="BM17" s="1061">
        <v>12</v>
      </c>
      <c r="BN17" s="1061">
        <v>14</v>
      </c>
      <c r="BO17" s="1061">
        <v>35</v>
      </c>
      <c r="BP17" s="1061">
        <v>44</v>
      </c>
      <c r="BQ17" s="1061">
        <v>70</v>
      </c>
      <c r="BR17" s="1061">
        <v>258</v>
      </c>
      <c r="BS17" s="1061">
        <v>228</v>
      </c>
      <c r="BT17" s="1061">
        <v>385</v>
      </c>
      <c r="BU17" s="1061">
        <v>0</v>
      </c>
      <c r="BV17" s="1062">
        <v>445</v>
      </c>
    </row>
    <row r="18" spans="2:75">
      <c r="B18" s="809" t="s">
        <v>383</v>
      </c>
      <c r="C18" s="800">
        <v>2830</v>
      </c>
      <c r="D18" s="801">
        <v>1288</v>
      </c>
      <c r="E18" s="801">
        <v>2124</v>
      </c>
      <c r="F18" s="801">
        <v>205</v>
      </c>
      <c r="G18" s="801">
        <v>4833</v>
      </c>
      <c r="H18" s="801">
        <v>6728</v>
      </c>
      <c r="I18" s="801">
        <v>7287</v>
      </c>
      <c r="J18" s="801">
        <v>6469</v>
      </c>
      <c r="K18" s="801">
        <v>4478</v>
      </c>
      <c r="L18" s="801">
        <v>3767</v>
      </c>
      <c r="M18" s="801">
        <v>0</v>
      </c>
      <c r="N18" s="802">
        <v>5408</v>
      </c>
      <c r="O18" s="800">
        <v>204</v>
      </c>
      <c r="P18" s="801">
        <v>136</v>
      </c>
      <c r="Q18" s="801">
        <v>487</v>
      </c>
      <c r="R18" s="801">
        <v>18</v>
      </c>
      <c r="S18" s="801">
        <v>1067</v>
      </c>
      <c r="T18" s="801">
        <v>437</v>
      </c>
      <c r="U18" s="801">
        <v>748</v>
      </c>
      <c r="V18" s="801">
        <v>862</v>
      </c>
      <c r="W18" s="801">
        <v>798</v>
      </c>
      <c r="X18" s="801">
        <v>1010</v>
      </c>
      <c r="Y18" s="801">
        <v>0</v>
      </c>
      <c r="Z18" s="802">
        <v>774</v>
      </c>
      <c r="AA18" s="800">
        <v>181</v>
      </c>
      <c r="AB18" s="801">
        <v>87</v>
      </c>
      <c r="AC18" s="801">
        <v>531</v>
      </c>
      <c r="AD18" s="801">
        <v>18</v>
      </c>
      <c r="AE18" s="801">
        <v>1404</v>
      </c>
      <c r="AF18" s="801">
        <v>1428</v>
      </c>
      <c r="AG18" s="801">
        <v>1873</v>
      </c>
      <c r="AH18" s="801">
        <v>952</v>
      </c>
      <c r="AI18" s="801">
        <v>1072</v>
      </c>
      <c r="AJ18" s="801">
        <v>1792</v>
      </c>
      <c r="AK18" s="801">
        <v>0</v>
      </c>
      <c r="AL18" s="802">
        <v>752</v>
      </c>
      <c r="AM18" s="1073">
        <v>212</v>
      </c>
      <c r="AN18" s="1074">
        <v>46</v>
      </c>
      <c r="AO18" s="1074">
        <v>445</v>
      </c>
      <c r="AP18" s="1074">
        <v>12</v>
      </c>
      <c r="AQ18" s="1074">
        <v>1823</v>
      </c>
      <c r="AR18" s="1074">
        <v>1753</v>
      </c>
      <c r="AS18" s="1074">
        <v>2142</v>
      </c>
      <c r="AT18" s="1074">
        <v>876</v>
      </c>
      <c r="AU18" s="1074">
        <v>1291</v>
      </c>
      <c r="AV18" s="1074">
        <v>2886</v>
      </c>
      <c r="AW18" s="1074">
        <v>0</v>
      </c>
      <c r="AX18" s="1075">
        <v>509</v>
      </c>
      <c r="AY18" s="1073">
        <v>13</v>
      </c>
      <c r="AZ18" s="1074">
        <v>2</v>
      </c>
      <c r="BA18" s="1074">
        <v>0</v>
      </c>
      <c r="BB18" s="1074">
        <v>0</v>
      </c>
      <c r="BC18" s="1074">
        <v>33</v>
      </c>
      <c r="BD18" s="1074">
        <v>0</v>
      </c>
      <c r="BE18" s="1074">
        <v>228</v>
      </c>
      <c r="BF18" s="1074">
        <v>521</v>
      </c>
      <c r="BG18" s="1074">
        <v>256</v>
      </c>
      <c r="BH18" s="1074">
        <v>395</v>
      </c>
      <c r="BI18" s="1074">
        <v>0</v>
      </c>
      <c r="BJ18" s="1075">
        <v>106</v>
      </c>
      <c r="BK18" s="1060">
        <v>111</v>
      </c>
      <c r="BL18" s="1061">
        <v>43</v>
      </c>
      <c r="BM18" s="1061">
        <v>56</v>
      </c>
      <c r="BN18" s="1061">
        <v>2</v>
      </c>
      <c r="BO18" s="1061">
        <v>117</v>
      </c>
      <c r="BP18" s="1061">
        <v>86</v>
      </c>
      <c r="BQ18" s="1061">
        <v>94</v>
      </c>
      <c r="BR18" s="1061">
        <v>274</v>
      </c>
      <c r="BS18" s="1061">
        <v>407</v>
      </c>
      <c r="BT18" s="1061">
        <v>363</v>
      </c>
      <c r="BU18" s="1061">
        <v>0</v>
      </c>
      <c r="BV18" s="1062">
        <v>632</v>
      </c>
    </row>
    <row r="19" spans="2:75">
      <c r="B19" s="809" t="s">
        <v>384</v>
      </c>
      <c r="C19" s="800">
        <v>4352</v>
      </c>
      <c r="D19" s="801">
        <v>3673</v>
      </c>
      <c r="E19" s="801">
        <v>4956</v>
      </c>
      <c r="F19" s="801">
        <v>351</v>
      </c>
      <c r="G19" s="801">
        <v>11585</v>
      </c>
      <c r="H19" s="801">
        <v>14299</v>
      </c>
      <c r="I19" s="801">
        <v>19449</v>
      </c>
      <c r="J19" s="801">
        <v>21098</v>
      </c>
      <c r="K19" s="801">
        <v>13159</v>
      </c>
      <c r="L19" s="801">
        <v>9837</v>
      </c>
      <c r="M19" s="801">
        <v>0</v>
      </c>
      <c r="N19" s="802">
        <v>9484</v>
      </c>
      <c r="O19" s="800">
        <v>1147</v>
      </c>
      <c r="P19" s="801">
        <v>2997</v>
      </c>
      <c r="Q19" s="801">
        <v>2251</v>
      </c>
      <c r="R19" s="801">
        <v>40</v>
      </c>
      <c r="S19" s="801">
        <v>4105</v>
      </c>
      <c r="T19" s="801">
        <v>1917</v>
      </c>
      <c r="U19" s="801">
        <v>1563</v>
      </c>
      <c r="V19" s="801">
        <v>2025</v>
      </c>
      <c r="W19" s="801">
        <v>1851</v>
      </c>
      <c r="X19" s="801">
        <v>2261</v>
      </c>
      <c r="Y19" s="801">
        <v>0</v>
      </c>
      <c r="Z19" s="802">
        <v>1495</v>
      </c>
      <c r="AA19" s="800">
        <v>585</v>
      </c>
      <c r="AB19" s="801">
        <v>848</v>
      </c>
      <c r="AC19" s="801">
        <v>646</v>
      </c>
      <c r="AD19" s="801">
        <v>12</v>
      </c>
      <c r="AE19" s="801">
        <v>3057</v>
      </c>
      <c r="AF19" s="801">
        <v>1963</v>
      </c>
      <c r="AG19" s="801">
        <v>2967</v>
      </c>
      <c r="AH19" s="801">
        <v>3381</v>
      </c>
      <c r="AI19" s="801">
        <v>2580</v>
      </c>
      <c r="AJ19" s="801">
        <v>4443</v>
      </c>
      <c r="AK19" s="801">
        <v>0</v>
      </c>
      <c r="AL19" s="802">
        <v>595</v>
      </c>
      <c r="AM19" s="1073">
        <v>297</v>
      </c>
      <c r="AN19" s="1074">
        <v>166</v>
      </c>
      <c r="AO19" s="1074">
        <v>229</v>
      </c>
      <c r="AP19" s="1074">
        <v>8</v>
      </c>
      <c r="AQ19" s="1074">
        <v>1472</v>
      </c>
      <c r="AR19" s="1074">
        <v>2357</v>
      </c>
      <c r="AS19" s="1074">
        <v>4445</v>
      </c>
      <c r="AT19" s="1074">
        <v>3581</v>
      </c>
      <c r="AU19" s="1074">
        <v>3001</v>
      </c>
      <c r="AV19" s="1074">
        <v>11037</v>
      </c>
      <c r="AW19" s="1074">
        <v>0</v>
      </c>
      <c r="AX19" s="1075">
        <v>191</v>
      </c>
      <c r="AY19" s="1073">
        <v>99</v>
      </c>
      <c r="AZ19" s="1074">
        <v>16</v>
      </c>
      <c r="BA19" s="1074">
        <v>68</v>
      </c>
      <c r="BB19" s="1074">
        <v>5</v>
      </c>
      <c r="BC19" s="1074">
        <v>84</v>
      </c>
      <c r="BD19" s="1074">
        <v>33</v>
      </c>
      <c r="BE19" s="1074">
        <v>354</v>
      </c>
      <c r="BF19" s="1074">
        <v>354</v>
      </c>
      <c r="BG19" s="1074">
        <v>285</v>
      </c>
      <c r="BH19" s="1074">
        <v>743</v>
      </c>
      <c r="BI19" s="1074">
        <v>0</v>
      </c>
      <c r="BJ19" s="1075">
        <v>82</v>
      </c>
      <c r="BK19" s="1060">
        <v>463</v>
      </c>
      <c r="BL19" s="1061">
        <v>290</v>
      </c>
      <c r="BM19" s="1061">
        <v>208</v>
      </c>
      <c r="BN19" s="1061">
        <v>7</v>
      </c>
      <c r="BO19" s="1061">
        <v>313</v>
      </c>
      <c r="BP19" s="1061">
        <v>213</v>
      </c>
      <c r="BQ19" s="1061">
        <v>230</v>
      </c>
      <c r="BR19" s="1061">
        <v>722</v>
      </c>
      <c r="BS19" s="1061">
        <v>701</v>
      </c>
      <c r="BT19" s="1061">
        <v>1042</v>
      </c>
      <c r="BU19" s="1061">
        <v>0</v>
      </c>
      <c r="BV19" s="1062">
        <v>1008</v>
      </c>
    </row>
    <row r="20" spans="2:75">
      <c r="B20" s="809" t="s">
        <v>385</v>
      </c>
      <c r="C20" s="800">
        <v>4389</v>
      </c>
      <c r="D20" s="801">
        <v>4303</v>
      </c>
      <c r="E20" s="801">
        <v>6404</v>
      </c>
      <c r="F20" s="801">
        <v>552</v>
      </c>
      <c r="G20" s="801">
        <v>12892</v>
      </c>
      <c r="H20" s="801">
        <v>13429</v>
      </c>
      <c r="I20" s="801">
        <v>18442</v>
      </c>
      <c r="J20" s="801">
        <v>18434</v>
      </c>
      <c r="K20" s="801">
        <v>11005</v>
      </c>
      <c r="L20" s="801">
        <v>9900</v>
      </c>
      <c r="M20" s="801">
        <v>0</v>
      </c>
      <c r="N20" s="802">
        <v>11061</v>
      </c>
      <c r="O20" s="800">
        <v>417</v>
      </c>
      <c r="P20" s="801">
        <v>706</v>
      </c>
      <c r="Q20" s="801">
        <v>1779</v>
      </c>
      <c r="R20" s="801">
        <v>60</v>
      </c>
      <c r="S20" s="801">
        <v>3293</v>
      </c>
      <c r="T20" s="801">
        <v>1506</v>
      </c>
      <c r="U20" s="801">
        <v>1277</v>
      </c>
      <c r="V20" s="801">
        <v>1909</v>
      </c>
      <c r="W20" s="801">
        <v>2162</v>
      </c>
      <c r="X20" s="801">
        <v>3015</v>
      </c>
      <c r="Y20" s="801">
        <v>0</v>
      </c>
      <c r="Z20" s="802">
        <v>1046</v>
      </c>
      <c r="AA20" s="800">
        <v>562</v>
      </c>
      <c r="AB20" s="801">
        <v>781</v>
      </c>
      <c r="AC20" s="801">
        <v>2353</v>
      </c>
      <c r="AD20" s="801">
        <v>49</v>
      </c>
      <c r="AE20" s="801">
        <v>2603</v>
      </c>
      <c r="AF20" s="801">
        <v>2900</v>
      </c>
      <c r="AG20" s="801">
        <v>6276</v>
      </c>
      <c r="AH20" s="801">
        <v>5980</v>
      </c>
      <c r="AI20" s="801">
        <v>3567</v>
      </c>
      <c r="AJ20" s="801">
        <v>4716</v>
      </c>
      <c r="AK20" s="801">
        <v>0</v>
      </c>
      <c r="AL20" s="802">
        <v>723</v>
      </c>
      <c r="AM20" s="1073">
        <v>6879</v>
      </c>
      <c r="AN20" s="1074">
        <v>3537</v>
      </c>
      <c r="AO20" s="1074">
        <v>4980</v>
      </c>
      <c r="AP20" s="1074">
        <v>302</v>
      </c>
      <c r="AQ20" s="1074">
        <v>9715</v>
      </c>
      <c r="AR20" s="1074">
        <v>9640</v>
      </c>
      <c r="AS20" s="1074">
        <v>9236</v>
      </c>
      <c r="AT20" s="1074">
        <v>4636</v>
      </c>
      <c r="AU20" s="1074">
        <v>3277</v>
      </c>
      <c r="AV20" s="1074">
        <v>7539</v>
      </c>
      <c r="AW20" s="1074">
        <v>0</v>
      </c>
      <c r="AX20" s="1075">
        <v>824</v>
      </c>
      <c r="AY20" s="1073">
        <v>54</v>
      </c>
      <c r="AZ20" s="1074">
        <v>34</v>
      </c>
      <c r="BA20" s="1074">
        <v>190</v>
      </c>
      <c r="BB20" s="1074">
        <v>0</v>
      </c>
      <c r="BC20" s="1074">
        <v>93</v>
      </c>
      <c r="BD20" s="1074">
        <v>151</v>
      </c>
      <c r="BE20" s="1074">
        <v>497</v>
      </c>
      <c r="BF20" s="1074">
        <v>396</v>
      </c>
      <c r="BG20" s="1074">
        <v>487</v>
      </c>
      <c r="BH20" s="1074">
        <v>689</v>
      </c>
      <c r="BI20" s="1074">
        <v>0</v>
      </c>
      <c r="BJ20" s="1075">
        <v>146</v>
      </c>
      <c r="BK20" s="1060">
        <v>345</v>
      </c>
      <c r="BL20" s="1061">
        <v>204</v>
      </c>
      <c r="BM20" s="1061">
        <v>381</v>
      </c>
      <c r="BN20" s="1061">
        <v>12</v>
      </c>
      <c r="BO20" s="1061">
        <v>399</v>
      </c>
      <c r="BP20" s="1061">
        <v>162</v>
      </c>
      <c r="BQ20" s="1061">
        <v>188</v>
      </c>
      <c r="BR20" s="1061">
        <v>487</v>
      </c>
      <c r="BS20" s="1061">
        <v>502</v>
      </c>
      <c r="BT20" s="1061">
        <v>720</v>
      </c>
      <c r="BU20" s="1061">
        <v>0</v>
      </c>
      <c r="BV20" s="1062">
        <v>865</v>
      </c>
    </row>
    <row r="21" spans="2:75">
      <c r="B21" s="809" t="s">
        <v>386</v>
      </c>
      <c r="C21" s="800">
        <v>1592</v>
      </c>
      <c r="D21" s="801">
        <v>1436</v>
      </c>
      <c r="E21" s="801">
        <v>1817</v>
      </c>
      <c r="F21" s="801">
        <v>211</v>
      </c>
      <c r="G21" s="801">
        <v>3830</v>
      </c>
      <c r="H21" s="801">
        <v>3244</v>
      </c>
      <c r="I21" s="801">
        <v>6560</v>
      </c>
      <c r="J21" s="801">
        <v>6448</v>
      </c>
      <c r="K21" s="801">
        <v>4200</v>
      </c>
      <c r="L21" s="801">
        <v>2213</v>
      </c>
      <c r="M21" s="801">
        <v>0</v>
      </c>
      <c r="N21" s="802">
        <v>8097</v>
      </c>
      <c r="O21" s="800">
        <v>55</v>
      </c>
      <c r="P21" s="801">
        <v>116</v>
      </c>
      <c r="Q21" s="801">
        <v>191</v>
      </c>
      <c r="R21" s="801">
        <v>11</v>
      </c>
      <c r="S21" s="801">
        <v>755</v>
      </c>
      <c r="T21" s="801">
        <v>245</v>
      </c>
      <c r="U21" s="801">
        <v>500</v>
      </c>
      <c r="V21" s="801">
        <v>475</v>
      </c>
      <c r="W21" s="801">
        <v>652</v>
      </c>
      <c r="X21" s="801">
        <v>450</v>
      </c>
      <c r="Y21" s="801">
        <v>0</v>
      </c>
      <c r="Z21" s="802">
        <v>656</v>
      </c>
      <c r="AA21" s="800">
        <v>14</v>
      </c>
      <c r="AB21" s="801">
        <v>27</v>
      </c>
      <c r="AC21" s="801">
        <v>20</v>
      </c>
      <c r="AD21" s="801">
        <v>0</v>
      </c>
      <c r="AE21" s="801">
        <v>297</v>
      </c>
      <c r="AF21" s="801">
        <v>255</v>
      </c>
      <c r="AG21" s="801">
        <v>862</v>
      </c>
      <c r="AH21" s="801">
        <v>661</v>
      </c>
      <c r="AI21" s="801">
        <v>1000</v>
      </c>
      <c r="AJ21" s="801">
        <v>782</v>
      </c>
      <c r="AK21" s="801">
        <v>0</v>
      </c>
      <c r="AL21" s="802">
        <v>593</v>
      </c>
      <c r="AM21" s="1073">
        <v>0</v>
      </c>
      <c r="AN21" s="1074">
        <v>0</v>
      </c>
      <c r="AO21" s="1074">
        <v>18</v>
      </c>
      <c r="AP21" s="1074">
        <v>0</v>
      </c>
      <c r="AQ21" s="1074">
        <v>165</v>
      </c>
      <c r="AR21" s="1074">
        <v>318</v>
      </c>
      <c r="AS21" s="1074">
        <v>244</v>
      </c>
      <c r="AT21" s="1074">
        <v>68</v>
      </c>
      <c r="AU21" s="1074">
        <v>445</v>
      </c>
      <c r="AV21" s="1074">
        <v>638</v>
      </c>
      <c r="AW21" s="1074">
        <v>0</v>
      </c>
      <c r="AX21" s="1075">
        <v>184</v>
      </c>
      <c r="AY21" s="1073">
        <v>0</v>
      </c>
      <c r="AZ21" s="1074">
        <v>0</v>
      </c>
      <c r="BA21" s="1074">
        <v>10</v>
      </c>
      <c r="BB21" s="1074">
        <v>0</v>
      </c>
      <c r="BC21" s="1074">
        <v>15</v>
      </c>
      <c r="BD21" s="1074">
        <v>128</v>
      </c>
      <c r="BE21" s="1074">
        <v>155</v>
      </c>
      <c r="BF21" s="1074">
        <v>174</v>
      </c>
      <c r="BG21" s="1074">
        <v>364</v>
      </c>
      <c r="BH21" s="1074">
        <v>214</v>
      </c>
      <c r="BI21" s="1074">
        <v>0</v>
      </c>
      <c r="BJ21" s="1075">
        <v>181</v>
      </c>
      <c r="BK21" s="1060">
        <v>42</v>
      </c>
      <c r="BL21" s="1061">
        <v>38</v>
      </c>
      <c r="BM21" s="1061">
        <v>56</v>
      </c>
      <c r="BN21" s="1061">
        <v>8</v>
      </c>
      <c r="BO21" s="1061">
        <v>154</v>
      </c>
      <c r="BP21" s="1061">
        <v>127</v>
      </c>
      <c r="BQ21" s="1061">
        <v>91</v>
      </c>
      <c r="BR21" s="1061">
        <v>204</v>
      </c>
      <c r="BS21" s="1061">
        <v>374</v>
      </c>
      <c r="BT21" s="1061">
        <v>222</v>
      </c>
      <c r="BU21" s="1061">
        <v>0</v>
      </c>
      <c r="BV21" s="1062">
        <v>601</v>
      </c>
    </row>
    <row r="22" spans="2:75">
      <c r="B22" s="821" t="s">
        <v>387</v>
      </c>
      <c r="C22" s="822">
        <v>3037</v>
      </c>
      <c r="D22" s="823">
        <v>2599</v>
      </c>
      <c r="E22" s="823">
        <v>3741</v>
      </c>
      <c r="F22" s="823">
        <v>616</v>
      </c>
      <c r="G22" s="823">
        <v>9285</v>
      </c>
      <c r="H22" s="823">
        <v>8692</v>
      </c>
      <c r="I22" s="823">
        <v>14101</v>
      </c>
      <c r="J22" s="823">
        <v>12154</v>
      </c>
      <c r="K22" s="823">
        <v>6810</v>
      </c>
      <c r="L22" s="823">
        <v>4137</v>
      </c>
      <c r="M22" s="823">
        <v>0</v>
      </c>
      <c r="N22" s="824">
        <v>11456</v>
      </c>
      <c r="O22" s="822">
        <v>485</v>
      </c>
      <c r="P22" s="823">
        <v>570</v>
      </c>
      <c r="Q22" s="823">
        <v>707</v>
      </c>
      <c r="R22" s="823">
        <v>218</v>
      </c>
      <c r="S22" s="823">
        <v>3206</v>
      </c>
      <c r="T22" s="823">
        <v>979</v>
      </c>
      <c r="U22" s="823">
        <v>923</v>
      </c>
      <c r="V22" s="823">
        <v>1211</v>
      </c>
      <c r="W22" s="823">
        <v>1654</v>
      </c>
      <c r="X22" s="823">
        <v>1874</v>
      </c>
      <c r="Y22" s="823">
        <v>0</v>
      </c>
      <c r="Z22" s="824">
        <v>1540</v>
      </c>
      <c r="AA22" s="822">
        <v>100</v>
      </c>
      <c r="AB22" s="823">
        <v>1055</v>
      </c>
      <c r="AC22" s="823">
        <v>539</v>
      </c>
      <c r="AD22" s="823">
        <v>141</v>
      </c>
      <c r="AE22" s="823">
        <v>2299</v>
      </c>
      <c r="AF22" s="823">
        <v>782</v>
      </c>
      <c r="AG22" s="823">
        <v>1887</v>
      </c>
      <c r="AH22" s="823">
        <v>1405</v>
      </c>
      <c r="AI22" s="823">
        <v>2606</v>
      </c>
      <c r="AJ22" s="823">
        <v>2133</v>
      </c>
      <c r="AK22" s="823">
        <v>0</v>
      </c>
      <c r="AL22" s="824">
        <v>386</v>
      </c>
      <c r="AM22" s="1076">
        <v>20</v>
      </c>
      <c r="AN22" s="1077">
        <v>652</v>
      </c>
      <c r="AO22" s="1077">
        <v>229</v>
      </c>
      <c r="AP22" s="1077">
        <v>47</v>
      </c>
      <c r="AQ22" s="1077">
        <v>1848</v>
      </c>
      <c r="AR22" s="1077">
        <v>1450</v>
      </c>
      <c r="AS22" s="1077">
        <v>2582</v>
      </c>
      <c r="AT22" s="1077">
        <v>764</v>
      </c>
      <c r="AU22" s="1077">
        <v>744</v>
      </c>
      <c r="AV22" s="1077">
        <v>2087</v>
      </c>
      <c r="AW22" s="1077">
        <v>0</v>
      </c>
      <c r="AX22" s="1078">
        <v>231</v>
      </c>
      <c r="AY22" s="1076">
        <v>1</v>
      </c>
      <c r="AZ22" s="1077">
        <v>0</v>
      </c>
      <c r="BA22" s="1077">
        <v>16</v>
      </c>
      <c r="BB22" s="1077">
        <v>0</v>
      </c>
      <c r="BC22" s="1077">
        <v>103</v>
      </c>
      <c r="BD22" s="1077">
        <v>38</v>
      </c>
      <c r="BE22" s="1077">
        <v>408</v>
      </c>
      <c r="BF22" s="1077">
        <v>116</v>
      </c>
      <c r="BG22" s="1077">
        <v>606</v>
      </c>
      <c r="BH22" s="1077">
        <v>496</v>
      </c>
      <c r="BI22" s="1077">
        <v>0</v>
      </c>
      <c r="BJ22" s="1078">
        <v>321</v>
      </c>
      <c r="BK22" s="1063">
        <v>94</v>
      </c>
      <c r="BL22" s="1064">
        <v>653</v>
      </c>
      <c r="BM22" s="1064">
        <v>237</v>
      </c>
      <c r="BN22" s="1064">
        <v>159</v>
      </c>
      <c r="BO22" s="1064">
        <v>985</v>
      </c>
      <c r="BP22" s="1064">
        <v>270</v>
      </c>
      <c r="BQ22" s="1064">
        <v>313</v>
      </c>
      <c r="BR22" s="1064">
        <v>255</v>
      </c>
      <c r="BS22" s="1064">
        <v>250</v>
      </c>
      <c r="BT22" s="1064">
        <v>453</v>
      </c>
      <c r="BU22" s="1064">
        <v>0</v>
      </c>
      <c r="BV22" s="1065">
        <v>719</v>
      </c>
    </row>
    <row r="23" spans="2:75">
      <c r="B23" s="809" t="s">
        <v>388</v>
      </c>
      <c r="C23" s="800">
        <v>1989</v>
      </c>
      <c r="D23" s="801">
        <v>1552</v>
      </c>
      <c r="E23" s="801">
        <v>2730</v>
      </c>
      <c r="F23" s="801">
        <v>396</v>
      </c>
      <c r="G23" s="801">
        <v>7303</v>
      </c>
      <c r="H23" s="801">
        <v>9116</v>
      </c>
      <c r="I23" s="801">
        <v>10634</v>
      </c>
      <c r="J23" s="801">
        <v>12997</v>
      </c>
      <c r="K23" s="801">
        <v>5768</v>
      </c>
      <c r="L23" s="801">
        <v>4270</v>
      </c>
      <c r="M23" s="801">
        <v>0</v>
      </c>
      <c r="N23" s="802">
        <v>8136</v>
      </c>
      <c r="O23" s="800">
        <v>448</v>
      </c>
      <c r="P23" s="801">
        <v>738</v>
      </c>
      <c r="Q23" s="801">
        <v>1403</v>
      </c>
      <c r="R23" s="801">
        <v>78</v>
      </c>
      <c r="S23" s="801">
        <v>3835</v>
      </c>
      <c r="T23" s="801">
        <v>2702</v>
      </c>
      <c r="U23" s="801">
        <v>1000</v>
      </c>
      <c r="V23" s="801">
        <v>1669</v>
      </c>
      <c r="W23" s="801">
        <v>1207</v>
      </c>
      <c r="X23" s="801">
        <v>1034</v>
      </c>
      <c r="Y23" s="801">
        <v>0</v>
      </c>
      <c r="Z23" s="802">
        <v>1901</v>
      </c>
      <c r="AA23" s="800">
        <v>444</v>
      </c>
      <c r="AB23" s="801">
        <v>387</v>
      </c>
      <c r="AC23" s="801">
        <v>1899</v>
      </c>
      <c r="AD23" s="801">
        <v>26</v>
      </c>
      <c r="AE23" s="801">
        <v>1852</v>
      </c>
      <c r="AF23" s="801">
        <v>2118</v>
      </c>
      <c r="AG23" s="801">
        <v>3883</v>
      </c>
      <c r="AH23" s="801">
        <v>2256</v>
      </c>
      <c r="AI23" s="801">
        <v>2373</v>
      </c>
      <c r="AJ23" s="801">
        <v>2879</v>
      </c>
      <c r="AK23" s="801">
        <v>0</v>
      </c>
      <c r="AL23" s="802">
        <v>619</v>
      </c>
      <c r="AM23" s="1073">
        <v>1858</v>
      </c>
      <c r="AN23" s="1074">
        <v>3421</v>
      </c>
      <c r="AO23" s="1074">
        <v>1139</v>
      </c>
      <c r="AP23" s="1074">
        <v>50</v>
      </c>
      <c r="AQ23" s="1074">
        <v>3638</v>
      </c>
      <c r="AR23" s="1074">
        <v>6399</v>
      </c>
      <c r="AS23" s="1074">
        <v>7403</v>
      </c>
      <c r="AT23" s="1074">
        <v>1167</v>
      </c>
      <c r="AU23" s="1074">
        <v>3043</v>
      </c>
      <c r="AV23" s="1074">
        <v>7487</v>
      </c>
      <c r="AW23" s="1074">
        <v>0</v>
      </c>
      <c r="AX23" s="1075">
        <v>1195</v>
      </c>
      <c r="AY23" s="1073">
        <v>72</v>
      </c>
      <c r="AZ23" s="1074">
        <v>85</v>
      </c>
      <c r="BA23" s="1074">
        <v>32</v>
      </c>
      <c r="BB23" s="1074">
        <v>0</v>
      </c>
      <c r="BC23" s="1074">
        <v>71</v>
      </c>
      <c r="BD23" s="1074">
        <v>1892</v>
      </c>
      <c r="BE23" s="1074">
        <v>351</v>
      </c>
      <c r="BF23" s="1074">
        <v>800</v>
      </c>
      <c r="BG23" s="1074">
        <v>1249</v>
      </c>
      <c r="BH23" s="1074">
        <v>951</v>
      </c>
      <c r="BI23" s="1074">
        <v>0</v>
      </c>
      <c r="BJ23" s="1075">
        <v>506</v>
      </c>
      <c r="BK23" s="1060">
        <v>175</v>
      </c>
      <c r="BL23" s="1061">
        <v>117</v>
      </c>
      <c r="BM23" s="1061">
        <v>82</v>
      </c>
      <c r="BN23" s="1061">
        <v>4</v>
      </c>
      <c r="BO23" s="1061">
        <v>176</v>
      </c>
      <c r="BP23" s="1061">
        <v>156</v>
      </c>
      <c r="BQ23" s="1061">
        <v>69</v>
      </c>
      <c r="BR23" s="1061">
        <v>199</v>
      </c>
      <c r="BS23" s="1061">
        <v>256</v>
      </c>
      <c r="BT23" s="1061">
        <v>496</v>
      </c>
      <c r="BU23" s="1061">
        <v>0</v>
      </c>
      <c r="BV23" s="1062">
        <v>742</v>
      </c>
    </row>
    <row r="24" spans="2:75">
      <c r="B24" s="809" t="s">
        <v>389</v>
      </c>
      <c r="C24" s="800">
        <v>1376</v>
      </c>
      <c r="D24" s="801">
        <v>1058</v>
      </c>
      <c r="E24" s="801">
        <v>2000</v>
      </c>
      <c r="F24" s="801">
        <v>562</v>
      </c>
      <c r="G24" s="801">
        <v>5924</v>
      </c>
      <c r="H24" s="801">
        <v>4930</v>
      </c>
      <c r="I24" s="801">
        <v>8751</v>
      </c>
      <c r="J24" s="801">
        <v>6882</v>
      </c>
      <c r="K24" s="801">
        <v>3464</v>
      </c>
      <c r="L24" s="801">
        <v>1921</v>
      </c>
      <c r="M24" s="801">
        <v>0</v>
      </c>
      <c r="N24" s="802">
        <v>6584</v>
      </c>
      <c r="O24" s="800">
        <v>251</v>
      </c>
      <c r="P24" s="801">
        <v>131</v>
      </c>
      <c r="Q24" s="801">
        <v>197</v>
      </c>
      <c r="R24" s="801">
        <v>111</v>
      </c>
      <c r="S24" s="801">
        <v>1056</v>
      </c>
      <c r="T24" s="801">
        <v>421</v>
      </c>
      <c r="U24" s="801">
        <v>634</v>
      </c>
      <c r="V24" s="801">
        <v>740</v>
      </c>
      <c r="W24" s="801">
        <v>615</v>
      </c>
      <c r="X24" s="801">
        <v>301</v>
      </c>
      <c r="Y24" s="801">
        <v>0</v>
      </c>
      <c r="Z24" s="802">
        <v>1274</v>
      </c>
      <c r="AA24" s="800">
        <v>34</v>
      </c>
      <c r="AB24" s="801">
        <v>32</v>
      </c>
      <c r="AC24" s="801">
        <v>42</v>
      </c>
      <c r="AD24" s="801">
        <v>9</v>
      </c>
      <c r="AE24" s="801">
        <v>382</v>
      </c>
      <c r="AF24" s="801">
        <v>290</v>
      </c>
      <c r="AG24" s="801">
        <v>1100</v>
      </c>
      <c r="AH24" s="801">
        <v>790</v>
      </c>
      <c r="AI24" s="801">
        <v>1069</v>
      </c>
      <c r="AJ24" s="801">
        <v>775</v>
      </c>
      <c r="AK24" s="801">
        <v>0</v>
      </c>
      <c r="AL24" s="802">
        <v>436</v>
      </c>
      <c r="AM24" s="1073">
        <v>44</v>
      </c>
      <c r="AN24" s="1074">
        <v>1</v>
      </c>
      <c r="AO24" s="1074">
        <v>31</v>
      </c>
      <c r="AP24" s="1074">
        <v>33</v>
      </c>
      <c r="AQ24" s="1074">
        <v>292</v>
      </c>
      <c r="AR24" s="1074">
        <v>221</v>
      </c>
      <c r="AS24" s="1074">
        <v>365</v>
      </c>
      <c r="AT24" s="1074">
        <v>212</v>
      </c>
      <c r="AU24" s="1074">
        <v>853</v>
      </c>
      <c r="AV24" s="1074">
        <v>2482</v>
      </c>
      <c r="AW24" s="1074">
        <v>0</v>
      </c>
      <c r="AX24" s="1075">
        <v>268</v>
      </c>
      <c r="AY24" s="1073">
        <v>1</v>
      </c>
      <c r="AZ24" s="1074">
        <v>0</v>
      </c>
      <c r="BA24" s="1074">
        <v>0</v>
      </c>
      <c r="BB24" s="1074">
        <v>12</v>
      </c>
      <c r="BC24" s="1074">
        <v>3</v>
      </c>
      <c r="BD24" s="1074">
        <v>53</v>
      </c>
      <c r="BE24" s="1074">
        <v>67</v>
      </c>
      <c r="BF24" s="1074">
        <v>226</v>
      </c>
      <c r="BG24" s="1074">
        <v>313</v>
      </c>
      <c r="BH24" s="1074">
        <v>276</v>
      </c>
      <c r="BI24" s="1074">
        <v>0</v>
      </c>
      <c r="BJ24" s="1075">
        <v>336</v>
      </c>
      <c r="BK24" s="1060">
        <v>79</v>
      </c>
      <c r="BL24" s="1061">
        <v>22</v>
      </c>
      <c r="BM24" s="1061">
        <v>31</v>
      </c>
      <c r="BN24" s="1061">
        <v>20</v>
      </c>
      <c r="BO24" s="1061">
        <v>223</v>
      </c>
      <c r="BP24" s="1061">
        <v>43</v>
      </c>
      <c r="BQ24" s="1061">
        <v>42</v>
      </c>
      <c r="BR24" s="1061">
        <v>203</v>
      </c>
      <c r="BS24" s="1061">
        <v>292</v>
      </c>
      <c r="BT24" s="1061">
        <v>169</v>
      </c>
      <c r="BU24" s="1061">
        <v>0</v>
      </c>
      <c r="BV24" s="1062">
        <v>445</v>
      </c>
    </row>
    <row r="25" spans="2:75">
      <c r="B25" s="809" t="s">
        <v>390</v>
      </c>
      <c r="C25" s="800">
        <v>1559</v>
      </c>
      <c r="D25" s="801">
        <v>1662</v>
      </c>
      <c r="E25" s="801">
        <v>3708</v>
      </c>
      <c r="F25" s="801">
        <v>738</v>
      </c>
      <c r="G25" s="801">
        <v>11165</v>
      </c>
      <c r="H25" s="801">
        <v>10214</v>
      </c>
      <c r="I25" s="801">
        <v>14564</v>
      </c>
      <c r="J25" s="801">
        <v>12843</v>
      </c>
      <c r="K25" s="801">
        <v>6333</v>
      </c>
      <c r="L25" s="801">
        <v>3054</v>
      </c>
      <c r="M25" s="801">
        <v>0</v>
      </c>
      <c r="N25" s="802">
        <v>13909</v>
      </c>
      <c r="O25" s="800">
        <v>88</v>
      </c>
      <c r="P25" s="801">
        <v>223</v>
      </c>
      <c r="Q25" s="801">
        <v>691</v>
      </c>
      <c r="R25" s="801">
        <v>206</v>
      </c>
      <c r="S25" s="801">
        <v>3421</v>
      </c>
      <c r="T25" s="801">
        <v>1223</v>
      </c>
      <c r="U25" s="801">
        <v>907</v>
      </c>
      <c r="V25" s="801">
        <v>1069</v>
      </c>
      <c r="W25" s="801">
        <v>1138</v>
      </c>
      <c r="X25" s="801">
        <v>659</v>
      </c>
      <c r="Y25" s="801">
        <v>0</v>
      </c>
      <c r="Z25" s="802">
        <v>1408</v>
      </c>
      <c r="AA25" s="800">
        <v>53</v>
      </c>
      <c r="AB25" s="801">
        <v>113</v>
      </c>
      <c r="AC25" s="801">
        <v>172</v>
      </c>
      <c r="AD25" s="801">
        <v>151</v>
      </c>
      <c r="AE25" s="801">
        <v>2695</v>
      </c>
      <c r="AF25" s="801">
        <v>1300</v>
      </c>
      <c r="AG25" s="801">
        <v>1887</v>
      </c>
      <c r="AH25" s="801">
        <v>1794</v>
      </c>
      <c r="AI25" s="801">
        <v>2180</v>
      </c>
      <c r="AJ25" s="801">
        <v>1203</v>
      </c>
      <c r="AK25" s="801">
        <v>0</v>
      </c>
      <c r="AL25" s="802">
        <v>945</v>
      </c>
      <c r="AM25" s="1073">
        <v>14</v>
      </c>
      <c r="AN25" s="1074">
        <v>51</v>
      </c>
      <c r="AO25" s="1074">
        <v>57</v>
      </c>
      <c r="AP25" s="1074">
        <v>25</v>
      </c>
      <c r="AQ25" s="1074">
        <v>1528</v>
      </c>
      <c r="AR25" s="1074">
        <v>2234</v>
      </c>
      <c r="AS25" s="1074">
        <v>1232</v>
      </c>
      <c r="AT25" s="1074">
        <v>639</v>
      </c>
      <c r="AU25" s="1074">
        <v>1568</v>
      </c>
      <c r="AV25" s="1074">
        <v>3544</v>
      </c>
      <c r="AW25" s="1074">
        <v>0</v>
      </c>
      <c r="AX25" s="1075">
        <v>347</v>
      </c>
      <c r="AY25" s="1073">
        <v>8</v>
      </c>
      <c r="AZ25" s="1074">
        <v>0</v>
      </c>
      <c r="BA25" s="1074">
        <v>11</v>
      </c>
      <c r="BB25" s="1074">
        <v>0</v>
      </c>
      <c r="BC25" s="1074">
        <v>6</v>
      </c>
      <c r="BD25" s="1074">
        <v>55</v>
      </c>
      <c r="BE25" s="1074">
        <v>313</v>
      </c>
      <c r="BF25" s="1074">
        <v>637</v>
      </c>
      <c r="BG25" s="1074">
        <v>800</v>
      </c>
      <c r="BH25" s="1074">
        <v>390</v>
      </c>
      <c r="BI25" s="1074">
        <v>0</v>
      </c>
      <c r="BJ25" s="1075">
        <v>399</v>
      </c>
      <c r="BK25" s="1060">
        <v>31</v>
      </c>
      <c r="BL25" s="1061">
        <v>51</v>
      </c>
      <c r="BM25" s="1061">
        <v>102</v>
      </c>
      <c r="BN25" s="1061">
        <v>6</v>
      </c>
      <c r="BO25" s="1061">
        <v>528</v>
      </c>
      <c r="BP25" s="1061">
        <v>181</v>
      </c>
      <c r="BQ25" s="1061">
        <v>84</v>
      </c>
      <c r="BR25" s="1061">
        <v>219</v>
      </c>
      <c r="BS25" s="1061">
        <v>384</v>
      </c>
      <c r="BT25" s="1061">
        <v>346</v>
      </c>
      <c r="BU25" s="1061">
        <v>0</v>
      </c>
      <c r="BV25" s="1062">
        <v>858</v>
      </c>
    </row>
    <row r="26" spans="2:75">
      <c r="B26" s="809" t="s">
        <v>391</v>
      </c>
      <c r="C26" s="800">
        <v>577</v>
      </c>
      <c r="D26" s="801">
        <v>864</v>
      </c>
      <c r="E26" s="801">
        <v>1613</v>
      </c>
      <c r="F26" s="801">
        <v>250</v>
      </c>
      <c r="G26" s="801">
        <v>7800</v>
      </c>
      <c r="H26" s="801">
        <v>6768</v>
      </c>
      <c r="I26" s="801">
        <v>11205</v>
      </c>
      <c r="J26" s="801">
        <v>8944</v>
      </c>
      <c r="K26" s="801">
        <v>4811</v>
      </c>
      <c r="L26" s="801">
        <v>2685</v>
      </c>
      <c r="M26" s="801">
        <v>0</v>
      </c>
      <c r="N26" s="802">
        <v>6201</v>
      </c>
      <c r="O26" s="800">
        <v>117</v>
      </c>
      <c r="P26" s="801">
        <v>231</v>
      </c>
      <c r="Q26" s="801">
        <v>283</v>
      </c>
      <c r="R26" s="801">
        <v>24</v>
      </c>
      <c r="S26" s="801">
        <v>1755</v>
      </c>
      <c r="T26" s="801">
        <v>1049</v>
      </c>
      <c r="U26" s="801">
        <v>798</v>
      </c>
      <c r="V26" s="801">
        <v>807</v>
      </c>
      <c r="W26" s="801">
        <v>639</v>
      </c>
      <c r="X26" s="801">
        <v>492</v>
      </c>
      <c r="Y26" s="801">
        <v>0</v>
      </c>
      <c r="Z26" s="802">
        <v>471</v>
      </c>
      <c r="AA26" s="800">
        <v>88</v>
      </c>
      <c r="AB26" s="801">
        <v>166</v>
      </c>
      <c r="AC26" s="801">
        <v>77</v>
      </c>
      <c r="AD26" s="801">
        <v>9</v>
      </c>
      <c r="AE26" s="801">
        <v>877</v>
      </c>
      <c r="AF26" s="801">
        <v>850</v>
      </c>
      <c r="AG26" s="801">
        <v>2311</v>
      </c>
      <c r="AH26" s="801">
        <v>1921</v>
      </c>
      <c r="AI26" s="801">
        <v>1570</v>
      </c>
      <c r="AJ26" s="801">
        <v>820</v>
      </c>
      <c r="AK26" s="801">
        <v>0</v>
      </c>
      <c r="AL26" s="802">
        <v>361</v>
      </c>
      <c r="AM26" s="1073">
        <v>55</v>
      </c>
      <c r="AN26" s="1074">
        <v>41</v>
      </c>
      <c r="AO26" s="1074">
        <v>33</v>
      </c>
      <c r="AP26" s="1074">
        <v>4</v>
      </c>
      <c r="AQ26" s="1074">
        <v>735</v>
      </c>
      <c r="AR26" s="1074">
        <v>943</v>
      </c>
      <c r="AS26" s="1074">
        <v>2261</v>
      </c>
      <c r="AT26" s="1074">
        <v>249</v>
      </c>
      <c r="AU26" s="1074">
        <v>1215</v>
      </c>
      <c r="AV26" s="1074">
        <v>4033</v>
      </c>
      <c r="AW26" s="1074">
        <v>0</v>
      </c>
      <c r="AX26" s="1075">
        <v>63</v>
      </c>
      <c r="AY26" s="1073">
        <v>5</v>
      </c>
      <c r="AZ26" s="1074">
        <v>2</v>
      </c>
      <c r="BA26" s="1074">
        <v>0</v>
      </c>
      <c r="BB26" s="1074">
        <v>0</v>
      </c>
      <c r="BC26" s="1074">
        <v>27</v>
      </c>
      <c r="BD26" s="1074">
        <v>88</v>
      </c>
      <c r="BE26" s="1074">
        <v>600</v>
      </c>
      <c r="BF26" s="1074">
        <v>481</v>
      </c>
      <c r="BG26" s="1074">
        <v>688</v>
      </c>
      <c r="BH26" s="1074">
        <v>168</v>
      </c>
      <c r="BI26" s="1074">
        <v>0</v>
      </c>
      <c r="BJ26" s="1075">
        <v>96</v>
      </c>
      <c r="BK26" s="1060">
        <v>31</v>
      </c>
      <c r="BL26" s="1061">
        <v>59</v>
      </c>
      <c r="BM26" s="1061">
        <v>30</v>
      </c>
      <c r="BN26" s="1061">
        <v>3</v>
      </c>
      <c r="BO26" s="1061">
        <v>185</v>
      </c>
      <c r="BP26" s="1061">
        <v>163</v>
      </c>
      <c r="BQ26" s="1061">
        <v>152</v>
      </c>
      <c r="BR26" s="1061">
        <v>237</v>
      </c>
      <c r="BS26" s="1061">
        <v>230</v>
      </c>
      <c r="BT26" s="1061">
        <v>235</v>
      </c>
      <c r="BU26" s="1061">
        <v>0</v>
      </c>
      <c r="BV26" s="1062">
        <v>193</v>
      </c>
    </row>
    <row r="27" spans="2:75">
      <c r="B27" s="809" t="s">
        <v>392</v>
      </c>
      <c r="C27" s="800">
        <v>101</v>
      </c>
      <c r="D27" s="801">
        <v>52</v>
      </c>
      <c r="E27" s="801">
        <v>215</v>
      </c>
      <c r="F27" s="801">
        <v>57</v>
      </c>
      <c r="G27" s="801">
        <v>5250</v>
      </c>
      <c r="H27" s="801">
        <v>3187</v>
      </c>
      <c r="I27" s="801">
        <v>5109</v>
      </c>
      <c r="J27" s="801">
        <v>3205</v>
      </c>
      <c r="K27" s="801">
        <v>2410</v>
      </c>
      <c r="L27" s="801">
        <v>1251</v>
      </c>
      <c r="M27" s="801">
        <v>0</v>
      </c>
      <c r="N27" s="802">
        <v>3238</v>
      </c>
      <c r="O27" s="800">
        <v>13</v>
      </c>
      <c r="P27" s="801">
        <v>9</v>
      </c>
      <c r="Q27" s="801">
        <v>48</v>
      </c>
      <c r="R27" s="801">
        <v>3</v>
      </c>
      <c r="S27" s="801">
        <v>1392</v>
      </c>
      <c r="T27" s="801">
        <v>475</v>
      </c>
      <c r="U27" s="801">
        <v>504</v>
      </c>
      <c r="V27" s="801">
        <v>371</v>
      </c>
      <c r="W27" s="801">
        <v>362</v>
      </c>
      <c r="X27" s="801">
        <v>223</v>
      </c>
      <c r="Y27" s="801">
        <v>0</v>
      </c>
      <c r="Z27" s="802">
        <v>961</v>
      </c>
      <c r="AA27" s="800">
        <v>1</v>
      </c>
      <c r="AB27" s="801">
        <v>1</v>
      </c>
      <c r="AC27" s="801">
        <v>6</v>
      </c>
      <c r="AD27" s="801">
        <v>3</v>
      </c>
      <c r="AE27" s="801">
        <v>668</v>
      </c>
      <c r="AF27" s="801">
        <v>440</v>
      </c>
      <c r="AG27" s="801">
        <v>799</v>
      </c>
      <c r="AH27" s="801">
        <v>717</v>
      </c>
      <c r="AI27" s="801">
        <v>533</v>
      </c>
      <c r="AJ27" s="801">
        <v>427</v>
      </c>
      <c r="AK27" s="801">
        <v>0</v>
      </c>
      <c r="AL27" s="802">
        <v>643</v>
      </c>
      <c r="AM27" s="1073">
        <v>0</v>
      </c>
      <c r="AN27" s="1074">
        <v>0</v>
      </c>
      <c r="AO27" s="1074">
        <v>0</v>
      </c>
      <c r="AP27" s="1074">
        <v>0</v>
      </c>
      <c r="AQ27" s="1074">
        <v>264</v>
      </c>
      <c r="AR27" s="1074">
        <v>293</v>
      </c>
      <c r="AS27" s="1074">
        <v>141</v>
      </c>
      <c r="AT27" s="1074">
        <v>209</v>
      </c>
      <c r="AU27" s="1074">
        <v>227</v>
      </c>
      <c r="AV27" s="1074">
        <v>757</v>
      </c>
      <c r="AW27" s="1074">
        <v>0</v>
      </c>
      <c r="AX27" s="1075">
        <v>436</v>
      </c>
      <c r="AY27" s="1073">
        <v>0</v>
      </c>
      <c r="AZ27" s="1074">
        <v>0</v>
      </c>
      <c r="BA27" s="1074">
        <v>0</v>
      </c>
      <c r="BB27" s="1074">
        <v>0</v>
      </c>
      <c r="BC27" s="1074">
        <v>104</v>
      </c>
      <c r="BD27" s="1074">
        <v>31</v>
      </c>
      <c r="BE27" s="1074">
        <v>170</v>
      </c>
      <c r="BF27" s="1074">
        <v>276</v>
      </c>
      <c r="BG27" s="1074">
        <v>390</v>
      </c>
      <c r="BH27" s="1074">
        <v>127</v>
      </c>
      <c r="BI27" s="1074">
        <v>0</v>
      </c>
      <c r="BJ27" s="1075">
        <v>272</v>
      </c>
      <c r="BK27" s="1060">
        <v>10</v>
      </c>
      <c r="BL27" s="1061">
        <v>5</v>
      </c>
      <c r="BM27" s="1061">
        <v>4</v>
      </c>
      <c r="BN27" s="1061">
        <v>5</v>
      </c>
      <c r="BO27" s="1061">
        <v>346</v>
      </c>
      <c r="BP27" s="1061">
        <v>86</v>
      </c>
      <c r="BQ27" s="1061">
        <v>68</v>
      </c>
      <c r="BR27" s="1061">
        <v>182</v>
      </c>
      <c r="BS27" s="1061">
        <v>111</v>
      </c>
      <c r="BT27" s="1061">
        <v>92</v>
      </c>
      <c r="BU27" s="1061">
        <v>0</v>
      </c>
      <c r="BV27" s="1062">
        <v>566</v>
      </c>
    </row>
    <row r="28" spans="2:75" ht="15" thickBot="1">
      <c r="B28" s="811" t="s">
        <v>393</v>
      </c>
      <c r="C28" s="812">
        <v>0</v>
      </c>
      <c r="D28" s="813">
        <v>0</v>
      </c>
      <c r="E28" s="813">
        <v>1</v>
      </c>
      <c r="F28" s="813">
        <v>0</v>
      </c>
      <c r="G28" s="813">
        <v>3</v>
      </c>
      <c r="H28" s="813">
        <v>4</v>
      </c>
      <c r="I28" s="813">
        <v>0</v>
      </c>
      <c r="J28" s="813">
        <v>2</v>
      </c>
      <c r="K28" s="813">
        <v>0</v>
      </c>
      <c r="L28" s="813">
        <v>0</v>
      </c>
      <c r="M28" s="813">
        <v>0</v>
      </c>
      <c r="N28" s="814">
        <v>2</v>
      </c>
      <c r="O28" s="812">
        <v>0</v>
      </c>
      <c r="P28" s="813">
        <v>0</v>
      </c>
      <c r="Q28" s="813">
        <v>0</v>
      </c>
      <c r="R28" s="813">
        <v>2</v>
      </c>
      <c r="S28" s="813">
        <v>0</v>
      </c>
      <c r="T28" s="813">
        <v>0</v>
      </c>
      <c r="U28" s="813">
        <v>22</v>
      </c>
      <c r="V28" s="813">
        <v>6</v>
      </c>
      <c r="W28" s="813">
        <v>0</v>
      </c>
      <c r="X28" s="813">
        <v>15</v>
      </c>
      <c r="Y28" s="813">
        <v>0</v>
      </c>
      <c r="Z28" s="814">
        <v>0</v>
      </c>
      <c r="AA28" s="812">
        <v>0</v>
      </c>
      <c r="AB28" s="813">
        <v>0</v>
      </c>
      <c r="AC28" s="813">
        <v>0</v>
      </c>
      <c r="AD28" s="813">
        <v>0</v>
      </c>
      <c r="AE28" s="813">
        <v>24</v>
      </c>
      <c r="AF28" s="813">
        <v>0</v>
      </c>
      <c r="AG28" s="813">
        <v>115</v>
      </c>
      <c r="AH28" s="813">
        <v>57</v>
      </c>
      <c r="AI28" s="813">
        <v>102</v>
      </c>
      <c r="AJ28" s="813">
        <v>195</v>
      </c>
      <c r="AK28" s="813">
        <v>0</v>
      </c>
      <c r="AL28" s="814">
        <v>27</v>
      </c>
      <c r="AM28" s="1079">
        <v>0</v>
      </c>
      <c r="AN28" s="1080">
        <v>0</v>
      </c>
      <c r="AO28" s="1080">
        <v>0</v>
      </c>
      <c r="AP28" s="1080">
        <v>0</v>
      </c>
      <c r="AQ28" s="1080">
        <v>12</v>
      </c>
      <c r="AR28" s="1080">
        <v>0</v>
      </c>
      <c r="AS28" s="1080">
        <v>156</v>
      </c>
      <c r="AT28" s="1080">
        <v>179</v>
      </c>
      <c r="AU28" s="1080">
        <v>19</v>
      </c>
      <c r="AV28" s="1080">
        <v>189</v>
      </c>
      <c r="AW28" s="1080">
        <v>0</v>
      </c>
      <c r="AX28" s="1081">
        <v>12</v>
      </c>
      <c r="AY28" s="1079">
        <v>0</v>
      </c>
      <c r="AZ28" s="1080">
        <v>0</v>
      </c>
      <c r="BA28" s="1080">
        <v>0</v>
      </c>
      <c r="BB28" s="1080">
        <v>0</v>
      </c>
      <c r="BC28" s="1080">
        <v>120</v>
      </c>
      <c r="BD28" s="1080">
        <v>0</v>
      </c>
      <c r="BE28" s="1080">
        <v>0</v>
      </c>
      <c r="BF28" s="1080">
        <v>0</v>
      </c>
      <c r="BG28" s="1080">
        <v>0</v>
      </c>
      <c r="BH28" s="1080">
        <v>24</v>
      </c>
      <c r="BI28" s="1080">
        <v>0</v>
      </c>
      <c r="BJ28" s="1081">
        <v>0</v>
      </c>
      <c r="BK28" s="1066">
        <v>0</v>
      </c>
      <c r="BL28" s="1067">
        <v>0</v>
      </c>
      <c r="BM28" s="1067">
        <v>0</v>
      </c>
      <c r="BN28" s="1067">
        <v>0</v>
      </c>
      <c r="BO28" s="1067">
        <v>0</v>
      </c>
      <c r="BP28" s="1067">
        <v>0</v>
      </c>
      <c r="BQ28" s="1067">
        <v>0</v>
      </c>
      <c r="BR28" s="1067">
        <v>0</v>
      </c>
      <c r="BS28" s="1067">
        <v>5</v>
      </c>
      <c r="BT28" s="1067">
        <v>51</v>
      </c>
      <c r="BU28" s="1067">
        <v>0</v>
      </c>
      <c r="BV28" s="1068">
        <v>39</v>
      </c>
    </row>
    <row r="29" spans="2:75" ht="15" thickBot="1">
      <c r="B29" s="817"/>
      <c r="C29" s="816"/>
      <c r="D29" s="817"/>
      <c r="E29" s="817"/>
      <c r="F29" s="817"/>
      <c r="G29" s="817"/>
      <c r="H29" s="817"/>
      <c r="I29" s="817"/>
      <c r="J29" s="817"/>
      <c r="K29" s="817"/>
      <c r="L29" s="818">
        <f>SUM(C9:L28)</f>
        <v>1071348</v>
      </c>
      <c r="M29" s="817"/>
      <c r="N29" s="817"/>
      <c r="O29" s="816"/>
      <c r="P29" s="817"/>
      <c r="Q29" s="817"/>
      <c r="R29" s="817"/>
      <c r="S29" s="817"/>
      <c r="T29" s="817"/>
      <c r="U29" s="817"/>
      <c r="V29" s="817"/>
      <c r="W29" s="817"/>
      <c r="X29" s="818">
        <f>SUM(O9:X28)</f>
        <v>189574</v>
      </c>
      <c r="Y29" s="817"/>
      <c r="Z29" s="817"/>
      <c r="AA29" s="817"/>
      <c r="AB29" s="816"/>
      <c r="AC29" s="817"/>
      <c r="AD29" s="817"/>
      <c r="AE29" s="817"/>
      <c r="AF29" s="817"/>
      <c r="AG29" s="817"/>
      <c r="AH29" s="817"/>
      <c r="AI29" s="817"/>
      <c r="AJ29" s="818">
        <f>SUM(AA9:AJ28)</f>
        <v>254957</v>
      </c>
      <c r="AK29" s="817"/>
      <c r="AL29" s="817"/>
      <c r="AM29" s="817"/>
      <c r="AN29" s="816"/>
      <c r="AO29" s="817"/>
      <c r="AP29" s="817"/>
      <c r="AQ29" s="817"/>
      <c r="AR29" s="817"/>
      <c r="AS29" s="817"/>
      <c r="AT29" s="817"/>
      <c r="AU29" s="817"/>
      <c r="AV29" s="818">
        <f>SUM(AM9:AV28)</f>
        <v>514673</v>
      </c>
      <c r="AW29" s="817"/>
      <c r="AX29" s="817"/>
      <c r="AY29" s="817"/>
      <c r="AZ29" s="816"/>
      <c r="BA29" s="817"/>
      <c r="BB29" s="817"/>
      <c r="BC29" s="817"/>
      <c r="BD29" s="817"/>
      <c r="BE29" s="817"/>
      <c r="BF29" s="817"/>
      <c r="BG29" s="817"/>
      <c r="BH29" s="818">
        <f>SUM(AY9:BH28)</f>
        <v>36924</v>
      </c>
      <c r="BI29" s="817"/>
      <c r="BJ29" s="817"/>
      <c r="BK29" s="817"/>
      <c r="BL29" s="816"/>
      <c r="BM29" s="817"/>
      <c r="BN29" s="817"/>
      <c r="BO29" s="817"/>
      <c r="BP29" s="817"/>
      <c r="BQ29" s="817"/>
      <c r="BR29" s="817"/>
      <c r="BS29" s="817"/>
      <c r="BT29" s="818">
        <f>SUM(BK9:BT28)</f>
        <v>46859</v>
      </c>
      <c r="BU29" s="817"/>
      <c r="BV29" s="817"/>
      <c r="BW29" s="817"/>
    </row>
    <row r="30" spans="2:75">
      <c r="B30" s="1522" t="s">
        <v>1147</v>
      </c>
      <c r="C30" s="1523"/>
      <c r="D30" s="1523"/>
      <c r="E30" s="1523"/>
      <c r="F30" s="845">
        <f>L29+X29+AJ29+AV29+BH29+BT29</f>
        <v>2114335</v>
      </c>
      <c r="G30" s="817"/>
      <c r="H30" s="817"/>
      <c r="I30" s="817"/>
      <c r="J30" s="817"/>
      <c r="K30" s="817"/>
      <c r="L30" s="818"/>
      <c r="M30" s="817"/>
      <c r="N30" s="817"/>
      <c r="O30" s="816"/>
      <c r="P30" s="817"/>
      <c r="Q30" s="817"/>
      <c r="R30" s="817"/>
      <c r="S30" s="817"/>
      <c r="T30" s="817"/>
      <c r="U30" s="817"/>
      <c r="V30" s="817"/>
      <c r="W30" s="817"/>
      <c r="X30" s="818"/>
      <c r="Y30" s="817"/>
      <c r="Z30" s="817"/>
      <c r="AA30" s="817"/>
      <c r="AB30" s="816"/>
      <c r="AC30" s="817"/>
      <c r="AD30" s="817"/>
      <c r="AE30" s="817"/>
      <c r="AF30" s="817"/>
      <c r="AG30" s="817"/>
      <c r="AH30" s="817"/>
      <c r="AI30" s="817"/>
      <c r="AJ30" s="818"/>
      <c r="AK30" s="817"/>
      <c r="AL30" s="817"/>
      <c r="AM30" s="817"/>
      <c r="AN30" s="816"/>
      <c r="AO30" s="817"/>
      <c r="AP30" s="817"/>
      <c r="AQ30" s="817"/>
      <c r="AR30" s="817"/>
      <c r="AS30" s="817"/>
      <c r="AT30" s="817"/>
      <c r="AU30" s="817"/>
      <c r="AV30" s="818"/>
      <c r="AW30" s="817"/>
      <c r="AX30" s="817"/>
      <c r="AY30" s="817"/>
      <c r="AZ30" s="816"/>
      <c r="BA30" s="817"/>
      <c r="BB30" s="817"/>
      <c r="BC30" s="817"/>
      <c r="BD30" s="817"/>
      <c r="BE30" s="817"/>
      <c r="BF30" s="817"/>
      <c r="BG30" s="817"/>
      <c r="BH30" s="818"/>
      <c r="BI30" s="817"/>
      <c r="BJ30" s="817"/>
      <c r="BK30" s="817"/>
      <c r="BL30" s="816"/>
      <c r="BM30" s="817"/>
      <c r="BN30" s="817"/>
      <c r="BO30" s="817"/>
      <c r="BP30" s="817"/>
      <c r="BQ30" s="817"/>
      <c r="BR30" s="817"/>
      <c r="BS30" s="817"/>
      <c r="BT30" s="818"/>
      <c r="BU30" s="817"/>
      <c r="BV30" s="817"/>
      <c r="BW30" s="817"/>
    </row>
    <row r="31" spans="2:75" ht="15" thickBot="1">
      <c r="B31" s="1524" t="s">
        <v>1148</v>
      </c>
      <c r="C31" s="1525"/>
      <c r="D31" s="1525"/>
      <c r="E31" s="1525"/>
      <c r="F31" s="846">
        <f>SUM(C9:BV28)</f>
        <v>2323925</v>
      </c>
      <c r="G31" s="817"/>
      <c r="H31" s="817"/>
      <c r="I31" s="817"/>
      <c r="J31" s="817"/>
      <c r="K31" s="817"/>
      <c r="L31" s="818"/>
      <c r="M31" s="817"/>
      <c r="N31" s="817"/>
      <c r="O31" s="816"/>
      <c r="P31" s="817"/>
      <c r="Q31" s="817"/>
      <c r="R31" s="817"/>
      <c r="S31" s="817"/>
      <c r="T31" s="817"/>
      <c r="U31" s="817"/>
      <c r="V31" s="817"/>
      <c r="W31" s="817"/>
      <c r="X31" s="818"/>
      <c r="Y31" s="817"/>
      <c r="Z31" s="817"/>
      <c r="AA31" s="817"/>
      <c r="AB31" s="816"/>
      <c r="AC31" s="817"/>
      <c r="AD31" s="817"/>
      <c r="AE31" s="817"/>
      <c r="AF31" s="817"/>
      <c r="AG31" s="817"/>
      <c r="AH31" s="817"/>
      <c r="AI31" s="817"/>
      <c r="AJ31" s="818"/>
      <c r="AK31" s="817"/>
      <c r="AL31" s="817"/>
      <c r="AM31" s="817"/>
      <c r="AN31" s="816"/>
      <c r="AO31" s="817"/>
      <c r="AP31" s="817"/>
      <c r="AQ31" s="817"/>
      <c r="AR31" s="817"/>
      <c r="AS31" s="817"/>
      <c r="AT31" s="817"/>
      <c r="AU31" s="817"/>
      <c r="AV31" s="818"/>
      <c r="AW31" s="817"/>
      <c r="AX31" s="817"/>
      <c r="AY31" s="817"/>
      <c r="AZ31" s="816"/>
      <c r="BA31" s="817"/>
      <c r="BB31" s="817"/>
      <c r="BC31" s="817"/>
      <c r="BD31" s="817"/>
      <c r="BE31" s="817"/>
      <c r="BF31" s="817"/>
      <c r="BG31" s="817"/>
      <c r="BH31" s="818"/>
      <c r="BI31" s="817"/>
      <c r="BJ31" s="817"/>
      <c r="BK31" s="817"/>
      <c r="BL31" s="816"/>
      <c r="BM31" s="817"/>
      <c r="BN31" s="817"/>
      <c r="BO31" s="817"/>
      <c r="BP31" s="817"/>
      <c r="BQ31" s="817"/>
      <c r="BR31" s="817"/>
      <c r="BS31" s="817"/>
      <c r="BT31" s="818"/>
      <c r="BU31" s="817"/>
      <c r="BV31" s="817"/>
      <c r="BW31" s="817"/>
    </row>
    <row r="32" spans="2:75" ht="16.2" thickBot="1">
      <c r="B32" s="847" t="s">
        <v>1156</v>
      </c>
      <c r="C32" s="848"/>
      <c r="D32" s="848"/>
      <c r="E32" s="848"/>
      <c r="F32" s="849">
        <f>SUM(C9:BJ27)</f>
        <v>2262219</v>
      </c>
      <c r="G32" s="817"/>
      <c r="H32" s="817"/>
      <c r="I32" s="817"/>
      <c r="J32" s="817"/>
      <c r="K32" s="817"/>
      <c r="L32" s="818"/>
      <c r="M32" s="817"/>
      <c r="N32" s="817"/>
      <c r="O32" s="816"/>
      <c r="P32" s="817"/>
      <c r="Q32" s="817"/>
      <c r="R32" s="817"/>
      <c r="S32" s="817"/>
      <c r="T32" s="817"/>
      <c r="U32" s="817"/>
      <c r="V32" s="817"/>
      <c r="W32" s="817"/>
      <c r="X32" s="818"/>
      <c r="Y32" s="817"/>
      <c r="Z32" s="817"/>
      <c r="AA32" s="817"/>
      <c r="AB32" s="816"/>
      <c r="AC32" s="817"/>
      <c r="AD32" s="817"/>
      <c r="AE32" s="817"/>
      <c r="AF32" s="817"/>
      <c r="AG32" s="817"/>
      <c r="AH32" s="817"/>
      <c r="AI32" s="817"/>
      <c r="AJ32" s="818"/>
      <c r="AK32" s="817"/>
      <c r="AL32" s="817"/>
      <c r="AM32" s="817"/>
      <c r="AN32" s="816"/>
      <c r="AO32" s="817"/>
      <c r="AP32" s="817"/>
      <c r="AQ32" s="817"/>
      <c r="AR32" s="817"/>
      <c r="AS32" s="817"/>
      <c r="AT32" s="817"/>
      <c r="AU32" s="817"/>
      <c r="AV32" s="818"/>
      <c r="AW32" s="817"/>
      <c r="AX32" s="817"/>
      <c r="AY32" s="817"/>
      <c r="AZ32" s="816"/>
      <c r="BA32" s="817"/>
      <c r="BB32" s="817"/>
      <c r="BC32" s="817"/>
      <c r="BD32" s="817"/>
      <c r="BE32" s="817"/>
      <c r="BF32" s="817"/>
      <c r="BG32" s="817"/>
      <c r="BH32" s="818"/>
      <c r="BI32" s="817"/>
      <c r="BJ32" s="817"/>
      <c r="BK32" s="817"/>
      <c r="BL32" s="816"/>
      <c r="BM32" s="817"/>
      <c r="BN32" s="817"/>
      <c r="BO32" s="817"/>
      <c r="BP32" s="817"/>
      <c r="BQ32" s="817"/>
      <c r="BR32" s="817"/>
      <c r="BS32" s="817"/>
      <c r="BT32" s="818"/>
      <c r="BU32" s="817"/>
      <c r="BV32" s="817"/>
      <c r="BW32" s="817"/>
    </row>
    <row r="33" spans="1:75">
      <c r="B33" s="602"/>
      <c r="C33" s="602"/>
      <c r="D33" s="602"/>
      <c r="E33" s="602"/>
      <c r="F33" s="819"/>
      <c r="G33" s="817"/>
      <c r="H33" s="817"/>
      <c r="I33" s="817"/>
      <c r="J33" s="817"/>
      <c r="K33" s="817"/>
      <c r="L33" s="818"/>
      <c r="M33" s="817"/>
      <c r="N33" s="817"/>
      <c r="O33" s="816"/>
      <c r="P33" s="817"/>
      <c r="Q33" s="817"/>
      <c r="R33" s="817"/>
      <c r="S33" s="817"/>
      <c r="T33" s="817"/>
      <c r="U33" s="817"/>
      <c r="V33" s="817"/>
      <c r="W33" s="817"/>
      <c r="X33" s="818"/>
      <c r="Y33" s="817"/>
      <c r="Z33" s="817"/>
      <c r="AA33" s="817"/>
      <c r="AB33" s="816"/>
      <c r="AC33" s="817"/>
      <c r="AD33" s="817"/>
      <c r="AE33" s="817"/>
      <c r="AF33" s="817"/>
      <c r="AG33" s="817"/>
      <c r="AH33" s="817"/>
      <c r="AI33" s="817"/>
      <c r="AJ33" s="818"/>
      <c r="AK33" s="817"/>
      <c r="AL33" s="817"/>
      <c r="AM33" s="817"/>
      <c r="AN33" s="816"/>
      <c r="AO33" s="817"/>
      <c r="AP33" s="817"/>
      <c r="AQ33" s="817"/>
      <c r="AR33" s="817"/>
      <c r="AS33" s="817"/>
      <c r="AT33" s="817"/>
      <c r="AU33" s="817"/>
      <c r="AV33" s="818"/>
      <c r="AW33" s="817"/>
      <c r="AX33" s="817"/>
      <c r="AY33" s="817"/>
      <c r="AZ33" s="816"/>
      <c r="BA33" s="817"/>
      <c r="BB33" s="817"/>
      <c r="BC33" s="817"/>
      <c r="BD33" s="817"/>
      <c r="BE33" s="817"/>
      <c r="BF33" s="817"/>
      <c r="BG33" s="817"/>
      <c r="BH33" s="818"/>
      <c r="BI33" s="817"/>
      <c r="BJ33" s="817"/>
      <c r="BK33" s="817"/>
      <c r="BL33" s="816"/>
      <c r="BM33" s="817"/>
      <c r="BN33" s="817"/>
      <c r="BO33" s="817"/>
      <c r="BP33" s="817"/>
      <c r="BQ33" s="817"/>
      <c r="BR33" s="817"/>
      <c r="BS33" s="817"/>
      <c r="BT33" s="818"/>
      <c r="BU33" s="817"/>
      <c r="BV33" s="817"/>
      <c r="BW33" s="817"/>
    </row>
    <row r="34" spans="1:75">
      <c r="B34" s="602"/>
      <c r="C34" s="602"/>
      <c r="D34" s="602"/>
      <c r="E34" s="602"/>
      <c r="F34" s="819"/>
      <c r="G34" s="817"/>
      <c r="H34" s="817"/>
      <c r="I34" s="817"/>
      <c r="J34" s="817"/>
      <c r="K34" s="817"/>
      <c r="L34" s="818"/>
      <c r="M34" s="817"/>
      <c r="N34" s="817"/>
      <c r="O34" s="816"/>
      <c r="P34" s="817"/>
      <c r="Q34" s="817"/>
      <c r="R34" s="817"/>
      <c r="S34" s="817"/>
      <c r="T34" s="817"/>
      <c r="U34" s="817"/>
      <c r="V34" s="817"/>
      <c r="W34" s="817"/>
      <c r="X34" s="818"/>
      <c r="Y34" s="817"/>
      <c r="Z34" s="817"/>
      <c r="AA34" s="817"/>
      <c r="AB34" s="816"/>
      <c r="AC34" s="817"/>
      <c r="AD34" s="817"/>
      <c r="AE34" s="817"/>
      <c r="AF34" s="817"/>
      <c r="AG34" s="817"/>
      <c r="AH34" s="817"/>
      <c r="AI34" s="817"/>
      <c r="AJ34" s="818"/>
      <c r="AK34" s="817"/>
      <c r="AL34" s="817"/>
      <c r="AM34" s="817"/>
      <c r="AN34" s="816"/>
      <c r="AO34" s="817"/>
      <c r="AP34" s="817"/>
      <c r="AQ34" s="817"/>
      <c r="AR34" s="817"/>
      <c r="AS34" s="817"/>
      <c r="AT34" s="817"/>
      <c r="AU34" s="817"/>
      <c r="AV34" s="818"/>
      <c r="AW34" s="817"/>
      <c r="AX34" s="817"/>
      <c r="AY34" s="817"/>
      <c r="AZ34" s="816"/>
      <c r="BA34" s="817"/>
      <c r="BB34" s="817"/>
      <c r="BC34" s="817"/>
      <c r="BD34" s="817"/>
      <c r="BE34" s="817"/>
      <c r="BF34" s="817"/>
      <c r="BG34" s="817"/>
      <c r="BH34" s="818"/>
      <c r="BI34" s="817"/>
      <c r="BJ34" s="817"/>
      <c r="BK34" s="817"/>
      <c r="BL34" s="816"/>
      <c r="BM34" s="817"/>
      <c r="BN34" s="817"/>
      <c r="BO34" s="817"/>
      <c r="BP34" s="817"/>
      <c r="BQ34" s="817"/>
      <c r="BR34" s="817"/>
      <c r="BS34" s="817"/>
      <c r="BT34" s="818"/>
      <c r="BU34" s="817"/>
      <c r="BV34" s="817"/>
      <c r="BW34" s="817"/>
    </row>
    <row r="35" spans="1:75">
      <c r="B35" s="602"/>
      <c r="C35" s="602"/>
      <c r="D35" s="602"/>
      <c r="E35" s="602"/>
      <c r="F35" s="819"/>
      <c r="G35" s="817"/>
      <c r="H35" s="817"/>
      <c r="I35" s="817"/>
      <c r="J35" s="817"/>
      <c r="K35" s="817"/>
      <c r="L35" s="818"/>
      <c r="M35" s="817"/>
      <c r="N35" s="817"/>
      <c r="O35" s="816"/>
      <c r="P35" s="817"/>
      <c r="Q35" s="817"/>
      <c r="R35" s="817"/>
      <c r="S35" s="817"/>
      <c r="T35" s="817"/>
      <c r="U35" s="817"/>
      <c r="V35" s="817"/>
      <c r="W35" s="817"/>
      <c r="X35" s="818"/>
      <c r="Y35" s="817"/>
      <c r="Z35" s="817"/>
      <c r="AA35" s="817"/>
      <c r="AB35" s="816"/>
      <c r="AC35" s="817"/>
      <c r="AD35" s="817"/>
      <c r="AE35" s="817"/>
      <c r="AF35" s="817"/>
      <c r="AG35" s="817"/>
      <c r="AH35" s="817"/>
      <c r="AI35" s="817"/>
      <c r="AJ35" s="818"/>
      <c r="AK35" s="817"/>
      <c r="AL35" s="817"/>
      <c r="AM35" s="817"/>
      <c r="AN35" s="816"/>
      <c r="AO35" s="817"/>
      <c r="AP35" s="817"/>
      <c r="AQ35" s="817"/>
      <c r="AR35" s="817"/>
      <c r="AS35" s="817"/>
      <c r="AT35" s="817"/>
      <c r="AU35" s="817"/>
      <c r="AV35" s="818"/>
      <c r="AW35" s="817"/>
      <c r="AX35" s="817"/>
      <c r="AY35" s="817"/>
      <c r="AZ35" s="816"/>
      <c r="BA35" s="817"/>
      <c r="BB35" s="817"/>
      <c r="BC35" s="817"/>
      <c r="BD35" s="817"/>
      <c r="BE35" s="817"/>
      <c r="BF35" s="817"/>
      <c r="BG35" s="817"/>
      <c r="BH35" s="818"/>
      <c r="BI35" s="817"/>
      <c r="BJ35" s="817"/>
      <c r="BK35" s="817"/>
      <c r="BL35" s="816"/>
      <c r="BM35" s="817"/>
      <c r="BN35" s="817"/>
      <c r="BO35" s="817"/>
      <c r="BP35" s="817"/>
      <c r="BQ35" s="817"/>
      <c r="BR35" s="817"/>
      <c r="BS35" s="817"/>
      <c r="BT35" s="818"/>
      <c r="BU35" s="817"/>
      <c r="BV35" s="817"/>
      <c r="BW35" s="817"/>
    </row>
    <row r="36" spans="1:75" ht="16.2" thickBot="1">
      <c r="C36" s="1006" t="s">
        <v>1169</v>
      </c>
      <c r="D36" s="760"/>
      <c r="E36" s="760"/>
      <c r="F36" s="760"/>
      <c r="G36" s="760"/>
      <c r="H36" s="760"/>
      <c r="I36" s="760"/>
      <c r="J36" s="760"/>
      <c r="K36" s="760"/>
      <c r="L36" s="889"/>
      <c r="M36" s="889"/>
      <c r="N36" s="889"/>
      <c r="U36" s="817"/>
      <c r="V36" s="817"/>
      <c r="W36" s="817"/>
      <c r="X36" s="818"/>
      <c r="Y36" s="817"/>
      <c r="Z36" s="817"/>
      <c r="AA36" s="817"/>
      <c r="AB36" s="816"/>
      <c r="AC36" s="817"/>
      <c r="AD36" s="817"/>
      <c r="AE36" s="817"/>
      <c r="AF36" s="817"/>
      <c r="AG36" s="817"/>
      <c r="AH36" s="817"/>
      <c r="AI36" s="817"/>
      <c r="AJ36" s="818"/>
      <c r="AK36" s="817"/>
      <c r="AL36" s="817"/>
      <c r="AM36" s="817"/>
      <c r="AN36" s="816"/>
      <c r="AO36" s="817"/>
      <c r="AP36" s="817"/>
      <c r="AQ36" s="817"/>
      <c r="AR36" s="817"/>
      <c r="AS36" s="817"/>
      <c r="AT36" s="817"/>
      <c r="AU36" s="817"/>
      <c r="AV36" s="818"/>
      <c r="AW36" s="817"/>
      <c r="AX36" s="817"/>
      <c r="AY36" s="817"/>
      <c r="AZ36" s="816"/>
      <c r="BA36" s="817"/>
      <c r="BB36" s="817"/>
      <c r="BC36" s="817"/>
      <c r="BD36" s="817"/>
      <c r="BE36" s="817"/>
      <c r="BF36" s="817"/>
      <c r="BG36" s="817"/>
      <c r="BH36" s="818"/>
      <c r="BI36" s="817"/>
      <c r="BJ36" s="817"/>
      <c r="BK36" s="817"/>
      <c r="BL36" s="816"/>
      <c r="BM36" s="817"/>
      <c r="BN36" s="817"/>
      <c r="BO36" s="817"/>
      <c r="BP36" s="817"/>
      <c r="BQ36" s="817"/>
      <c r="BR36" s="817"/>
      <c r="BS36" s="817"/>
      <c r="BT36" s="818"/>
      <c r="BU36" s="817"/>
      <c r="BV36" s="817"/>
      <c r="BW36" s="817"/>
    </row>
    <row r="37" spans="1:75">
      <c r="C37" s="1507" t="s">
        <v>176</v>
      </c>
      <c r="D37" s="1508"/>
      <c r="E37" s="1508"/>
      <c r="F37" s="1509" t="s">
        <v>348</v>
      </c>
      <c r="G37" s="1509"/>
      <c r="H37" s="1510"/>
      <c r="I37" s="1532" t="s">
        <v>412</v>
      </c>
      <c r="J37" s="1533"/>
      <c r="K37" s="1534"/>
      <c r="L37" s="519">
        <v>0.02</v>
      </c>
      <c r="N37" s="274"/>
      <c r="U37" s="817"/>
      <c r="V37" s="817"/>
      <c r="W37" s="817"/>
      <c r="X37" s="818"/>
      <c r="Y37" s="817"/>
      <c r="Z37" s="817"/>
      <c r="AA37" s="817"/>
      <c r="AB37" s="816"/>
      <c r="AC37" s="817"/>
      <c r="AD37" s="817"/>
      <c r="AE37" s="817"/>
      <c r="AF37" s="817"/>
      <c r="AG37" s="817"/>
      <c r="AH37" s="817"/>
      <c r="AI37" s="817"/>
      <c r="AJ37" s="818"/>
      <c r="AK37" s="817"/>
      <c r="AL37" s="817"/>
      <c r="AM37" s="817"/>
      <c r="AN37" s="816"/>
      <c r="AO37" s="817"/>
      <c r="AP37" s="817"/>
      <c r="AQ37" s="817"/>
      <c r="AR37" s="817"/>
      <c r="AS37" s="817"/>
      <c r="AT37" s="817"/>
      <c r="AU37" s="817"/>
      <c r="AV37" s="818"/>
      <c r="AW37" s="817"/>
      <c r="AX37" s="817"/>
      <c r="AY37" s="817"/>
      <c r="AZ37" s="816"/>
      <c r="BA37" s="817"/>
      <c r="BB37" s="817"/>
      <c r="BC37" s="817"/>
      <c r="BD37" s="817"/>
      <c r="BE37" s="817"/>
      <c r="BF37" s="817"/>
      <c r="BG37" s="817"/>
      <c r="BH37" s="818"/>
      <c r="BI37" s="817"/>
      <c r="BJ37" s="817"/>
      <c r="BK37" s="817"/>
      <c r="BL37" s="816"/>
      <c r="BM37" s="817"/>
      <c r="BN37" s="817"/>
      <c r="BO37" s="817"/>
      <c r="BP37" s="817"/>
      <c r="BQ37" s="817"/>
      <c r="BR37" s="817"/>
      <c r="BS37" s="817"/>
      <c r="BT37" s="818"/>
      <c r="BU37" s="817"/>
      <c r="BV37" s="817"/>
      <c r="BW37" s="817"/>
    </row>
    <row r="38" spans="1:75" ht="15" thickBot="1">
      <c r="C38" s="1022" t="s">
        <v>404</v>
      </c>
      <c r="D38" s="1023" t="s">
        <v>456</v>
      </c>
      <c r="E38" s="853" t="s">
        <v>407</v>
      </c>
      <c r="F38" s="1082" t="s">
        <v>404</v>
      </c>
      <c r="G38" s="1083" t="s">
        <v>456</v>
      </c>
      <c r="H38" s="1084" t="s">
        <v>407</v>
      </c>
      <c r="I38" s="907" t="s">
        <v>148</v>
      </c>
      <c r="J38" s="908" t="s">
        <v>149</v>
      </c>
      <c r="K38" s="909" t="s">
        <v>177</v>
      </c>
      <c r="U38" s="817"/>
      <c r="V38" s="817"/>
      <c r="W38" s="817"/>
      <c r="X38" s="817"/>
      <c r="Y38" s="817"/>
      <c r="Z38" s="817"/>
      <c r="AA38" s="817"/>
      <c r="AB38" s="816"/>
      <c r="AC38" s="817"/>
      <c r="AD38" s="817"/>
      <c r="AE38" s="817"/>
      <c r="AF38" s="817"/>
      <c r="AG38" s="817"/>
      <c r="AH38" s="817"/>
      <c r="AI38" s="817"/>
      <c r="AJ38" s="817"/>
      <c r="AK38" s="817"/>
      <c r="AL38" s="817"/>
      <c r="AM38" s="817"/>
      <c r="AN38" s="816"/>
      <c r="AO38" s="817"/>
      <c r="AP38" s="817"/>
      <c r="AQ38" s="817"/>
      <c r="AR38" s="817"/>
      <c r="AS38" s="817"/>
      <c r="AT38" s="817"/>
      <c r="AU38" s="817"/>
      <c r="AV38" s="817"/>
      <c r="AW38" s="817"/>
      <c r="AX38" s="817"/>
      <c r="AY38" s="817"/>
      <c r="AZ38" s="816"/>
      <c r="BA38" s="817"/>
      <c r="BB38" s="817"/>
      <c r="BC38" s="817"/>
      <c r="BD38" s="817"/>
      <c r="BE38" s="817"/>
      <c r="BF38" s="817"/>
      <c r="BG38" s="817"/>
      <c r="BH38" s="817"/>
      <c r="BI38" s="817"/>
      <c r="BJ38" s="817"/>
      <c r="BK38" s="817"/>
      <c r="BL38" s="816"/>
      <c r="BM38" s="817"/>
      <c r="BN38" s="817"/>
      <c r="BO38" s="817"/>
      <c r="BP38" s="817"/>
      <c r="BQ38" s="817"/>
      <c r="BR38" s="817"/>
      <c r="BS38" s="817"/>
      <c r="BT38" s="817"/>
      <c r="BU38" s="817"/>
      <c r="BV38" s="817"/>
      <c r="BW38" s="817"/>
    </row>
    <row r="39" spans="1:75">
      <c r="A39" s="1487" t="s">
        <v>1022</v>
      </c>
      <c r="B39" s="269" t="s">
        <v>374</v>
      </c>
      <c r="C39" s="879">
        <f>SUM(C9:H9)+N9*SUM(C9:H9)/SUM(C9:L9)+SUM(O9:T9)+Z9*SUM(O9:T9)/SUM(O9:X9)+SUM(AA9:AF9)+AL9*SUM(AA9:AF9)/SUM(AA9:AJ9)</f>
        <v>52918.698488747948</v>
      </c>
      <c r="D39" s="880">
        <f>SUM(I9:L9)+N9*SUM(I9:L9)/SUM(C9:L9)+SUM(U9:X9)+Z9*SUM(U9:X9)/SUM(O9:X9)+SUM(AG9:AJ9)+AL9*SUM(AG9:AJ9)/SUM(AA9:AJ9)</f>
        <v>48918.301511252052</v>
      </c>
      <c r="E39" s="880">
        <f>M9+Y9+AK9</f>
        <v>0</v>
      </c>
      <c r="F39" s="1085">
        <f>SUM(AM9:AR9)+AX9*SUM(AM9:AR9)/SUM(AM9:AV9)+SUM(AY9:BD9)+BJ9*SUM(AY9:BD9)/SUM(AY9:BH9)</f>
        <v>6671.963711408559</v>
      </c>
      <c r="G39" s="882">
        <f>SUM(AS9:AV9)+AX9*SUM(AS9:AV9)/SUM(AM9:AV9)+SUM(BE9:BH9)+BJ9*SUM(BE9:BH9)/SUM(AY9:BH9)</f>
        <v>12784.036288591442</v>
      </c>
      <c r="H39" s="883">
        <f>AW9+BI9</f>
        <v>0</v>
      </c>
      <c r="I39" s="910">
        <v>0</v>
      </c>
      <c r="J39" s="910">
        <f>$L$37</f>
        <v>0.02</v>
      </c>
      <c r="K39" s="911">
        <f>1-I39-J39</f>
        <v>0.98</v>
      </c>
      <c r="L39" s="844"/>
      <c r="M39" s="844"/>
      <c r="N39" s="844"/>
      <c r="AZ39" s="817"/>
      <c r="BA39" s="817"/>
      <c r="BB39" s="817"/>
      <c r="BC39" s="817"/>
      <c r="BD39" s="817"/>
      <c r="BE39" s="817"/>
      <c r="BF39" s="817"/>
      <c r="BG39" s="817"/>
      <c r="BH39" s="817"/>
      <c r="BI39" s="817"/>
      <c r="BJ39" s="817"/>
      <c r="BK39" s="817"/>
      <c r="BL39" s="817"/>
      <c r="BM39" s="817"/>
    </row>
    <row r="40" spans="1:75">
      <c r="A40" s="1487"/>
      <c r="B40" s="269" t="s">
        <v>375</v>
      </c>
      <c r="C40" s="838">
        <f t="shared" ref="C40:C57" si="0">SUM(C10:H10)+N10*SUM(C10:H10)/SUM(C10:L10)+SUM(O10:T10)+Z10*SUM(O10:T10)/SUM(O10:X10)+SUM(AA10:AF10)+AL10*SUM(AA10:AF10)/SUM(AA10:AJ10)</f>
        <v>69312.382555785865</v>
      </c>
      <c r="D40" s="839">
        <f t="shared" ref="D40:D57" si="1">SUM(I10:L10)+N10*SUM(I10:L10)/SUM(C10:L10)+SUM(U10:X10)+Z10*SUM(U10:X10)/SUM(O10:X10)+SUM(AG10:AJ10)+AL10*SUM(AG10:AJ10)/SUM(AA10:AJ10)</f>
        <v>104033.61744421413</v>
      </c>
      <c r="E40" s="839">
        <f t="shared" ref="E40:E57" si="2">M10+Y10+AK10</f>
        <v>0</v>
      </c>
      <c r="F40" s="1086">
        <f t="shared" ref="F40:F57" si="3">SUM(AM10:AR10)+AX10*SUM(AM10:AR10)/SUM(AM10:AV10)+SUM(AY10:BD10)+BJ10*SUM(AY10:BD10)/SUM(AY10:BH10)</f>
        <v>15050.825184480886</v>
      </c>
      <c r="G40" s="874">
        <f t="shared" ref="G40:G57" si="4">SUM(AS10:AV10)+AX10*SUM(AS10:AV10)/SUM(AM10:AV10)+SUM(BE10:BH10)+BJ10*SUM(BE10:BH10)/SUM(AY10:BH10)</f>
        <v>31473.174815519113</v>
      </c>
      <c r="H40" s="875">
        <f t="shared" ref="H40:H57" si="5">AW10+BI10</f>
        <v>0</v>
      </c>
      <c r="I40" s="912">
        <v>0</v>
      </c>
      <c r="J40" s="912">
        <f>$L$37</f>
        <v>0.02</v>
      </c>
      <c r="K40" s="913">
        <f t="shared" ref="K40:K57" si="6">1-I40-J40</f>
        <v>0.98</v>
      </c>
      <c r="L40" s="844"/>
      <c r="M40" s="844"/>
      <c r="N40" s="844"/>
      <c r="AZ40" s="817"/>
      <c r="BA40" s="817"/>
      <c r="BB40" s="817"/>
      <c r="BC40" s="817"/>
      <c r="BD40" s="817"/>
      <c r="BE40" s="817"/>
      <c r="BF40" s="817"/>
      <c r="BG40" s="817"/>
      <c r="BH40" s="817"/>
      <c r="BI40" s="817"/>
      <c r="BJ40" s="817"/>
      <c r="BK40" s="817"/>
      <c r="BL40" s="817"/>
      <c r="BM40" s="817"/>
    </row>
    <row r="41" spans="1:75">
      <c r="A41" s="1487"/>
      <c r="B41" s="269" t="s">
        <v>376</v>
      </c>
      <c r="C41" s="838">
        <f t="shared" si="0"/>
        <v>38846.449214933229</v>
      </c>
      <c r="D41" s="839">
        <f t="shared" si="1"/>
        <v>35773.550785066771</v>
      </c>
      <c r="E41" s="839">
        <f t="shared" si="2"/>
        <v>0</v>
      </c>
      <c r="F41" s="1086">
        <f t="shared" si="3"/>
        <v>136883.24140294365</v>
      </c>
      <c r="G41" s="874">
        <f t="shared" si="4"/>
        <v>91867.758597056381</v>
      </c>
      <c r="H41" s="875">
        <f t="shared" si="5"/>
        <v>0</v>
      </c>
      <c r="I41" s="912">
        <f>L37</f>
        <v>0.02</v>
      </c>
      <c r="J41" s="912">
        <v>0</v>
      </c>
      <c r="K41" s="913">
        <f t="shared" si="6"/>
        <v>0.98</v>
      </c>
      <c r="L41" s="844"/>
      <c r="M41" s="844"/>
      <c r="N41" s="844"/>
      <c r="AZ41" s="817"/>
      <c r="BA41" s="817"/>
      <c r="BB41" s="817"/>
      <c r="BC41" s="817"/>
      <c r="BD41" s="817"/>
      <c r="BE41" s="817"/>
      <c r="BF41" s="817"/>
      <c r="BG41" s="817"/>
      <c r="BH41" s="817"/>
      <c r="BI41" s="817"/>
      <c r="BJ41" s="817"/>
      <c r="BK41" s="817"/>
      <c r="BL41" s="817"/>
      <c r="BM41" s="817"/>
    </row>
    <row r="42" spans="1:75">
      <c r="A42" s="1487"/>
      <c r="B42" s="269" t="s">
        <v>377</v>
      </c>
      <c r="C42" s="838">
        <f t="shared" si="0"/>
        <v>38424.680862102308</v>
      </c>
      <c r="D42" s="839">
        <f t="shared" si="1"/>
        <v>44933.319137897692</v>
      </c>
      <c r="E42" s="839">
        <f t="shared" si="2"/>
        <v>0</v>
      </c>
      <c r="F42" s="1086">
        <f t="shared" si="3"/>
        <v>3017.9274095403948</v>
      </c>
      <c r="G42" s="874">
        <f t="shared" si="4"/>
        <v>6920.0725904596047</v>
      </c>
      <c r="H42" s="875">
        <f t="shared" si="5"/>
        <v>0</v>
      </c>
      <c r="I42" s="912">
        <v>0</v>
      </c>
      <c r="J42" s="912">
        <f t="shared" ref="J42:J48" si="7">$L$37</f>
        <v>0.02</v>
      </c>
      <c r="K42" s="913">
        <f t="shared" si="6"/>
        <v>0.98</v>
      </c>
      <c r="L42" s="844"/>
      <c r="M42" s="844"/>
      <c r="N42" s="844"/>
    </row>
    <row r="43" spans="1:75">
      <c r="A43" s="1487"/>
      <c r="B43" s="269" t="s">
        <v>378</v>
      </c>
      <c r="C43" s="838">
        <f t="shared" si="0"/>
        <v>39351.358381930928</v>
      </c>
      <c r="D43" s="839">
        <f t="shared" si="1"/>
        <v>43692.641618069072</v>
      </c>
      <c r="E43" s="839">
        <f t="shared" si="2"/>
        <v>0</v>
      </c>
      <c r="F43" s="1086">
        <f t="shared" si="3"/>
        <v>1956.7565307055086</v>
      </c>
      <c r="G43" s="874">
        <f t="shared" si="4"/>
        <v>6010.2434692944917</v>
      </c>
      <c r="H43" s="875">
        <f t="shared" si="5"/>
        <v>0</v>
      </c>
      <c r="I43" s="912">
        <v>0</v>
      </c>
      <c r="J43" s="912">
        <f t="shared" si="7"/>
        <v>0.02</v>
      </c>
      <c r="K43" s="913">
        <f t="shared" si="6"/>
        <v>0.98</v>
      </c>
      <c r="L43" s="844"/>
      <c r="M43" s="844"/>
      <c r="N43" s="844"/>
    </row>
    <row r="44" spans="1:75">
      <c r="A44" s="1487"/>
      <c r="B44" s="269" t="s">
        <v>379</v>
      </c>
      <c r="C44" s="838">
        <f t="shared" si="0"/>
        <v>44451.35824015383</v>
      </c>
      <c r="D44" s="839">
        <f t="shared" si="1"/>
        <v>52749.64175984617</v>
      </c>
      <c r="E44" s="839">
        <f t="shared" si="2"/>
        <v>0</v>
      </c>
      <c r="F44" s="1086">
        <f t="shared" si="3"/>
        <v>6033.3967916778947</v>
      </c>
      <c r="G44" s="874">
        <f t="shared" si="4"/>
        <v>14456.603208322105</v>
      </c>
      <c r="H44" s="875">
        <f t="shared" si="5"/>
        <v>0</v>
      </c>
      <c r="I44" s="912">
        <v>0</v>
      </c>
      <c r="J44" s="912">
        <f t="shared" si="7"/>
        <v>0.02</v>
      </c>
      <c r="K44" s="913">
        <f t="shared" si="6"/>
        <v>0.98</v>
      </c>
      <c r="L44" s="844"/>
      <c r="M44" s="844"/>
      <c r="N44" s="844"/>
    </row>
    <row r="45" spans="1:75">
      <c r="A45" s="1487"/>
      <c r="B45" s="269" t="s">
        <v>380</v>
      </c>
      <c r="C45" s="838">
        <f t="shared" si="0"/>
        <v>42523.12237603432</v>
      </c>
      <c r="D45" s="839">
        <f t="shared" si="1"/>
        <v>43479.877623965673</v>
      </c>
      <c r="E45" s="839">
        <f t="shared" si="2"/>
        <v>0</v>
      </c>
      <c r="F45" s="1086">
        <f t="shared" si="3"/>
        <v>3286.0526280096055</v>
      </c>
      <c r="G45" s="874">
        <f t="shared" si="4"/>
        <v>12036.947371990394</v>
      </c>
      <c r="H45" s="875">
        <f t="shared" si="5"/>
        <v>0</v>
      </c>
      <c r="I45" s="912">
        <v>0</v>
      </c>
      <c r="J45" s="912">
        <f t="shared" si="7"/>
        <v>0.02</v>
      </c>
      <c r="K45" s="913">
        <f t="shared" si="6"/>
        <v>0.98</v>
      </c>
      <c r="L45" s="844"/>
      <c r="M45" s="844"/>
      <c r="N45" s="844"/>
    </row>
    <row r="46" spans="1:75">
      <c r="A46" s="1487"/>
      <c r="B46" s="269" t="s">
        <v>381</v>
      </c>
      <c r="C46" s="838">
        <f t="shared" si="0"/>
        <v>36537.601812125104</v>
      </c>
      <c r="D46" s="839">
        <f t="shared" si="1"/>
        <v>32851.398187874896</v>
      </c>
      <c r="E46" s="839">
        <f t="shared" si="2"/>
        <v>0</v>
      </c>
      <c r="F46" s="1086">
        <f t="shared" si="3"/>
        <v>4256.9713380159337</v>
      </c>
      <c r="G46" s="874">
        <f t="shared" si="4"/>
        <v>6658.0286619840663</v>
      </c>
      <c r="H46" s="875">
        <f t="shared" si="5"/>
        <v>0</v>
      </c>
      <c r="I46" s="912">
        <v>0</v>
      </c>
      <c r="J46" s="912">
        <f t="shared" si="7"/>
        <v>0.02</v>
      </c>
      <c r="K46" s="913">
        <f t="shared" si="6"/>
        <v>0.98</v>
      </c>
      <c r="L46" s="844"/>
      <c r="M46" s="844"/>
      <c r="N46" s="844"/>
    </row>
    <row r="47" spans="1:75">
      <c r="A47" s="1487"/>
      <c r="B47" s="269" t="s">
        <v>382</v>
      </c>
      <c r="C47" s="838">
        <f t="shared" si="0"/>
        <v>19613.734519127469</v>
      </c>
      <c r="D47" s="839">
        <f t="shared" si="1"/>
        <v>26060.265480872531</v>
      </c>
      <c r="E47" s="839">
        <f t="shared" si="2"/>
        <v>0</v>
      </c>
      <c r="F47" s="1086">
        <f t="shared" si="3"/>
        <v>620.26648616881744</v>
      </c>
      <c r="G47" s="874">
        <f t="shared" si="4"/>
        <v>3413.7335138311828</v>
      </c>
      <c r="H47" s="875">
        <f t="shared" si="5"/>
        <v>0</v>
      </c>
      <c r="I47" s="912">
        <v>0</v>
      </c>
      <c r="J47" s="912">
        <f t="shared" si="7"/>
        <v>0.02</v>
      </c>
      <c r="K47" s="913">
        <f t="shared" si="6"/>
        <v>0.98</v>
      </c>
      <c r="L47" s="844"/>
      <c r="M47" s="844"/>
      <c r="N47" s="844"/>
    </row>
    <row r="48" spans="1:75">
      <c r="A48" s="1487"/>
      <c r="B48" s="269" t="s">
        <v>383</v>
      </c>
      <c r="C48" s="838">
        <f t="shared" si="0"/>
        <v>27049.25587559853</v>
      </c>
      <c r="D48" s="839">
        <f t="shared" si="1"/>
        <v>34998.74412440147</v>
      </c>
      <c r="E48" s="839">
        <f t="shared" si="2"/>
        <v>0</v>
      </c>
      <c r="F48" s="1086">
        <f t="shared" si="3"/>
        <v>4532.6686963615566</v>
      </c>
      <c r="G48" s="874">
        <f t="shared" si="4"/>
        <v>9016.3313036384425</v>
      </c>
      <c r="H48" s="875">
        <f t="shared" si="5"/>
        <v>0</v>
      </c>
      <c r="I48" s="912">
        <v>0</v>
      </c>
      <c r="J48" s="912">
        <f t="shared" si="7"/>
        <v>0.02</v>
      </c>
      <c r="K48" s="913">
        <f t="shared" si="6"/>
        <v>0.98</v>
      </c>
      <c r="L48" s="844"/>
      <c r="M48" s="844"/>
      <c r="N48" s="844"/>
      <c r="V48" s="274"/>
      <c r="W48" s="274"/>
      <c r="X48" s="274"/>
      <c r="Y48" s="274"/>
      <c r="Z48" s="274"/>
      <c r="AA48" s="274"/>
      <c r="AB48" s="274"/>
      <c r="AC48" s="274"/>
    </row>
    <row r="49" spans="1:40">
      <c r="A49" s="1487"/>
      <c r="B49" s="269" t="s">
        <v>384</v>
      </c>
      <c r="C49" s="838">
        <f t="shared" si="0"/>
        <v>63533.868457234028</v>
      </c>
      <c r="D49" s="839">
        <f t="shared" si="1"/>
        <v>91438.131542765957</v>
      </c>
      <c r="E49" s="839">
        <f t="shared" si="2"/>
        <v>0</v>
      </c>
      <c r="F49" s="1086">
        <f t="shared" si="3"/>
        <v>4878.7826205328283</v>
      </c>
      <c r="G49" s="874">
        <f t="shared" si="4"/>
        <v>24028.217379467173</v>
      </c>
      <c r="H49" s="875">
        <f t="shared" si="5"/>
        <v>0</v>
      </c>
      <c r="I49" s="912">
        <f>$L$37</f>
        <v>0.02</v>
      </c>
      <c r="J49" s="912">
        <v>0</v>
      </c>
      <c r="K49" s="913">
        <f t="shared" si="6"/>
        <v>0.98</v>
      </c>
      <c r="L49" s="844"/>
      <c r="M49" s="844"/>
      <c r="N49" s="844"/>
      <c r="V49" s="274"/>
      <c r="W49" s="274"/>
      <c r="X49" s="274"/>
      <c r="Y49" s="274"/>
      <c r="Z49" s="274"/>
      <c r="AA49" s="274"/>
      <c r="AB49" s="274"/>
      <c r="AC49" s="274"/>
    </row>
    <row r="50" spans="1:40">
      <c r="A50" s="1487"/>
      <c r="B50" s="269" t="s">
        <v>385</v>
      </c>
      <c r="C50" s="838">
        <f t="shared" si="0"/>
        <v>64359.769650693488</v>
      </c>
      <c r="D50" s="839">
        <f t="shared" si="1"/>
        <v>94131.230349306512</v>
      </c>
      <c r="E50" s="839">
        <f t="shared" si="2"/>
        <v>0</v>
      </c>
      <c r="F50" s="1086">
        <f t="shared" si="3"/>
        <v>36087.895687896445</v>
      </c>
      <c r="G50" s="874">
        <f t="shared" si="4"/>
        <v>27214.104312103558</v>
      </c>
      <c r="H50" s="875">
        <f t="shared" si="5"/>
        <v>0</v>
      </c>
      <c r="I50" s="912">
        <f>$L$37</f>
        <v>0.02</v>
      </c>
      <c r="J50" s="912">
        <v>0</v>
      </c>
      <c r="K50" s="913">
        <f t="shared" si="6"/>
        <v>0.98</v>
      </c>
      <c r="L50" s="844"/>
      <c r="M50" s="844"/>
      <c r="N50" s="844"/>
      <c r="V50" s="274"/>
      <c r="W50" s="274"/>
      <c r="X50" s="274"/>
      <c r="Y50" s="274"/>
      <c r="Z50" s="274"/>
      <c r="AA50" s="274"/>
      <c r="AB50" s="274"/>
      <c r="AC50" s="274"/>
    </row>
    <row r="51" spans="1:40">
      <c r="A51" s="1487"/>
      <c r="B51" s="269" t="s">
        <v>386</v>
      </c>
      <c r="C51" s="884">
        <f t="shared" si="0"/>
        <v>17582.795818234812</v>
      </c>
      <c r="D51" s="885">
        <f t="shared" si="1"/>
        <v>30682.204181765188</v>
      </c>
      <c r="E51" s="885">
        <f t="shared" si="2"/>
        <v>0</v>
      </c>
      <c r="F51" s="1088">
        <f t="shared" si="3"/>
        <v>728.74572486267016</v>
      </c>
      <c r="G51" s="887">
        <f t="shared" si="4"/>
        <v>2592.2542751373298</v>
      </c>
      <c r="H51" s="888">
        <f t="shared" si="5"/>
        <v>0</v>
      </c>
      <c r="I51" s="914">
        <v>0</v>
      </c>
      <c r="J51" s="914">
        <f>$L$37</f>
        <v>0.02</v>
      </c>
      <c r="K51" s="915">
        <f t="shared" si="6"/>
        <v>0.98</v>
      </c>
      <c r="L51" s="844"/>
      <c r="M51" s="844"/>
      <c r="N51" s="844"/>
      <c r="V51" s="274"/>
      <c r="W51" s="1512"/>
      <c r="X51" s="1512"/>
      <c r="Y51" s="1512"/>
      <c r="Z51" s="1512"/>
      <c r="AA51" s="1512"/>
      <c r="AB51" s="1512"/>
      <c r="AC51" s="857"/>
      <c r="AD51" s="274"/>
      <c r="AE51" s="274"/>
      <c r="AF51" s="859"/>
      <c r="AG51" s="859"/>
      <c r="AH51" s="859"/>
      <c r="AI51" s="859"/>
      <c r="AJ51" s="859"/>
      <c r="AK51" s="859"/>
      <c r="AL51" s="859"/>
      <c r="AM51" s="859"/>
      <c r="AN51" s="859"/>
    </row>
    <row r="52" spans="1:40">
      <c r="A52" s="1487" t="s">
        <v>1023</v>
      </c>
      <c r="B52" s="269" t="s">
        <v>387</v>
      </c>
      <c r="C52" s="838">
        <f t="shared" si="0"/>
        <v>44916.907724807694</v>
      </c>
      <c r="D52" s="839">
        <f t="shared" si="1"/>
        <v>58411.092275192306</v>
      </c>
      <c r="E52" s="839">
        <f t="shared" si="2"/>
        <v>0</v>
      </c>
      <c r="F52" s="1086">
        <f t="shared" si="3"/>
        <v>4526.5314541314929</v>
      </c>
      <c r="G52" s="874">
        <f t="shared" si="4"/>
        <v>8232.4685458685071</v>
      </c>
      <c r="H52" s="875">
        <f t="shared" si="5"/>
        <v>0</v>
      </c>
      <c r="I52" s="912">
        <v>0</v>
      </c>
      <c r="J52" s="912">
        <f>$L$37</f>
        <v>0.02</v>
      </c>
      <c r="K52" s="913">
        <f t="shared" si="6"/>
        <v>0.98</v>
      </c>
      <c r="L52" s="844"/>
      <c r="M52" s="844"/>
      <c r="N52" s="844"/>
      <c r="V52" s="274"/>
      <c r="W52" s="274"/>
      <c r="X52" s="274"/>
      <c r="Y52" s="274"/>
      <c r="Z52" s="274"/>
      <c r="AA52" s="274"/>
      <c r="AB52" s="274"/>
      <c r="AC52" s="274"/>
      <c r="AD52" s="274"/>
      <c r="AE52" s="274"/>
      <c r="AF52" s="274"/>
      <c r="AG52" s="274"/>
      <c r="AH52" s="274"/>
      <c r="AI52" s="274"/>
      <c r="AJ52" s="274"/>
      <c r="AK52" s="274"/>
      <c r="AL52" s="274"/>
      <c r="AM52" s="274"/>
      <c r="AN52" s="274"/>
    </row>
    <row r="53" spans="1:40">
      <c r="A53" s="1488"/>
      <c r="B53" s="269" t="s">
        <v>388</v>
      </c>
      <c r="C53" s="838">
        <f t="shared" si="0"/>
        <v>43794.930683358587</v>
      </c>
      <c r="D53" s="839">
        <f t="shared" si="1"/>
        <v>55847.069316641413</v>
      </c>
      <c r="E53" s="839">
        <f t="shared" si="2"/>
        <v>0</v>
      </c>
      <c r="F53" s="1086">
        <f t="shared" si="3"/>
        <v>19408.828461926132</v>
      </c>
      <c r="G53" s="874">
        <f t="shared" si="4"/>
        <v>23400.171538073868</v>
      </c>
      <c r="H53" s="875">
        <f t="shared" si="5"/>
        <v>0</v>
      </c>
      <c r="I53" s="912">
        <v>0</v>
      </c>
      <c r="J53" s="912">
        <f>$L$37</f>
        <v>0.02</v>
      </c>
      <c r="K53" s="913">
        <f t="shared" si="6"/>
        <v>0.98</v>
      </c>
      <c r="L53" s="844"/>
      <c r="M53" s="844"/>
      <c r="N53" s="844"/>
      <c r="V53" s="274"/>
      <c r="W53" s="1513"/>
      <c r="X53" s="1513"/>
      <c r="Y53" s="1513"/>
      <c r="Z53" s="1513"/>
      <c r="AA53" s="1513"/>
      <c r="AB53" s="1513"/>
      <c r="AC53" s="1513"/>
      <c r="AD53" s="1513"/>
      <c r="AE53" s="1513"/>
      <c r="AF53" s="1513"/>
      <c r="AG53" s="1513"/>
      <c r="AH53" s="1513"/>
      <c r="AI53" s="1513"/>
      <c r="AJ53" s="1513"/>
      <c r="AK53" s="1513"/>
      <c r="AL53" s="1513"/>
      <c r="AM53" s="1513"/>
      <c r="AN53" s="1513"/>
    </row>
    <row r="54" spans="1:40">
      <c r="A54" s="1488"/>
      <c r="B54" s="269" t="s">
        <v>389</v>
      </c>
      <c r="C54" s="838">
        <f t="shared" si="0"/>
        <v>22332.018677070606</v>
      </c>
      <c r="D54" s="839">
        <f t="shared" si="1"/>
        <v>31809.981322929394</v>
      </c>
      <c r="E54" s="839">
        <f t="shared" si="2"/>
        <v>0</v>
      </c>
      <c r="F54" s="1086">
        <f t="shared" si="3"/>
        <v>752.14431863564323</v>
      </c>
      <c r="G54" s="874">
        <f t="shared" si="4"/>
        <v>5336.8556813643563</v>
      </c>
      <c r="H54" s="875">
        <f t="shared" si="5"/>
        <v>0</v>
      </c>
      <c r="I54" s="912">
        <f>L37</f>
        <v>0.02</v>
      </c>
      <c r="J54" s="912">
        <v>0</v>
      </c>
      <c r="K54" s="913">
        <f t="shared" si="6"/>
        <v>0.98</v>
      </c>
      <c r="L54" s="844"/>
      <c r="M54" s="844"/>
      <c r="N54" s="844"/>
      <c r="V54" s="274"/>
      <c r="W54" s="1514"/>
      <c r="X54" s="1515"/>
      <c r="Y54" s="1515"/>
      <c r="Z54" s="1514"/>
      <c r="AA54" s="1515"/>
      <c r="AB54" s="1515"/>
      <c r="AC54" s="1514"/>
      <c r="AD54" s="1515"/>
      <c r="AE54" s="1515"/>
      <c r="AF54" s="1515"/>
      <c r="AG54" s="1515"/>
      <c r="AH54" s="1515"/>
      <c r="AI54" s="1515"/>
      <c r="AJ54" s="1515"/>
      <c r="AK54" s="1515"/>
      <c r="AL54" s="1515"/>
      <c r="AM54" s="1515"/>
      <c r="AN54" s="1515"/>
    </row>
    <row r="55" spans="1:40">
      <c r="A55" s="1488"/>
      <c r="B55" s="269" t="s">
        <v>390</v>
      </c>
      <c r="C55" s="838">
        <f t="shared" si="0"/>
        <v>46741.100114136738</v>
      </c>
      <c r="D55" s="839">
        <f t="shared" si="1"/>
        <v>56533.899885863262</v>
      </c>
      <c r="E55" s="839">
        <f t="shared" si="2"/>
        <v>0</v>
      </c>
      <c r="F55" s="1086">
        <f t="shared" si="3"/>
        <v>4127.9122564540303</v>
      </c>
      <c r="G55" s="874">
        <f t="shared" si="4"/>
        <v>9730.0877435459697</v>
      </c>
      <c r="H55" s="875">
        <f t="shared" si="5"/>
        <v>0</v>
      </c>
      <c r="I55" s="912">
        <v>0</v>
      </c>
      <c r="J55" s="912">
        <f>$L$37</f>
        <v>0.02</v>
      </c>
      <c r="K55" s="913">
        <f t="shared" si="6"/>
        <v>0.98</v>
      </c>
      <c r="L55" s="844"/>
      <c r="M55" s="844"/>
      <c r="N55" s="844"/>
      <c r="V55" s="274"/>
      <c r="W55" s="274"/>
      <c r="X55" s="274"/>
      <c r="Y55" s="274"/>
      <c r="Z55" s="274"/>
      <c r="AA55" s="274"/>
      <c r="AB55" s="274"/>
      <c r="AC55" s="274"/>
      <c r="AD55" s="274"/>
      <c r="AE55" s="274"/>
      <c r="AF55" s="274"/>
      <c r="AG55" s="274"/>
      <c r="AH55" s="274"/>
      <c r="AI55" s="274"/>
      <c r="AJ55" s="274"/>
      <c r="AK55" s="274"/>
      <c r="AL55" s="274"/>
      <c r="AM55" s="274"/>
      <c r="AN55" s="274"/>
    </row>
    <row r="56" spans="1:40">
      <c r="A56" s="1488"/>
      <c r="B56" s="269" t="s">
        <v>391</v>
      </c>
      <c r="C56" s="838">
        <f t="shared" si="0"/>
        <v>26181.65028917569</v>
      </c>
      <c r="D56" s="839">
        <f t="shared" si="1"/>
        <v>41252.34971082431</v>
      </c>
      <c r="E56" s="839">
        <f t="shared" si="2"/>
        <v>0</v>
      </c>
      <c r="F56" s="1086">
        <f t="shared" si="3"/>
        <v>1950.6113876204276</v>
      </c>
      <c r="G56" s="874">
        <f t="shared" si="4"/>
        <v>9836.388612379571</v>
      </c>
      <c r="H56" s="875">
        <f t="shared" si="5"/>
        <v>0</v>
      </c>
      <c r="I56" s="912">
        <v>0</v>
      </c>
      <c r="J56" s="912">
        <f>$L$37</f>
        <v>0.02</v>
      </c>
      <c r="K56" s="913">
        <f t="shared" si="6"/>
        <v>0.98</v>
      </c>
      <c r="L56" s="844"/>
      <c r="M56" s="844"/>
      <c r="N56" s="844"/>
      <c r="V56" s="274"/>
      <c r="W56" s="274"/>
      <c r="X56" s="274"/>
      <c r="Y56" s="274"/>
      <c r="Z56" s="274"/>
      <c r="AA56" s="274"/>
      <c r="AB56" s="274"/>
      <c r="AC56" s="274"/>
      <c r="AD56" s="274"/>
      <c r="AE56" s="274"/>
      <c r="AF56" s="274"/>
      <c r="AG56" s="274"/>
      <c r="AH56" s="274"/>
      <c r="AI56" s="274"/>
      <c r="AJ56" s="274"/>
      <c r="AK56" s="274"/>
      <c r="AL56" s="274"/>
      <c r="AM56" s="274"/>
      <c r="AN56" s="274"/>
    </row>
    <row r="57" spans="1:40" ht="15" thickBot="1">
      <c r="A57" s="1488"/>
      <c r="B57" s="269" t="s">
        <v>392</v>
      </c>
      <c r="C57" s="876">
        <f t="shared" si="0"/>
        <v>14046.604218945986</v>
      </c>
      <c r="D57" s="842">
        <f t="shared" si="1"/>
        <v>18627.395781054016</v>
      </c>
      <c r="E57" s="842">
        <f t="shared" si="2"/>
        <v>0</v>
      </c>
      <c r="F57" s="1087">
        <f t="shared" si="3"/>
        <v>853.86779481755684</v>
      </c>
      <c r="G57" s="877">
        <f t="shared" si="4"/>
        <v>2843.1322051824427</v>
      </c>
      <c r="H57" s="878">
        <f t="shared" si="5"/>
        <v>0</v>
      </c>
      <c r="I57" s="916">
        <v>0</v>
      </c>
      <c r="J57" s="916">
        <f>$L$37</f>
        <v>0.02</v>
      </c>
      <c r="K57" s="917">
        <f t="shared" si="6"/>
        <v>0.98</v>
      </c>
      <c r="L57" s="844"/>
      <c r="M57" s="844"/>
      <c r="N57" s="844"/>
      <c r="V57" s="274"/>
      <c r="W57" s="274"/>
      <c r="X57" s="274"/>
      <c r="Y57" s="274"/>
      <c r="Z57" s="274"/>
      <c r="AA57" s="274"/>
      <c r="AB57" s="274"/>
      <c r="AC57" s="274"/>
      <c r="AD57" s="274"/>
      <c r="AE57" s="274"/>
      <c r="AF57" s="274"/>
      <c r="AG57" s="274"/>
      <c r="AH57" s="274"/>
      <c r="AI57" s="274"/>
      <c r="AJ57" s="274"/>
      <c r="AK57" s="274"/>
      <c r="AL57" s="274"/>
      <c r="AM57" s="274"/>
      <c r="AN57" s="274"/>
    </row>
    <row r="58" spans="1:40" ht="15.6">
      <c r="A58" s="765"/>
      <c r="B58" s="269"/>
      <c r="C58" s="839">
        <f>SUM(C39:C57)</f>
        <v>752518.28796019719</v>
      </c>
      <c r="D58" s="839">
        <f t="shared" ref="D58:G58" si="8">SUM(D39:D57)</f>
        <v>946224.71203980281</v>
      </c>
      <c r="E58" s="839"/>
      <c r="F58" s="839">
        <f t="shared" si="8"/>
        <v>255625.38988619001</v>
      </c>
      <c r="G58" s="839">
        <f t="shared" si="8"/>
        <v>307850.61011381005</v>
      </c>
      <c r="H58" s="1089">
        <f>SUM(C39:H57)</f>
        <v>2262219</v>
      </c>
      <c r="I58" s="536"/>
      <c r="J58" s="536"/>
      <c r="V58" s="274"/>
      <c r="W58" s="274"/>
      <c r="X58" s="274"/>
      <c r="Y58" s="274"/>
      <c r="Z58" s="274"/>
      <c r="AA58" s="274"/>
      <c r="AB58" s="274"/>
      <c r="AC58" s="274"/>
      <c r="AD58" s="274"/>
      <c r="AE58" s="274"/>
      <c r="AF58" s="274"/>
      <c r="AG58" s="274"/>
      <c r="AH58" s="274"/>
      <c r="AI58" s="274"/>
      <c r="AJ58" s="274"/>
      <c r="AK58" s="274"/>
      <c r="AL58" s="274"/>
      <c r="AM58" s="274"/>
      <c r="AN58" s="274"/>
    </row>
    <row r="59" spans="1:40">
      <c r="I59" s="536"/>
      <c r="J59" s="536"/>
      <c r="V59" s="274"/>
      <c r="W59" s="274"/>
      <c r="X59" s="274"/>
      <c r="Y59" s="274"/>
      <c r="Z59" s="274"/>
      <c r="AA59" s="274"/>
      <c r="AB59" s="274"/>
      <c r="AC59" s="274"/>
      <c r="AD59" s="274"/>
      <c r="AE59" s="274"/>
      <c r="AF59" s="274"/>
      <c r="AG59" s="274"/>
      <c r="AH59" s="274"/>
      <c r="AI59" s="274"/>
      <c r="AJ59" s="274"/>
      <c r="AK59" s="274"/>
      <c r="AL59" s="274"/>
      <c r="AM59" s="274"/>
      <c r="AN59" s="274"/>
    </row>
    <row r="60" spans="1:40">
      <c r="V60" s="274"/>
      <c r="W60" s="274"/>
      <c r="X60" s="274"/>
      <c r="Y60" s="274"/>
      <c r="Z60" s="274"/>
      <c r="AA60" s="274"/>
      <c r="AB60" s="274"/>
      <c r="AC60" s="274"/>
      <c r="AD60" s="274"/>
      <c r="AE60" s="274"/>
      <c r="AF60" s="274"/>
      <c r="AG60" s="274"/>
      <c r="AH60" s="274"/>
      <c r="AI60" s="274"/>
      <c r="AJ60" s="274"/>
      <c r="AK60" s="274"/>
      <c r="AL60" s="274"/>
      <c r="AM60" s="274"/>
      <c r="AN60" s="274"/>
    </row>
    <row r="61" spans="1:40" ht="16.2" thickBot="1">
      <c r="C61" s="1006" t="s">
        <v>1177</v>
      </c>
      <c r="D61" s="759"/>
      <c r="E61" s="759"/>
      <c r="F61" s="759"/>
      <c r="G61" s="759"/>
      <c r="H61" s="759"/>
      <c r="I61" s="759"/>
      <c r="J61" s="759"/>
      <c r="K61" s="759"/>
      <c r="L61" s="759"/>
      <c r="M61" s="759"/>
      <c r="N61" s="759"/>
      <c r="O61" s="759"/>
      <c r="P61" s="759"/>
      <c r="Q61" s="759"/>
      <c r="R61" s="759"/>
      <c r="S61" s="759"/>
      <c r="V61" s="873"/>
      <c r="W61" s="274"/>
      <c r="X61" s="274"/>
      <c r="Y61" s="274"/>
      <c r="Z61" s="274"/>
      <c r="AA61" s="274"/>
      <c r="AB61" s="274"/>
      <c r="AC61" s="274"/>
      <c r="AD61" s="274"/>
      <c r="AE61" s="274"/>
      <c r="AF61" s="274"/>
      <c r="AG61" s="274"/>
      <c r="AH61" s="274"/>
      <c r="AI61" s="274"/>
      <c r="AJ61" s="274"/>
      <c r="AK61" s="274"/>
      <c r="AL61" s="274"/>
      <c r="AM61" s="274"/>
      <c r="AN61" s="274"/>
    </row>
    <row r="62" spans="1:40" ht="15.6">
      <c r="C62" s="1494" t="s">
        <v>148</v>
      </c>
      <c r="D62" s="1495"/>
      <c r="E62" s="1495"/>
      <c r="F62" s="1495"/>
      <c r="G62" s="1495"/>
      <c r="H62" s="1496"/>
      <c r="I62" s="1494" t="s">
        <v>149</v>
      </c>
      <c r="J62" s="1495"/>
      <c r="K62" s="1495"/>
      <c r="L62" s="1495"/>
      <c r="M62" s="1495"/>
      <c r="N62" s="1496"/>
      <c r="O62" s="1494" t="s">
        <v>177</v>
      </c>
      <c r="P62" s="1495"/>
      <c r="Q62" s="1495"/>
      <c r="R62" s="1495"/>
      <c r="S62" s="1495"/>
      <c r="T62" s="1496"/>
      <c r="V62" s="274"/>
      <c r="W62" s="274"/>
      <c r="X62" s="274"/>
      <c r="Y62" s="274"/>
      <c r="Z62" s="274"/>
      <c r="AA62" s="274"/>
      <c r="AB62" s="274"/>
      <c r="AC62" s="274"/>
      <c r="AD62" s="274"/>
      <c r="AE62" s="274"/>
      <c r="AF62" s="274"/>
      <c r="AG62" s="274"/>
      <c r="AH62" s="274"/>
      <c r="AI62" s="274"/>
      <c r="AJ62" s="274"/>
      <c r="AK62" s="274"/>
      <c r="AL62" s="274"/>
      <c r="AM62" s="274"/>
      <c r="AN62" s="274"/>
    </row>
    <row r="63" spans="1:40">
      <c r="C63" s="1504" t="s">
        <v>176</v>
      </c>
      <c r="D63" s="1505"/>
      <c r="E63" s="1506"/>
      <c r="F63" s="1504" t="s">
        <v>348</v>
      </c>
      <c r="G63" s="1505"/>
      <c r="H63" s="1506"/>
      <c r="I63" s="1504" t="s">
        <v>176</v>
      </c>
      <c r="J63" s="1505"/>
      <c r="K63" s="1506"/>
      <c r="L63" s="1504" t="s">
        <v>348</v>
      </c>
      <c r="M63" s="1505"/>
      <c r="N63" s="1506"/>
      <c r="O63" s="1504" t="s">
        <v>176</v>
      </c>
      <c r="P63" s="1505"/>
      <c r="Q63" s="1506"/>
      <c r="R63" s="1504" t="s">
        <v>348</v>
      </c>
      <c r="S63" s="1505"/>
      <c r="T63" s="1506"/>
      <c r="W63" s="274"/>
      <c r="X63" s="274"/>
      <c r="Y63" s="274"/>
      <c r="Z63" s="274"/>
      <c r="AA63" s="274"/>
      <c r="AB63" s="274"/>
      <c r="AC63" s="274"/>
      <c r="AD63" s="274"/>
      <c r="AE63" s="274"/>
      <c r="AF63" s="274"/>
      <c r="AG63" s="274"/>
      <c r="AH63" s="274"/>
      <c r="AI63" s="274"/>
      <c r="AJ63" s="274"/>
      <c r="AK63" s="274"/>
      <c r="AL63" s="274"/>
      <c r="AM63" s="274"/>
      <c r="AN63" s="274"/>
    </row>
    <row r="64" spans="1:40" ht="15" thickBot="1">
      <c r="C64" s="890" t="s">
        <v>404</v>
      </c>
      <c r="D64" s="326" t="s">
        <v>456</v>
      </c>
      <c r="E64" s="891" t="s">
        <v>407</v>
      </c>
      <c r="F64" s="890" t="s">
        <v>404</v>
      </c>
      <c r="G64" s="326" t="s">
        <v>456</v>
      </c>
      <c r="H64" s="891" t="s">
        <v>407</v>
      </c>
      <c r="I64" s="890" t="s">
        <v>404</v>
      </c>
      <c r="J64" s="326" t="s">
        <v>456</v>
      </c>
      <c r="K64" s="891" t="s">
        <v>407</v>
      </c>
      <c r="L64" s="890" t="s">
        <v>404</v>
      </c>
      <c r="M64" s="326" t="s">
        <v>456</v>
      </c>
      <c r="N64" s="891" t="s">
        <v>407</v>
      </c>
      <c r="O64" s="890" t="s">
        <v>404</v>
      </c>
      <c r="P64" s="326" t="s">
        <v>456</v>
      </c>
      <c r="Q64" s="891" t="s">
        <v>407</v>
      </c>
      <c r="R64" s="890" t="s">
        <v>404</v>
      </c>
      <c r="S64" s="326" t="s">
        <v>456</v>
      </c>
      <c r="T64" s="891" t="s">
        <v>407</v>
      </c>
      <c r="W64" s="274"/>
      <c r="X64" s="274"/>
      <c r="Y64" s="274"/>
      <c r="Z64" s="274"/>
      <c r="AA64" s="274"/>
      <c r="AB64" s="274"/>
      <c r="AC64" s="274"/>
      <c r="AD64" s="274"/>
      <c r="AE64" s="274"/>
      <c r="AF64" s="274"/>
      <c r="AG64" s="274"/>
      <c r="AH64" s="274"/>
      <c r="AI64" s="274"/>
      <c r="AJ64" s="274"/>
    </row>
    <row r="65" spans="1:46">
      <c r="A65" s="1487" t="s">
        <v>1022</v>
      </c>
      <c r="B65" s="269" t="s">
        <v>374</v>
      </c>
      <c r="C65" s="879">
        <f>C39*$I39</f>
        <v>0</v>
      </c>
      <c r="D65" s="880">
        <f t="shared" ref="D65:H65" si="9">D39*$I39</f>
        <v>0</v>
      </c>
      <c r="E65" s="880">
        <f t="shared" si="9"/>
        <v>0</v>
      </c>
      <c r="F65" s="879">
        <f t="shared" si="9"/>
        <v>0</v>
      </c>
      <c r="G65" s="880">
        <f t="shared" si="9"/>
        <v>0</v>
      </c>
      <c r="H65" s="881">
        <f t="shared" si="9"/>
        <v>0</v>
      </c>
      <c r="I65" s="880">
        <f>C39*$J39</f>
        <v>1058.3739697749591</v>
      </c>
      <c r="J65" s="880">
        <f t="shared" ref="J65:N65" si="10">D39*$J39</f>
        <v>978.36603022504107</v>
      </c>
      <c r="K65" s="880">
        <f t="shared" si="10"/>
        <v>0</v>
      </c>
      <c r="L65" s="879">
        <f t="shared" si="10"/>
        <v>133.43927422817117</v>
      </c>
      <c r="M65" s="880">
        <f t="shared" si="10"/>
        <v>255.68072577182883</v>
      </c>
      <c r="N65" s="881">
        <f t="shared" si="10"/>
        <v>0</v>
      </c>
      <c r="O65" s="880">
        <f>C39*$K39</f>
        <v>51860.324518972986</v>
      </c>
      <c r="P65" s="880">
        <f t="shared" ref="P65:Q65" si="11">D39*$K39</f>
        <v>47939.935481027009</v>
      </c>
      <c r="Q65" s="881">
        <f t="shared" si="11"/>
        <v>0</v>
      </c>
      <c r="R65" s="880">
        <f t="shared" ref="R65" si="12">F39*$K39</f>
        <v>6538.5244371803874</v>
      </c>
      <c r="S65" s="880">
        <f t="shared" ref="S65" si="13">G39*$K39</f>
        <v>12528.355562819614</v>
      </c>
      <c r="T65" s="881">
        <f t="shared" ref="T65" si="14">H39*$K39</f>
        <v>0</v>
      </c>
    </row>
    <row r="66" spans="1:46">
      <c r="A66" s="1487"/>
      <c r="B66" s="269" t="s">
        <v>375</v>
      </c>
      <c r="C66" s="838">
        <f t="shared" ref="C66:H66" si="15">C40*$I40</f>
        <v>0</v>
      </c>
      <c r="D66" s="839">
        <f t="shared" si="15"/>
        <v>0</v>
      </c>
      <c r="E66" s="839">
        <f t="shared" si="15"/>
        <v>0</v>
      </c>
      <c r="F66" s="838">
        <f t="shared" si="15"/>
        <v>0</v>
      </c>
      <c r="G66" s="839">
        <f t="shared" si="15"/>
        <v>0</v>
      </c>
      <c r="H66" s="840">
        <f t="shared" si="15"/>
        <v>0</v>
      </c>
      <c r="I66" s="839">
        <f t="shared" ref="I66:I83" si="16">C40*$J40</f>
        <v>1386.2476511157174</v>
      </c>
      <c r="J66" s="839">
        <f t="shared" ref="J66:J83" si="17">D40*$J40</f>
        <v>2080.6723488842827</v>
      </c>
      <c r="K66" s="839">
        <f t="shared" ref="K66:K83" si="18">E40*$J40</f>
        <v>0</v>
      </c>
      <c r="L66" s="838">
        <f t="shared" ref="L66:L83" si="19">F40*$J40</f>
        <v>301.01650368961771</v>
      </c>
      <c r="M66" s="839">
        <f t="shared" ref="M66:M83" si="20">G40*$J40</f>
        <v>629.46349631038231</v>
      </c>
      <c r="N66" s="840">
        <f t="shared" ref="N66:N83" si="21">H40*$J40</f>
        <v>0</v>
      </c>
      <c r="O66" s="839">
        <f t="shared" ref="O66:O83" si="22">C40*$K40</f>
        <v>67926.134904670151</v>
      </c>
      <c r="P66" s="839">
        <f t="shared" ref="P66:P83" si="23">D40*$K40</f>
        <v>101952.94509532985</v>
      </c>
      <c r="Q66" s="840">
        <f t="shared" ref="Q66:Q83" si="24">E40*$K40</f>
        <v>0</v>
      </c>
      <c r="R66" s="839">
        <f t="shared" ref="R66:R83" si="25">F40*$K40</f>
        <v>14749.808680791268</v>
      </c>
      <c r="S66" s="839">
        <f t="shared" ref="S66:S83" si="26">G40*$K40</f>
        <v>30843.711319208731</v>
      </c>
      <c r="T66" s="840">
        <f t="shared" ref="T66:T83" si="27">H40*$K40</f>
        <v>0</v>
      </c>
    </row>
    <row r="67" spans="1:46">
      <c r="A67" s="1487"/>
      <c r="B67" s="269" t="s">
        <v>376</v>
      </c>
      <c r="C67" s="838">
        <f t="shared" ref="C67:H67" si="28">C41*$I41</f>
        <v>776.92898429866455</v>
      </c>
      <c r="D67" s="839">
        <f t="shared" si="28"/>
        <v>715.47101570133543</v>
      </c>
      <c r="E67" s="839">
        <f t="shared" si="28"/>
        <v>0</v>
      </c>
      <c r="F67" s="838">
        <f t="shared" si="28"/>
        <v>2737.6648280588729</v>
      </c>
      <c r="G67" s="839">
        <f t="shared" si="28"/>
        <v>1837.3551719411278</v>
      </c>
      <c r="H67" s="840">
        <f t="shared" si="28"/>
        <v>0</v>
      </c>
      <c r="I67" s="839">
        <f t="shared" si="16"/>
        <v>0</v>
      </c>
      <c r="J67" s="839">
        <f t="shared" si="17"/>
        <v>0</v>
      </c>
      <c r="K67" s="839">
        <f t="shared" si="18"/>
        <v>0</v>
      </c>
      <c r="L67" s="838">
        <f t="shared" si="19"/>
        <v>0</v>
      </c>
      <c r="M67" s="839">
        <f t="shared" si="20"/>
        <v>0</v>
      </c>
      <c r="N67" s="840">
        <f t="shared" si="21"/>
        <v>0</v>
      </c>
      <c r="O67" s="839">
        <f t="shared" si="22"/>
        <v>38069.520230634567</v>
      </c>
      <c r="P67" s="839">
        <f t="shared" si="23"/>
        <v>35058.079769365431</v>
      </c>
      <c r="Q67" s="840">
        <f t="shared" si="24"/>
        <v>0</v>
      </c>
      <c r="R67" s="839">
        <f t="shared" si="25"/>
        <v>134145.57657488476</v>
      </c>
      <c r="S67" s="839">
        <f t="shared" si="26"/>
        <v>90030.403425115248</v>
      </c>
      <c r="T67" s="840">
        <f t="shared" si="27"/>
        <v>0</v>
      </c>
    </row>
    <row r="68" spans="1:46">
      <c r="A68" s="1487"/>
      <c r="B68" s="269" t="s">
        <v>377</v>
      </c>
      <c r="C68" s="838">
        <f t="shared" ref="C68:H68" si="29">C42*$I42</f>
        <v>0</v>
      </c>
      <c r="D68" s="839">
        <f t="shared" si="29"/>
        <v>0</v>
      </c>
      <c r="E68" s="839">
        <f t="shared" si="29"/>
        <v>0</v>
      </c>
      <c r="F68" s="838">
        <f t="shared" si="29"/>
        <v>0</v>
      </c>
      <c r="G68" s="839">
        <f t="shared" si="29"/>
        <v>0</v>
      </c>
      <c r="H68" s="840">
        <f t="shared" si="29"/>
        <v>0</v>
      </c>
      <c r="I68" s="839">
        <f t="shared" si="16"/>
        <v>768.49361724204618</v>
      </c>
      <c r="J68" s="839">
        <f t="shared" si="17"/>
        <v>898.6663827579539</v>
      </c>
      <c r="K68" s="839">
        <f t="shared" si="18"/>
        <v>0</v>
      </c>
      <c r="L68" s="838">
        <f t="shared" si="19"/>
        <v>60.358548190807895</v>
      </c>
      <c r="M68" s="839">
        <f t="shared" si="20"/>
        <v>138.40145180919211</v>
      </c>
      <c r="N68" s="840">
        <f t="shared" si="21"/>
        <v>0</v>
      </c>
      <c r="O68" s="839">
        <f t="shared" si="22"/>
        <v>37656.187244860259</v>
      </c>
      <c r="P68" s="839">
        <f t="shared" si="23"/>
        <v>44034.652755139738</v>
      </c>
      <c r="Q68" s="840">
        <f t="shared" si="24"/>
        <v>0</v>
      </c>
      <c r="R68" s="839">
        <f t="shared" si="25"/>
        <v>2957.5688613495868</v>
      </c>
      <c r="S68" s="839">
        <f t="shared" si="26"/>
        <v>6781.6711386504121</v>
      </c>
      <c r="T68" s="840">
        <f t="shared" si="27"/>
        <v>0</v>
      </c>
    </row>
    <row r="69" spans="1:46" ht="15" customHeight="1">
      <c r="A69" s="1487"/>
      <c r="B69" s="269" t="s">
        <v>378</v>
      </c>
      <c r="C69" s="838">
        <f t="shared" ref="C69:H69" si="30">C43*$I43</f>
        <v>0</v>
      </c>
      <c r="D69" s="839">
        <f t="shared" si="30"/>
        <v>0</v>
      </c>
      <c r="E69" s="839">
        <f t="shared" si="30"/>
        <v>0</v>
      </c>
      <c r="F69" s="838">
        <f t="shared" si="30"/>
        <v>0</v>
      </c>
      <c r="G69" s="839">
        <f t="shared" si="30"/>
        <v>0</v>
      </c>
      <c r="H69" s="840">
        <f t="shared" si="30"/>
        <v>0</v>
      </c>
      <c r="I69" s="839">
        <f t="shared" si="16"/>
        <v>787.02716763861861</v>
      </c>
      <c r="J69" s="839">
        <f t="shared" si="17"/>
        <v>873.8528323613815</v>
      </c>
      <c r="K69" s="839">
        <f t="shared" si="18"/>
        <v>0</v>
      </c>
      <c r="L69" s="838">
        <f t="shared" si="19"/>
        <v>39.135130614110174</v>
      </c>
      <c r="M69" s="839">
        <f t="shared" si="20"/>
        <v>120.20486938588984</v>
      </c>
      <c r="N69" s="840">
        <f t="shared" si="21"/>
        <v>0</v>
      </c>
      <c r="O69" s="839">
        <f t="shared" si="22"/>
        <v>38564.33121429231</v>
      </c>
      <c r="P69" s="839">
        <f t="shared" si="23"/>
        <v>42818.788785707693</v>
      </c>
      <c r="Q69" s="840">
        <f t="shared" si="24"/>
        <v>0</v>
      </c>
      <c r="R69" s="839">
        <f t="shared" si="25"/>
        <v>1917.6214000913983</v>
      </c>
      <c r="S69" s="839">
        <f t="shared" si="26"/>
        <v>5890.038599908602</v>
      </c>
      <c r="T69" s="840">
        <f t="shared" si="27"/>
        <v>0</v>
      </c>
    </row>
    <row r="70" spans="1:46">
      <c r="A70" s="1487"/>
      <c r="B70" s="269" t="s">
        <v>379</v>
      </c>
      <c r="C70" s="838">
        <f t="shared" ref="C70:H70" si="31">C44*$I44</f>
        <v>0</v>
      </c>
      <c r="D70" s="839">
        <f t="shared" si="31"/>
        <v>0</v>
      </c>
      <c r="E70" s="839">
        <f t="shared" si="31"/>
        <v>0</v>
      </c>
      <c r="F70" s="838">
        <f t="shared" si="31"/>
        <v>0</v>
      </c>
      <c r="G70" s="839">
        <f t="shared" si="31"/>
        <v>0</v>
      </c>
      <c r="H70" s="840">
        <f t="shared" si="31"/>
        <v>0</v>
      </c>
      <c r="I70" s="839">
        <f t="shared" si="16"/>
        <v>889.02716480307663</v>
      </c>
      <c r="J70" s="839">
        <f t="shared" si="17"/>
        <v>1054.9928351969234</v>
      </c>
      <c r="K70" s="839">
        <f t="shared" si="18"/>
        <v>0</v>
      </c>
      <c r="L70" s="838">
        <f t="shared" si="19"/>
        <v>120.66793583355789</v>
      </c>
      <c r="M70" s="839">
        <f t="shared" si="20"/>
        <v>289.13206416644209</v>
      </c>
      <c r="N70" s="840">
        <f t="shared" si="21"/>
        <v>0</v>
      </c>
      <c r="O70" s="839">
        <f t="shared" si="22"/>
        <v>43562.331075350754</v>
      </c>
      <c r="P70" s="839">
        <f t="shared" si="23"/>
        <v>51694.648924649249</v>
      </c>
      <c r="Q70" s="840">
        <f t="shared" si="24"/>
        <v>0</v>
      </c>
      <c r="R70" s="839">
        <f t="shared" si="25"/>
        <v>5912.728855844337</v>
      </c>
      <c r="S70" s="839">
        <f t="shared" si="26"/>
        <v>14167.471144155663</v>
      </c>
      <c r="T70" s="840">
        <f t="shared" si="27"/>
        <v>0</v>
      </c>
      <c r="U70" s="325"/>
    </row>
    <row r="71" spans="1:46">
      <c r="A71" s="1487"/>
      <c r="B71" s="269" t="s">
        <v>380</v>
      </c>
      <c r="C71" s="838">
        <f t="shared" ref="C71:H71" si="32">C45*$I45</f>
        <v>0</v>
      </c>
      <c r="D71" s="839">
        <f t="shared" si="32"/>
        <v>0</v>
      </c>
      <c r="E71" s="839">
        <f t="shared" si="32"/>
        <v>0</v>
      </c>
      <c r="F71" s="838">
        <f t="shared" si="32"/>
        <v>0</v>
      </c>
      <c r="G71" s="839">
        <f t="shared" si="32"/>
        <v>0</v>
      </c>
      <c r="H71" s="840">
        <f t="shared" si="32"/>
        <v>0</v>
      </c>
      <c r="I71" s="839">
        <f t="shared" si="16"/>
        <v>850.4624475206864</v>
      </c>
      <c r="J71" s="839">
        <f t="shared" si="17"/>
        <v>869.59755247931344</v>
      </c>
      <c r="K71" s="839">
        <f t="shared" si="18"/>
        <v>0</v>
      </c>
      <c r="L71" s="838">
        <f t="shared" si="19"/>
        <v>65.721052560192106</v>
      </c>
      <c r="M71" s="839">
        <f t="shared" si="20"/>
        <v>240.7389474398079</v>
      </c>
      <c r="N71" s="840">
        <f t="shared" si="21"/>
        <v>0</v>
      </c>
      <c r="O71" s="839">
        <f t="shared" si="22"/>
        <v>41672.659928513633</v>
      </c>
      <c r="P71" s="839">
        <f t="shared" si="23"/>
        <v>42610.280071486355</v>
      </c>
      <c r="Q71" s="840">
        <f t="shared" si="24"/>
        <v>0</v>
      </c>
      <c r="R71" s="839">
        <f t="shared" si="25"/>
        <v>3220.3315754494133</v>
      </c>
      <c r="S71" s="839">
        <f t="shared" si="26"/>
        <v>11796.208424550587</v>
      </c>
      <c r="T71" s="840">
        <f t="shared" si="27"/>
        <v>0</v>
      </c>
      <c r="U71" s="326"/>
    </row>
    <row r="72" spans="1:46">
      <c r="A72" s="1487"/>
      <c r="B72" s="269" t="s">
        <v>381</v>
      </c>
      <c r="C72" s="838">
        <f t="shared" ref="C72:H72" si="33">C46*$I46</f>
        <v>0</v>
      </c>
      <c r="D72" s="839">
        <f t="shared" si="33"/>
        <v>0</v>
      </c>
      <c r="E72" s="839">
        <f t="shared" si="33"/>
        <v>0</v>
      </c>
      <c r="F72" s="838">
        <f t="shared" si="33"/>
        <v>0</v>
      </c>
      <c r="G72" s="839">
        <f t="shared" si="33"/>
        <v>0</v>
      </c>
      <c r="H72" s="840">
        <f t="shared" si="33"/>
        <v>0</v>
      </c>
      <c r="I72" s="839">
        <f t="shared" si="16"/>
        <v>730.75203624250207</v>
      </c>
      <c r="J72" s="839">
        <f t="shared" si="17"/>
        <v>657.0279637574979</v>
      </c>
      <c r="K72" s="839">
        <f t="shared" si="18"/>
        <v>0</v>
      </c>
      <c r="L72" s="838">
        <f t="shared" si="19"/>
        <v>85.139426760318671</v>
      </c>
      <c r="M72" s="839">
        <f t="shared" si="20"/>
        <v>133.16057323968133</v>
      </c>
      <c r="N72" s="840">
        <f t="shared" si="21"/>
        <v>0</v>
      </c>
      <c r="O72" s="839">
        <f t="shared" si="22"/>
        <v>35806.849775882598</v>
      </c>
      <c r="P72" s="839">
        <f t="shared" si="23"/>
        <v>32194.3702241174</v>
      </c>
      <c r="Q72" s="840">
        <f t="shared" si="24"/>
        <v>0</v>
      </c>
      <c r="R72" s="839">
        <f t="shared" si="25"/>
        <v>4171.8319112556146</v>
      </c>
      <c r="S72" s="839">
        <f t="shared" si="26"/>
        <v>6524.8680887443852</v>
      </c>
      <c r="T72" s="840">
        <f t="shared" si="27"/>
        <v>0</v>
      </c>
      <c r="U72" s="274"/>
      <c r="AS72" s="859"/>
      <c r="AT72" s="859"/>
    </row>
    <row r="73" spans="1:46">
      <c r="A73" s="1487"/>
      <c r="B73" s="269" t="s">
        <v>382</v>
      </c>
      <c r="C73" s="838">
        <f t="shared" ref="C73:H73" si="34">C47*$I47</f>
        <v>0</v>
      </c>
      <c r="D73" s="839">
        <f t="shared" si="34"/>
        <v>0</v>
      </c>
      <c r="E73" s="839">
        <f t="shared" si="34"/>
        <v>0</v>
      </c>
      <c r="F73" s="838">
        <f t="shared" si="34"/>
        <v>0</v>
      </c>
      <c r="G73" s="839">
        <f t="shared" si="34"/>
        <v>0</v>
      </c>
      <c r="H73" s="840">
        <f t="shared" si="34"/>
        <v>0</v>
      </c>
      <c r="I73" s="839">
        <f t="shared" si="16"/>
        <v>392.27469038254941</v>
      </c>
      <c r="J73" s="839">
        <f t="shared" si="17"/>
        <v>521.20530961745067</v>
      </c>
      <c r="K73" s="839">
        <f t="shared" si="18"/>
        <v>0</v>
      </c>
      <c r="L73" s="838">
        <f t="shared" si="19"/>
        <v>12.405329723376349</v>
      </c>
      <c r="M73" s="839">
        <f t="shared" si="20"/>
        <v>68.274670276623652</v>
      </c>
      <c r="N73" s="840">
        <f t="shared" si="21"/>
        <v>0</v>
      </c>
      <c r="O73" s="839">
        <f t="shared" si="22"/>
        <v>19221.459828744919</v>
      </c>
      <c r="P73" s="839">
        <f t="shared" si="23"/>
        <v>25539.060171255082</v>
      </c>
      <c r="Q73" s="840">
        <f t="shared" si="24"/>
        <v>0</v>
      </c>
      <c r="R73" s="839">
        <f t="shared" si="25"/>
        <v>607.86115644544111</v>
      </c>
      <c r="S73" s="839">
        <f t="shared" si="26"/>
        <v>3345.4588435545593</v>
      </c>
      <c r="T73" s="840">
        <f t="shared" si="27"/>
        <v>0</v>
      </c>
      <c r="U73" s="274"/>
      <c r="AS73" s="859"/>
      <c r="AT73" s="859"/>
    </row>
    <row r="74" spans="1:46">
      <c r="A74" s="1487"/>
      <c r="B74" s="269" t="s">
        <v>383</v>
      </c>
      <c r="C74" s="838">
        <f t="shared" ref="C74:H74" si="35">C48*$I48</f>
        <v>0</v>
      </c>
      <c r="D74" s="839">
        <f t="shared" si="35"/>
        <v>0</v>
      </c>
      <c r="E74" s="839">
        <f t="shared" si="35"/>
        <v>0</v>
      </c>
      <c r="F74" s="838">
        <f t="shared" si="35"/>
        <v>0</v>
      </c>
      <c r="G74" s="839">
        <f t="shared" si="35"/>
        <v>0</v>
      </c>
      <c r="H74" s="840">
        <f t="shared" si="35"/>
        <v>0</v>
      </c>
      <c r="I74" s="839">
        <f t="shared" si="16"/>
        <v>540.98511751197066</v>
      </c>
      <c r="J74" s="839">
        <f t="shared" si="17"/>
        <v>699.97488248802938</v>
      </c>
      <c r="K74" s="839">
        <f t="shared" si="18"/>
        <v>0</v>
      </c>
      <c r="L74" s="838">
        <f t="shared" si="19"/>
        <v>90.653373927231129</v>
      </c>
      <c r="M74" s="839">
        <f t="shared" si="20"/>
        <v>180.32662607276885</v>
      </c>
      <c r="N74" s="840">
        <f t="shared" si="21"/>
        <v>0</v>
      </c>
      <c r="O74" s="839">
        <f t="shared" si="22"/>
        <v>26508.270758086561</v>
      </c>
      <c r="P74" s="839">
        <f t="shared" si="23"/>
        <v>34298.76924191344</v>
      </c>
      <c r="Q74" s="840">
        <f t="shared" si="24"/>
        <v>0</v>
      </c>
      <c r="R74" s="839">
        <f t="shared" si="25"/>
        <v>4442.0153224343258</v>
      </c>
      <c r="S74" s="839">
        <f t="shared" si="26"/>
        <v>8836.0046775656738</v>
      </c>
      <c r="T74" s="840">
        <f t="shared" si="27"/>
        <v>0</v>
      </c>
      <c r="U74" s="274"/>
    </row>
    <row r="75" spans="1:46">
      <c r="A75" s="1487"/>
      <c r="B75" s="269" t="s">
        <v>384</v>
      </c>
      <c r="C75" s="838">
        <f t="shared" ref="C75:H75" si="36">C49*$I49</f>
        <v>1270.6773691446806</v>
      </c>
      <c r="D75" s="839">
        <f t="shared" si="36"/>
        <v>1828.7626308553192</v>
      </c>
      <c r="E75" s="839">
        <f t="shared" si="36"/>
        <v>0</v>
      </c>
      <c r="F75" s="838">
        <f t="shared" si="36"/>
        <v>97.575652410656573</v>
      </c>
      <c r="G75" s="839">
        <f t="shared" si="36"/>
        <v>480.56434758934347</v>
      </c>
      <c r="H75" s="840">
        <f t="shared" si="36"/>
        <v>0</v>
      </c>
      <c r="I75" s="839">
        <f t="shared" si="16"/>
        <v>0</v>
      </c>
      <c r="J75" s="839">
        <f t="shared" si="17"/>
        <v>0</v>
      </c>
      <c r="K75" s="839">
        <f t="shared" si="18"/>
        <v>0</v>
      </c>
      <c r="L75" s="838">
        <f t="shared" si="19"/>
        <v>0</v>
      </c>
      <c r="M75" s="839">
        <f t="shared" si="20"/>
        <v>0</v>
      </c>
      <c r="N75" s="840">
        <f t="shared" si="21"/>
        <v>0</v>
      </c>
      <c r="O75" s="839">
        <f t="shared" si="22"/>
        <v>62263.191088089348</v>
      </c>
      <c r="P75" s="839">
        <f t="shared" si="23"/>
        <v>89609.368911910642</v>
      </c>
      <c r="Q75" s="840">
        <f t="shared" si="24"/>
        <v>0</v>
      </c>
      <c r="R75" s="839">
        <f t="shared" si="25"/>
        <v>4781.2069681221719</v>
      </c>
      <c r="S75" s="839">
        <f t="shared" si="26"/>
        <v>23547.653031877828</v>
      </c>
      <c r="T75" s="840">
        <f t="shared" si="27"/>
        <v>0</v>
      </c>
      <c r="U75" s="274"/>
    </row>
    <row r="76" spans="1:46">
      <c r="A76" s="1487"/>
      <c r="B76" s="269" t="s">
        <v>385</v>
      </c>
      <c r="C76" s="838">
        <f t="shared" ref="C76:H76" si="37">C50*$I50</f>
        <v>1287.1953930138698</v>
      </c>
      <c r="D76" s="839">
        <f t="shared" si="37"/>
        <v>1882.6246069861302</v>
      </c>
      <c r="E76" s="839">
        <f t="shared" si="37"/>
        <v>0</v>
      </c>
      <c r="F76" s="838">
        <f t="shared" si="37"/>
        <v>721.75791375792892</v>
      </c>
      <c r="G76" s="839">
        <f t="shared" si="37"/>
        <v>544.28208624207116</v>
      </c>
      <c r="H76" s="840">
        <f t="shared" si="37"/>
        <v>0</v>
      </c>
      <c r="I76" s="839">
        <f t="shared" si="16"/>
        <v>0</v>
      </c>
      <c r="J76" s="839">
        <f t="shared" si="17"/>
        <v>0</v>
      </c>
      <c r="K76" s="839">
        <f t="shared" si="18"/>
        <v>0</v>
      </c>
      <c r="L76" s="838">
        <f t="shared" si="19"/>
        <v>0</v>
      </c>
      <c r="M76" s="839">
        <f t="shared" si="20"/>
        <v>0</v>
      </c>
      <c r="N76" s="840">
        <f t="shared" si="21"/>
        <v>0</v>
      </c>
      <c r="O76" s="839">
        <f t="shared" si="22"/>
        <v>63072.574257679618</v>
      </c>
      <c r="P76" s="839">
        <f t="shared" si="23"/>
        <v>92248.605742320375</v>
      </c>
      <c r="Q76" s="840">
        <f t="shared" si="24"/>
        <v>0</v>
      </c>
      <c r="R76" s="839">
        <f t="shared" si="25"/>
        <v>35366.137774138515</v>
      </c>
      <c r="S76" s="839">
        <f t="shared" si="26"/>
        <v>26669.822225861488</v>
      </c>
      <c r="T76" s="840">
        <f t="shared" si="27"/>
        <v>0</v>
      </c>
      <c r="U76" s="274"/>
    </row>
    <row r="77" spans="1:46">
      <c r="A77" s="1487"/>
      <c r="B77" s="269" t="s">
        <v>386</v>
      </c>
      <c r="C77" s="884">
        <f t="shared" ref="C77:H77" si="38">C51*$I51</f>
        <v>0</v>
      </c>
      <c r="D77" s="885">
        <f t="shared" si="38"/>
        <v>0</v>
      </c>
      <c r="E77" s="885">
        <f t="shared" si="38"/>
        <v>0</v>
      </c>
      <c r="F77" s="884">
        <f t="shared" si="38"/>
        <v>0</v>
      </c>
      <c r="G77" s="885">
        <f t="shared" si="38"/>
        <v>0</v>
      </c>
      <c r="H77" s="886">
        <f t="shared" si="38"/>
        <v>0</v>
      </c>
      <c r="I77" s="885">
        <f t="shared" si="16"/>
        <v>351.65591636469622</v>
      </c>
      <c r="J77" s="885">
        <f t="shared" si="17"/>
        <v>613.64408363530379</v>
      </c>
      <c r="K77" s="885">
        <f t="shared" si="18"/>
        <v>0</v>
      </c>
      <c r="L77" s="884">
        <f t="shared" si="19"/>
        <v>14.574914497253403</v>
      </c>
      <c r="M77" s="885">
        <f t="shared" si="20"/>
        <v>51.845085502746599</v>
      </c>
      <c r="N77" s="886">
        <f t="shared" si="21"/>
        <v>0</v>
      </c>
      <c r="O77" s="885">
        <f t="shared" si="22"/>
        <v>17231.139901870116</v>
      </c>
      <c r="P77" s="885">
        <f t="shared" si="23"/>
        <v>30068.560098129885</v>
      </c>
      <c r="Q77" s="886">
        <f t="shared" si="24"/>
        <v>0</v>
      </c>
      <c r="R77" s="885">
        <f t="shared" si="25"/>
        <v>714.17081036541674</v>
      </c>
      <c r="S77" s="885">
        <f t="shared" si="26"/>
        <v>2540.4091896345831</v>
      </c>
      <c r="T77" s="886">
        <f t="shared" si="27"/>
        <v>0</v>
      </c>
      <c r="U77" s="274"/>
    </row>
    <row r="78" spans="1:46">
      <c r="A78" s="1487" t="s">
        <v>1023</v>
      </c>
      <c r="B78" s="269" t="s">
        <v>387</v>
      </c>
      <c r="C78" s="838">
        <f t="shared" ref="C78:H78" si="39">C52*$I52</f>
        <v>0</v>
      </c>
      <c r="D78" s="839">
        <f t="shared" si="39"/>
        <v>0</v>
      </c>
      <c r="E78" s="839">
        <f t="shared" si="39"/>
        <v>0</v>
      </c>
      <c r="F78" s="838">
        <f t="shared" si="39"/>
        <v>0</v>
      </c>
      <c r="G78" s="839">
        <f t="shared" si="39"/>
        <v>0</v>
      </c>
      <c r="H78" s="840">
        <f t="shared" si="39"/>
        <v>0</v>
      </c>
      <c r="I78" s="839">
        <f t="shared" si="16"/>
        <v>898.33815449615395</v>
      </c>
      <c r="J78" s="839">
        <f t="shared" si="17"/>
        <v>1168.2218455038462</v>
      </c>
      <c r="K78" s="839">
        <f t="shared" si="18"/>
        <v>0</v>
      </c>
      <c r="L78" s="838">
        <f t="shared" si="19"/>
        <v>90.530629082629858</v>
      </c>
      <c r="M78" s="839">
        <f t="shared" si="20"/>
        <v>164.64937091737013</v>
      </c>
      <c r="N78" s="840">
        <f t="shared" si="21"/>
        <v>0</v>
      </c>
      <c r="O78" s="839">
        <f t="shared" si="22"/>
        <v>44018.569570311542</v>
      </c>
      <c r="P78" s="839">
        <f t="shared" si="23"/>
        <v>57242.870429688461</v>
      </c>
      <c r="Q78" s="840">
        <f t="shared" si="24"/>
        <v>0</v>
      </c>
      <c r="R78" s="839">
        <f t="shared" si="25"/>
        <v>4436.0008250488627</v>
      </c>
      <c r="S78" s="839">
        <f t="shared" si="26"/>
        <v>8067.819174951137</v>
      </c>
      <c r="T78" s="840">
        <f t="shared" si="27"/>
        <v>0</v>
      </c>
      <c r="U78" s="274"/>
    </row>
    <row r="79" spans="1:46">
      <c r="A79" s="1488"/>
      <c r="B79" s="269" t="s">
        <v>388</v>
      </c>
      <c r="C79" s="838">
        <f t="shared" ref="C79:H79" si="40">C53*$I53</f>
        <v>0</v>
      </c>
      <c r="D79" s="839">
        <f t="shared" si="40"/>
        <v>0</v>
      </c>
      <c r="E79" s="839">
        <f t="shared" si="40"/>
        <v>0</v>
      </c>
      <c r="F79" s="838">
        <f t="shared" si="40"/>
        <v>0</v>
      </c>
      <c r="G79" s="839">
        <f t="shared" si="40"/>
        <v>0</v>
      </c>
      <c r="H79" s="840">
        <f t="shared" si="40"/>
        <v>0</v>
      </c>
      <c r="I79" s="839">
        <f t="shared" si="16"/>
        <v>875.89861366717173</v>
      </c>
      <c r="J79" s="839">
        <f t="shared" si="17"/>
        <v>1116.9413863328282</v>
      </c>
      <c r="K79" s="839">
        <f t="shared" si="18"/>
        <v>0</v>
      </c>
      <c r="L79" s="838">
        <f t="shared" si="19"/>
        <v>388.17656923852263</v>
      </c>
      <c r="M79" s="839">
        <f t="shared" si="20"/>
        <v>468.00343076147738</v>
      </c>
      <c r="N79" s="840">
        <f t="shared" si="21"/>
        <v>0</v>
      </c>
      <c r="O79" s="839">
        <f t="shared" si="22"/>
        <v>42919.032069691413</v>
      </c>
      <c r="P79" s="839">
        <f t="shared" si="23"/>
        <v>54730.127930308583</v>
      </c>
      <c r="Q79" s="840">
        <f t="shared" si="24"/>
        <v>0</v>
      </c>
      <c r="R79" s="839">
        <f t="shared" si="25"/>
        <v>19020.651892687609</v>
      </c>
      <c r="S79" s="839">
        <f t="shared" si="26"/>
        <v>22932.168107312391</v>
      </c>
      <c r="T79" s="840">
        <f t="shared" si="27"/>
        <v>0</v>
      </c>
      <c r="U79" s="274"/>
    </row>
    <row r="80" spans="1:46">
      <c r="A80" s="1488"/>
      <c r="B80" s="269" t="s">
        <v>389</v>
      </c>
      <c r="C80" s="838">
        <f t="shared" ref="C80:H80" si="41">C54*$I54</f>
        <v>446.64037354141215</v>
      </c>
      <c r="D80" s="839">
        <f t="shared" si="41"/>
        <v>636.19962645858789</v>
      </c>
      <c r="E80" s="839">
        <f t="shared" si="41"/>
        <v>0</v>
      </c>
      <c r="F80" s="838">
        <f t="shared" si="41"/>
        <v>15.042886372712864</v>
      </c>
      <c r="G80" s="839">
        <f t="shared" si="41"/>
        <v>106.73711362728713</v>
      </c>
      <c r="H80" s="840">
        <f t="shared" si="41"/>
        <v>0</v>
      </c>
      <c r="I80" s="839">
        <f t="shared" si="16"/>
        <v>0</v>
      </c>
      <c r="J80" s="839">
        <f t="shared" si="17"/>
        <v>0</v>
      </c>
      <c r="K80" s="839">
        <f t="shared" si="18"/>
        <v>0</v>
      </c>
      <c r="L80" s="838">
        <f t="shared" si="19"/>
        <v>0</v>
      </c>
      <c r="M80" s="839">
        <f t="shared" si="20"/>
        <v>0</v>
      </c>
      <c r="N80" s="840">
        <f t="shared" si="21"/>
        <v>0</v>
      </c>
      <c r="O80" s="839">
        <f t="shared" si="22"/>
        <v>21885.378303529193</v>
      </c>
      <c r="P80" s="839">
        <f t="shared" si="23"/>
        <v>31173.781696470807</v>
      </c>
      <c r="Q80" s="840">
        <f t="shared" si="24"/>
        <v>0</v>
      </c>
      <c r="R80" s="839">
        <f t="shared" si="25"/>
        <v>737.1014322629303</v>
      </c>
      <c r="S80" s="839">
        <f t="shared" si="26"/>
        <v>5230.1185677370695</v>
      </c>
      <c r="T80" s="840">
        <f t="shared" si="27"/>
        <v>0</v>
      </c>
      <c r="U80" s="274"/>
    </row>
    <row r="81" spans="1:24">
      <c r="A81" s="1488"/>
      <c r="B81" s="269" t="s">
        <v>390</v>
      </c>
      <c r="C81" s="838">
        <f t="shared" ref="C81:H81" si="42">C55*$I55</f>
        <v>0</v>
      </c>
      <c r="D81" s="839">
        <f t="shared" si="42"/>
        <v>0</v>
      </c>
      <c r="E81" s="839">
        <f t="shared" si="42"/>
        <v>0</v>
      </c>
      <c r="F81" s="838">
        <f t="shared" si="42"/>
        <v>0</v>
      </c>
      <c r="G81" s="839">
        <f t="shared" si="42"/>
        <v>0</v>
      </c>
      <c r="H81" s="840">
        <f t="shared" si="42"/>
        <v>0</v>
      </c>
      <c r="I81" s="839">
        <f t="shared" si="16"/>
        <v>934.82200228273473</v>
      </c>
      <c r="J81" s="839">
        <f t="shared" si="17"/>
        <v>1130.6779977172653</v>
      </c>
      <c r="K81" s="839">
        <f t="shared" si="18"/>
        <v>0</v>
      </c>
      <c r="L81" s="838">
        <f t="shared" si="19"/>
        <v>82.558245129080603</v>
      </c>
      <c r="M81" s="839">
        <f t="shared" si="20"/>
        <v>194.60175487091939</v>
      </c>
      <c r="N81" s="840">
        <f t="shared" si="21"/>
        <v>0</v>
      </c>
      <c r="O81" s="839">
        <f t="shared" si="22"/>
        <v>45806.278111854001</v>
      </c>
      <c r="P81" s="839">
        <f t="shared" si="23"/>
        <v>55403.221888145999</v>
      </c>
      <c r="Q81" s="840">
        <f t="shared" si="24"/>
        <v>0</v>
      </c>
      <c r="R81" s="839">
        <f t="shared" si="25"/>
        <v>4045.3540113249496</v>
      </c>
      <c r="S81" s="839">
        <f t="shared" si="26"/>
        <v>9535.485988675051</v>
      </c>
      <c r="T81" s="840">
        <f t="shared" si="27"/>
        <v>0</v>
      </c>
      <c r="U81" s="274"/>
    </row>
    <row r="82" spans="1:24">
      <c r="A82" s="1488"/>
      <c r="B82" s="269" t="s">
        <v>391</v>
      </c>
      <c r="C82" s="838">
        <f t="shared" ref="C82:H82" si="43">C56*$I56</f>
        <v>0</v>
      </c>
      <c r="D82" s="839">
        <f t="shared" si="43"/>
        <v>0</v>
      </c>
      <c r="E82" s="839">
        <f t="shared" si="43"/>
        <v>0</v>
      </c>
      <c r="F82" s="838">
        <f t="shared" si="43"/>
        <v>0</v>
      </c>
      <c r="G82" s="839">
        <f t="shared" si="43"/>
        <v>0</v>
      </c>
      <c r="H82" s="840">
        <f t="shared" si="43"/>
        <v>0</v>
      </c>
      <c r="I82" s="839">
        <f t="shared" si="16"/>
        <v>523.63300578351379</v>
      </c>
      <c r="J82" s="839">
        <f t="shared" si="17"/>
        <v>825.04699421648627</v>
      </c>
      <c r="K82" s="839">
        <f t="shared" si="18"/>
        <v>0</v>
      </c>
      <c r="L82" s="838">
        <f t="shared" si="19"/>
        <v>39.012227752408556</v>
      </c>
      <c r="M82" s="839">
        <f t="shared" si="20"/>
        <v>196.72777224759142</v>
      </c>
      <c r="N82" s="840">
        <f t="shared" si="21"/>
        <v>0</v>
      </c>
      <c r="O82" s="839">
        <f t="shared" si="22"/>
        <v>25658.017283392175</v>
      </c>
      <c r="P82" s="839">
        <f t="shared" si="23"/>
        <v>40427.302716607825</v>
      </c>
      <c r="Q82" s="840">
        <f t="shared" si="24"/>
        <v>0</v>
      </c>
      <c r="R82" s="839">
        <f t="shared" si="25"/>
        <v>1911.5991598680191</v>
      </c>
      <c r="S82" s="839">
        <f t="shared" si="26"/>
        <v>9639.6608401319791</v>
      </c>
      <c r="T82" s="840">
        <f t="shared" si="27"/>
        <v>0</v>
      </c>
      <c r="U82" s="274"/>
    </row>
    <row r="83" spans="1:24" ht="15" thickBot="1">
      <c r="A83" s="1488"/>
      <c r="B83" s="269" t="s">
        <v>392</v>
      </c>
      <c r="C83" s="876">
        <f t="shared" ref="C83:H83" si="44">C57*$I57</f>
        <v>0</v>
      </c>
      <c r="D83" s="842">
        <f t="shared" si="44"/>
        <v>0</v>
      </c>
      <c r="E83" s="842">
        <f t="shared" si="44"/>
        <v>0</v>
      </c>
      <c r="F83" s="876">
        <f t="shared" si="44"/>
        <v>0</v>
      </c>
      <c r="G83" s="842">
        <f t="shared" si="44"/>
        <v>0</v>
      </c>
      <c r="H83" s="843">
        <f t="shared" si="44"/>
        <v>0</v>
      </c>
      <c r="I83" s="842">
        <f t="shared" si="16"/>
        <v>280.93208437891974</v>
      </c>
      <c r="J83" s="842">
        <f t="shared" si="17"/>
        <v>372.54791562108034</v>
      </c>
      <c r="K83" s="842">
        <f t="shared" si="18"/>
        <v>0</v>
      </c>
      <c r="L83" s="876">
        <f t="shared" si="19"/>
        <v>17.077355896351136</v>
      </c>
      <c r="M83" s="842">
        <f t="shared" si="20"/>
        <v>56.862644103648854</v>
      </c>
      <c r="N83" s="843">
        <f t="shared" si="21"/>
        <v>0</v>
      </c>
      <c r="O83" s="842">
        <f t="shared" si="22"/>
        <v>13765.672134567067</v>
      </c>
      <c r="P83" s="842">
        <f t="shared" si="23"/>
        <v>18254.847865432934</v>
      </c>
      <c r="Q83" s="843">
        <f t="shared" si="24"/>
        <v>0</v>
      </c>
      <c r="R83" s="842">
        <f t="shared" si="25"/>
        <v>836.79043892120569</v>
      </c>
      <c r="S83" s="842">
        <f t="shared" si="26"/>
        <v>2786.2695610787937</v>
      </c>
      <c r="T83" s="843">
        <f t="shared" si="27"/>
        <v>0</v>
      </c>
      <c r="U83" s="274"/>
    </row>
    <row r="84" spans="1:24">
      <c r="G84" s="918" t="s">
        <v>1166</v>
      </c>
      <c r="H84" s="919">
        <f>SUM(C65:H83)</f>
        <v>15385.479999999998</v>
      </c>
      <c r="I84" s="918"/>
      <c r="J84" s="918"/>
      <c r="K84" s="918"/>
      <c r="L84" s="918"/>
      <c r="M84" s="918" t="s">
        <v>1167</v>
      </c>
      <c r="N84" s="919">
        <f>SUM(I65:N83)</f>
        <v>29858.899999999998</v>
      </c>
      <c r="O84" s="918"/>
      <c r="P84" s="918"/>
      <c r="Q84" s="918"/>
      <c r="R84" s="918"/>
      <c r="S84" s="918" t="s">
        <v>1165</v>
      </c>
      <c r="T84" s="919">
        <f>SUM(O65:T83)</f>
        <v>2216974.6199999996</v>
      </c>
      <c r="U84" s="274"/>
    </row>
    <row r="85" spans="1:24">
      <c r="P85" s="901"/>
      <c r="U85" s="274"/>
    </row>
    <row r="86" spans="1:24">
      <c r="P86" s="901"/>
      <c r="U86" s="274"/>
    </row>
    <row r="87" spans="1:24">
      <c r="O87" s="1096" t="s">
        <v>1197</v>
      </c>
      <c r="P87" s="901"/>
      <c r="U87" s="274"/>
      <c r="X87" s="1095" t="s">
        <v>1198</v>
      </c>
    </row>
    <row r="88" spans="1:24" ht="15.6">
      <c r="O88" s="1106" t="s">
        <v>1195</v>
      </c>
      <c r="X88" s="1097" t="str">
        <f>A96</f>
        <v>Sartori et al.</v>
      </c>
    </row>
    <row r="89" spans="1:24">
      <c r="M89" s="274"/>
      <c r="N89" s="274"/>
      <c r="O89" s="266" t="s">
        <v>1196</v>
      </c>
      <c r="X89" s="892" t="s">
        <v>1173</v>
      </c>
    </row>
    <row r="90" spans="1:24" ht="16.2" thickBot="1">
      <c r="C90" s="1007" t="s">
        <v>1179</v>
      </c>
      <c r="D90" s="826"/>
      <c r="E90" s="826"/>
      <c r="F90" s="826"/>
      <c r="G90" s="826"/>
      <c r="H90" s="826"/>
      <c r="I90" s="826"/>
      <c r="J90" s="826"/>
      <c r="K90" s="826"/>
      <c r="L90" s="826"/>
      <c r="M90" s="826"/>
      <c r="N90" s="826"/>
    </row>
    <row r="91" spans="1:24" ht="15" thickBot="1">
      <c r="B91" s="817"/>
      <c r="C91" s="1497" t="s">
        <v>176</v>
      </c>
      <c r="D91" s="1498"/>
      <c r="E91" s="1498"/>
      <c r="F91" s="1498"/>
      <c r="G91" s="1499"/>
      <c r="H91" s="1497" t="s">
        <v>348</v>
      </c>
      <c r="I91" s="1498"/>
      <c r="J91" s="1498"/>
      <c r="K91" s="1498"/>
      <c r="L91" s="1499"/>
    </row>
    <row r="92" spans="1:24" ht="15" thickBot="1">
      <c r="B92" s="817"/>
      <c r="C92" s="923" t="s">
        <v>418</v>
      </c>
      <c r="D92" s="924" t="s">
        <v>402</v>
      </c>
      <c r="E92" s="925" t="s">
        <v>405</v>
      </c>
      <c r="F92" s="925" t="s">
        <v>419</v>
      </c>
      <c r="G92" s="926" t="s">
        <v>415</v>
      </c>
      <c r="H92" s="934" t="s">
        <v>418</v>
      </c>
      <c r="I92" s="935" t="s">
        <v>402</v>
      </c>
      <c r="J92" s="925" t="s">
        <v>405</v>
      </c>
      <c r="K92" s="925" t="s">
        <v>419</v>
      </c>
      <c r="L92" s="926" t="s">
        <v>415</v>
      </c>
      <c r="M92" s="892" t="s">
        <v>1171</v>
      </c>
    </row>
    <row r="93" spans="1:24">
      <c r="A93" s="929" t="s">
        <v>917</v>
      </c>
      <c r="B93" s="920" t="s">
        <v>420</v>
      </c>
      <c r="C93" s="1115">
        <f>342566+127307</f>
        <v>469873</v>
      </c>
      <c r="D93" s="1116">
        <f>217910+77475</f>
        <v>295385</v>
      </c>
      <c r="E93" s="1116">
        <f>208214+70011+192577+67305</f>
        <v>538107</v>
      </c>
      <c r="F93" s="1116">
        <f>103147+52823+91842+63883</f>
        <v>311695</v>
      </c>
      <c r="G93" s="932">
        <f>17382+13152</f>
        <v>30534</v>
      </c>
      <c r="H93" s="1116">
        <f>158534</f>
        <v>158534</v>
      </c>
      <c r="I93" s="1116">
        <f>111382</f>
        <v>111382</v>
      </c>
      <c r="J93" s="1116">
        <f>84606+50850</f>
        <v>135456</v>
      </c>
      <c r="K93" s="1116">
        <f>55890+110811</f>
        <v>166701</v>
      </c>
      <c r="L93" s="974">
        <f>20262</f>
        <v>20262</v>
      </c>
      <c r="M93" s="1104">
        <f>SUM(C93:F93,H93:K93)</f>
        <v>2187133</v>
      </c>
      <c r="N93" s="1493" t="s">
        <v>1176</v>
      </c>
    </row>
    <row r="94" spans="1:24" ht="15.6">
      <c r="A94" s="927" t="s">
        <v>358</v>
      </c>
      <c r="B94" s="922" t="s">
        <v>420</v>
      </c>
      <c r="C94" s="1500">
        <f>SUM(C39:C57)</f>
        <v>752518.28796019719</v>
      </c>
      <c r="D94" s="1501"/>
      <c r="E94" s="1502">
        <f>SUM(D39:D57)</f>
        <v>946224.71203980281</v>
      </c>
      <c r="F94" s="1501"/>
      <c r="G94" s="930">
        <f>SUM(E39:E57)</f>
        <v>0</v>
      </c>
      <c r="H94" s="1502">
        <f>SUM(F39:F57)</f>
        <v>255625.38988619001</v>
      </c>
      <c r="I94" s="1501"/>
      <c r="J94" s="1502">
        <f>SUM(G39:G57)</f>
        <v>307850.61011381005</v>
      </c>
      <c r="K94" s="1501"/>
      <c r="L94" s="975">
        <f>SUM(H39:H57)</f>
        <v>0</v>
      </c>
      <c r="M94" s="1101">
        <f>SUM(C94:L94)</f>
        <v>2262219</v>
      </c>
      <c r="N94" s="1493"/>
    </row>
    <row r="95" spans="1:24">
      <c r="A95" s="929" t="s">
        <v>917</v>
      </c>
      <c r="B95" s="921" t="s">
        <v>1170</v>
      </c>
      <c r="C95" s="1099">
        <f>53479+13123</f>
        <v>66602</v>
      </c>
      <c r="D95" s="1100">
        <f>35649+9170</f>
        <v>44819</v>
      </c>
      <c r="E95" s="1100">
        <f>35263+8228+36379+7638</f>
        <v>87508</v>
      </c>
      <c r="F95" s="1100">
        <f>16843+5304+15360+6591</f>
        <v>44098</v>
      </c>
      <c r="G95" s="933">
        <f>3117+1483</f>
        <v>4600</v>
      </c>
      <c r="H95" s="1100">
        <f>10427</f>
        <v>10427</v>
      </c>
      <c r="I95" s="1100">
        <f>6988</f>
        <v>6988</v>
      </c>
      <c r="J95" s="1100">
        <f>6078+3805</f>
        <v>9883</v>
      </c>
      <c r="K95" s="1100">
        <f>3811+7860</f>
        <v>11671</v>
      </c>
      <c r="L95" s="1098">
        <f>1630</f>
        <v>1630</v>
      </c>
      <c r="M95" s="1102">
        <f>SUM(C95:F95,H95:K95)</f>
        <v>281996</v>
      </c>
      <c r="N95" s="1503" t="s">
        <v>1176</v>
      </c>
    </row>
    <row r="96" spans="1:24" ht="15" customHeight="1" thickBot="1">
      <c r="A96" s="928" t="s">
        <v>1172</v>
      </c>
      <c r="B96" s="892" t="s">
        <v>1170</v>
      </c>
      <c r="C96" s="1483">
        <v>255069</v>
      </c>
      <c r="D96" s="1484"/>
      <c r="E96" s="1484"/>
      <c r="F96" s="1484"/>
      <c r="G96" s="931">
        <v>0</v>
      </c>
      <c r="H96" s="1485">
        <v>40044</v>
      </c>
      <c r="I96" s="1486"/>
      <c r="J96" s="1486"/>
      <c r="K96" s="1486"/>
      <c r="L96" s="976">
        <v>0</v>
      </c>
      <c r="M96" s="1103">
        <f>SUM(C96:F96,H96:K96)</f>
        <v>295113</v>
      </c>
      <c r="N96" s="1503"/>
    </row>
    <row r="97" spans="1:20">
      <c r="N97" s="1105"/>
    </row>
    <row r="98" spans="1:20">
      <c r="B98" s="492"/>
      <c r="C98" s="604"/>
      <c r="D98" s="604"/>
      <c r="E98" s="604"/>
      <c r="F98" s="604"/>
      <c r="G98" s="526"/>
      <c r="H98" s="604"/>
      <c r="I98" s="604"/>
      <c r="J98" s="604"/>
      <c r="K98" s="604"/>
      <c r="L98" s="526"/>
      <c r="N98" s="526"/>
    </row>
    <row r="99" spans="1:20">
      <c r="B99" s="1107" t="s">
        <v>912</v>
      </c>
      <c r="C99" s="936">
        <f>C95*1000/C93</f>
        <v>141.74468420190138</v>
      </c>
      <c r="D99" s="937">
        <f>D95*1000/D93</f>
        <v>151.7307920171979</v>
      </c>
      <c r="E99" s="937">
        <f>E95*1000/E93</f>
        <v>162.62193206927248</v>
      </c>
      <c r="F99" s="937">
        <f>F95*1000/F93</f>
        <v>141.4780474502318</v>
      </c>
      <c r="G99" s="937">
        <v>0</v>
      </c>
      <c r="H99" s="937">
        <f>H95*1000/H93</f>
        <v>65.771380271739815</v>
      </c>
      <c r="I99" s="937">
        <f>I95*1000/I93</f>
        <v>62.739042215079635</v>
      </c>
      <c r="J99" s="937">
        <f>J95*1000/J93</f>
        <v>72.96096149303095</v>
      </c>
      <c r="K99" s="937">
        <f>K95*1000/K93</f>
        <v>70.011577615011305</v>
      </c>
      <c r="L99" s="938">
        <v>0</v>
      </c>
      <c r="M99" s="892" t="s">
        <v>1174</v>
      </c>
      <c r="N99" s="939"/>
    </row>
    <row r="100" spans="1:20">
      <c r="N100" s="526"/>
    </row>
    <row r="101" spans="1:20">
      <c r="B101" s="492"/>
      <c r="C101" s="1055"/>
      <c r="D101" s="1055"/>
      <c r="E101" s="1055"/>
      <c r="F101" s="1055"/>
      <c r="G101" s="1055"/>
      <c r="H101" s="604"/>
      <c r="I101" s="604"/>
      <c r="J101" s="604"/>
      <c r="K101" s="604"/>
      <c r="L101" s="526"/>
      <c r="N101"/>
      <c r="O101" s="187"/>
    </row>
    <row r="102" spans="1:20">
      <c r="C102" s="1056"/>
      <c r="D102" s="1056"/>
      <c r="E102" s="1056"/>
      <c r="F102" s="1056"/>
      <c r="G102" s="526"/>
      <c r="H102" s="604"/>
      <c r="I102" s="604"/>
      <c r="J102" s="604"/>
      <c r="K102" s="604"/>
      <c r="L102" s="526"/>
      <c r="N102"/>
      <c r="O102" s="187"/>
    </row>
    <row r="103" spans="1:20">
      <c r="C103" s="1056"/>
      <c r="D103" s="1056"/>
      <c r="E103" s="1056"/>
      <c r="F103" s="1056"/>
      <c r="G103" s="526"/>
      <c r="H103" s="604"/>
      <c r="I103" s="604"/>
      <c r="J103" s="604"/>
      <c r="K103" s="604"/>
      <c r="L103" s="526"/>
      <c r="N103"/>
      <c r="O103" s="187"/>
    </row>
    <row r="104" spans="1:20">
      <c r="C104" s="1056"/>
      <c r="D104" s="1056"/>
      <c r="E104" s="1056"/>
      <c r="F104" s="1056"/>
      <c r="G104" s="526"/>
      <c r="H104" s="604"/>
      <c r="I104" s="604"/>
      <c r="J104" s="604"/>
      <c r="K104" s="604"/>
      <c r="L104" s="526"/>
      <c r="N104"/>
      <c r="O104" s="187"/>
    </row>
    <row r="105" spans="1:20">
      <c r="C105" s="1056"/>
      <c r="D105" s="1056"/>
      <c r="E105" s="1056"/>
      <c r="F105" s="1056"/>
      <c r="G105" s="526"/>
      <c r="H105" s="604"/>
      <c r="I105" s="604"/>
      <c r="J105" s="604"/>
      <c r="K105" s="604"/>
      <c r="L105" s="526"/>
      <c r="N105"/>
      <c r="O105" s="187"/>
    </row>
    <row r="106" spans="1:20">
      <c r="D106" s="604"/>
      <c r="E106"/>
      <c r="F106" s="187"/>
      <c r="G106" s="526"/>
      <c r="H106" s="604"/>
      <c r="I106" s="604"/>
      <c r="J106" s="604"/>
      <c r="K106" s="604"/>
      <c r="L106" s="526"/>
      <c r="N106" s="187"/>
      <c r="O106" s="784"/>
    </row>
    <row r="107" spans="1:20" ht="16.2" thickBot="1">
      <c r="C107" s="1006" t="s">
        <v>1180</v>
      </c>
      <c r="D107" s="759"/>
      <c r="E107" s="759"/>
      <c r="F107" s="759"/>
      <c r="G107" s="759"/>
      <c r="H107" s="759"/>
      <c r="I107" s="759"/>
      <c r="J107" s="759"/>
      <c r="K107" s="759"/>
      <c r="L107" s="759"/>
      <c r="M107" s="759"/>
      <c r="N107" s="759"/>
      <c r="O107" s="759"/>
      <c r="P107" s="759"/>
      <c r="Q107" s="759"/>
      <c r="R107" s="759"/>
      <c r="S107" s="759"/>
    </row>
    <row r="108" spans="1:20" ht="15.6">
      <c r="C108" s="1494" t="s">
        <v>148</v>
      </c>
      <c r="D108" s="1495"/>
      <c r="E108" s="1495"/>
      <c r="F108" s="1495"/>
      <c r="G108" s="1495"/>
      <c r="H108" s="1496"/>
      <c r="I108" s="1494" t="s">
        <v>149</v>
      </c>
      <c r="J108" s="1495"/>
      <c r="K108" s="1495"/>
      <c r="L108" s="1495"/>
      <c r="M108" s="1495"/>
      <c r="N108" s="1496"/>
      <c r="O108" s="1494" t="s">
        <v>177</v>
      </c>
      <c r="P108" s="1495"/>
      <c r="Q108" s="1495"/>
      <c r="R108" s="1495"/>
      <c r="S108" s="1495"/>
      <c r="T108" s="1496"/>
    </row>
    <row r="109" spans="1:20" ht="15" thickBot="1">
      <c r="C109" s="1480" t="s">
        <v>176</v>
      </c>
      <c r="D109" s="1481"/>
      <c r="E109" s="1482"/>
      <c r="F109" s="1480" t="s">
        <v>348</v>
      </c>
      <c r="G109" s="1481"/>
      <c r="H109" s="1482"/>
      <c r="I109" s="1480" t="s">
        <v>176</v>
      </c>
      <c r="J109" s="1481"/>
      <c r="K109" s="1482"/>
      <c r="L109" s="1480" t="s">
        <v>348</v>
      </c>
      <c r="M109" s="1481"/>
      <c r="N109" s="1482"/>
      <c r="O109" s="1480" t="s">
        <v>176</v>
      </c>
      <c r="P109" s="1481"/>
      <c r="Q109" s="1482"/>
      <c r="R109" s="1480" t="s">
        <v>348</v>
      </c>
      <c r="S109" s="1481"/>
      <c r="T109" s="1482"/>
    </row>
    <row r="110" spans="1:20">
      <c r="C110" s="940" t="s">
        <v>404</v>
      </c>
      <c r="D110" s="856" t="s">
        <v>456</v>
      </c>
      <c r="E110" s="941" t="s">
        <v>407</v>
      </c>
      <c r="F110" s="940" t="s">
        <v>404</v>
      </c>
      <c r="G110" s="856" t="s">
        <v>456</v>
      </c>
      <c r="H110" s="942" t="s">
        <v>407</v>
      </c>
      <c r="I110" s="941" t="s">
        <v>404</v>
      </c>
      <c r="J110" s="856" t="s">
        <v>456</v>
      </c>
      <c r="K110" s="941" t="s">
        <v>407</v>
      </c>
      <c r="L110" s="940" t="s">
        <v>404</v>
      </c>
      <c r="M110" s="856" t="s">
        <v>456</v>
      </c>
      <c r="N110" s="942" t="s">
        <v>407</v>
      </c>
      <c r="O110" s="940" t="s">
        <v>404</v>
      </c>
      <c r="P110" s="856" t="s">
        <v>456</v>
      </c>
      <c r="Q110" s="942" t="s">
        <v>407</v>
      </c>
      <c r="R110" s="941" t="s">
        <v>404</v>
      </c>
      <c r="S110" s="856" t="s">
        <v>456</v>
      </c>
      <c r="T110" s="942" t="s">
        <v>407</v>
      </c>
    </row>
    <row r="111" spans="1:20">
      <c r="A111" s="1487" t="s">
        <v>1022</v>
      </c>
      <c r="B111" s="269" t="s">
        <v>374</v>
      </c>
      <c r="C111" s="838">
        <f t="shared" ref="C111:C129" si="45">C65*AVERAGE($C$99:$D$99)</f>
        <v>0</v>
      </c>
      <c r="D111" s="839">
        <f t="shared" ref="D111:D129" si="46">D65*AVERAGE($E$99:$F$99)</f>
        <v>0</v>
      </c>
      <c r="E111" s="839">
        <f t="shared" ref="E111:E129" si="47">E65</f>
        <v>0</v>
      </c>
      <c r="F111" s="838">
        <f t="shared" ref="F111:F129" si="48">F65*AVERAGE($H$99:$I$99)</f>
        <v>0</v>
      </c>
      <c r="G111" s="839">
        <f t="shared" ref="G111:G129" si="49">G65*AVERAGE($J$99:$K$99)</f>
        <v>0</v>
      </c>
      <c r="H111" s="840">
        <f t="shared" ref="H111:H129" si="50">H65</f>
        <v>0</v>
      </c>
      <c r="I111" s="839">
        <f t="shared" ref="I111:I129" si="51">I65*AVERAGE($C$99:$D$99)</f>
        <v>155303.40239880234</v>
      </c>
      <c r="J111" s="839">
        <f t="shared" ref="J111:J129" si="52">J65*AVERAGE($E$99:$F$99)</f>
        <v>148760.54487700682</v>
      </c>
      <c r="K111" s="839">
        <f t="shared" ref="K111:K129" si="53">K65</f>
        <v>0</v>
      </c>
      <c r="L111" s="838">
        <f t="shared" ref="L111:L129" si="54">L65*AVERAGE($H$99:$I$99)</f>
        <v>8574.1687536984173</v>
      </c>
      <c r="M111" s="839">
        <f t="shared" ref="M111:M129" si="55">M65*AVERAGE($J$99:$K$99)</f>
        <v>18277.661282292713</v>
      </c>
      <c r="N111" s="840">
        <f t="shared" ref="N111:N129" si="56">N65</f>
        <v>0</v>
      </c>
      <c r="O111" s="838">
        <f t="shared" ref="O111:O129" si="57">O65*AVERAGE($C$99:$D$99)</f>
        <v>7609866.7175413137</v>
      </c>
      <c r="P111" s="839">
        <f t="shared" ref="P111:P129" si="58">P65*AVERAGE($E$99:$F$99)</f>
        <v>7289266.6989733344</v>
      </c>
      <c r="Q111" s="840">
        <f t="shared" ref="Q111:Q129" si="59">Q65</f>
        <v>0</v>
      </c>
      <c r="R111" s="839">
        <f t="shared" ref="R111:R129" si="60">R65*AVERAGE($H$99:$I$99)</f>
        <v>420134.26893122244</v>
      </c>
      <c r="S111" s="839">
        <f t="shared" ref="S111:S129" si="61">S65*AVERAGE($J$99:$K$99)</f>
        <v>895605.40283234301</v>
      </c>
      <c r="T111" s="840">
        <f t="shared" ref="T111:T129" si="62">T65</f>
        <v>0</v>
      </c>
    </row>
    <row r="112" spans="1:20">
      <c r="A112" s="1487"/>
      <c r="B112" s="269" t="s">
        <v>375</v>
      </c>
      <c r="C112" s="838">
        <f t="shared" si="45"/>
        <v>0</v>
      </c>
      <c r="D112" s="839">
        <f t="shared" si="46"/>
        <v>0</v>
      </c>
      <c r="E112" s="839">
        <f t="shared" si="47"/>
        <v>0</v>
      </c>
      <c r="F112" s="838">
        <f t="shared" si="48"/>
        <v>0</v>
      </c>
      <c r="G112" s="839">
        <f t="shared" si="49"/>
        <v>0</v>
      </c>
      <c r="H112" s="840">
        <f t="shared" si="50"/>
        <v>0</v>
      </c>
      <c r="I112" s="839">
        <f t="shared" si="51"/>
        <v>203414.84478439647</v>
      </c>
      <c r="J112" s="839">
        <f t="shared" si="52"/>
        <v>316366.20934125455</v>
      </c>
      <c r="K112" s="839">
        <f t="shared" si="53"/>
        <v>0</v>
      </c>
      <c r="L112" s="838">
        <f t="shared" si="54"/>
        <v>19341.879032329005</v>
      </c>
      <c r="M112" s="839">
        <f t="shared" si="55"/>
        <v>44997.99717166058</v>
      </c>
      <c r="N112" s="840">
        <f t="shared" si="56"/>
        <v>0</v>
      </c>
      <c r="O112" s="838">
        <f t="shared" si="57"/>
        <v>9967327.3944354262</v>
      </c>
      <c r="P112" s="839">
        <f t="shared" si="58"/>
        <v>15501944.257721474</v>
      </c>
      <c r="Q112" s="840">
        <f t="shared" si="59"/>
        <v>0</v>
      </c>
      <c r="R112" s="839">
        <f t="shared" si="60"/>
        <v>947752.07258412137</v>
      </c>
      <c r="S112" s="839">
        <f t="shared" si="61"/>
        <v>2204901.861411368</v>
      </c>
      <c r="T112" s="840">
        <f t="shared" si="62"/>
        <v>0</v>
      </c>
    </row>
    <row r="113" spans="1:20">
      <c r="A113" s="1487"/>
      <c r="B113" s="269" t="s">
        <v>376</v>
      </c>
      <c r="C113" s="838">
        <f t="shared" si="45"/>
        <v>114004.80182773584</v>
      </c>
      <c r="D113" s="839">
        <f t="shared" si="46"/>
        <v>108787.36061078751</v>
      </c>
      <c r="E113" s="839">
        <f t="shared" si="47"/>
        <v>0</v>
      </c>
      <c r="F113" s="838">
        <f t="shared" si="48"/>
        <v>175909.23184057581</v>
      </c>
      <c r="G113" s="839">
        <f t="shared" si="49"/>
        <v>131345.66708785831</v>
      </c>
      <c r="H113" s="840">
        <f t="shared" si="50"/>
        <v>0</v>
      </c>
      <c r="I113" s="839">
        <f t="shared" si="51"/>
        <v>0</v>
      </c>
      <c r="J113" s="839">
        <f t="shared" si="52"/>
        <v>0</v>
      </c>
      <c r="K113" s="839">
        <f t="shared" si="53"/>
        <v>0</v>
      </c>
      <c r="L113" s="838">
        <f t="shared" si="54"/>
        <v>0</v>
      </c>
      <c r="M113" s="839">
        <f t="shared" si="55"/>
        <v>0</v>
      </c>
      <c r="N113" s="840">
        <f t="shared" si="56"/>
        <v>0</v>
      </c>
      <c r="O113" s="838">
        <f t="shared" si="57"/>
        <v>5586235.289559057</v>
      </c>
      <c r="P113" s="839">
        <f t="shared" si="58"/>
        <v>5330580.669928587</v>
      </c>
      <c r="Q113" s="840">
        <f t="shared" si="59"/>
        <v>0</v>
      </c>
      <c r="R113" s="839">
        <f t="shared" si="60"/>
        <v>8619552.3601882141</v>
      </c>
      <c r="S113" s="839">
        <f t="shared" si="61"/>
        <v>6435937.6873050565</v>
      </c>
      <c r="T113" s="840">
        <f t="shared" si="62"/>
        <v>0</v>
      </c>
    </row>
    <row r="114" spans="1:20">
      <c r="A114" s="1487"/>
      <c r="B114" s="269" t="s">
        <v>377</v>
      </c>
      <c r="C114" s="838">
        <f t="shared" si="45"/>
        <v>0</v>
      </c>
      <c r="D114" s="839">
        <f t="shared" si="46"/>
        <v>0</v>
      </c>
      <c r="E114" s="839">
        <f t="shared" si="47"/>
        <v>0</v>
      </c>
      <c r="F114" s="838">
        <f t="shared" si="48"/>
        <v>0</v>
      </c>
      <c r="G114" s="839">
        <f t="shared" si="49"/>
        <v>0</v>
      </c>
      <c r="H114" s="840">
        <f t="shared" si="50"/>
        <v>0</v>
      </c>
      <c r="I114" s="839">
        <f t="shared" si="51"/>
        <v>112767.01514572385</v>
      </c>
      <c r="J114" s="839">
        <f t="shared" si="52"/>
        <v>136642.21429578037</v>
      </c>
      <c r="K114" s="839">
        <f t="shared" si="53"/>
        <v>0</v>
      </c>
      <c r="L114" s="838">
        <f t="shared" si="54"/>
        <v>3878.3512643458866</v>
      </c>
      <c r="M114" s="839">
        <f t="shared" si="55"/>
        <v>9893.8034906997727</v>
      </c>
      <c r="N114" s="840">
        <f t="shared" si="56"/>
        <v>0</v>
      </c>
      <c r="O114" s="838">
        <f t="shared" si="57"/>
        <v>5525583.7421404682</v>
      </c>
      <c r="P114" s="839">
        <f t="shared" si="58"/>
        <v>6695468.5004932377</v>
      </c>
      <c r="Q114" s="840">
        <f t="shared" si="59"/>
        <v>0</v>
      </c>
      <c r="R114" s="839">
        <f t="shared" si="60"/>
        <v>190039.21195294845</v>
      </c>
      <c r="S114" s="839">
        <f t="shared" si="61"/>
        <v>484796.3710442888</v>
      </c>
      <c r="T114" s="840">
        <f t="shared" si="62"/>
        <v>0</v>
      </c>
    </row>
    <row r="115" spans="1:20">
      <c r="A115" s="1487"/>
      <c r="B115" s="269" t="s">
        <v>378</v>
      </c>
      <c r="C115" s="838">
        <f t="shared" si="45"/>
        <v>0</v>
      </c>
      <c r="D115" s="839">
        <f t="shared" si="46"/>
        <v>0</v>
      </c>
      <c r="E115" s="839">
        <f t="shared" si="47"/>
        <v>0</v>
      </c>
      <c r="F115" s="838">
        <f t="shared" si="48"/>
        <v>0</v>
      </c>
      <c r="G115" s="839">
        <f t="shared" si="49"/>
        <v>0</v>
      </c>
      <c r="H115" s="840">
        <f t="shared" si="50"/>
        <v>0</v>
      </c>
      <c r="I115" s="839">
        <f t="shared" si="51"/>
        <v>115486.58641005623</v>
      </c>
      <c r="J115" s="839">
        <f t="shared" si="52"/>
        <v>132869.31421207843</v>
      </c>
      <c r="K115" s="839">
        <f t="shared" si="53"/>
        <v>0</v>
      </c>
      <c r="L115" s="838">
        <f t="shared" si="54"/>
        <v>2514.6360846480798</v>
      </c>
      <c r="M115" s="839">
        <f t="shared" si="55"/>
        <v>8592.9976946256229</v>
      </c>
      <c r="N115" s="840">
        <f t="shared" si="56"/>
        <v>0</v>
      </c>
      <c r="O115" s="838">
        <f t="shared" si="57"/>
        <v>5658842.7340927552</v>
      </c>
      <c r="P115" s="839">
        <f t="shared" si="58"/>
        <v>6510596.3963918434</v>
      </c>
      <c r="Q115" s="840">
        <f t="shared" si="59"/>
        <v>0</v>
      </c>
      <c r="R115" s="839">
        <f t="shared" si="60"/>
        <v>123217.1681477559</v>
      </c>
      <c r="S115" s="839">
        <f t="shared" si="61"/>
        <v>421056.88703665556</v>
      </c>
      <c r="T115" s="840">
        <f t="shared" si="62"/>
        <v>0</v>
      </c>
    </row>
    <row r="116" spans="1:20">
      <c r="A116" s="1487"/>
      <c r="B116" s="269" t="s">
        <v>379</v>
      </c>
      <c r="C116" s="838">
        <f t="shared" si="45"/>
        <v>0</v>
      </c>
      <c r="D116" s="839">
        <f t="shared" si="46"/>
        <v>0</v>
      </c>
      <c r="E116" s="839">
        <f t="shared" si="47"/>
        <v>0</v>
      </c>
      <c r="F116" s="838">
        <f t="shared" si="48"/>
        <v>0</v>
      </c>
      <c r="G116" s="839">
        <f t="shared" si="49"/>
        <v>0</v>
      </c>
      <c r="H116" s="840">
        <f t="shared" si="50"/>
        <v>0</v>
      </c>
      <c r="I116" s="839">
        <f t="shared" si="51"/>
        <v>130453.83528114928</v>
      </c>
      <c r="J116" s="839">
        <f t="shared" si="52"/>
        <v>160411.64978830406</v>
      </c>
      <c r="K116" s="839">
        <f t="shared" si="53"/>
        <v>0</v>
      </c>
      <c r="L116" s="838">
        <f t="shared" si="54"/>
        <v>7753.543707291471</v>
      </c>
      <c r="M116" s="839">
        <f t="shared" si="55"/>
        <v>20668.972675712816</v>
      </c>
      <c r="N116" s="840">
        <f t="shared" si="56"/>
        <v>0</v>
      </c>
      <c r="O116" s="838">
        <f t="shared" si="57"/>
        <v>6392237.9287763145</v>
      </c>
      <c r="P116" s="839">
        <f t="shared" si="58"/>
        <v>7860170.839626899</v>
      </c>
      <c r="Q116" s="840">
        <f t="shared" si="59"/>
        <v>0</v>
      </c>
      <c r="R116" s="839">
        <f t="shared" si="60"/>
        <v>379923.64165728213</v>
      </c>
      <c r="S116" s="839">
        <f t="shared" si="61"/>
        <v>1012779.6611099279</v>
      </c>
      <c r="T116" s="840">
        <f t="shared" si="62"/>
        <v>0</v>
      </c>
    </row>
    <row r="117" spans="1:20">
      <c r="A117" s="1487"/>
      <c r="B117" s="269" t="s">
        <v>380</v>
      </c>
      <c r="C117" s="838">
        <f t="shared" si="45"/>
        <v>0</v>
      </c>
      <c r="D117" s="839">
        <f t="shared" si="46"/>
        <v>0</v>
      </c>
      <c r="E117" s="839">
        <f t="shared" si="47"/>
        <v>0</v>
      </c>
      <c r="F117" s="838">
        <f t="shared" si="48"/>
        <v>0</v>
      </c>
      <c r="G117" s="839">
        <f t="shared" si="49"/>
        <v>0</v>
      </c>
      <c r="H117" s="840">
        <f t="shared" si="50"/>
        <v>0</v>
      </c>
      <c r="I117" s="839">
        <f t="shared" si="51"/>
        <v>124794.93589629709</v>
      </c>
      <c r="J117" s="839">
        <f t="shared" si="52"/>
        <v>132222.29894958512</v>
      </c>
      <c r="K117" s="839">
        <f t="shared" si="53"/>
        <v>0</v>
      </c>
      <c r="L117" s="838">
        <f t="shared" si="54"/>
        <v>4222.9201153943768</v>
      </c>
      <c r="M117" s="839">
        <f t="shared" si="55"/>
        <v>17209.529288833433</v>
      </c>
      <c r="N117" s="840">
        <f t="shared" si="56"/>
        <v>0</v>
      </c>
      <c r="O117" s="838">
        <f t="shared" si="57"/>
        <v>6114951.8589185569</v>
      </c>
      <c r="P117" s="839">
        <f t="shared" si="58"/>
        <v>6478892.6485296702</v>
      </c>
      <c r="Q117" s="840">
        <f t="shared" si="59"/>
        <v>0</v>
      </c>
      <c r="R117" s="839">
        <f t="shared" si="60"/>
        <v>206923.08565432447</v>
      </c>
      <c r="S117" s="839">
        <f t="shared" si="61"/>
        <v>843266.93515283824</v>
      </c>
      <c r="T117" s="840">
        <f t="shared" si="62"/>
        <v>0</v>
      </c>
    </row>
    <row r="118" spans="1:20">
      <c r="A118" s="1487"/>
      <c r="B118" s="269" t="s">
        <v>381</v>
      </c>
      <c r="C118" s="838">
        <f t="shared" si="45"/>
        <v>0</v>
      </c>
      <c r="D118" s="839">
        <f t="shared" si="46"/>
        <v>0</v>
      </c>
      <c r="E118" s="839">
        <f t="shared" si="47"/>
        <v>0</v>
      </c>
      <c r="F118" s="838">
        <f t="shared" si="48"/>
        <v>0</v>
      </c>
      <c r="G118" s="839">
        <f t="shared" si="49"/>
        <v>0</v>
      </c>
      <c r="H118" s="840">
        <f t="shared" si="50"/>
        <v>0</v>
      </c>
      <c r="I118" s="839">
        <f t="shared" si="51"/>
        <v>107228.90091717239</v>
      </c>
      <c r="J118" s="839">
        <f t="shared" si="52"/>
        <v>99901.095161198347</v>
      </c>
      <c r="K118" s="839">
        <f t="shared" si="53"/>
        <v>0</v>
      </c>
      <c r="L118" s="838">
        <f t="shared" si="54"/>
        <v>5470.6518516270862</v>
      </c>
      <c r="M118" s="839">
        <f t="shared" si="55"/>
        <v>9519.1526325798332</v>
      </c>
      <c r="N118" s="840">
        <f t="shared" si="56"/>
        <v>0</v>
      </c>
      <c r="O118" s="838">
        <f t="shared" si="57"/>
        <v>5254216.1449414464</v>
      </c>
      <c r="P118" s="839">
        <f t="shared" si="58"/>
        <v>4895153.6628987193</v>
      </c>
      <c r="Q118" s="840">
        <f t="shared" si="59"/>
        <v>0</v>
      </c>
      <c r="R118" s="839">
        <f t="shared" si="60"/>
        <v>268061.94072972721</v>
      </c>
      <c r="S118" s="839">
        <f t="shared" si="61"/>
        <v>466438.47899641184</v>
      </c>
      <c r="T118" s="840">
        <f t="shared" si="62"/>
        <v>0</v>
      </c>
    </row>
    <row r="119" spans="1:20">
      <c r="A119" s="1487"/>
      <c r="B119" s="269" t="s">
        <v>382</v>
      </c>
      <c r="C119" s="838">
        <f t="shared" si="45"/>
        <v>0</v>
      </c>
      <c r="D119" s="839">
        <f t="shared" si="46"/>
        <v>0</v>
      </c>
      <c r="E119" s="839">
        <f t="shared" si="47"/>
        <v>0</v>
      </c>
      <c r="F119" s="838">
        <f t="shared" si="48"/>
        <v>0</v>
      </c>
      <c r="G119" s="839">
        <f t="shared" si="49"/>
        <v>0</v>
      </c>
      <c r="H119" s="840">
        <f t="shared" si="50"/>
        <v>0</v>
      </c>
      <c r="I119" s="839">
        <f t="shared" si="51"/>
        <v>57561.500784359203</v>
      </c>
      <c r="J119" s="839">
        <f t="shared" si="52"/>
        <v>79249.261990061816</v>
      </c>
      <c r="K119" s="839">
        <f t="shared" si="53"/>
        <v>0</v>
      </c>
      <c r="L119" s="838">
        <f t="shared" si="54"/>
        <v>797.10708191969672</v>
      </c>
      <c r="M119" s="839">
        <f t="shared" si="55"/>
        <v>4880.7014831066335</v>
      </c>
      <c r="N119" s="840">
        <f t="shared" si="56"/>
        <v>0</v>
      </c>
      <c r="O119" s="838">
        <f t="shared" si="57"/>
        <v>2820513.5384336007</v>
      </c>
      <c r="P119" s="839">
        <f t="shared" si="58"/>
        <v>3883213.8375130286</v>
      </c>
      <c r="Q119" s="840">
        <f t="shared" si="59"/>
        <v>0</v>
      </c>
      <c r="R119" s="839">
        <f t="shared" si="60"/>
        <v>39058.247014065142</v>
      </c>
      <c r="S119" s="839">
        <f t="shared" si="61"/>
        <v>239154.37267222506</v>
      </c>
      <c r="T119" s="840">
        <f t="shared" si="62"/>
        <v>0</v>
      </c>
    </row>
    <row r="120" spans="1:20">
      <c r="A120" s="1487"/>
      <c r="B120" s="269" t="s">
        <v>383</v>
      </c>
      <c r="C120" s="838">
        <f t="shared" si="45"/>
        <v>0</v>
      </c>
      <c r="D120" s="839">
        <f t="shared" si="46"/>
        <v>0</v>
      </c>
      <c r="E120" s="839">
        <f t="shared" si="47"/>
        <v>0</v>
      </c>
      <c r="F120" s="838">
        <f t="shared" si="48"/>
        <v>0</v>
      </c>
      <c r="G120" s="839">
        <f t="shared" si="49"/>
        <v>0</v>
      </c>
      <c r="H120" s="840">
        <f t="shared" si="50"/>
        <v>0</v>
      </c>
      <c r="I120" s="839">
        <f t="shared" si="51"/>
        <v>79382.93249463549</v>
      </c>
      <c r="J120" s="839">
        <f t="shared" si="52"/>
        <v>106431.17371438857</v>
      </c>
      <c r="K120" s="839">
        <f t="shared" si="53"/>
        <v>0</v>
      </c>
      <c r="L120" s="838">
        <f t="shared" si="54"/>
        <v>5824.9516916220473</v>
      </c>
      <c r="M120" s="839">
        <f t="shared" si="55"/>
        <v>12890.877799205129</v>
      </c>
      <c r="N120" s="840">
        <f t="shared" si="56"/>
        <v>0</v>
      </c>
      <c r="O120" s="838">
        <f t="shared" si="57"/>
        <v>3889763.6922371387</v>
      </c>
      <c r="P120" s="839">
        <f t="shared" si="58"/>
        <v>5215127.5120050395</v>
      </c>
      <c r="Q120" s="840">
        <f t="shared" si="59"/>
        <v>0</v>
      </c>
      <c r="R120" s="839">
        <f t="shared" si="60"/>
        <v>285422.63288948033</v>
      </c>
      <c r="S120" s="839">
        <f t="shared" si="61"/>
        <v>631653.01216105139</v>
      </c>
      <c r="T120" s="840">
        <f t="shared" si="62"/>
        <v>0</v>
      </c>
    </row>
    <row r="121" spans="1:20">
      <c r="A121" s="1487"/>
      <c r="B121" s="269" t="s">
        <v>384</v>
      </c>
      <c r="C121" s="838">
        <f t="shared" si="45"/>
        <v>186456.32301528368</v>
      </c>
      <c r="D121" s="839">
        <f t="shared" si="46"/>
        <v>278063.33929456864</v>
      </c>
      <c r="E121" s="839">
        <f t="shared" si="47"/>
        <v>0</v>
      </c>
      <c r="F121" s="838">
        <f t="shared" si="48"/>
        <v>6269.7441578602584</v>
      </c>
      <c r="G121" s="839">
        <f t="shared" si="49"/>
        <v>34353.752489824117</v>
      </c>
      <c r="H121" s="840">
        <f t="shared" si="50"/>
        <v>0</v>
      </c>
      <c r="I121" s="839">
        <f t="shared" si="51"/>
        <v>0</v>
      </c>
      <c r="J121" s="839">
        <f t="shared" si="52"/>
        <v>0</v>
      </c>
      <c r="K121" s="839">
        <f t="shared" si="53"/>
        <v>0</v>
      </c>
      <c r="L121" s="838">
        <f t="shared" si="54"/>
        <v>0</v>
      </c>
      <c r="M121" s="839">
        <f t="shared" si="55"/>
        <v>0</v>
      </c>
      <c r="N121" s="840">
        <f t="shared" si="56"/>
        <v>0</v>
      </c>
      <c r="O121" s="838">
        <f t="shared" si="57"/>
        <v>9136359.8277489003</v>
      </c>
      <c r="P121" s="839">
        <f t="shared" si="58"/>
        <v>13625103.625433864</v>
      </c>
      <c r="Q121" s="840">
        <f t="shared" si="59"/>
        <v>0</v>
      </c>
      <c r="R121" s="839">
        <f t="shared" si="60"/>
        <v>307217.46373515268</v>
      </c>
      <c r="S121" s="839">
        <f t="shared" si="61"/>
        <v>1683333.8720013814</v>
      </c>
      <c r="T121" s="840">
        <f t="shared" si="62"/>
        <v>0</v>
      </c>
    </row>
    <row r="122" spans="1:20">
      <c r="A122" s="1487"/>
      <c r="B122" s="269" t="s">
        <v>385</v>
      </c>
      <c r="C122" s="838">
        <f t="shared" si="45"/>
        <v>188880.14047588804</v>
      </c>
      <c r="D122" s="839">
        <f t="shared" si="46"/>
        <v>286253.05221369845</v>
      </c>
      <c r="E122" s="839">
        <f t="shared" si="47"/>
        <v>0</v>
      </c>
      <c r="F122" s="838">
        <f t="shared" si="48"/>
        <v>46376.707215118418</v>
      </c>
      <c r="G122" s="839">
        <f t="shared" si="49"/>
        <v>38908.695930525675</v>
      </c>
      <c r="H122" s="840">
        <f t="shared" si="50"/>
        <v>0</v>
      </c>
      <c r="I122" s="839">
        <f t="shared" si="51"/>
        <v>0</v>
      </c>
      <c r="J122" s="839">
        <f t="shared" si="52"/>
        <v>0</v>
      </c>
      <c r="K122" s="839">
        <f t="shared" si="53"/>
        <v>0</v>
      </c>
      <c r="L122" s="838">
        <f t="shared" si="54"/>
        <v>0</v>
      </c>
      <c r="M122" s="839">
        <f t="shared" si="55"/>
        <v>0</v>
      </c>
      <c r="N122" s="840">
        <f t="shared" si="56"/>
        <v>0</v>
      </c>
      <c r="O122" s="838">
        <f t="shared" si="57"/>
        <v>9255126.8833185136</v>
      </c>
      <c r="P122" s="839">
        <f t="shared" si="58"/>
        <v>14026399.558471223</v>
      </c>
      <c r="Q122" s="840">
        <f t="shared" si="59"/>
        <v>0</v>
      </c>
      <c r="R122" s="839">
        <f t="shared" si="60"/>
        <v>2272458.6535408022</v>
      </c>
      <c r="S122" s="839">
        <f t="shared" si="61"/>
        <v>1906526.1005957583</v>
      </c>
      <c r="T122" s="840">
        <f t="shared" si="62"/>
        <v>0</v>
      </c>
    </row>
    <row r="123" spans="1:20">
      <c r="A123" s="1487"/>
      <c r="B123" s="269" t="s">
        <v>386</v>
      </c>
      <c r="C123" s="884">
        <f t="shared" si="45"/>
        <v>0</v>
      </c>
      <c r="D123" s="885">
        <f t="shared" si="46"/>
        <v>0</v>
      </c>
      <c r="E123" s="885">
        <f t="shared" si="47"/>
        <v>0</v>
      </c>
      <c r="F123" s="884">
        <f t="shared" si="48"/>
        <v>0</v>
      </c>
      <c r="G123" s="885">
        <f t="shared" si="49"/>
        <v>0</v>
      </c>
      <c r="H123" s="886">
        <f t="shared" si="50"/>
        <v>0</v>
      </c>
      <c r="I123" s="885">
        <f t="shared" si="51"/>
        <v>51601.193760196489</v>
      </c>
      <c r="J123" s="885">
        <f t="shared" si="52"/>
        <v>93304.576632880417</v>
      </c>
      <c r="K123" s="885">
        <f t="shared" si="53"/>
        <v>0</v>
      </c>
      <c r="L123" s="884">
        <f t="shared" si="54"/>
        <v>936.51420987565211</v>
      </c>
      <c r="M123" s="885">
        <f t="shared" si="55"/>
        <v>3706.2117573006167</v>
      </c>
      <c r="N123" s="886">
        <f t="shared" si="56"/>
        <v>0</v>
      </c>
      <c r="O123" s="884">
        <f t="shared" si="57"/>
        <v>2528458.4942496279</v>
      </c>
      <c r="P123" s="885">
        <f t="shared" si="58"/>
        <v>4571924.2550111404</v>
      </c>
      <c r="Q123" s="886">
        <f t="shared" si="59"/>
        <v>0</v>
      </c>
      <c r="R123" s="885">
        <f t="shared" si="60"/>
        <v>45889.196283906953</v>
      </c>
      <c r="S123" s="885">
        <f t="shared" si="61"/>
        <v>181604.3761077302</v>
      </c>
      <c r="T123" s="886">
        <f t="shared" si="62"/>
        <v>0</v>
      </c>
    </row>
    <row r="124" spans="1:20">
      <c r="A124" s="1487" t="s">
        <v>1023</v>
      </c>
      <c r="B124" s="269" t="s">
        <v>387</v>
      </c>
      <c r="C124" s="838">
        <f t="shared" si="45"/>
        <v>0</v>
      </c>
      <c r="D124" s="839">
        <f t="shared" si="46"/>
        <v>0</v>
      </c>
      <c r="E124" s="839">
        <f t="shared" si="47"/>
        <v>0</v>
      </c>
      <c r="F124" s="838">
        <f t="shared" si="48"/>
        <v>0</v>
      </c>
      <c r="G124" s="839">
        <f t="shared" si="49"/>
        <v>0</v>
      </c>
      <c r="H124" s="840">
        <f t="shared" si="50"/>
        <v>0</v>
      </c>
      <c r="I124" s="839">
        <f t="shared" si="51"/>
        <v>131820.10884827279</v>
      </c>
      <c r="J124" s="839">
        <f t="shared" si="52"/>
        <v>177628.11964597856</v>
      </c>
      <c r="K124" s="839">
        <f t="shared" si="53"/>
        <v>0</v>
      </c>
      <c r="L124" s="838">
        <f t="shared" si="54"/>
        <v>5817.0646957031531</v>
      </c>
      <c r="M124" s="839">
        <f t="shared" si="55"/>
        <v>11770.169311299129</v>
      </c>
      <c r="N124" s="840">
        <f t="shared" si="56"/>
        <v>0</v>
      </c>
      <c r="O124" s="838">
        <f t="shared" si="57"/>
        <v>6459185.3335653655</v>
      </c>
      <c r="P124" s="839">
        <f t="shared" si="58"/>
        <v>8703777.8626529481</v>
      </c>
      <c r="Q124" s="840">
        <f t="shared" si="59"/>
        <v>0</v>
      </c>
      <c r="R124" s="839">
        <f t="shared" si="60"/>
        <v>285036.17008945445</v>
      </c>
      <c r="S124" s="839">
        <f t="shared" si="61"/>
        <v>576738.29625365743</v>
      </c>
      <c r="T124" s="840">
        <f t="shared" si="62"/>
        <v>0</v>
      </c>
    </row>
    <row r="125" spans="1:20">
      <c r="A125" s="1488"/>
      <c r="B125" s="269" t="s">
        <v>388</v>
      </c>
      <c r="C125" s="838">
        <f t="shared" si="45"/>
        <v>0</v>
      </c>
      <c r="D125" s="839">
        <f t="shared" si="46"/>
        <v>0</v>
      </c>
      <c r="E125" s="839">
        <f t="shared" si="47"/>
        <v>0</v>
      </c>
      <c r="F125" s="838">
        <f t="shared" si="48"/>
        <v>0</v>
      </c>
      <c r="G125" s="839">
        <f t="shared" si="49"/>
        <v>0</v>
      </c>
      <c r="H125" s="840">
        <f t="shared" si="50"/>
        <v>0</v>
      </c>
      <c r="I125" s="839">
        <f t="shared" si="51"/>
        <v>128527.38138281104</v>
      </c>
      <c r="J125" s="839">
        <f t="shared" si="52"/>
        <v>169830.92635414985</v>
      </c>
      <c r="K125" s="839">
        <f t="shared" si="53"/>
        <v>0</v>
      </c>
      <c r="L125" s="838">
        <f t="shared" si="54"/>
        <v>24942.367456163331</v>
      </c>
      <c r="M125" s="839">
        <f t="shared" si="55"/>
        <v>33455.819403621637</v>
      </c>
      <c r="N125" s="840">
        <f t="shared" si="56"/>
        <v>0</v>
      </c>
      <c r="O125" s="838">
        <f t="shared" si="57"/>
        <v>6297841.6877577407</v>
      </c>
      <c r="P125" s="839">
        <f t="shared" si="58"/>
        <v>8321715.3913533436</v>
      </c>
      <c r="Q125" s="840">
        <f t="shared" si="59"/>
        <v>0</v>
      </c>
      <c r="R125" s="839">
        <f t="shared" si="60"/>
        <v>1222176.0053520033</v>
      </c>
      <c r="S125" s="839">
        <f t="shared" si="61"/>
        <v>1639335.1507774603</v>
      </c>
      <c r="T125" s="840">
        <f t="shared" si="62"/>
        <v>0</v>
      </c>
    </row>
    <row r="126" spans="1:20">
      <c r="A126" s="1488"/>
      <c r="B126" s="269" t="s">
        <v>389</v>
      </c>
      <c r="C126" s="838">
        <f t="shared" si="45"/>
        <v>65538.998161871161</v>
      </c>
      <c r="D126" s="839">
        <f t="shared" si="46"/>
        <v>96734.146688186418</v>
      </c>
      <c r="E126" s="839">
        <f t="shared" si="47"/>
        <v>0</v>
      </c>
      <c r="F126" s="838">
        <f t="shared" si="48"/>
        <v>966.58384158927447</v>
      </c>
      <c r="G126" s="839">
        <f t="shared" si="49"/>
        <v>7630.2380761784307</v>
      </c>
      <c r="H126" s="840">
        <f t="shared" si="50"/>
        <v>0</v>
      </c>
      <c r="I126" s="839">
        <f t="shared" si="51"/>
        <v>0</v>
      </c>
      <c r="J126" s="839">
        <f t="shared" si="52"/>
        <v>0</v>
      </c>
      <c r="K126" s="839">
        <f t="shared" si="53"/>
        <v>0</v>
      </c>
      <c r="L126" s="838">
        <f t="shared" si="54"/>
        <v>0</v>
      </c>
      <c r="M126" s="839">
        <f t="shared" si="55"/>
        <v>0</v>
      </c>
      <c r="N126" s="840">
        <f t="shared" si="56"/>
        <v>0</v>
      </c>
      <c r="O126" s="838">
        <f t="shared" si="57"/>
        <v>3211410.9099316862</v>
      </c>
      <c r="P126" s="839">
        <f t="shared" si="58"/>
        <v>4739973.1877211342</v>
      </c>
      <c r="Q126" s="840">
        <f t="shared" si="59"/>
        <v>0</v>
      </c>
      <c r="R126" s="839">
        <f t="shared" si="60"/>
        <v>47362.608237874447</v>
      </c>
      <c r="S126" s="839">
        <f t="shared" si="61"/>
        <v>373881.6657327431</v>
      </c>
      <c r="T126" s="840">
        <f t="shared" si="62"/>
        <v>0</v>
      </c>
    </row>
    <row r="127" spans="1:20">
      <c r="A127" s="1488"/>
      <c r="B127" s="269" t="s">
        <v>390</v>
      </c>
      <c r="C127" s="838">
        <f t="shared" si="45"/>
        <v>0</v>
      </c>
      <c r="D127" s="839">
        <f t="shared" si="46"/>
        <v>0</v>
      </c>
      <c r="E127" s="839">
        <f t="shared" si="47"/>
        <v>0</v>
      </c>
      <c r="F127" s="838">
        <f t="shared" si="48"/>
        <v>0</v>
      </c>
      <c r="G127" s="839">
        <f t="shared" si="49"/>
        <v>0</v>
      </c>
      <c r="H127" s="840">
        <f t="shared" si="50"/>
        <v>0</v>
      </c>
      <c r="I127" s="839">
        <f t="shared" si="51"/>
        <v>137173.66615000874</v>
      </c>
      <c r="J127" s="839">
        <f t="shared" si="52"/>
        <v>171919.57797448721</v>
      </c>
      <c r="K127" s="839">
        <f t="shared" si="53"/>
        <v>0</v>
      </c>
      <c r="L127" s="838">
        <f t="shared" si="54"/>
        <v>5304.7974806542752</v>
      </c>
      <c r="M127" s="839">
        <f t="shared" si="55"/>
        <v>13911.353504388089</v>
      </c>
      <c r="N127" s="840">
        <f t="shared" si="56"/>
        <v>0</v>
      </c>
      <c r="O127" s="838">
        <f t="shared" si="57"/>
        <v>6721509.6413504286</v>
      </c>
      <c r="P127" s="839">
        <f t="shared" si="58"/>
        <v>8424059.3207498733</v>
      </c>
      <c r="Q127" s="840">
        <f t="shared" si="59"/>
        <v>0</v>
      </c>
      <c r="R127" s="839">
        <f t="shared" si="60"/>
        <v>259935.0765520595</v>
      </c>
      <c r="S127" s="839">
        <f t="shared" si="61"/>
        <v>681656.32171501638</v>
      </c>
      <c r="T127" s="840">
        <f t="shared" si="62"/>
        <v>0</v>
      </c>
    </row>
    <row r="128" spans="1:20">
      <c r="A128" s="1488"/>
      <c r="B128" s="269" t="s">
        <v>391</v>
      </c>
      <c r="C128" s="838">
        <f t="shared" si="45"/>
        <v>0</v>
      </c>
      <c r="D128" s="839">
        <f t="shared" si="46"/>
        <v>0</v>
      </c>
      <c r="E128" s="839">
        <f t="shared" si="47"/>
        <v>0</v>
      </c>
      <c r="F128" s="838">
        <f t="shared" si="48"/>
        <v>0</v>
      </c>
      <c r="G128" s="839">
        <f t="shared" si="49"/>
        <v>0</v>
      </c>
      <c r="H128" s="840">
        <f t="shared" si="50"/>
        <v>0</v>
      </c>
      <c r="I128" s="839">
        <f t="shared" si="51"/>
        <v>76836.722868177545</v>
      </c>
      <c r="J128" s="839">
        <f t="shared" si="52"/>
        <v>125448.387021931</v>
      </c>
      <c r="K128" s="839">
        <f t="shared" si="53"/>
        <v>0</v>
      </c>
      <c r="L128" s="838">
        <f t="shared" si="54"/>
        <v>2506.738935307023</v>
      </c>
      <c r="M128" s="839">
        <f t="shared" si="55"/>
        <v>14063.334555653399</v>
      </c>
      <c r="N128" s="840">
        <f t="shared" si="56"/>
        <v>0</v>
      </c>
      <c r="O128" s="838">
        <f t="shared" si="57"/>
        <v>3764999.4205406993</v>
      </c>
      <c r="P128" s="839">
        <f t="shared" si="58"/>
        <v>6146970.9640746191</v>
      </c>
      <c r="Q128" s="840">
        <f t="shared" si="59"/>
        <v>0</v>
      </c>
      <c r="R128" s="839">
        <f t="shared" si="60"/>
        <v>122830.20783004411</v>
      </c>
      <c r="S128" s="839">
        <f t="shared" si="61"/>
        <v>689103.39322701644</v>
      </c>
      <c r="T128" s="840">
        <f t="shared" si="62"/>
        <v>0</v>
      </c>
    </row>
    <row r="129" spans="1:23" ht="15" thickBot="1">
      <c r="A129" s="1488"/>
      <c r="B129" s="269" t="s">
        <v>392</v>
      </c>
      <c r="C129" s="876">
        <f t="shared" si="45"/>
        <v>0</v>
      </c>
      <c r="D129" s="842">
        <f t="shared" si="46"/>
        <v>0</v>
      </c>
      <c r="E129" s="842">
        <f t="shared" si="47"/>
        <v>0</v>
      </c>
      <c r="F129" s="876">
        <f t="shared" si="48"/>
        <v>0</v>
      </c>
      <c r="G129" s="842">
        <f t="shared" si="49"/>
        <v>0</v>
      </c>
      <c r="H129" s="843">
        <f t="shared" si="50"/>
        <v>0</v>
      </c>
      <c r="I129" s="842">
        <f t="shared" si="51"/>
        <v>41223.338624163829</v>
      </c>
      <c r="J129" s="842">
        <f t="shared" si="52"/>
        <v>56645.906755202261</v>
      </c>
      <c r="K129" s="842">
        <f t="shared" si="53"/>
        <v>0</v>
      </c>
      <c r="L129" s="876">
        <f t="shared" si="54"/>
        <v>1097.3091105989308</v>
      </c>
      <c r="M129" s="842">
        <f t="shared" si="55"/>
        <v>4064.8983039478126</v>
      </c>
      <c r="N129" s="843">
        <f t="shared" si="56"/>
        <v>0</v>
      </c>
      <c r="O129" s="876">
        <f t="shared" si="57"/>
        <v>2019943.5925840274</v>
      </c>
      <c r="P129" s="842">
        <f t="shared" si="58"/>
        <v>2775649.4310049103</v>
      </c>
      <c r="Q129" s="843">
        <f t="shared" si="59"/>
        <v>0</v>
      </c>
      <c r="R129" s="842">
        <f t="shared" si="60"/>
        <v>53768.146419347606</v>
      </c>
      <c r="S129" s="842">
        <f t="shared" si="61"/>
        <v>199180.01689344281</v>
      </c>
      <c r="T129" s="843">
        <f t="shared" si="62"/>
        <v>0</v>
      </c>
      <c r="U129" s="892" t="s">
        <v>113</v>
      </c>
    </row>
    <row r="130" spans="1:23" ht="18">
      <c r="G130" s="918" t="s">
        <v>1166</v>
      </c>
      <c r="H130" s="919">
        <f>SUM(C111:H129)</f>
        <v>1766478.7829275499</v>
      </c>
      <c r="I130" s="918"/>
      <c r="J130" s="918"/>
      <c r="K130" s="918"/>
      <c r="L130" s="918"/>
      <c r="M130" s="918" t="s">
        <v>1167</v>
      </c>
      <c r="N130" s="919">
        <f>SUM(I111:N129)</f>
        <v>4088094.1042866167</v>
      </c>
      <c r="O130" s="918"/>
      <c r="P130" s="918"/>
      <c r="Q130" s="918"/>
      <c r="R130" s="918"/>
      <c r="S130" s="918" t="s">
        <v>1165</v>
      </c>
      <c r="T130" s="919">
        <f>SUM(O111:T129)</f>
        <v>286874071.47349405</v>
      </c>
      <c r="U130" s="1108">
        <f>H130+N130+T130</f>
        <v>292728644.36070824</v>
      </c>
    </row>
    <row r="131" spans="1:23" ht="15.6">
      <c r="C131" s="943" t="s">
        <v>1178</v>
      </c>
      <c r="D131" s="944"/>
      <c r="E131" s="944"/>
      <c r="F131" s="944"/>
      <c r="G131" s="944"/>
      <c r="H131" s="944"/>
      <c r="I131" s="944"/>
      <c r="J131" s="944"/>
      <c r="K131" s="944"/>
      <c r="L131" s="944"/>
      <c r="M131" s="944"/>
      <c r="N131" s="944"/>
      <c r="O131" s="944"/>
      <c r="P131" s="944"/>
    </row>
    <row r="132" spans="1:23">
      <c r="A132" s="765"/>
      <c r="B132" s="269"/>
      <c r="C132" s="274"/>
      <c r="D132" s="274"/>
      <c r="E132" s="274"/>
      <c r="F132" s="274"/>
      <c r="G132" s="274"/>
      <c r="H132" s="274"/>
      <c r="I132" s="274"/>
      <c r="J132" s="274"/>
      <c r="K132" s="274"/>
      <c r="L132" s="274"/>
      <c r="M132" s="274"/>
      <c r="N132" s="274"/>
      <c r="O132" s="274"/>
    </row>
    <row r="133" spans="1:23">
      <c r="A133" s="1024"/>
      <c r="B133" s="269"/>
      <c r="C133" s="274"/>
      <c r="D133" s="274"/>
      <c r="E133" s="274"/>
      <c r="F133" s="274"/>
      <c r="G133" s="274"/>
      <c r="H133" s="274"/>
      <c r="I133" s="274"/>
      <c r="J133" s="274"/>
      <c r="K133" s="274"/>
      <c r="L133" s="274"/>
      <c r="M133" s="274"/>
      <c r="N133" s="274"/>
      <c r="O133" s="274"/>
    </row>
    <row r="134" spans="1:23">
      <c r="A134" s="1024"/>
      <c r="B134" s="269"/>
      <c r="C134" s="274"/>
      <c r="D134" s="274"/>
      <c r="E134" s="274"/>
      <c r="F134" s="274"/>
      <c r="G134" s="274"/>
      <c r="H134" s="274"/>
      <c r="I134" s="274"/>
      <c r="J134" s="274"/>
      <c r="K134" s="274"/>
      <c r="L134" s="274"/>
      <c r="M134" s="274"/>
      <c r="N134" s="274"/>
      <c r="O134" s="274"/>
    </row>
    <row r="135" spans="1:23">
      <c r="A135" s="765"/>
      <c r="B135" s="269"/>
      <c r="C135" s="274"/>
      <c r="D135" s="274"/>
      <c r="E135" s="274"/>
      <c r="F135" s="274"/>
      <c r="G135" s="274"/>
      <c r="H135" s="274"/>
      <c r="I135" s="274"/>
      <c r="J135" s="274"/>
      <c r="K135" s="274"/>
      <c r="L135" s="274"/>
      <c r="M135" s="274"/>
      <c r="N135" s="274"/>
    </row>
    <row r="136" spans="1:23" ht="18.600000000000001" thickBot="1">
      <c r="A136" s="765"/>
      <c r="B136" s="269"/>
      <c r="C136" s="1489" t="s">
        <v>1181</v>
      </c>
      <c r="D136" s="1489"/>
      <c r="E136" s="1489"/>
      <c r="F136" s="1489"/>
      <c r="G136" s="1489"/>
      <c r="H136" s="1489"/>
      <c r="I136" s="1489"/>
      <c r="J136" s="1489"/>
      <c r="K136" s="1489"/>
      <c r="L136" s="1489"/>
      <c r="M136" s="1489"/>
      <c r="N136" s="1489"/>
      <c r="O136" s="1489"/>
      <c r="P136" s="1489"/>
      <c r="Q136" s="1489"/>
      <c r="R136" s="1489"/>
      <c r="S136" s="1489"/>
      <c r="T136" s="1489"/>
    </row>
    <row r="137" spans="1:23">
      <c r="A137" s="765"/>
      <c r="B137" s="269"/>
      <c r="C137" s="1490" t="s">
        <v>148</v>
      </c>
      <c r="D137" s="1491"/>
      <c r="E137" s="1491"/>
      <c r="F137" s="1491"/>
      <c r="G137" s="1491"/>
      <c r="H137" s="1492"/>
      <c r="I137" s="1490" t="s">
        <v>149</v>
      </c>
      <c r="J137" s="1491"/>
      <c r="K137" s="1491"/>
      <c r="L137" s="1491"/>
      <c r="M137" s="1491"/>
      <c r="N137" s="1492"/>
      <c r="O137" s="1490" t="s">
        <v>177</v>
      </c>
      <c r="P137" s="1491"/>
      <c r="Q137" s="1491"/>
      <c r="R137" s="1491"/>
      <c r="S137" s="1491"/>
      <c r="T137" s="1492"/>
      <c r="V137" s="764"/>
    </row>
    <row r="138" spans="1:23">
      <c r="A138" s="872"/>
      <c r="B138" s="269"/>
      <c r="C138" s="1516" t="s">
        <v>176</v>
      </c>
      <c r="D138" s="1517"/>
      <c r="E138" s="1517"/>
      <c r="F138" s="1517" t="s">
        <v>348</v>
      </c>
      <c r="G138" s="1517"/>
      <c r="H138" s="1518"/>
      <c r="I138" s="1516" t="s">
        <v>176</v>
      </c>
      <c r="J138" s="1517"/>
      <c r="K138" s="1517"/>
      <c r="L138" s="1517" t="s">
        <v>348</v>
      </c>
      <c r="M138" s="1517"/>
      <c r="N138" s="1518"/>
      <c r="O138" s="1516" t="s">
        <v>176</v>
      </c>
      <c r="P138" s="1517"/>
      <c r="Q138" s="1517"/>
      <c r="R138" s="1517" t="s">
        <v>348</v>
      </c>
      <c r="S138" s="1517"/>
      <c r="T138" s="1518"/>
      <c r="V138" s="764"/>
    </row>
    <row r="139" spans="1:23" ht="15" thickBot="1">
      <c r="A139" s="859"/>
      <c r="B139" s="269"/>
      <c r="C139" s="953" t="s">
        <v>424</v>
      </c>
      <c r="D139" s="954" t="s">
        <v>425</v>
      </c>
      <c r="E139" s="954" t="s">
        <v>426</v>
      </c>
      <c r="F139" s="954" t="s">
        <v>424</v>
      </c>
      <c r="G139" s="954" t="s">
        <v>425</v>
      </c>
      <c r="H139" s="955" t="s">
        <v>426</v>
      </c>
      <c r="I139" s="953" t="s">
        <v>424</v>
      </c>
      <c r="J139" s="954" t="s">
        <v>425</v>
      </c>
      <c r="K139" s="954" t="s">
        <v>426</v>
      </c>
      <c r="L139" s="954" t="s">
        <v>424</v>
      </c>
      <c r="M139" s="954" t="s">
        <v>425</v>
      </c>
      <c r="N139" s="955" t="s">
        <v>426</v>
      </c>
      <c r="O139" s="953" t="s">
        <v>424</v>
      </c>
      <c r="P139" s="954" t="s">
        <v>425</v>
      </c>
      <c r="Q139" s="954" t="s">
        <v>426</v>
      </c>
      <c r="R139" s="954" t="s">
        <v>424</v>
      </c>
      <c r="S139" s="954" t="s">
        <v>425</v>
      </c>
      <c r="T139" s="955" t="s">
        <v>426</v>
      </c>
      <c r="V139" s="764"/>
    </row>
    <row r="140" spans="1:23">
      <c r="A140" s="859"/>
      <c r="B140" s="951" t="s">
        <v>1016</v>
      </c>
      <c r="C140" s="956">
        <f>SUM(C111:C123)</f>
        <v>489341.26531890756</v>
      </c>
      <c r="D140" s="957">
        <f t="shared" ref="D140:T140" si="63">SUM(D111:D123)</f>
        <v>673103.75211905455</v>
      </c>
      <c r="E140" s="958">
        <f t="shared" si="63"/>
        <v>0</v>
      </c>
      <c r="F140" s="957">
        <f t="shared" si="63"/>
        <v>228555.6832135545</v>
      </c>
      <c r="G140" s="957">
        <f t="shared" si="63"/>
        <v>204608.11550820811</v>
      </c>
      <c r="H140" s="957">
        <f t="shared" si="63"/>
        <v>0</v>
      </c>
      <c r="I140" s="956">
        <f t="shared" si="63"/>
        <v>1137995.1478727888</v>
      </c>
      <c r="J140" s="957">
        <f t="shared" si="63"/>
        <v>1406158.3389625384</v>
      </c>
      <c r="K140" s="958">
        <f t="shared" si="63"/>
        <v>0</v>
      </c>
      <c r="L140" s="957">
        <f t="shared" si="63"/>
        <v>59314.723792751727</v>
      </c>
      <c r="M140" s="957">
        <f t="shared" si="63"/>
        <v>150637.90527601718</v>
      </c>
      <c r="N140" s="957">
        <f t="shared" si="63"/>
        <v>0</v>
      </c>
      <c r="O140" s="956">
        <f t="shared" si="63"/>
        <v>79739484.246393114</v>
      </c>
      <c r="P140" s="957">
        <f t="shared" si="63"/>
        <v>101883842.46299806</v>
      </c>
      <c r="Q140" s="958">
        <f t="shared" si="63"/>
        <v>0</v>
      </c>
      <c r="R140" s="957">
        <f t="shared" si="63"/>
        <v>14105649.943309002</v>
      </c>
      <c r="S140" s="957">
        <f t="shared" si="63"/>
        <v>17407055.018427033</v>
      </c>
      <c r="T140" s="958">
        <f t="shared" si="63"/>
        <v>0</v>
      </c>
      <c r="V140" s="764"/>
    </row>
    <row r="141" spans="1:23" ht="15" thickBot="1">
      <c r="A141" s="949"/>
      <c r="B141" s="951" t="s">
        <v>1017</v>
      </c>
      <c r="C141" s="959">
        <f>SUM(C124:C129)</f>
        <v>65538.998161871161</v>
      </c>
      <c r="D141" s="960">
        <f t="shared" ref="D141:T141" si="64">SUM(D124:D129)</f>
        <v>96734.146688186418</v>
      </c>
      <c r="E141" s="961">
        <f t="shared" si="64"/>
        <v>0</v>
      </c>
      <c r="F141" s="960">
        <f t="shared" si="64"/>
        <v>966.58384158927447</v>
      </c>
      <c r="G141" s="960">
        <f t="shared" si="64"/>
        <v>7630.2380761784307</v>
      </c>
      <c r="H141" s="960">
        <f t="shared" si="64"/>
        <v>0</v>
      </c>
      <c r="I141" s="959">
        <f t="shared" si="64"/>
        <v>515581.2178734339</v>
      </c>
      <c r="J141" s="960">
        <f t="shared" si="64"/>
        <v>701472.91775174881</v>
      </c>
      <c r="K141" s="961">
        <f t="shared" si="64"/>
        <v>0</v>
      </c>
      <c r="L141" s="960">
        <f t="shared" si="64"/>
        <v>39668.277678426712</v>
      </c>
      <c r="M141" s="960">
        <f t="shared" si="64"/>
        <v>77265.575078910071</v>
      </c>
      <c r="N141" s="960">
        <f t="shared" si="64"/>
        <v>0</v>
      </c>
      <c r="O141" s="959">
        <f t="shared" si="64"/>
        <v>28474890.585729949</v>
      </c>
      <c r="P141" s="960">
        <f t="shared" si="64"/>
        <v>39112146.157556832</v>
      </c>
      <c r="Q141" s="961">
        <f t="shared" si="64"/>
        <v>0</v>
      </c>
      <c r="R141" s="960">
        <f t="shared" si="64"/>
        <v>1991108.2144807833</v>
      </c>
      <c r="S141" s="960">
        <f t="shared" si="64"/>
        <v>4159894.8445993369</v>
      </c>
      <c r="T141" s="961">
        <f t="shared" si="64"/>
        <v>0</v>
      </c>
      <c r="V141" s="764"/>
    </row>
    <row r="142" spans="1:23" ht="15" thickBot="1">
      <c r="A142" s="950"/>
      <c r="B142" s="327"/>
      <c r="C142" s="1008">
        <v>1000000</v>
      </c>
      <c r="D142" s="864"/>
      <c r="E142" s="864"/>
      <c r="F142" s="864"/>
      <c r="G142" s="864"/>
      <c r="H142" s="864"/>
      <c r="I142" s="864"/>
      <c r="J142" s="864"/>
      <c r="K142" s="864"/>
      <c r="L142" s="864"/>
      <c r="M142" s="864"/>
      <c r="N142" s="864"/>
      <c r="O142" s="945"/>
      <c r="P142" s="945"/>
      <c r="Q142" s="945"/>
      <c r="R142" s="859"/>
      <c r="S142" s="864"/>
      <c r="T142" s="864"/>
      <c r="V142" s="764"/>
    </row>
    <row r="143" spans="1:23">
      <c r="A143" s="950"/>
      <c r="B143" s="951" t="s">
        <v>1016</v>
      </c>
      <c r="C143" s="1109">
        <f>C140/$C$142</f>
        <v>0.48934126531890754</v>
      </c>
      <c r="D143" s="1110">
        <f t="shared" ref="D143:T143" si="65">D140/$C$142</f>
        <v>0.6731037521190546</v>
      </c>
      <c r="E143" s="1110">
        <f t="shared" si="65"/>
        <v>0</v>
      </c>
      <c r="F143" s="1109">
        <f t="shared" si="65"/>
        <v>0.22855568321355449</v>
      </c>
      <c r="G143" s="1110">
        <f t="shared" si="65"/>
        <v>0.20460811550820812</v>
      </c>
      <c r="H143" s="1111">
        <f t="shared" si="65"/>
        <v>0</v>
      </c>
      <c r="I143" s="1110">
        <f t="shared" si="65"/>
        <v>1.1379951478727888</v>
      </c>
      <c r="J143" s="1110">
        <f t="shared" si="65"/>
        <v>1.4061583389625385</v>
      </c>
      <c r="K143" s="1110">
        <f t="shared" si="65"/>
        <v>0</v>
      </c>
      <c r="L143" s="1109">
        <f t="shared" si="65"/>
        <v>5.9314723792751725E-2</v>
      </c>
      <c r="M143" s="1110">
        <f t="shared" si="65"/>
        <v>0.15063790527601717</v>
      </c>
      <c r="N143" s="1111">
        <f t="shared" si="65"/>
        <v>0</v>
      </c>
      <c r="O143" s="1110">
        <f t="shared" si="65"/>
        <v>79.739484246393118</v>
      </c>
      <c r="P143" s="1110">
        <f t="shared" si="65"/>
        <v>101.88384246299806</v>
      </c>
      <c r="Q143" s="1110">
        <f t="shared" si="65"/>
        <v>0</v>
      </c>
      <c r="R143" s="1109">
        <f t="shared" si="65"/>
        <v>14.105649943309002</v>
      </c>
      <c r="S143" s="1110">
        <f t="shared" si="65"/>
        <v>17.407055018427034</v>
      </c>
      <c r="T143" s="1111">
        <f t="shared" si="65"/>
        <v>0</v>
      </c>
      <c r="U143" s="892" t="s">
        <v>48</v>
      </c>
      <c r="V143" s="764"/>
      <c r="W143" s="492"/>
    </row>
    <row r="144" spans="1:23" ht="15" thickBot="1">
      <c r="A144" s="950"/>
      <c r="B144" s="951" t="s">
        <v>1017</v>
      </c>
      <c r="C144" s="1112">
        <f>C141/$C$142</f>
        <v>6.5538998161871156E-2</v>
      </c>
      <c r="D144" s="1113">
        <f t="shared" ref="D144:T144" si="66">D141/$C$142</f>
        <v>9.6734146688186418E-2</v>
      </c>
      <c r="E144" s="1113">
        <f t="shared" si="66"/>
        <v>0</v>
      </c>
      <c r="F144" s="1112">
        <f t="shared" si="66"/>
        <v>9.6658384158927442E-4</v>
      </c>
      <c r="G144" s="1113">
        <f t="shared" si="66"/>
        <v>7.6302380761784309E-3</v>
      </c>
      <c r="H144" s="1114">
        <f t="shared" si="66"/>
        <v>0</v>
      </c>
      <c r="I144" s="1113">
        <f t="shared" si="66"/>
        <v>0.51558121787343392</v>
      </c>
      <c r="J144" s="1113">
        <f t="shared" si="66"/>
        <v>0.7014729177517488</v>
      </c>
      <c r="K144" s="1113">
        <f t="shared" si="66"/>
        <v>0</v>
      </c>
      <c r="L144" s="1112">
        <f t="shared" si="66"/>
        <v>3.9668277678426712E-2</v>
      </c>
      <c r="M144" s="1113">
        <f t="shared" si="66"/>
        <v>7.7265575078910076E-2</v>
      </c>
      <c r="N144" s="1114">
        <f t="shared" si="66"/>
        <v>0</v>
      </c>
      <c r="O144" s="1113">
        <f t="shared" si="66"/>
        <v>28.474890585729948</v>
      </c>
      <c r="P144" s="1113">
        <f t="shared" si="66"/>
        <v>39.112146157556829</v>
      </c>
      <c r="Q144" s="1113">
        <f t="shared" si="66"/>
        <v>0</v>
      </c>
      <c r="R144" s="1112">
        <f t="shared" si="66"/>
        <v>1.9911082144807832</v>
      </c>
      <c r="S144" s="1113">
        <f t="shared" si="66"/>
        <v>4.1598948445993367</v>
      </c>
      <c r="T144" s="1114">
        <f t="shared" si="66"/>
        <v>0</v>
      </c>
      <c r="W144" s="492"/>
    </row>
    <row r="145" spans="1:27" s="817" customFormat="1">
      <c r="A145" s="950"/>
      <c r="B145" s="951"/>
      <c r="C145" s="864"/>
      <c r="D145" s="864"/>
      <c r="E145" s="864"/>
      <c r="F145" s="864"/>
      <c r="G145" s="864"/>
      <c r="H145" s="864"/>
      <c r="I145" s="864"/>
      <c r="J145" s="864"/>
      <c r="K145" s="864"/>
      <c r="L145" s="864"/>
      <c r="M145" s="864"/>
      <c r="N145" s="864"/>
      <c r="O145" s="864"/>
      <c r="P145" s="864"/>
      <c r="Q145" s="864"/>
      <c r="R145" s="864"/>
      <c r="S145" s="864"/>
      <c r="T145" s="864"/>
      <c r="W145" s="977"/>
    </row>
    <row r="146" spans="1:27" s="817" customFormat="1">
      <c r="A146" s="950"/>
      <c r="B146" s="951"/>
      <c r="C146" s="864"/>
      <c r="D146" s="864"/>
      <c r="E146" s="864"/>
      <c r="F146" s="864"/>
      <c r="G146" s="864"/>
      <c r="H146" s="864"/>
      <c r="I146" s="864"/>
      <c r="J146" s="864"/>
      <c r="K146" s="864"/>
      <c r="L146" s="864"/>
      <c r="M146" s="864"/>
      <c r="N146" s="864"/>
      <c r="O146" s="864"/>
      <c r="P146" s="864"/>
      <c r="Q146" s="864"/>
      <c r="R146" s="864"/>
      <c r="S146" s="864"/>
      <c r="T146" s="864"/>
      <c r="W146" s="977"/>
    </row>
    <row r="147" spans="1:27" s="817" customFormat="1">
      <c r="A147" s="950"/>
      <c r="B147" s="951"/>
      <c r="C147" s="864"/>
      <c r="D147" s="864"/>
      <c r="E147" s="864"/>
      <c r="F147" s="864"/>
      <c r="G147" s="864"/>
      <c r="H147" s="864"/>
      <c r="I147" s="864"/>
      <c r="J147" s="864"/>
      <c r="K147" s="864"/>
      <c r="L147" s="864"/>
      <c r="M147" s="864"/>
      <c r="N147" s="864"/>
      <c r="O147" s="864"/>
      <c r="P147" s="864"/>
      <c r="Q147" s="864"/>
      <c r="R147" s="864"/>
      <c r="S147" s="864"/>
      <c r="T147" s="864"/>
      <c r="W147" s="977"/>
    </row>
    <row r="148" spans="1:27" s="817" customFormat="1">
      <c r="A148" s="950"/>
      <c r="B148" s="951"/>
      <c r="C148" s="864"/>
      <c r="D148" s="864"/>
      <c r="E148" s="864"/>
      <c r="F148" s="864"/>
      <c r="G148" s="864"/>
      <c r="H148" s="864"/>
      <c r="I148" s="864"/>
      <c r="J148" s="864"/>
      <c r="K148" s="864"/>
      <c r="L148" s="864"/>
      <c r="M148" s="864"/>
      <c r="N148" s="864"/>
      <c r="O148" s="864"/>
      <c r="P148" s="864"/>
      <c r="Q148" s="864"/>
      <c r="R148" s="864"/>
      <c r="S148" s="864"/>
      <c r="T148" s="864"/>
      <c r="W148" s="977"/>
    </row>
    <row r="149" spans="1:27" s="817" customFormat="1">
      <c r="A149" s="950"/>
      <c r="B149" s="951"/>
      <c r="C149" s="864"/>
      <c r="D149" s="864"/>
      <c r="E149" s="864"/>
      <c r="F149" s="864"/>
      <c r="G149" s="864"/>
      <c r="H149" s="864"/>
      <c r="I149" s="864"/>
      <c r="J149" s="864"/>
      <c r="K149" s="864"/>
      <c r="L149" s="864"/>
      <c r="M149" s="864"/>
      <c r="N149" s="864"/>
      <c r="O149" s="864"/>
      <c r="P149" s="864"/>
      <c r="Q149" s="864"/>
      <c r="R149" s="864"/>
      <c r="S149" s="864"/>
      <c r="T149" s="864"/>
      <c r="W149" s="977"/>
    </row>
    <row r="150" spans="1:27" s="817" customFormat="1">
      <c r="A150" s="950"/>
      <c r="B150" s="951"/>
      <c r="C150" s="864"/>
      <c r="D150" s="864"/>
      <c r="E150" s="864"/>
      <c r="F150" s="864"/>
      <c r="G150" s="864"/>
      <c r="H150" s="864"/>
      <c r="I150" s="864"/>
      <c r="J150" s="864"/>
      <c r="K150" s="864"/>
      <c r="L150" s="864"/>
      <c r="M150" s="864"/>
      <c r="N150" s="864"/>
      <c r="O150" s="864"/>
      <c r="P150" s="864"/>
      <c r="Q150" s="864"/>
      <c r="R150" s="864"/>
      <c r="S150" s="864"/>
      <c r="T150" s="864"/>
      <c r="W150" s="977"/>
    </row>
    <row r="151" spans="1:27" s="817" customFormat="1">
      <c r="A151" s="950"/>
      <c r="B151" s="951"/>
      <c r="C151" s="864"/>
      <c r="D151" s="864"/>
      <c r="E151" s="864"/>
      <c r="F151" s="864"/>
      <c r="G151" s="864"/>
      <c r="H151" s="864"/>
      <c r="I151" s="864"/>
      <c r="J151" s="864"/>
      <c r="K151" s="864"/>
      <c r="L151" s="864"/>
      <c r="M151" s="864"/>
      <c r="N151" s="864"/>
      <c r="O151" s="864"/>
      <c r="P151" s="864"/>
      <c r="Q151" s="864"/>
      <c r="R151" s="864"/>
      <c r="S151" s="864"/>
      <c r="T151" s="864"/>
      <c r="W151" s="977"/>
    </row>
    <row r="152" spans="1:27">
      <c r="A152" s="950"/>
      <c r="B152" s="327"/>
      <c r="C152" s="864"/>
      <c r="D152" s="864"/>
      <c r="E152" s="864"/>
      <c r="F152" s="864"/>
      <c r="G152" s="864"/>
      <c r="H152" s="864"/>
      <c r="I152" s="864"/>
      <c r="J152" s="864"/>
      <c r="K152" s="864"/>
      <c r="L152" s="864"/>
      <c r="M152" s="864"/>
      <c r="N152" s="864"/>
      <c r="O152" s="945"/>
      <c r="P152" s="945"/>
      <c r="Q152" s="945"/>
      <c r="R152" s="859"/>
      <c r="S152" s="864"/>
      <c r="T152" s="864"/>
      <c r="W152" s="492"/>
    </row>
    <row r="153" spans="1:27">
      <c r="A153" s="950"/>
      <c r="B153" s="327"/>
      <c r="C153" s="864"/>
      <c r="D153" s="864"/>
      <c r="E153" s="864"/>
      <c r="F153" s="864"/>
      <c r="G153" s="864"/>
      <c r="H153" s="864"/>
      <c r="I153" s="864"/>
      <c r="J153" s="864"/>
      <c r="K153" s="864"/>
      <c r="L153" s="864"/>
      <c r="M153" s="864"/>
      <c r="N153" s="864"/>
      <c r="O153" s="945"/>
      <c r="P153" s="945"/>
      <c r="Q153" s="945"/>
      <c r="R153" s="859"/>
      <c r="S153" s="864"/>
      <c r="T153" s="864"/>
      <c r="W153" s="492"/>
    </row>
    <row r="154" spans="1:27">
      <c r="A154" s="950"/>
      <c r="V154" s="274"/>
      <c r="W154" s="274"/>
      <c r="X154" s="817"/>
      <c r="Y154" s="817"/>
      <c r="Z154" s="817"/>
      <c r="AA154" s="817"/>
    </row>
    <row r="155" spans="1:27">
      <c r="V155" s="274"/>
      <c r="W155" s="274"/>
      <c r="X155" s="817"/>
      <c r="Y155" s="817"/>
      <c r="Z155" s="817"/>
      <c r="AA155" s="817"/>
    </row>
    <row r="169" spans="19:33">
      <c r="AB169" s="187"/>
      <c r="AC169" s="784"/>
    </row>
    <row r="170" spans="19:33">
      <c r="AB170" s="187"/>
      <c r="AC170" s="784"/>
    </row>
    <row r="171" spans="19:33">
      <c r="AC171" s="187"/>
      <c r="AD171" s="784"/>
    </row>
    <row r="172" spans="19:33" ht="15.6">
      <c r="S172" s="946"/>
      <c r="T172" s="946"/>
      <c r="U172" s="859"/>
      <c r="V172" s="859"/>
      <c r="W172" s="996"/>
      <c r="X172" s="859"/>
      <c r="Y172" s="859"/>
      <c r="Z172" s="859"/>
      <c r="AA172" s="859"/>
      <c r="AB172" s="859"/>
      <c r="AC172" s="859"/>
      <c r="AD172" s="859"/>
      <c r="AE172" s="859"/>
      <c r="AF172" s="859"/>
      <c r="AG172" s="859"/>
    </row>
    <row r="173" spans="19:33">
      <c r="S173" s="947"/>
      <c r="T173" s="947"/>
      <c r="U173" s="859"/>
      <c r="V173" s="997"/>
      <c r="W173" s="998"/>
      <c r="X173" s="859"/>
      <c r="Y173" s="859"/>
      <c r="Z173" s="859"/>
      <c r="AA173" s="859"/>
      <c r="AB173" s="859"/>
      <c r="AC173" s="859"/>
      <c r="AD173" s="859"/>
      <c r="AE173" s="859"/>
      <c r="AF173" s="859"/>
      <c r="AG173" s="859"/>
    </row>
    <row r="174" spans="19:33">
      <c r="S174" s="860"/>
      <c r="T174" s="860"/>
      <c r="U174" s="999"/>
      <c r="V174" s="1000"/>
      <c r="W174" s="1001"/>
      <c r="X174" s="859"/>
      <c r="Y174" s="859"/>
      <c r="Z174" s="859"/>
      <c r="AA174" s="859"/>
      <c r="AB174" s="859"/>
      <c r="AC174" s="859"/>
      <c r="AD174" s="859"/>
      <c r="AE174" s="859"/>
      <c r="AF174" s="859"/>
      <c r="AG174" s="859"/>
    </row>
    <row r="175" spans="19:33">
      <c r="S175" s="860"/>
      <c r="T175" s="860"/>
      <c r="U175" s="999"/>
      <c r="V175" s="1000"/>
      <c r="W175" s="1001"/>
      <c r="X175" s="859"/>
      <c r="Y175" s="859"/>
      <c r="Z175" s="859"/>
      <c r="AA175" s="859"/>
      <c r="AB175" s="859"/>
      <c r="AC175" s="859"/>
      <c r="AD175" s="859"/>
      <c r="AE175" s="859"/>
      <c r="AF175" s="859"/>
      <c r="AG175" s="859"/>
    </row>
    <row r="176" spans="19:33">
      <c r="S176" s="327"/>
      <c r="T176" s="327"/>
      <c r="U176" s="327"/>
      <c r="V176" s="1005"/>
      <c r="W176" s="860"/>
      <c r="X176" s="860"/>
      <c r="Y176" s="860"/>
      <c r="Z176" s="1511"/>
      <c r="AA176" s="1512"/>
      <c r="AB176" s="1512"/>
      <c r="AC176" s="1512"/>
      <c r="AD176" s="1511"/>
      <c r="AE176" s="1512"/>
      <c r="AF176" s="1512"/>
      <c r="AG176" s="1512"/>
    </row>
    <row r="177" spans="19:33">
      <c r="S177" s="864"/>
      <c r="T177" s="864"/>
      <c r="U177" s="859"/>
      <c r="V177" s="1000"/>
      <c r="W177" s="1001"/>
      <c r="X177" s="1000"/>
      <c r="Y177" s="1000"/>
      <c r="Z177" s="1000"/>
      <c r="AA177" s="1000"/>
      <c r="AB177" s="1000"/>
      <c r="AC177" s="1000"/>
      <c r="AD177" s="1000"/>
      <c r="AE177" s="1000"/>
      <c r="AF177" s="1000"/>
      <c r="AG177" s="1000"/>
    </row>
    <row r="178" spans="19:33">
      <c r="S178" s="864"/>
      <c r="T178" s="864"/>
      <c r="U178" s="859"/>
      <c r="V178" s="1000"/>
      <c r="W178" s="1001"/>
      <c r="X178" s="1000"/>
      <c r="Y178" s="1000"/>
      <c r="Z178" s="1000"/>
      <c r="AA178" s="1000"/>
      <c r="AB178" s="1000"/>
      <c r="AC178" s="1000"/>
      <c r="AD178" s="1000"/>
      <c r="AE178" s="1000"/>
      <c r="AF178" s="1000"/>
      <c r="AG178" s="1000"/>
    </row>
    <row r="179" spans="19:33">
      <c r="S179" s="864"/>
      <c r="T179" s="864"/>
      <c r="U179" s="859"/>
      <c r="V179" s="1000"/>
      <c r="W179" s="1001"/>
      <c r="X179" s="1000"/>
      <c r="Y179" s="1000"/>
      <c r="Z179" s="1000"/>
      <c r="AA179" s="1000"/>
      <c r="AB179" s="1000"/>
      <c r="AC179" s="1000"/>
      <c r="AD179" s="1000"/>
      <c r="AE179" s="1000"/>
      <c r="AF179" s="1000"/>
      <c r="AG179" s="1000"/>
    </row>
    <row r="180" spans="19:33">
      <c r="S180" s="864"/>
      <c r="T180" s="864"/>
      <c r="U180" s="859"/>
      <c r="V180" s="1000"/>
      <c r="W180" s="1001"/>
      <c r="X180" s="1000"/>
      <c r="Y180" s="1000"/>
      <c r="Z180" s="1000"/>
      <c r="AA180" s="1000"/>
      <c r="AB180" s="1000"/>
      <c r="AC180" s="1000"/>
      <c r="AD180" s="1000"/>
      <c r="AE180" s="1000"/>
      <c r="AF180" s="1000"/>
      <c r="AG180" s="1000"/>
    </row>
    <row r="181" spans="19:33">
      <c r="V181" s="1000"/>
      <c r="W181" s="1001"/>
      <c r="X181" s="1000"/>
      <c r="Y181" s="1000"/>
      <c r="Z181" s="1000"/>
      <c r="AA181" s="1000"/>
      <c r="AB181" s="1000"/>
      <c r="AC181" s="1000"/>
      <c r="AD181" s="1000"/>
      <c r="AE181" s="1000"/>
      <c r="AF181" s="1000"/>
      <c r="AG181" s="1000"/>
    </row>
    <row r="182" spans="19:33">
      <c r="V182" s="1000"/>
      <c r="W182" s="1001"/>
      <c r="X182" s="1000"/>
      <c r="Y182" s="1000"/>
      <c r="Z182" s="1000"/>
      <c r="AA182" s="1000"/>
      <c r="AB182" s="1000"/>
      <c r="AC182" s="1000"/>
      <c r="AD182" s="1000"/>
      <c r="AE182" s="1000"/>
      <c r="AF182" s="1000"/>
      <c r="AG182" s="1000"/>
    </row>
    <row r="183" spans="19:33">
      <c r="S183" s="859"/>
      <c r="T183" s="859"/>
      <c r="U183" s="859"/>
      <c r="V183" s="1000"/>
      <c r="W183" s="1001"/>
      <c r="X183" s="1000"/>
      <c r="Y183" s="1000"/>
      <c r="Z183" s="1000"/>
      <c r="AA183" s="1000"/>
      <c r="AB183" s="1000"/>
      <c r="AC183" s="1000"/>
      <c r="AD183" s="1000"/>
      <c r="AE183" s="1000"/>
      <c r="AF183" s="1000"/>
      <c r="AG183" s="1000"/>
    </row>
    <row r="184" spans="19:33">
      <c r="S184" s="859"/>
      <c r="T184" s="859"/>
      <c r="U184" s="859"/>
      <c r="V184" s="1000"/>
      <c r="W184" s="1001"/>
      <c r="X184" s="1000"/>
      <c r="Y184" s="1000"/>
      <c r="Z184" s="1000"/>
      <c r="AA184" s="1000"/>
      <c r="AB184" s="1000"/>
      <c r="AC184" s="1000"/>
      <c r="AD184" s="1000"/>
      <c r="AE184" s="1000"/>
      <c r="AF184" s="1000"/>
      <c r="AG184" s="1000"/>
    </row>
    <row r="185" spans="19:33">
      <c r="S185" s="859"/>
      <c r="T185" s="859"/>
      <c r="U185" s="859"/>
      <c r="V185" s="1000"/>
      <c r="W185" s="1001"/>
      <c r="X185" s="1000"/>
      <c r="Y185" s="1000"/>
      <c r="Z185" s="1000"/>
      <c r="AA185" s="1000"/>
      <c r="AB185" s="1000"/>
      <c r="AC185" s="1000"/>
      <c r="AD185" s="1000"/>
      <c r="AE185" s="1000"/>
      <c r="AF185" s="1000"/>
      <c r="AG185" s="1000"/>
    </row>
    <row r="186" spans="19:33">
      <c r="S186" s="859"/>
      <c r="T186" s="859"/>
      <c r="U186" s="859"/>
      <c r="V186" s="1000"/>
      <c r="W186" s="1001"/>
      <c r="X186" s="1000"/>
      <c r="Y186" s="1000"/>
      <c r="Z186" s="1000"/>
      <c r="AA186" s="1000"/>
      <c r="AB186" s="1000"/>
      <c r="AC186" s="1000"/>
      <c r="AD186" s="1000"/>
      <c r="AE186" s="1000"/>
      <c r="AF186" s="1000"/>
      <c r="AG186" s="1000"/>
    </row>
    <row r="187" spans="19:33">
      <c r="S187" s="859"/>
      <c r="T187" s="859"/>
      <c r="U187" s="859"/>
      <c r="V187" s="1000"/>
      <c r="W187" s="1001"/>
      <c r="X187" s="1000"/>
      <c r="Y187" s="1000"/>
      <c r="Z187" s="1000"/>
      <c r="AA187" s="1000"/>
      <c r="AB187" s="1000"/>
      <c r="AC187" s="1000"/>
      <c r="AD187" s="1000"/>
      <c r="AE187" s="1000"/>
      <c r="AF187" s="1000"/>
      <c r="AG187" s="1000"/>
    </row>
    <row r="188" spans="19:33">
      <c r="S188" s="859"/>
      <c r="T188" s="859"/>
      <c r="U188" s="859"/>
      <c r="V188" s="1000"/>
      <c r="W188" s="1001"/>
      <c r="X188" s="1000"/>
      <c r="Y188" s="1000"/>
      <c r="Z188" s="1000"/>
      <c r="AA188" s="1000"/>
      <c r="AB188" s="1000"/>
      <c r="AC188" s="1000"/>
      <c r="AD188" s="1000"/>
      <c r="AE188" s="1000"/>
      <c r="AF188" s="1000"/>
      <c r="AG188" s="1000"/>
    </row>
    <row r="189" spans="19:33">
      <c r="S189" s="859"/>
      <c r="T189" s="859"/>
      <c r="U189" s="859"/>
      <c r="V189" s="1000"/>
      <c r="W189" s="1001"/>
      <c r="X189" s="1000"/>
      <c r="Y189" s="1000"/>
      <c r="Z189" s="1000"/>
      <c r="AA189" s="1000"/>
      <c r="AB189" s="1000"/>
      <c r="AC189" s="1000"/>
      <c r="AD189" s="1000"/>
      <c r="AE189" s="1000"/>
      <c r="AF189" s="1000"/>
      <c r="AG189" s="1000"/>
    </row>
    <row r="190" spans="19:33">
      <c r="S190" s="859"/>
      <c r="T190" s="859"/>
      <c r="U190" s="859"/>
      <c r="V190" s="1000"/>
      <c r="W190" s="1001"/>
      <c r="X190" s="1000"/>
      <c r="Y190" s="1000"/>
      <c r="Z190" s="1000"/>
      <c r="AA190" s="1000"/>
      <c r="AB190" s="1000"/>
      <c r="AC190" s="1000"/>
      <c r="AD190" s="1000"/>
      <c r="AE190" s="1000"/>
      <c r="AF190" s="1000"/>
      <c r="AG190" s="1000"/>
    </row>
    <row r="191" spans="19:33">
      <c r="S191" s="859"/>
      <c r="T191" s="859"/>
      <c r="U191" s="859"/>
      <c r="V191" s="1000"/>
      <c r="W191" s="1001"/>
      <c r="X191" s="1000"/>
      <c r="Y191" s="1000"/>
      <c r="Z191" s="1000"/>
      <c r="AA191" s="1000"/>
      <c r="AB191" s="1000"/>
      <c r="AC191" s="1000"/>
      <c r="AD191" s="1000"/>
      <c r="AE191" s="1000"/>
      <c r="AF191" s="1000"/>
      <c r="AG191" s="1000"/>
    </row>
    <row r="192" spans="19:33">
      <c r="S192" s="859"/>
      <c r="T192" s="859"/>
      <c r="U192" s="859"/>
      <c r="V192" s="1000"/>
      <c r="W192" s="1001"/>
      <c r="X192" s="1000"/>
      <c r="Y192" s="1000"/>
      <c r="Z192" s="1000"/>
      <c r="AA192" s="1000"/>
      <c r="AB192" s="1000"/>
      <c r="AC192" s="1000"/>
      <c r="AD192" s="1000"/>
      <c r="AE192" s="1000"/>
      <c r="AF192" s="1000"/>
      <c r="AG192" s="1000"/>
    </row>
    <row r="193" spans="19:33">
      <c r="S193" s="859"/>
      <c r="T193" s="859"/>
      <c r="U193" s="859"/>
      <c r="V193" s="1000"/>
      <c r="W193" s="1001"/>
      <c r="X193" s="1000"/>
      <c r="Y193" s="1000"/>
      <c r="Z193" s="1000"/>
      <c r="AA193" s="1000"/>
      <c r="AB193" s="1000"/>
      <c r="AC193" s="1000"/>
      <c r="AD193" s="1000"/>
      <c r="AE193" s="1000"/>
      <c r="AF193" s="1000"/>
      <c r="AG193" s="1000"/>
    </row>
    <row r="194" spans="19:33">
      <c r="S194" s="859"/>
      <c r="T194" s="859"/>
      <c r="U194" s="859"/>
      <c r="V194" s="1000"/>
      <c r="W194" s="1001"/>
      <c r="X194" s="1000"/>
      <c r="Y194" s="1000"/>
      <c r="Z194" s="1000"/>
      <c r="AA194" s="1000"/>
      <c r="AB194" s="1000"/>
      <c r="AC194" s="1000"/>
      <c r="AD194" s="1000"/>
      <c r="AE194" s="1000"/>
      <c r="AF194" s="1000"/>
      <c r="AG194" s="1000"/>
    </row>
    <row r="195" spans="19:33">
      <c r="S195" s="859"/>
      <c r="T195" s="859"/>
      <c r="U195" s="859"/>
      <c r="V195" s="1000"/>
      <c r="W195" s="1001"/>
      <c r="X195" s="1000"/>
      <c r="Y195" s="1000"/>
      <c r="Z195" s="1000"/>
      <c r="AA195" s="1000"/>
      <c r="AB195" s="1000"/>
      <c r="AC195" s="1000"/>
      <c r="AD195" s="1000"/>
      <c r="AE195" s="1000"/>
      <c r="AF195" s="1000"/>
      <c r="AG195" s="1000"/>
    </row>
    <row r="196" spans="19:33">
      <c r="S196" s="859"/>
      <c r="T196" s="859"/>
      <c r="U196" s="859"/>
      <c r="V196" s="859"/>
      <c r="W196" s="859"/>
      <c r="X196" s="859"/>
      <c r="Y196" s="859"/>
      <c r="Z196" s="1000"/>
      <c r="AA196" s="1000"/>
      <c r="AB196" s="1000"/>
      <c r="AC196" s="1000"/>
      <c r="AD196" s="1000"/>
      <c r="AE196" s="1000"/>
      <c r="AF196" s="1000"/>
      <c r="AG196" s="1000"/>
    </row>
    <row r="197" spans="19:33">
      <c r="S197" s="859"/>
      <c r="T197" s="859"/>
      <c r="U197" s="859"/>
      <c r="V197" s="859"/>
      <c r="W197" s="859"/>
      <c r="X197" s="859"/>
      <c r="Y197" s="859"/>
      <c r="Z197" s="859"/>
      <c r="AA197" s="859"/>
      <c r="AB197" s="859"/>
      <c r="AC197" s="859"/>
      <c r="AD197" s="859"/>
      <c r="AE197" s="859"/>
      <c r="AF197" s="859"/>
      <c r="AG197" s="859"/>
    </row>
    <row r="198" spans="19:33">
      <c r="S198" s="859"/>
      <c r="T198" s="859"/>
      <c r="U198" s="859"/>
      <c r="V198" s="859"/>
    </row>
    <row r="199" spans="19:33">
      <c r="S199" s="860"/>
      <c r="T199" s="860"/>
      <c r="U199" s="859"/>
      <c r="V199" s="859"/>
    </row>
    <row r="200" spans="19:33">
      <c r="S200" s="859"/>
      <c r="T200" s="859"/>
      <c r="U200" s="859"/>
      <c r="V200" s="859"/>
    </row>
    <row r="201" spans="19:33">
      <c r="S201" s="859"/>
      <c r="T201" s="859"/>
      <c r="U201" s="859"/>
      <c r="V201" s="859"/>
    </row>
    <row r="202" spans="19:33">
      <c r="S202" s="859"/>
      <c r="T202" s="859"/>
      <c r="U202" s="859"/>
      <c r="V202" s="859"/>
    </row>
    <row r="203" spans="19:33">
      <c r="S203" s="859"/>
      <c r="T203" s="859"/>
      <c r="U203" s="859"/>
      <c r="V203" s="859"/>
    </row>
    <row r="204" spans="19:33">
      <c r="S204" s="859"/>
      <c r="T204" s="859"/>
      <c r="U204" s="859"/>
      <c r="V204" s="859"/>
    </row>
    <row r="206" spans="19:33">
      <c r="S206" s="1003"/>
      <c r="T206" s="864"/>
      <c r="U206" s="982"/>
    </row>
    <row r="207" spans="19:33">
      <c r="S207" s="859"/>
      <c r="T207" s="859"/>
      <c r="U207" s="859"/>
    </row>
    <row r="208" spans="19:33">
      <c r="S208" s="859"/>
      <c r="T208" s="859"/>
      <c r="U208" s="859"/>
    </row>
    <row r="209" spans="1:34">
      <c r="S209" s="859"/>
      <c r="T209" s="859"/>
      <c r="U209" s="859"/>
    </row>
    <row r="210" spans="1:34">
      <c r="S210" s="859"/>
      <c r="T210" s="859"/>
      <c r="U210" s="859"/>
    </row>
    <row r="211" spans="1:34">
      <c r="S211" s="859"/>
      <c r="T211" s="859"/>
      <c r="U211" s="859"/>
    </row>
    <row r="212" spans="1:34">
      <c r="S212" s="859"/>
      <c r="T212" s="859"/>
      <c r="U212" s="859"/>
    </row>
    <row r="213" spans="1:34">
      <c r="S213" s="859"/>
      <c r="T213" s="859"/>
      <c r="U213" s="859"/>
    </row>
    <row r="214" spans="1:34">
      <c r="S214" s="859"/>
      <c r="T214" s="859"/>
      <c r="U214" s="859"/>
    </row>
    <row r="215" spans="1:34">
      <c r="S215" s="859"/>
      <c r="T215" s="859"/>
      <c r="U215" s="859"/>
    </row>
    <row r="216" spans="1:34">
      <c r="C216" s="269"/>
      <c r="D216" s="269"/>
      <c r="E216" s="269"/>
      <c r="F216" s="269"/>
      <c r="G216" s="269"/>
      <c r="H216" s="269"/>
      <c r="I216" s="269"/>
      <c r="J216" s="269"/>
      <c r="K216" s="269"/>
      <c r="L216" s="269"/>
      <c r="M216" s="269"/>
      <c r="N216" s="269"/>
      <c r="O216" s="269"/>
      <c r="P216" s="269"/>
      <c r="Q216" s="269"/>
    </row>
    <row r="217" spans="1:34" ht="18">
      <c r="A217" s="865"/>
      <c r="B217" s="246"/>
      <c r="C217" s="247"/>
      <c r="D217" s="247"/>
      <c r="E217" s="247"/>
      <c r="F217" s="247"/>
      <c r="G217" s="247"/>
      <c r="H217" s="247"/>
      <c r="I217" s="247"/>
      <c r="J217" s="247"/>
    </row>
    <row r="218" spans="1:34">
      <c r="A218" s="865"/>
      <c r="B218" s="247"/>
      <c r="C218" s="247"/>
      <c r="D218" s="247"/>
      <c r="E218" s="247"/>
      <c r="F218" s="247"/>
      <c r="G218" s="247"/>
      <c r="H218" s="247"/>
      <c r="I218" s="247"/>
      <c r="J218" s="247"/>
    </row>
    <row r="219" spans="1:34">
      <c r="A219" s="865"/>
      <c r="B219" s="247"/>
      <c r="C219" s="248"/>
      <c r="D219" s="247"/>
      <c r="E219" s="247"/>
      <c r="F219" s="247"/>
      <c r="G219" s="247"/>
      <c r="H219" s="247"/>
      <c r="I219" s="247"/>
      <c r="J219" s="247"/>
    </row>
    <row r="220" spans="1:34">
      <c r="A220" s="865"/>
      <c r="B220" s="247"/>
      <c r="C220" s="248"/>
      <c r="D220" s="247"/>
      <c r="E220" s="247"/>
      <c r="F220" s="247"/>
      <c r="G220" s="247"/>
      <c r="H220" s="247"/>
      <c r="I220" s="247"/>
      <c r="J220" s="247"/>
    </row>
    <row r="221" spans="1:34">
      <c r="A221" s="865"/>
      <c r="B221" s="247"/>
      <c r="C221" s="248"/>
      <c r="D221" s="248"/>
      <c r="E221" s="248"/>
      <c r="F221" s="248"/>
      <c r="G221" s="248"/>
      <c r="H221" s="248"/>
      <c r="I221" s="248"/>
      <c r="J221" s="248"/>
    </row>
    <row r="222" spans="1:34">
      <c r="A222" s="865"/>
      <c r="B222" s="248"/>
      <c r="C222" s="247"/>
      <c r="D222" s="247"/>
      <c r="E222" s="247"/>
      <c r="F222" s="247"/>
      <c r="G222" s="247"/>
      <c r="H222" s="247"/>
      <c r="I222" s="247"/>
      <c r="J222" s="247"/>
    </row>
    <row r="223" spans="1:34">
      <c r="A223" s="865"/>
      <c r="B223" s="248"/>
      <c r="C223" s="247"/>
      <c r="D223" s="247"/>
      <c r="E223" s="247"/>
      <c r="F223" s="247"/>
      <c r="G223" s="247"/>
      <c r="H223" s="247"/>
      <c r="I223" s="247"/>
      <c r="J223" s="247"/>
      <c r="Y223" s="859"/>
      <c r="Z223" s="859"/>
      <c r="AA223" s="859"/>
      <c r="AB223" s="864"/>
      <c r="AC223" s="864"/>
      <c r="AD223" s="864"/>
      <c r="AE223" s="864"/>
      <c r="AF223" s="864"/>
      <c r="AG223" s="864"/>
      <c r="AH223" s="859"/>
    </row>
    <row r="224" spans="1:34">
      <c r="A224" s="865"/>
      <c r="B224" s="248"/>
      <c r="C224" s="247"/>
      <c r="D224" s="247"/>
      <c r="E224" s="247"/>
      <c r="F224" s="247"/>
      <c r="G224" s="247"/>
      <c r="H224" s="247"/>
      <c r="I224" s="247"/>
      <c r="J224" s="247"/>
      <c r="Y224" s="859"/>
      <c r="Z224" s="859"/>
      <c r="AA224" s="859"/>
      <c r="AB224" s="864"/>
      <c r="AC224" s="864"/>
      <c r="AD224" s="864"/>
      <c r="AE224" s="864"/>
      <c r="AF224" s="864"/>
      <c r="AG224" s="864"/>
      <c r="AH224" s="859"/>
    </row>
    <row r="225" spans="1:34">
      <c r="A225" s="865"/>
      <c r="B225" s="248"/>
      <c r="C225" s="247"/>
      <c r="D225" s="247"/>
      <c r="E225" s="247"/>
      <c r="F225" s="247"/>
      <c r="G225" s="247"/>
      <c r="H225" s="247"/>
      <c r="I225" s="247"/>
      <c r="J225" s="247"/>
      <c r="Y225" s="859"/>
      <c r="Z225" s="978"/>
      <c r="AA225" s="859"/>
      <c r="AB225" s="864"/>
      <c r="AC225" s="864"/>
      <c r="AD225" s="864"/>
      <c r="AE225" s="864"/>
      <c r="AF225" s="864"/>
      <c r="AG225" s="864"/>
      <c r="AH225" s="859"/>
    </row>
    <row r="226" spans="1:34">
      <c r="A226" s="865"/>
      <c r="B226" s="248"/>
      <c r="C226" s="247"/>
      <c r="D226" s="247"/>
      <c r="E226" s="247"/>
      <c r="F226" s="247"/>
      <c r="G226" s="247"/>
      <c r="H226" s="247"/>
      <c r="I226" s="247"/>
      <c r="J226" s="247"/>
      <c r="Y226" s="859"/>
      <c r="Z226" s="859"/>
      <c r="AA226" s="859"/>
      <c r="AB226" s="859"/>
      <c r="AC226" s="859"/>
      <c r="AD226" s="859"/>
      <c r="AE226" s="859"/>
      <c r="AF226" s="859"/>
      <c r="AG226" s="859"/>
      <c r="AH226" s="859"/>
    </row>
    <row r="227" spans="1:34">
      <c r="A227" s="950"/>
      <c r="B227" s="979"/>
      <c r="C227" s="980"/>
      <c r="D227" s="980"/>
      <c r="E227" s="980"/>
      <c r="F227" s="980"/>
      <c r="G227" s="980"/>
      <c r="H227" s="980"/>
      <c r="I227" s="631"/>
      <c r="J227" s="631"/>
      <c r="K227" s="609"/>
      <c r="Y227" s="859"/>
      <c r="Z227" s="859"/>
      <c r="AA227" s="859"/>
      <c r="AB227" s="859"/>
      <c r="AC227" s="859"/>
      <c r="AD227" s="859"/>
      <c r="AE227" s="859"/>
      <c r="AF227" s="859"/>
      <c r="AG227" s="859"/>
      <c r="AH227" s="859"/>
    </row>
    <row r="228" spans="1:34">
      <c r="A228" s="950"/>
      <c r="B228" s="327"/>
      <c r="C228" s="982"/>
      <c r="D228" s="982"/>
      <c r="E228" s="982"/>
      <c r="F228" s="982"/>
      <c r="G228" s="982"/>
      <c r="H228" s="982"/>
      <c r="I228" s="609"/>
      <c r="J228" s="609"/>
      <c r="K228" s="609"/>
      <c r="Y228" s="859"/>
      <c r="Z228" s="859"/>
      <c r="AA228" s="859"/>
      <c r="AB228" s="859"/>
      <c r="AC228" s="859"/>
      <c r="AD228" s="859"/>
      <c r="AE228" s="859"/>
      <c r="AF228" s="859"/>
      <c r="AG228" s="859"/>
      <c r="AH228" s="859"/>
    </row>
    <row r="229" spans="1:34">
      <c r="A229" s="950"/>
      <c r="B229" s="327"/>
      <c r="C229" s="859"/>
      <c r="D229" s="859"/>
      <c r="E229" s="859"/>
      <c r="F229" s="859"/>
      <c r="G229" s="859"/>
      <c r="H229" s="859"/>
      <c r="Y229" s="859"/>
      <c r="Z229" s="859"/>
      <c r="AA229" s="859"/>
      <c r="AB229" s="859"/>
      <c r="AC229" s="859"/>
      <c r="AD229" s="859"/>
      <c r="AE229" s="859"/>
      <c r="AF229" s="859"/>
      <c r="AG229" s="859"/>
      <c r="AH229" s="859"/>
    </row>
    <row r="230" spans="1:34">
      <c r="A230" s="950"/>
      <c r="B230" s="327"/>
      <c r="C230" s="859"/>
      <c r="D230" s="859"/>
      <c r="E230" s="859"/>
      <c r="F230" s="859"/>
      <c r="G230" s="859"/>
      <c r="H230" s="859"/>
    </row>
    <row r="231" spans="1:34">
      <c r="A231" s="950"/>
      <c r="B231" s="327"/>
      <c r="C231" s="859"/>
      <c r="D231" s="859"/>
      <c r="E231" s="859"/>
      <c r="F231" s="859"/>
      <c r="G231" s="859"/>
      <c r="H231" s="859"/>
    </row>
    <row r="232" spans="1:34">
      <c r="A232" s="950"/>
      <c r="B232" s="859"/>
      <c r="C232" s="859"/>
      <c r="D232" s="859"/>
      <c r="E232" s="859"/>
      <c r="F232" s="859"/>
      <c r="G232" s="859"/>
      <c r="H232" s="859"/>
    </row>
    <row r="233" spans="1:34">
      <c r="A233" s="950"/>
      <c r="B233" s="859"/>
      <c r="C233" s="859"/>
      <c r="D233" s="859"/>
      <c r="E233" s="859"/>
      <c r="F233" s="859"/>
      <c r="G233" s="859"/>
      <c r="H233" s="859"/>
    </row>
    <row r="234" spans="1:34">
      <c r="A234" s="950"/>
      <c r="B234" s="859"/>
      <c r="C234" s="859"/>
      <c r="D234" s="859"/>
      <c r="E234" s="859"/>
      <c r="F234" s="859"/>
      <c r="G234" s="859"/>
      <c r="H234" s="859"/>
    </row>
    <row r="235" spans="1:34">
      <c r="A235" s="950"/>
      <c r="B235" s="859"/>
      <c r="C235" s="859"/>
      <c r="D235" s="859"/>
      <c r="E235" s="859"/>
      <c r="F235" s="859"/>
      <c r="G235" s="859"/>
      <c r="H235" s="859"/>
    </row>
    <row r="236" spans="1:34">
      <c r="A236" s="859"/>
      <c r="B236" s="859"/>
      <c r="C236" s="859"/>
      <c r="D236" s="859"/>
      <c r="E236" s="859"/>
      <c r="F236" s="859"/>
      <c r="G236" s="859"/>
      <c r="H236" s="859"/>
    </row>
    <row r="237" spans="1:34">
      <c r="A237" s="859"/>
      <c r="B237" s="859"/>
      <c r="C237" s="859"/>
      <c r="D237" s="859"/>
      <c r="E237" s="859"/>
      <c r="F237" s="859"/>
      <c r="G237" s="859"/>
      <c r="H237" s="859"/>
    </row>
    <row r="238" spans="1:34">
      <c r="A238" s="859"/>
      <c r="B238" s="983"/>
      <c r="C238" s="981"/>
      <c r="D238" s="981"/>
      <c r="E238" s="981"/>
      <c r="F238" s="859"/>
      <c r="G238" s="859"/>
      <c r="H238" s="859"/>
    </row>
    <row r="239" spans="1:34">
      <c r="A239" s="859"/>
      <c r="B239" s="984"/>
      <c r="C239" s="985"/>
      <c r="D239" s="981"/>
      <c r="E239" s="985"/>
      <c r="F239" s="859"/>
      <c r="G239" s="859"/>
      <c r="H239" s="859"/>
    </row>
    <row r="240" spans="1:34">
      <c r="A240" s="859"/>
      <c r="B240" s="986"/>
      <c r="C240" s="987"/>
      <c r="D240" s="987"/>
      <c r="E240" s="987"/>
      <c r="F240" s="859"/>
      <c r="G240" s="859"/>
      <c r="H240" s="859"/>
    </row>
    <row r="241" spans="1:17">
      <c r="A241" s="859"/>
      <c r="B241" s="988"/>
      <c r="C241" s="989"/>
      <c r="D241" s="989"/>
      <c r="E241" s="989"/>
      <c r="F241" s="859"/>
      <c r="G241" s="859"/>
      <c r="H241" s="859"/>
    </row>
    <row r="242" spans="1:17">
      <c r="A242" s="859"/>
      <c r="B242" s="990"/>
      <c r="C242" s="991"/>
      <c r="D242" s="991"/>
      <c r="E242" s="991"/>
      <c r="F242" s="859"/>
      <c r="G242" s="859"/>
      <c r="H242" s="859"/>
    </row>
    <row r="243" spans="1:17">
      <c r="A243" s="859"/>
      <c r="B243" s="990"/>
      <c r="C243" s="991"/>
      <c r="D243" s="991"/>
      <c r="E243" s="991"/>
      <c r="F243" s="859"/>
      <c r="G243" s="859"/>
      <c r="H243" s="859"/>
    </row>
    <row r="244" spans="1:17">
      <c r="A244" s="950"/>
      <c r="B244" s="988"/>
      <c r="C244" s="989"/>
      <c r="D244" s="989"/>
      <c r="E244" s="989"/>
      <c r="F244" s="859"/>
      <c r="G244" s="859"/>
      <c r="H244" s="859"/>
    </row>
    <row r="245" spans="1:17">
      <c r="A245" s="950"/>
      <c r="B245" s="990"/>
      <c r="C245" s="991"/>
      <c r="D245" s="991"/>
      <c r="E245" s="992"/>
      <c r="F245" s="859"/>
      <c r="G245" s="859"/>
      <c r="H245" s="859"/>
    </row>
    <row r="246" spans="1:17">
      <c r="A246" s="950"/>
      <c r="B246" s="990"/>
      <c r="C246" s="991"/>
      <c r="D246" s="991"/>
      <c r="E246" s="992"/>
      <c r="F246" s="859"/>
      <c r="G246" s="859"/>
      <c r="H246" s="859"/>
    </row>
    <row r="247" spans="1:17">
      <c r="A247" s="950"/>
      <c r="B247" s="988"/>
      <c r="C247" s="989"/>
      <c r="D247" s="989"/>
      <c r="E247" s="993"/>
      <c r="F247" s="859"/>
      <c r="G247" s="859"/>
      <c r="H247" s="859"/>
    </row>
    <row r="248" spans="1:17">
      <c r="A248" s="950"/>
      <c r="B248" s="990"/>
      <c r="C248" s="991"/>
      <c r="D248" s="991"/>
      <c r="E248" s="992"/>
      <c r="F248" s="859"/>
      <c r="G248" s="859"/>
      <c r="H248" s="859"/>
    </row>
    <row r="249" spans="1:17">
      <c r="A249" s="950"/>
      <c r="B249" s="990"/>
      <c r="C249" s="991"/>
      <c r="D249" s="991"/>
      <c r="E249" s="992"/>
      <c r="F249" s="859"/>
      <c r="G249" s="859"/>
      <c r="H249" s="859"/>
    </row>
    <row r="250" spans="1:17">
      <c r="A250" s="950"/>
      <c r="B250" s="986"/>
      <c r="C250" s="987"/>
      <c r="D250" s="987"/>
      <c r="E250" s="987"/>
      <c r="F250" s="859"/>
      <c r="G250" s="859"/>
      <c r="H250" s="859"/>
      <c r="I250" s="859"/>
      <c r="J250" s="859"/>
      <c r="K250" s="859"/>
      <c r="L250" s="859"/>
      <c r="M250" s="859"/>
      <c r="N250" s="859"/>
      <c r="O250" s="859"/>
      <c r="P250" s="859"/>
      <c r="Q250" s="859"/>
    </row>
    <row r="251" spans="1:17">
      <c r="A251" s="950"/>
      <c r="B251" s="988"/>
      <c r="C251" s="989"/>
      <c r="D251" s="989"/>
      <c r="E251" s="993"/>
      <c r="F251" s="859"/>
      <c r="G251" s="859"/>
      <c r="H251" s="859"/>
      <c r="I251" s="859"/>
      <c r="J251" s="859"/>
      <c r="K251" s="859"/>
      <c r="L251" s="859"/>
      <c r="M251" s="859"/>
      <c r="N251" s="859"/>
      <c r="O251" s="859"/>
      <c r="P251" s="859"/>
      <c r="Q251" s="859"/>
    </row>
    <row r="252" spans="1:17">
      <c r="A252" s="950"/>
      <c r="B252" s="990"/>
      <c r="C252" s="991"/>
      <c r="D252" s="1479"/>
      <c r="E252" s="1479"/>
      <c r="F252" s="1479"/>
      <c r="G252" s="1479"/>
      <c r="H252" s="1479"/>
      <c r="I252" s="1479"/>
      <c r="J252" s="1479"/>
      <c r="K252" s="1479"/>
      <c r="L252" s="1479"/>
      <c r="M252" s="1479"/>
      <c r="N252" s="1479"/>
      <c r="O252" s="1479"/>
      <c r="P252" s="3"/>
      <c r="Q252" s="859"/>
    </row>
    <row r="253" spans="1:17">
      <c r="A253" s="950"/>
      <c r="B253" s="990"/>
      <c r="C253" s="991"/>
      <c r="D253" s="1090"/>
      <c r="E253" s="1091"/>
      <c r="F253" s="1091"/>
      <c r="G253" s="1091"/>
      <c r="H253" s="1091"/>
      <c r="I253" s="1091"/>
      <c r="J253" s="1091"/>
      <c r="K253" s="1091"/>
      <c r="L253" s="1091"/>
      <c r="M253" s="1091"/>
      <c r="N253" s="1091"/>
      <c r="O253" s="1091"/>
      <c r="P253" s="1091"/>
      <c r="Q253" s="859"/>
    </row>
    <row r="254" spans="1:17">
      <c r="A254" s="950"/>
      <c r="B254" s="988"/>
      <c r="C254" s="989"/>
      <c r="D254" s="1092"/>
      <c r="E254" s="1093"/>
      <c r="F254" s="1094"/>
      <c r="G254" s="1094"/>
      <c r="H254" s="1094"/>
      <c r="I254" s="1094"/>
      <c r="J254" s="1094"/>
      <c r="K254" s="1094"/>
      <c r="L254" s="1094"/>
      <c r="M254" s="1094"/>
      <c r="N254" s="1094"/>
      <c r="O254" s="1094"/>
      <c r="P254" s="1094"/>
      <c r="Q254" s="859"/>
    </row>
    <row r="255" spans="1:17">
      <c r="A255" s="950"/>
      <c r="B255" s="990"/>
      <c r="C255" s="991"/>
      <c r="D255" s="1092"/>
      <c r="E255" s="1094"/>
      <c r="F255" s="1094"/>
      <c r="G255" s="1094"/>
      <c r="H255" s="1094"/>
      <c r="I255" s="1094"/>
      <c r="J255" s="1094"/>
      <c r="K255" s="1094"/>
      <c r="L255" s="1094"/>
      <c r="M255" s="1094"/>
      <c r="N255" s="1094"/>
      <c r="O255" s="1094"/>
      <c r="P255" s="1094"/>
      <c r="Q255" s="859"/>
    </row>
    <row r="256" spans="1:17">
      <c r="A256" s="950"/>
      <c r="B256" s="990"/>
      <c r="C256" s="991"/>
      <c r="D256" s="1092"/>
      <c r="E256" s="1094"/>
      <c r="F256" s="1094"/>
      <c r="G256" s="1094"/>
      <c r="H256" s="1094"/>
      <c r="I256" s="1094"/>
      <c r="J256" s="1094"/>
      <c r="K256" s="1094"/>
      <c r="L256" s="1094"/>
      <c r="M256" s="1094"/>
      <c r="N256" s="1094"/>
      <c r="O256" s="1094"/>
      <c r="P256" s="1094"/>
      <c r="Q256" s="859"/>
    </row>
    <row r="257" spans="1:17">
      <c r="A257" s="950"/>
      <c r="B257" s="988"/>
      <c r="C257" s="989"/>
      <c r="D257" s="1092"/>
      <c r="E257" s="1094"/>
      <c r="F257" s="1094"/>
      <c r="G257" s="1094"/>
      <c r="H257" s="1094"/>
      <c r="I257" s="1094"/>
      <c r="J257" s="1094"/>
      <c r="K257" s="1094"/>
      <c r="L257" s="1094"/>
      <c r="M257" s="1094"/>
      <c r="N257" s="1094"/>
      <c r="O257" s="1094"/>
      <c r="P257" s="1094"/>
      <c r="Q257" s="859"/>
    </row>
    <row r="258" spans="1:17">
      <c r="A258" s="950"/>
      <c r="B258" s="990"/>
      <c r="C258" s="991"/>
      <c r="D258" s="1092"/>
      <c r="E258" s="1094"/>
      <c r="F258" s="1094"/>
      <c r="G258" s="1094"/>
      <c r="H258" s="1094"/>
      <c r="I258" s="1094"/>
      <c r="J258" s="1094"/>
      <c r="K258" s="1094"/>
      <c r="L258" s="1094"/>
      <c r="M258" s="1094"/>
      <c r="N258" s="1094"/>
      <c r="O258" s="1094"/>
      <c r="P258" s="1094"/>
      <c r="Q258" s="859"/>
    </row>
    <row r="259" spans="1:17">
      <c r="A259" s="950"/>
      <c r="B259" s="990"/>
      <c r="C259" s="991"/>
      <c r="D259" s="1092"/>
      <c r="E259" s="1094"/>
      <c r="F259" s="1094"/>
      <c r="G259" s="1094"/>
      <c r="H259" s="1094"/>
      <c r="I259" s="1094"/>
      <c r="J259" s="1094"/>
      <c r="K259" s="1094"/>
      <c r="L259" s="1094"/>
      <c r="M259" s="1094"/>
      <c r="N259" s="1094"/>
      <c r="O259" s="1094"/>
      <c r="P259" s="1094"/>
      <c r="Q259" s="859"/>
    </row>
    <row r="260" spans="1:17">
      <c r="A260" s="950"/>
      <c r="B260" s="994"/>
      <c r="C260" s="995"/>
      <c r="D260" s="1092"/>
      <c r="E260" s="1094"/>
      <c r="F260" s="1094"/>
      <c r="G260" s="1094"/>
      <c r="H260" s="1094"/>
      <c r="I260" s="1094"/>
      <c r="J260" s="1094"/>
      <c r="K260" s="1094"/>
      <c r="L260" s="1094"/>
      <c r="M260" s="1094"/>
      <c r="N260" s="1094"/>
      <c r="O260" s="1094"/>
      <c r="P260" s="1094"/>
      <c r="Q260" s="859"/>
    </row>
    <row r="261" spans="1:17">
      <c r="A261" s="950"/>
      <c r="B261" s="327"/>
      <c r="C261" s="859"/>
      <c r="D261" s="1092"/>
      <c r="E261" s="1094"/>
      <c r="F261" s="1094"/>
      <c r="G261" s="1094"/>
      <c r="H261" s="1094"/>
      <c r="I261" s="1094"/>
      <c r="J261" s="1094"/>
      <c r="K261" s="1094"/>
      <c r="L261" s="1094"/>
      <c r="M261" s="1094"/>
      <c r="N261" s="1094"/>
      <c r="O261" s="1094"/>
      <c r="P261" s="1094"/>
      <c r="Q261" s="859"/>
    </row>
    <row r="262" spans="1:17">
      <c r="A262" s="950"/>
      <c r="B262" s="327"/>
      <c r="C262" s="859"/>
      <c r="D262" s="859"/>
      <c r="E262" s="859"/>
      <c r="F262" s="859"/>
      <c r="G262" s="859"/>
      <c r="H262" s="859"/>
      <c r="I262" s="859"/>
      <c r="J262" s="859"/>
      <c r="K262" s="859"/>
      <c r="L262" s="859"/>
      <c r="M262" s="859"/>
      <c r="N262" s="859"/>
      <c r="O262" s="859"/>
      <c r="P262" s="859"/>
      <c r="Q262" s="859"/>
    </row>
    <row r="263" spans="1:17">
      <c r="A263" s="859"/>
      <c r="B263" s="859"/>
      <c r="C263" s="859"/>
      <c r="D263" s="859"/>
      <c r="E263" s="859"/>
      <c r="F263" s="859"/>
      <c r="G263" s="859"/>
      <c r="H263" s="859"/>
      <c r="I263" s="859"/>
      <c r="J263" s="859"/>
      <c r="K263" s="859"/>
      <c r="L263" s="859"/>
      <c r="M263" s="859"/>
      <c r="N263" s="859"/>
      <c r="O263" s="859"/>
      <c r="P263" s="859"/>
      <c r="Q263" s="859"/>
    </row>
    <row r="264" spans="1:17">
      <c r="A264" s="859"/>
      <c r="B264" s="859"/>
      <c r="C264" s="859"/>
      <c r="D264" s="859"/>
      <c r="E264" s="859"/>
      <c r="F264" s="859"/>
      <c r="G264" s="859"/>
      <c r="H264" s="859"/>
    </row>
    <row r="265" spans="1:17">
      <c r="A265" s="859"/>
      <c r="B265" s="859"/>
      <c r="C265" s="859"/>
      <c r="D265" s="859"/>
      <c r="E265" s="859"/>
      <c r="F265" s="859"/>
      <c r="G265" s="859"/>
      <c r="H265" s="859"/>
    </row>
    <row r="266" spans="1:17">
      <c r="A266" s="859"/>
      <c r="B266" s="859"/>
      <c r="C266" s="859"/>
      <c r="D266" s="859"/>
      <c r="E266" s="859"/>
      <c r="F266" s="859"/>
      <c r="G266" s="859"/>
      <c r="H266" s="859"/>
    </row>
    <row r="267" spans="1:17">
      <c r="A267" s="859"/>
      <c r="B267" s="859"/>
      <c r="C267" s="859"/>
      <c r="D267" s="859"/>
      <c r="E267" s="859"/>
      <c r="F267" s="859"/>
      <c r="G267" s="859"/>
      <c r="H267" s="859"/>
    </row>
    <row r="268" spans="1:17">
      <c r="A268" s="859"/>
      <c r="B268" s="859"/>
      <c r="C268" s="859"/>
      <c r="D268" s="859"/>
      <c r="E268" s="859"/>
      <c r="F268" s="859"/>
      <c r="G268" s="859"/>
      <c r="H268" s="859"/>
    </row>
    <row r="269" spans="1:17">
      <c r="A269" s="859"/>
      <c r="B269" s="859"/>
      <c r="C269" s="859"/>
      <c r="D269" s="859"/>
      <c r="E269" s="859"/>
      <c r="F269" s="859"/>
      <c r="G269" s="859"/>
      <c r="H269" s="859"/>
    </row>
  </sheetData>
  <mergeCells count="68">
    <mergeCell ref="BK7:BV7"/>
    <mergeCell ref="B30:E30"/>
    <mergeCell ref="B31:E31"/>
    <mergeCell ref="A39:A51"/>
    <mergeCell ref="C7:N7"/>
    <mergeCell ref="O7:Z7"/>
    <mergeCell ref="AA7:AL7"/>
    <mergeCell ref="AM7:AX7"/>
    <mergeCell ref="AY7:BJ7"/>
    <mergeCell ref="I37:K37"/>
    <mergeCell ref="AD176:AG176"/>
    <mergeCell ref="C138:E138"/>
    <mergeCell ref="F138:H138"/>
    <mergeCell ref="I138:K138"/>
    <mergeCell ref="L138:N138"/>
    <mergeCell ref="O138:Q138"/>
    <mergeCell ref="R138:T138"/>
    <mergeCell ref="A65:A77"/>
    <mergeCell ref="C37:E37"/>
    <mergeCell ref="F37:H37"/>
    <mergeCell ref="O108:T108"/>
    <mergeCell ref="Z176:AC176"/>
    <mergeCell ref="A78:A83"/>
    <mergeCell ref="C91:G91"/>
    <mergeCell ref="W51:AB51"/>
    <mergeCell ref="A52:A57"/>
    <mergeCell ref="W53:AN53"/>
    <mergeCell ref="W54:Y54"/>
    <mergeCell ref="Z54:AB54"/>
    <mergeCell ref="AC54:AE54"/>
    <mergeCell ref="AF54:AH54"/>
    <mergeCell ref="AI54:AK54"/>
    <mergeCell ref="AL54:AN54"/>
    <mergeCell ref="C62:H62"/>
    <mergeCell ref="I62:N62"/>
    <mergeCell ref="O62:T62"/>
    <mergeCell ref="C63:E63"/>
    <mergeCell ref="F63:H63"/>
    <mergeCell ref="I63:K63"/>
    <mergeCell ref="L63:N63"/>
    <mergeCell ref="O63:Q63"/>
    <mergeCell ref="R63:T63"/>
    <mergeCell ref="N93:N94"/>
    <mergeCell ref="C108:H108"/>
    <mergeCell ref="I108:N108"/>
    <mergeCell ref="H91:L91"/>
    <mergeCell ref="C94:D94"/>
    <mergeCell ref="E94:F94"/>
    <mergeCell ref="H94:I94"/>
    <mergeCell ref="J94:K94"/>
    <mergeCell ref="N95:N96"/>
    <mergeCell ref="A111:A123"/>
    <mergeCell ref="A124:A129"/>
    <mergeCell ref="C136:T136"/>
    <mergeCell ref="C137:H137"/>
    <mergeCell ref="I137:N137"/>
    <mergeCell ref="O137:T137"/>
    <mergeCell ref="D252:G252"/>
    <mergeCell ref="H252:K252"/>
    <mergeCell ref="L252:O252"/>
    <mergeCell ref="R109:T109"/>
    <mergeCell ref="C96:F96"/>
    <mergeCell ref="H96:K96"/>
    <mergeCell ref="C109:E109"/>
    <mergeCell ref="F109:H109"/>
    <mergeCell ref="I109:K109"/>
    <mergeCell ref="L109:N109"/>
    <mergeCell ref="O109:Q109"/>
  </mergeCells>
  <conditionalFormatting sqref="I37:K57">
    <cfRule type="dataBar" priority="1">
      <dataBar>
        <cfvo type="min"/>
        <cfvo type="max"/>
        <color rgb="FF63C384"/>
      </dataBar>
      <extLst>
        <ext xmlns:x14="http://schemas.microsoft.com/office/spreadsheetml/2009/9/main" uri="{B025F937-C7B1-47D3-B67F-A62EFF666E3E}">
          <x14:id>{5C6A6173-FE02-4F7E-ACF8-9F2F96D2F6CA}</x14:id>
        </ext>
      </extLst>
    </cfRule>
  </conditionalFormatting>
  <hyperlinks>
    <hyperlink ref="X88" r:id="rId1" display="https://www.sintef.no/globalassets/upload/energi/transes/article_energy-demand_jepo.pdf" xr:uid="{1DF8327E-1332-4C70-9B79-01BB01845DA4}"/>
  </hyperlinks>
  <pageMargins left="0.7" right="0.7" top="0.75" bottom="0.75" header="0.3" footer="0.3"/>
  <pageSetup paperSize="9"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5C6A6173-FE02-4F7E-ACF8-9F2F96D2F6CA}">
            <x14:dataBar minLength="0" maxLength="100" border="1" negativeBarBorderColorSameAsPositive="0">
              <x14:cfvo type="autoMin"/>
              <x14:cfvo type="autoMax"/>
              <x14:borderColor rgb="FF63C384"/>
              <x14:negativeFillColor rgb="FFFF0000"/>
              <x14:negativeBorderColor rgb="FFFF0000"/>
              <x14:axisColor rgb="FF000000"/>
            </x14:dataBar>
          </x14:cfRule>
          <xm:sqref>I37:K57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3FE3-5FDC-4E7E-8898-6EE82823C591}">
  <sheetPr>
    <tabColor theme="9" tint="-0.249977111117893"/>
  </sheetPr>
  <dimension ref="A2:BV137"/>
  <sheetViews>
    <sheetView zoomScale="55" zoomScaleNormal="55" workbookViewId="0">
      <selection activeCell="N67" sqref="N67"/>
    </sheetView>
  </sheetViews>
  <sheetFormatPr defaultRowHeight="13.2"/>
  <cols>
    <col min="2" max="2" width="45.109375" customWidth="1"/>
    <col min="3" max="3" width="26.6640625" customWidth="1"/>
    <col min="4" max="4" width="32" bestFit="1" customWidth="1"/>
    <col min="5" max="5" width="23.109375" customWidth="1"/>
    <col min="6" max="6" width="24.109375" customWidth="1"/>
    <col min="7" max="7" width="26.109375" customWidth="1"/>
    <col min="8" max="8" width="14.5546875" customWidth="1"/>
    <col min="9" max="9" width="30" customWidth="1"/>
    <col min="10" max="10" width="26.44140625" customWidth="1"/>
    <col min="11" max="11" width="32.33203125" customWidth="1"/>
    <col min="12" max="12" width="17.6640625" customWidth="1"/>
    <col min="13" max="13" width="11.109375" customWidth="1"/>
    <col min="17" max="17" width="17.109375" customWidth="1"/>
    <col min="18" max="18" width="20.5546875" customWidth="1"/>
    <col min="19" max="19" width="23.88671875" customWidth="1"/>
    <col min="20" max="20" width="13.6640625" customWidth="1"/>
    <col min="21" max="21" width="24.44140625" customWidth="1"/>
    <col min="22" max="23" width="21.88671875" bestFit="1" customWidth="1"/>
    <col min="24" max="24" width="22.44140625" bestFit="1" customWidth="1"/>
    <col min="25" max="25" width="25.6640625" bestFit="1" customWidth="1"/>
  </cols>
  <sheetData>
    <row r="2" spans="2:74" ht="21">
      <c r="B2" s="1045" t="s">
        <v>1189</v>
      </c>
    </row>
    <row r="3" spans="2:74" ht="14.4">
      <c r="B3" s="1044" t="s">
        <v>490</v>
      </c>
    </row>
    <row r="4" spans="2:74" ht="13.8">
      <c r="B4" s="1046" t="s">
        <v>1190</v>
      </c>
    </row>
    <row r="5" spans="2:74" ht="14.4">
      <c r="C5" s="187" t="s">
        <v>342</v>
      </c>
      <c r="O5" s="187" t="s">
        <v>346</v>
      </c>
      <c r="AA5" s="187" t="s">
        <v>349</v>
      </c>
      <c r="AM5" s="187" t="s">
        <v>341</v>
      </c>
      <c r="AY5" s="187" t="s">
        <v>351</v>
      </c>
      <c r="BK5" s="187" t="s">
        <v>352</v>
      </c>
    </row>
    <row r="6" spans="2:74" ht="14.4">
      <c r="C6" s="187" t="s">
        <v>363</v>
      </c>
      <c r="D6" s="187" t="s">
        <v>364</v>
      </c>
      <c r="E6" s="187" t="s">
        <v>365</v>
      </c>
      <c r="F6" s="187" t="s">
        <v>366</v>
      </c>
      <c r="G6" s="187" t="s">
        <v>367</v>
      </c>
      <c r="H6" s="187" t="s">
        <v>368</v>
      </c>
      <c r="I6" s="187" t="s">
        <v>369</v>
      </c>
      <c r="J6" s="187" t="s">
        <v>370</v>
      </c>
      <c r="K6" s="187" t="s">
        <v>371</v>
      </c>
      <c r="L6" s="187" t="s">
        <v>372</v>
      </c>
      <c r="M6" s="187" t="s">
        <v>353</v>
      </c>
      <c r="N6" s="187" t="s">
        <v>373</v>
      </c>
      <c r="O6" s="187" t="s">
        <v>363</v>
      </c>
      <c r="P6" s="187" t="s">
        <v>364</v>
      </c>
      <c r="Q6" s="187" t="s">
        <v>365</v>
      </c>
      <c r="R6" s="187" t="s">
        <v>366</v>
      </c>
      <c r="S6" s="187" t="s">
        <v>367</v>
      </c>
      <c r="T6" s="187" t="s">
        <v>368</v>
      </c>
      <c r="U6" s="187" t="s">
        <v>369</v>
      </c>
      <c r="V6" s="187" t="s">
        <v>370</v>
      </c>
      <c r="W6" s="187" t="s">
        <v>371</v>
      </c>
      <c r="X6" s="187" t="s">
        <v>372</v>
      </c>
      <c r="Y6" s="187" t="s">
        <v>353</v>
      </c>
      <c r="Z6" s="187" t="s">
        <v>373</v>
      </c>
      <c r="AA6" s="187" t="s">
        <v>363</v>
      </c>
      <c r="AB6" s="187" t="s">
        <v>364</v>
      </c>
      <c r="AC6" s="187" t="s">
        <v>365</v>
      </c>
      <c r="AD6" s="187" t="s">
        <v>366</v>
      </c>
      <c r="AE6" s="187" t="s">
        <v>367</v>
      </c>
      <c r="AF6" s="187" t="s">
        <v>368</v>
      </c>
      <c r="AG6" s="187" t="s">
        <v>369</v>
      </c>
      <c r="AH6" s="187" t="s">
        <v>370</v>
      </c>
      <c r="AI6" s="187" t="s">
        <v>371</v>
      </c>
      <c r="AJ6" s="187" t="s">
        <v>372</v>
      </c>
      <c r="AK6" s="187" t="s">
        <v>353</v>
      </c>
      <c r="AL6" s="187" t="s">
        <v>373</v>
      </c>
      <c r="AM6" s="187" t="s">
        <v>363</v>
      </c>
      <c r="AN6" s="187" t="s">
        <v>364</v>
      </c>
      <c r="AO6" s="187" t="s">
        <v>365</v>
      </c>
      <c r="AP6" s="187" t="s">
        <v>366</v>
      </c>
      <c r="AQ6" s="187" t="s">
        <v>367</v>
      </c>
      <c r="AR6" s="187" t="s">
        <v>368</v>
      </c>
      <c r="AS6" s="187" t="s">
        <v>369</v>
      </c>
      <c r="AT6" s="187" t="s">
        <v>370</v>
      </c>
      <c r="AU6" s="187" t="s">
        <v>371</v>
      </c>
      <c r="AV6" s="187" t="s">
        <v>372</v>
      </c>
      <c r="AW6" s="187" t="s">
        <v>353</v>
      </c>
      <c r="AX6" s="187" t="s">
        <v>373</v>
      </c>
      <c r="AY6" s="187" t="s">
        <v>363</v>
      </c>
      <c r="AZ6" s="187" t="s">
        <v>364</v>
      </c>
      <c r="BA6" s="187" t="s">
        <v>365</v>
      </c>
      <c r="BB6" s="187" t="s">
        <v>366</v>
      </c>
      <c r="BC6" s="187" t="s">
        <v>367</v>
      </c>
      <c r="BD6" s="187" t="s">
        <v>368</v>
      </c>
      <c r="BE6" s="187" t="s">
        <v>369</v>
      </c>
      <c r="BF6" s="187" t="s">
        <v>370</v>
      </c>
      <c r="BG6" s="187" t="s">
        <v>371</v>
      </c>
      <c r="BH6" s="187" t="s">
        <v>372</v>
      </c>
      <c r="BI6" s="187" t="s">
        <v>353</v>
      </c>
      <c r="BJ6" s="187" t="s">
        <v>373</v>
      </c>
      <c r="BK6" s="187" t="s">
        <v>363</v>
      </c>
      <c r="BL6" s="187" t="s">
        <v>364</v>
      </c>
      <c r="BM6" s="187" t="s">
        <v>365</v>
      </c>
      <c r="BN6" s="187" t="s">
        <v>366</v>
      </c>
      <c r="BO6" s="187" t="s">
        <v>367</v>
      </c>
      <c r="BP6" s="187" t="s">
        <v>368</v>
      </c>
      <c r="BQ6" s="187" t="s">
        <v>369</v>
      </c>
      <c r="BR6" s="187" t="s">
        <v>370</v>
      </c>
      <c r="BS6" s="187" t="s">
        <v>371</v>
      </c>
      <c r="BT6" s="187" t="s">
        <v>372</v>
      </c>
      <c r="BU6" s="187" t="s">
        <v>353</v>
      </c>
      <c r="BV6" s="187" t="s">
        <v>373</v>
      </c>
    </row>
    <row r="7" spans="2:74" ht="14.4">
      <c r="B7" s="187" t="s">
        <v>1083</v>
      </c>
      <c r="C7" s="784">
        <v>4586</v>
      </c>
      <c r="D7" s="784">
        <v>3777</v>
      </c>
      <c r="E7" s="784">
        <v>5649</v>
      </c>
      <c r="F7" s="784">
        <v>527</v>
      </c>
      <c r="G7" s="784">
        <v>9424</v>
      </c>
      <c r="H7" s="784">
        <v>9286</v>
      </c>
      <c r="I7" s="784">
        <v>11429</v>
      </c>
      <c r="J7" s="784">
        <v>10484</v>
      </c>
      <c r="K7" s="784">
        <v>4812</v>
      </c>
      <c r="L7" s="784">
        <v>4650</v>
      </c>
      <c r="M7" s="784">
        <v>0</v>
      </c>
      <c r="N7" s="784">
        <v>5356</v>
      </c>
      <c r="O7" s="784">
        <v>871</v>
      </c>
      <c r="P7" s="784">
        <v>853</v>
      </c>
      <c r="Q7" s="784">
        <v>1718</v>
      </c>
      <c r="R7" s="784">
        <v>124</v>
      </c>
      <c r="S7" s="784">
        <v>4583</v>
      </c>
      <c r="T7" s="784">
        <v>943</v>
      </c>
      <c r="U7" s="784">
        <v>743</v>
      </c>
      <c r="V7" s="784">
        <v>860</v>
      </c>
      <c r="W7" s="784">
        <v>702</v>
      </c>
      <c r="X7" s="784">
        <v>1476</v>
      </c>
      <c r="Y7" s="784">
        <v>0</v>
      </c>
      <c r="Z7" s="784">
        <v>1601</v>
      </c>
      <c r="AA7" s="784">
        <v>635</v>
      </c>
      <c r="AB7" s="784">
        <v>389</v>
      </c>
      <c r="AC7" s="784">
        <v>384</v>
      </c>
      <c r="AD7" s="784">
        <v>40</v>
      </c>
      <c r="AE7" s="784">
        <v>2080</v>
      </c>
      <c r="AF7" s="784">
        <v>2731</v>
      </c>
      <c r="AG7" s="784">
        <v>3942</v>
      </c>
      <c r="AH7" s="784">
        <v>2207</v>
      </c>
      <c r="AI7" s="784">
        <v>1244</v>
      </c>
      <c r="AJ7" s="784">
        <v>2608</v>
      </c>
      <c r="AK7" s="784">
        <v>0</v>
      </c>
      <c r="AL7" s="784">
        <v>1123</v>
      </c>
      <c r="AM7" s="784">
        <v>553</v>
      </c>
      <c r="AN7" s="784">
        <v>321</v>
      </c>
      <c r="AO7" s="784">
        <v>257</v>
      </c>
      <c r="AP7" s="784">
        <v>0</v>
      </c>
      <c r="AQ7" s="784">
        <v>1430</v>
      </c>
      <c r="AR7" s="784">
        <v>3773</v>
      </c>
      <c r="AS7" s="784">
        <v>3804</v>
      </c>
      <c r="AT7" s="784">
        <v>1808</v>
      </c>
      <c r="AU7" s="784">
        <v>1702</v>
      </c>
      <c r="AV7" s="784">
        <v>3912</v>
      </c>
      <c r="AW7" s="784">
        <v>0</v>
      </c>
      <c r="AX7" s="784">
        <v>669</v>
      </c>
      <c r="AY7" s="784">
        <v>15</v>
      </c>
      <c r="AZ7" s="784">
        <v>11</v>
      </c>
      <c r="BA7" s="784">
        <v>10</v>
      </c>
      <c r="BB7" s="784">
        <v>0</v>
      </c>
      <c r="BC7" s="784">
        <v>32</v>
      </c>
      <c r="BD7" s="784">
        <v>14</v>
      </c>
      <c r="BE7" s="784">
        <v>161</v>
      </c>
      <c r="BF7" s="784">
        <v>119</v>
      </c>
      <c r="BG7" s="784">
        <v>438</v>
      </c>
      <c r="BH7" s="784">
        <v>241</v>
      </c>
      <c r="BI7" s="784">
        <v>0</v>
      </c>
      <c r="BJ7" s="784">
        <v>186</v>
      </c>
      <c r="BK7" s="784">
        <v>412</v>
      </c>
      <c r="BL7" s="784">
        <v>323</v>
      </c>
      <c r="BM7" s="784">
        <v>317</v>
      </c>
      <c r="BN7" s="784">
        <v>19</v>
      </c>
      <c r="BO7" s="784">
        <v>333</v>
      </c>
      <c r="BP7" s="784">
        <v>202</v>
      </c>
      <c r="BQ7" s="784">
        <v>96</v>
      </c>
      <c r="BR7" s="784">
        <v>585</v>
      </c>
      <c r="BS7" s="784">
        <v>510</v>
      </c>
      <c r="BT7" s="784">
        <v>642</v>
      </c>
      <c r="BU7" s="784">
        <v>0</v>
      </c>
      <c r="BV7" s="784">
        <v>849</v>
      </c>
    </row>
    <row r="8" spans="2:74" ht="14.4">
      <c r="B8" s="187" t="s">
        <v>1073</v>
      </c>
      <c r="C8" s="784">
        <v>3736</v>
      </c>
      <c r="D8" s="784">
        <v>3447</v>
      </c>
      <c r="E8" s="784">
        <v>6242</v>
      </c>
      <c r="F8" s="784">
        <v>701</v>
      </c>
      <c r="G8" s="784">
        <v>12391</v>
      </c>
      <c r="H8" s="784">
        <v>15703</v>
      </c>
      <c r="I8" s="784">
        <v>16122</v>
      </c>
      <c r="J8" s="784">
        <v>21199</v>
      </c>
      <c r="K8" s="784">
        <v>12808</v>
      </c>
      <c r="L8" s="784">
        <v>10390</v>
      </c>
      <c r="M8" s="784">
        <v>0</v>
      </c>
      <c r="N8" s="784">
        <v>8448</v>
      </c>
      <c r="O8" s="784">
        <v>383</v>
      </c>
      <c r="P8" s="784">
        <v>559</v>
      </c>
      <c r="Q8" s="784">
        <v>1481</v>
      </c>
      <c r="R8" s="784">
        <v>100</v>
      </c>
      <c r="S8" s="784">
        <v>6289</v>
      </c>
      <c r="T8" s="784">
        <v>3045</v>
      </c>
      <c r="U8" s="784">
        <v>2223</v>
      </c>
      <c r="V8" s="784">
        <v>3721</v>
      </c>
      <c r="W8" s="784">
        <v>2150</v>
      </c>
      <c r="X8" s="784">
        <v>2963</v>
      </c>
      <c r="Y8" s="784">
        <v>0</v>
      </c>
      <c r="Z8" s="784">
        <v>1614</v>
      </c>
      <c r="AA8" s="784">
        <v>146</v>
      </c>
      <c r="AB8" s="784">
        <v>137</v>
      </c>
      <c r="AC8" s="784">
        <v>201</v>
      </c>
      <c r="AD8" s="784">
        <v>46</v>
      </c>
      <c r="AE8" s="784">
        <v>4207</v>
      </c>
      <c r="AF8" s="784">
        <v>5875</v>
      </c>
      <c r="AG8" s="784">
        <v>8929</v>
      </c>
      <c r="AH8" s="784">
        <v>7932</v>
      </c>
      <c r="AI8" s="784">
        <v>4920</v>
      </c>
      <c r="AJ8" s="784">
        <v>4148</v>
      </c>
      <c r="AK8" s="784">
        <v>0</v>
      </c>
      <c r="AL8" s="784">
        <v>1090</v>
      </c>
      <c r="AM8" s="784">
        <v>50</v>
      </c>
      <c r="AN8" s="784">
        <v>36</v>
      </c>
      <c r="AO8" s="784">
        <v>66</v>
      </c>
      <c r="AP8" s="784">
        <v>32</v>
      </c>
      <c r="AQ8" s="784">
        <v>3773</v>
      </c>
      <c r="AR8" s="784">
        <v>10665</v>
      </c>
      <c r="AS8" s="784">
        <v>7221</v>
      </c>
      <c r="AT8" s="784">
        <v>3876</v>
      </c>
      <c r="AU8" s="784">
        <v>4558</v>
      </c>
      <c r="AV8" s="784">
        <v>13985</v>
      </c>
      <c r="AW8" s="784">
        <v>0</v>
      </c>
      <c r="AX8" s="784">
        <v>302</v>
      </c>
      <c r="AY8" s="784">
        <v>10</v>
      </c>
      <c r="AZ8" s="784">
        <v>13</v>
      </c>
      <c r="BA8" s="784">
        <v>4</v>
      </c>
      <c r="BB8" s="784">
        <v>0</v>
      </c>
      <c r="BC8" s="784">
        <v>92</v>
      </c>
      <c r="BD8" s="784">
        <v>179</v>
      </c>
      <c r="BE8" s="784">
        <v>119</v>
      </c>
      <c r="BF8" s="784">
        <v>199</v>
      </c>
      <c r="BG8" s="784">
        <v>460</v>
      </c>
      <c r="BH8" s="784">
        <v>699</v>
      </c>
      <c r="BI8" s="784">
        <v>0</v>
      </c>
      <c r="BJ8" s="784">
        <v>185</v>
      </c>
      <c r="BK8" s="784">
        <v>168</v>
      </c>
      <c r="BL8" s="784">
        <v>111</v>
      </c>
      <c r="BM8" s="784">
        <v>275</v>
      </c>
      <c r="BN8" s="784">
        <v>15</v>
      </c>
      <c r="BO8" s="784">
        <v>472</v>
      </c>
      <c r="BP8" s="784">
        <v>474</v>
      </c>
      <c r="BQ8" s="784">
        <v>463</v>
      </c>
      <c r="BR8" s="784">
        <v>1171</v>
      </c>
      <c r="BS8" s="784">
        <v>991</v>
      </c>
      <c r="BT8" s="784">
        <v>1284</v>
      </c>
      <c r="BU8" s="784">
        <v>0</v>
      </c>
      <c r="BV8" s="784">
        <v>1003</v>
      </c>
    </row>
    <row r="9" spans="2:74" ht="14.4">
      <c r="B9" s="187" t="s">
        <v>936</v>
      </c>
      <c r="C9" s="784">
        <v>900</v>
      </c>
      <c r="D9" s="784">
        <v>1957</v>
      </c>
      <c r="E9" s="784">
        <v>4207</v>
      </c>
      <c r="F9" s="784">
        <v>176</v>
      </c>
      <c r="G9" s="784">
        <v>2910</v>
      </c>
      <c r="H9" s="784">
        <v>2529</v>
      </c>
      <c r="I9" s="784">
        <v>3477</v>
      </c>
      <c r="J9" s="784">
        <v>4942</v>
      </c>
      <c r="K9" s="784">
        <v>2866</v>
      </c>
      <c r="L9" s="784">
        <v>1433</v>
      </c>
      <c r="M9" s="784">
        <v>0</v>
      </c>
      <c r="N9" s="784">
        <v>386</v>
      </c>
      <c r="O9" s="784">
        <v>627</v>
      </c>
      <c r="P9" s="784">
        <v>1174</v>
      </c>
      <c r="Q9" s="784">
        <v>4034</v>
      </c>
      <c r="R9" s="784">
        <v>247</v>
      </c>
      <c r="S9" s="784">
        <v>5192</v>
      </c>
      <c r="T9" s="784">
        <v>1685</v>
      </c>
      <c r="U9" s="784">
        <v>1873</v>
      </c>
      <c r="V9" s="784">
        <v>1903</v>
      </c>
      <c r="W9" s="784">
        <v>995</v>
      </c>
      <c r="X9" s="784">
        <v>1107</v>
      </c>
      <c r="Y9" s="784">
        <v>0</v>
      </c>
      <c r="Z9" s="784">
        <v>241</v>
      </c>
      <c r="AA9" s="784">
        <v>1401</v>
      </c>
      <c r="AB9" s="784">
        <v>1015</v>
      </c>
      <c r="AC9" s="784">
        <v>2182</v>
      </c>
      <c r="AD9" s="784">
        <v>85</v>
      </c>
      <c r="AE9" s="784">
        <v>4485</v>
      </c>
      <c r="AF9" s="784">
        <v>3536</v>
      </c>
      <c r="AG9" s="784">
        <v>4375</v>
      </c>
      <c r="AH9" s="784">
        <v>7695</v>
      </c>
      <c r="AI9" s="784">
        <v>2837</v>
      </c>
      <c r="AJ9" s="784">
        <v>1810</v>
      </c>
      <c r="AK9" s="784">
        <v>0</v>
      </c>
      <c r="AL9" s="784">
        <v>338</v>
      </c>
      <c r="AM9" s="784">
        <v>28427</v>
      </c>
      <c r="AN9" s="784">
        <v>9260</v>
      </c>
      <c r="AO9" s="784">
        <v>36638</v>
      </c>
      <c r="AP9" s="784">
        <v>1453</v>
      </c>
      <c r="AQ9" s="784">
        <v>36138</v>
      </c>
      <c r="AR9" s="784">
        <v>23428</v>
      </c>
      <c r="AS9" s="784">
        <v>27528</v>
      </c>
      <c r="AT9" s="784">
        <v>20582</v>
      </c>
      <c r="AU9" s="784">
        <v>18039</v>
      </c>
      <c r="AV9" s="784">
        <v>22376</v>
      </c>
      <c r="AW9" s="784">
        <v>0</v>
      </c>
      <c r="AX9" s="784">
        <v>649</v>
      </c>
      <c r="AY9" s="784">
        <v>219</v>
      </c>
      <c r="AZ9" s="784">
        <v>42</v>
      </c>
      <c r="BA9" s="784">
        <v>33</v>
      </c>
      <c r="BB9" s="784">
        <v>0</v>
      </c>
      <c r="BC9" s="784">
        <v>400</v>
      </c>
      <c r="BD9" s="784">
        <v>448</v>
      </c>
      <c r="BE9" s="784">
        <v>504</v>
      </c>
      <c r="BF9" s="784">
        <v>323</v>
      </c>
      <c r="BG9" s="784">
        <v>463</v>
      </c>
      <c r="BH9" s="784">
        <v>1783</v>
      </c>
      <c r="BI9" s="784">
        <v>0</v>
      </c>
      <c r="BJ9" s="784">
        <v>18</v>
      </c>
      <c r="BK9" s="784">
        <v>450</v>
      </c>
      <c r="BL9" s="784">
        <v>145</v>
      </c>
      <c r="BM9" s="784">
        <v>372</v>
      </c>
      <c r="BN9" s="784">
        <v>7</v>
      </c>
      <c r="BO9" s="784">
        <v>574</v>
      </c>
      <c r="BP9" s="784">
        <v>506</v>
      </c>
      <c r="BQ9" s="784">
        <v>535</v>
      </c>
      <c r="BR9" s="784">
        <v>544</v>
      </c>
      <c r="BS9" s="784">
        <v>778</v>
      </c>
      <c r="BT9" s="784">
        <v>146</v>
      </c>
      <c r="BU9" s="784">
        <v>0</v>
      </c>
      <c r="BV9" s="784">
        <v>109</v>
      </c>
    </row>
    <row r="10" spans="2:74" ht="14.4">
      <c r="B10" s="187" t="s">
        <v>1085</v>
      </c>
      <c r="C10" s="784">
        <v>3377</v>
      </c>
      <c r="D10" s="784">
        <v>2775</v>
      </c>
      <c r="E10" s="784">
        <v>4025</v>
      </c>
      <c r="F10" s="784">
        <v>645</v>
      </c>
      <c r="G10" s="784">
        <v>10308</v>
      </c>
      <c r="H10" s="784">
        <v>8164</v>
      </c>
      <c r="I10" s="784">
        <v>14520</v>
      </c>
      <c r="J10" s="784">
        <v>8626</v>
      </c>
      <c r="K10" s="784">
        <v>3835</v>
      </c>
      <c r="L10" s="784">
        <v>3132</v>
      </c>
      <c r="M10" s="784">
        <v>0</v>
      </c>
      <c r="N10" s="784">
        <v>10450</v>
      </c>
      <c r="O10" s="784">
        <v>152</v>
      </c>
      <c r="P10" s="784">
        <v>228</v>
      </c>
      <c r="Q10" s="784">
        <v>241</v>
      </c>
      <c r="R10" s="784">
        <v>30</v>
      </c>
      <c r="S10" s="784">
        <v>872</v>
      </c>
      <c r="T10" s="784">
        <v>276</v>
      </c>
      <c r="U10" s="784">
        <v>727</v>
      </c>
      <c r="V10" s="784">
        <v>807</v>
      </c>
      <c r="W10" s="784">
        <v>993</v>
      </c>
      <c r="X10" s="784">
        <v>1013</v>
      </c>
      <c r="Y10" s="784">
        <v>0</v>
      </c>
      <c r="Z10" s="784">
        <v>758</v>
      </c>
      <c r="AA10" s="784">
        <v>295</v>
      </c>
      <c r="AB10" s="784">
        <v>146</v>
      </c>
      <c r="AC10" s="784">
        <v>93</v>
      </c>
      <c r="AD10" s="784">
        <v>12</v>
      </c>
      <c r="AE10" s="784">
        <v>668</v>
      </c>
      <c r="AF10" s="784">
        <v>535</v>
      </c>
      <c r="AG10" s="784">
        <v>1668</v>
      </c>
      <c r="AH10" s="784">
        <v>770</v>
      </c>
      <c r="AI10" s="784">
        <v>1250</v>
      </c>
      <c r="AJ10" s="784">
        <v>1296</v>
      </c>
      <c r="AK10" s="784">
        <v>0</v>
      </c>
      <c r="AL10" s="784">
        <v>671</v>
      </c>
      <c r="AM10" s="784">
        <v>130</v>
      </c>
      <c r="AN10" s="784">
        <v>233</v>
      </c>
      <c r="AO10" s="784">
        <v>88</v>
      </c>
      <c r="AP10" s="784">
        <v>18</v>
      </c>
      <c r="AQ10" s="784">
        <v>732</v>
      </c>
      <c r="AR10" s="784">
        <v>1640</v>
      </c>
      <c r="AS10" s="784">
        <v>2372</v>
      </c>
      <c r="AT10" s="784">
        <v>473</v>
      </c>
      <c r="AU10" s="784">
        <v>690</v>
      </c>
      <c r="AV10" s="784">
        <v>1922</v>
      </c>
      <c r="AW10" s="784">
        <v>0</v>
      </c>
      <c r="AX10" s="784">
        <v>235</v>
      </c>
      <c r="AY10" s="784">
        <v>9</v>
      </c>
      <c r="AZ10" s="784">
        <v>31</v>
      </c>
      <c r="BA10" s="784">
        <v>7</v>
      </c>
      <c r="BB10" s="784">
        <v>0</v>
      </c>
      <c r="BC10" s="784">
        <v>9</v>
      </c>
      <c r="BD10" s="784">
        <v>22</v>
      </c>
      <c r="BE10" s="784">
        <v>38</v>
      </c>
      <c r="BF10" s="784">
        <v>222</v>
      </c>
      <c r="BG10" s="784">
        <v>367</v>
      </c>
      <c r="BH10" s="784">
        <v>431</v>
      </c>
      <c r="BI10" s="784">
        <v>0</v>
      </c>
      <c r="BJ10" s="784">
        <v>269</v>
      </c>
      <c r="BK10" s="784">
        <v>248</v>
      </c>
      <c r="BL10" s="784">
        <v>101</v>
      </c>
      <c r="BM10" s="784">
        <v>153</v>
      </c>
      <c r="BN10" s="784">
        <v>7</v>
      </c>
      <c r="BO10" s="784">
        <v>426</v>
      </c>
      <c r="BP10" s="784">
        <v>152</v>
      </c>
      <c r="BQ10" s="784">
        <v>113</v>
      </c>
      <c r="BR10" s="784">
        <v>306</v>
      </c>
      <c r="BS10" s="784">
        <v>553</v>
      </c>
      <c r="BT10" s="784">
        <v>452</v>
      </c>
      <c r="BU10" s="784">
        <v>0</v>
      </c>
      <c r="BV10" s="784">
        <v>953</v>
      </c>
    </row>
    <row r="11" spans="2:74" ht="14.4">
      <c r="B11" s="187" t="s">
        <v>1086</v>
      </c>
      <c r="C11" s="784">
        <v>3249</v>
      </c>
      <c r="D11" s="784">
        <v>2234</v>
      </c>
      <c r="E11" s="784">
        <v>4097</v>
      </c>
      <c r="F11" s="784">
        <v>742</v>
      </c>
      <c r="G11" s="784">
        <v>9726</v>
      </c>
      <c r="H11" s="784">
        <v>7932</v>
      </c>
      <c r="I11" s="784">
        <v>11298</v>
      </c>
      <c r="J11" s="784">
        <v>9426</v>
      </c>
      <c r="K11" s="784">
        <v>4295</v>
      </c>
      <c r="L11" s="784">
        <v>3036</v>
      </c>
      <c r="M11" s="784">
        <v>0</v>
      </c>
      <c r="N11" s="784">
        <v>12220</v>
      </c>
      <c r="O11" s="784">
        <v>227</v>
      </c>
      <c r="P11" s="784">
        <v>264</v>
      </c>
      <c r="Q11" s="784">
        <v>520</v>
      </c>
      <c r="R11" s="784">
        <v>50</v>
      </c>
      <c r="S11" s="784">
        <v>1374</v>
      </c>
      <c r="T11" s="784">
        <v>408</v>
      </c>
      <c r="U11" s="784">
        <v>733</v>
      </c>
      <c r="V11" s="784">
        <v>1112</v>
      </c>
      <c r="W11" s="784">
        <v>987</v>
      </c>
      <c r="X11" s="784">
        <v>1040</v>
      </c>
      <c r="Y11" s="784">
        <v>0</v>
      </c>
      <c r="Z11" s="784">
        <v>1761</v>
      </c>
      <c r="AA11" s="784">
        <v>78</v>
      </c>
      <c r="AB11" s="784">
        <v>118</v>
      </c>
      <c r="AC11" s="784">
        <v>144</v>
      </c>
      <c r="AD11" s="784">
        <v>14</v>
      </c>
      <c r="AE11" s="784">
        <v>446</v>
      </c>
      <c r="AF11" s="784">
        <v>722</v>
      </c>
      <c r="AG11" s="784">
        <v>1001</v>
      </c>
      <c r="AH11" s="784">
        <v>728</v>
      </c>
      <c r="AI11" s="784">
        <v>1158</v>
      </c>
      <c r="AJ11" s="784">
        <v>1307</v>
      </c>
      <c r="AK11" s="784">
        <v>0</v>
      </c>
      <c r="AL11" s="784">
        <v>597</v>
      </c>
      <c r="AM11" s="784">
        <v>55</v>
      </c>
      <c r="AN11" s="784">
        <v>137</v>
      </c>
      <c r="AO11" s="784">
        <v>65</v>
      </c>
      <c r="AP11" s="784">
        <v>39</v>
      </c>
      <c r="AQ11" s="784">
        <v>536</v>
      </c>
      <c r="AR11" s="784">
        <v>779</v>
      </c>
      <c r="AS11" s="784">
        <v>1164</v>
      </c>
      <c r="AT11" s="784">
        <v>540</v>
      </c>
      <c r="AU11" s="784">
        <v>529</v>
      </c>
      <c r="AV11" s="784">
        <v>1545</v>
      </c>
      <c r="AW11" s="784">
        <v>0</v>
      </c>
      <c r="AX11" s="784">
        <v>494</v>
      </c>
      <c r="AY11" s="784">
        <v>0</v>
      </c>
      <c r="AZ11" s="784">
        <v>0</v>
      </c>
      <c r="BA11" s="784">
        <v>10</v>
      </c>
      <c r="BB11" s="784">
        <v>7</v>
      </c>
      <c r="BC11" s="784">
        <v>36</v>
      </c>
      <c r="BD11" s="784">
        <v>137</v>
      </c>
      <c r="BE11" s="784">
        <v>268</v>
      </c>
      <c r="BF11" s="784">
        <v>190</v>
      </c>
      <c r="BG11" s="784">
        <v>940</v>
      </c>
      <c r="BH11" s="784">
        <v>411</v>
      </c>
      <c r="BI11" s="784">
        <v>0</v>
      </c>
      <c r="BJ11" s="784">
        <v>85</v>
      </c>
      <c r="BK11" s="784">
        <v>79</v>
      </c>
      <c r="BL11" s="784">
        <v>93</v>
      </c>
      <c r="BM11" s="784">
        <v>119</v>
      </c>
      <c r="BN11" s="784">
        <v>12</v>
      </c>
      <c r="BO11" s="784">
        <v>254</v>
      </c>
      <c r="BP11" s="784">
        <v>138</v>
      </c>
      <c r="BQ11" s="784">
        <v>77</v>
      </c>
      <c r="BR11" s="784">
        <v>221</v>
      </c>
      <c r="BS11" s="784">
        <v>381</v>
      </c>
      <c r="BT11" s="784">
        <v>256</v>
      </c>
      <c r="BU11" s="784">
        <v>0</v>
      </c>
      <c r="BV11" s="784">
        <v>808</v>
      </c>
    </row>
    <row r="12" spans="2:74" ht="14.4">
      <c r="B12" s="187" t="s">
        <v>1084</v>
      </c>
      <c r="C12" s="784">
        <v>3725</v>
      </c>
      <c r="D12" s="784">
        <v>3216</v>
      </c>
      <c r="E12" s="784">
        <v>4706</v>
      </c>
      <c r="F12" s="784">
        <v>541</v>
      </c>
      <c r="G12" s="784">
        <v>9332</v>
      </c>
      <c r="H12" s="784">
        <v>8219</v>
      </c>
      <c r="I12" s="784">
        <v>10811</v>
      </c>
      <c r="J12" s="784">
        <v>11215</v>
      </c>
      <c r="K12" s="784">
        <v>5702</v>
      </c>
      <c r="L12" s="784">
        <v>4744</v>
      </c>
      <c r="M12" s="784">
        <v>0</v>
      </c>
      <c r="N12" s="784">
        <v>9222</v>
      </c>
      <c r="O12" s="784">
        <v>708</v>
      </c>
      <c r="P12" s="784">
        <v>735</v>
      </c>
      <c r="Q12" s="784">
        <v>1300</v>
      </c>
      <c r="R12" s="784">
        <v>53</v>
      </c>
      <c r="S12" s="784">
        <v>2475</v>
      </c>
      <c r="T12" s="784">
        <v>725</v>
      </c>
      <c r="U12" s="784">
        <v>1346</v>
      </c>
      <c r="V12" s="784">
        <v>1643</v>
      </c>
      <c r="W12" s="784">
        <v>1043</v>
      </c>
      <c r="X12" s="784">
        <v>1376</v>
      </c>
      <c r="Y12" s="784">
        <v>0</v>
      </c>
      <c r="Z12" s="784">
        <v>1391</v>
      </c>
      <c r="AA12" s="784">
        <v>434</v>
      </c>
      <c r="AB12" s="784">
        <v>383</v>
      </c>
      <c r="AC12" s="784">
        <v>442</v>
      </c>
      <c r="AD12" s="784">
        <v>30</v>
      </c>
      <c r="AE12" s="784">
        <v>1335</v>
      </c>
      <c r="AF12" s="784">
        <v>748</v>
      </c>
      <c r="AG12" s="784">
        <v>2620</v>
      </c>
      <c r="AH12" s="784">
        <v>2377</v>
      </c>
      <c r="AI12" s="784">
        <v>1787</v>
      </c>
      <c r="AJ12" s="784">
        <v>2075</v>
      </c>
      <c r="AK12" s="784">
        <v>0</v>
      </c>
      <c r="AL12" s="784">
        <v>742</v>
      </c>
      <c r="AM12" s="784">
        <v>457</v>
      </c>
      <c r="AN12" s="784">
        <v>257</v>
      </c>
      <c r="AO12" s="784">
        <v>338</v>
      </c>
      <c r="AP12" s="784">
        <v>0</v>
      </c>
      <c r="AQ12" s="784">
        <v>1609</v>
      </c>
      <c r="AR12" s="784">
        <v>3131</v>
      </c>
      <c r="AS12" s="784">
        <v>5194</v>
      </c>
      <c r="AT12" s="784">
        <v>1138</v>
      </c>
      <c r="AU12" s="784">
        <v>1821</v>
      </c>
      <c r="AV12" s="784">
        <v>4425</v>
      </c>
      <c r="AW12" s="784">
        <v>0</v>
      </c>
      <c r="AX12" s="784">
        <v>194</v>
      </c>
      <c r="AY12" s="784">
        <v>8</v>
      </c>
      <c r="AZ12" s="784">
        <v>30</v>
      </c>
      <c r="BA12" s="784">
        <v>0</v>
      </c>
      <c r="BB12" s="784">
        <v>0</v>
      </c>
      <c r="BC12" s="784">
        <v>44</v>
      </c>
      <c r="BD12" s="784">
        <v>87</v>
      </c>
      <c r="BE12" s="784">
        <v>315</v>
      </c>
      <c r="BF12" s="784">
        <v>198</v>
      </c>
      <c r="BG12" s="784">
        <v>429</v>
      </c>
      <c r="BH12" s="784">
        <v>695</v>
      </c>
      <c r="BI12" s="784">
        <v>0</v>
      </c>
      <c r="BJ12" s="784">
        <v>120</v>
      </c>
      <c r="BK12" s="784">
        <v>240</v>
      </c>
      <c r="BL12" s="784">
        <v>144</v>
      </c>
      <c r="BM12" s="784">
        <v>151</v>
      </c>
      <c r="BN12" s="784">
        <v>8</v>
      </c>
      <c r="BO12" s="784">
        <v>241</v>
      </c>
      <c r="BP12" s="784">
        <v>162</v>
      </c>
      <c r="BQ12" s="784">
        <v>144</v>
      </c>
      <c r="BR12" s="784">
        <v>430</v>
      </c>
      <c r="BS12" s="784">
        <v>622</v>
      </c>
      <c r="BT12" s="784">
        <v>612</v>
      </c>
      <c r="BU12" s="784">
        <v>0</v>
      </c>
      <c r="BV12" s="784">
        <v>766</v>
      </c>
    </row>
    <row r="13" spans="2:74" ht="14.4">
      <c r="B13" s="187" t="s">
        <v>1087</v>
      </c>
      <c r="C13" s="784">
        <v>4455</v>
      </c>
      <c r="D13" s="784">
        <v>2914</v>
      </c>
      <c r="E13" s="784">
        <v>4477</v>
      </c>
      <c r="F13" s="784">
        <v>304</v>
      </c>
      <c r="G13" s="784">
        <v>7784</v>
      </c>
      <c r="H13" s="784">
        <v>8958</v>
      </c>
      <c r="I13" s="784">
        <v>8598</v>
      </c>
      <c r="J13" s="784">
        <v>8475</v>
      </c>
      <c r="K13" s="784">
        <v>4765</v>
      </c>
      <c r="L13" s="784">
        <v>4067</v>
      </c>
      <c r="M13" s="784">
        <v>0</v>
      </c>
      <c r="N13" s="784">
        <v>5653</v>
      </c>
      <c r="O13" s="784">
        <v>462</v>
      </c>
      <c r="P13" s="784">
        <v>716</v>
      </c>
      <c r="Q13" s="784">
        <v>1027</v>
      </c>
      <c r="R13" s="784">
        <v>21</v>
      </c>
      <c r="S13" s="784">
        <v>2091</v>
      </c>
      <c r="T13" s="784">
        <v>478</v>
      </c>
      <c r="U13" s="784">
        <v>629</v>
      </c>
      <c r="V13" s="784">
        <v>921</v>
      </c>
      <c r="W13" s="784">
        <v>1245</v>
      </c>
      <c r="X13" s="784">
        <v>1256</v>
      </c>
      <c r="Y13" s="784">
        <v>0</v>
      </c>
      <c r="Z13" s="784">
        <v>1795</v>
      </c>
      <c r="AA13" s="784">
        <v>298</v>
      </c>
      <c r="AB13" s="784">
        <v>376</v>
      </c>
      <c r="AC13" s="784">
        <v>374</v>
      </c>
      <c r="AD13" s="784">
        <v>22</v>
      </c>
      <c r="AE13" s="784">
        <v>1932</v>
      </c>
      <c r="AF13" s="784">
        <v>1450</v>
      </c>
      <c r="AG13" s="784">
        <v>2512</v>
      </c>
      <c r="AH13" s="784">
        <v>2838</v>
      </c>
      <c r="AI13" s="784">
        <v>1913</v>
      </c>
      <c r="AJ13" s="784">
        <v>1882</v>
      </c>
      <c r="AK13" s="784">
        <v>0</v>
      </c>
      <c r="AL13" s="784">
        <v>1315</v>
      </c>
      <c r="AM13" s="784">
        <v>252</v>
      </c>
      <c r="AN13" s="784">
        <v>176</v>
      </c>
      <c r="AO13" s="784">
        <v>122</v>
      </c>
      <c r="AP13" s="784">
        <v>0</v>
      </c>
      <c r="AQ13" s="784">
        <v>767</v>
      </c>
      <c r="AR13" s="784">
        <v>1656</v>
      </c>
      <c r="AS13" s="784">
        <v>3163</v>
      </c>
      <c r="AT13" s="784">
        <v>1529</v>
      </c>
      <c r="AU13" s="784">
        <v>1332</v>
      </c>
      <c r="AV13" s="784">
        <v>3560</v>
      </c>
      <c r="AW13" s="784">
        <v>0</v>
      </c>
      <c r="AX13" s="784">
        <v>695</v>
      </c>
      <c r="AY13" s="784">
        <v>0</v>
      </c>
      <c r="AZ13" s="784">
        <v>7</v>
      </c>
      <c r="BA13" s="784">
        <v>0</v>
      </c>
      <c r="BB13" s="784">
        <v>0</v>
      </c>
      <c r="BC13" s="784">
        <v>40</v>
      </c>
      <c r="BD13" s="784">
        <v>82</v>
      </c>
      <c r="BE13" s="784">
        <v>86</v>
      </c>
      <c r="BF13" s="784">
        <v>198</v>
      </c>
      <c r="BG13" s="784">
        <v>587</v>
      </c>
      <c r="BH13" s="784">
        <v>799</v>
      </c>
      <c r="BI13" s="784">
        <v>0</v>
      </c>
      <c r="BJ13" s="784">
        <v>272</v>
      </c>
      <c r="BK13" s="784">
        <v>319</v>
      </c>
      <c r="BL13" s="784">
        <v>268</v>
      </c>
      <c r="BM13" s="784">
        <v>205</v>
      </c>
      <c r="BN13" s="784">
        <v>8</v>
      </c>
      <c r="BO13" s="784">
        <v>218</v>
      </c>
      <c r="BP13" s="784">
        <v>204</v>
      </c>
      <c r="BQ13" s="784">
        <v>200</v>
      </c>
      <c r="BR13" s="784">
        <v>492</v>
      </c>
      <c r="BS13" s="784">
        <v>298</v>
      </c>
      <c r="BT13" s="784">
        <v>531</v>
      </c>
      <c r="BU13" s="784">
        <v>0</v>
      </c>
      <c r="BV13" s="784">
        <v>1095</v>
      </c>
    </row>
    <row r="14" spans="2:74" ht="14.4">
      <c r="B14" s="187" t="s">
        <v>1088</v>
      </c>
      <c r="C14" s="784">
        <v>4238</v>
      </c>
      <c r="D14" s="784">
        <v>3007</v>
      </c>
      <c r="E14" s="784">
        <v>3674</v>
      </c>
      <c r="F14" s="784">
        <v>406</v>
      </c>
      <c r="G14" s="784">
        <v>7876</v>
      </c>
      <c r="H14" s="784">
        <v>6661</v>
      </c>
      <c r="I14" s="784">
        <v>7843</v>
      </c>
      <c r="J14" s="784">
        <v>7316</v>
      </c>
      <c r="K14" s="784">
        <v>3259</v>
      </c>
      <c r="L14" s="784">
        <v>2656</v>
      </c>
      <c r="M14" s="784">
        <v>0</v>
      </c>
      <c r="N14" s="784">
        <v>8158</v>
      </c>
      <c r="O14" s="784">
        <v>328</v>
      </c>
      <c r="P14" s="784">
        <v>453</v>
      </c>
      <c r="Q14" s="784">
        <v>364</v>
      </c>
      <c r="R14" s="784">
        <v>42</v>
      </c>
      <c r="S14" s="784">
        <v>1145</v>
      </c>
      <c r="T14" s="784">
        <v>323</v>
      </c>
      <c r="U14" s="784">
        <v>396</v>
      </c>
      <c r="V14" s="784">
        <v>737</v>
      </c>
      <c r="W14" s="784">
        <v>641</v>
      </c>
      <c r="X14" s="784">
        <v>679</v>
      </c>
      <c r="Y14" s="784">
        <v>0</v>
      </c>
      <c r="Z14" s="784">
        <v>973</v>
      </c>
      <c r="AA14" s="784">
        <v>140</v>
      </c>
      <c r="AB14" s="784">
        <v>275</v>
      </c>
      <c r="AC14" s="784">
        <v>65</v>
      </c>
      <c r="AD14" s="784">
        <v>7</v>
      </c>
      <c r="AE14" s="784">
        <v>1230</v>
      </c>
      <c r="AF14" s="784">
        <v>1116</v>
      </c>
      <c r="AG14" s="784">
        <v>1891</v>
      </c>
      <c r="AH14" s="784">
        <v>964</v>
      </c>
      <c r="AI14" s="784">
        <v>863</v>
      </c>
      <c r="AJ14" s="784">
        <v>1155</v>
      </c>
      <c r="AK14" s="784">
        <v>0</v>
      </c>
      <c r="AL14" s="784">
        <v>508</v>
      </c>
      <c r="AM14" s="784">
        <v>107</v>
      </c>
      <c r="AN14" s="784">
        <v>201</v>
      </c>
      <c r="AO14" s="784">
        <v>50</v>
      </c>
      <c r="AP14" s="784">
        <v>0</v>
      </c>
      <c r="AQ14" s="784">
        <v>1323</v>
      </c>
      <c r="AR14" s="784">
        <v>2080</v>
      </c>
      <c r="AS14" s="784">
        <v>2178</v>
      </c>
      <c r="AT14" s="784">
        <v>461</v>
      </c>
      <c r="AU14" s="784">
        <v>857</v>
      </c>
      <c r="AV14" s="784">
        <v>1333</v>
      </c>
      <c r="AW14" s="784">
        <v>0</v>
      </c>
      <c r="AX14" s="784">
        <v>610</v>
      </c>
      <c r="AY14" s="784">
        <v>24</v>
      </c>
      <c r="AZ14" s="784">
        <v>22</v>
      </c>
      <c r="BA14" s="784">
        <v>15</v>
      </c>
      <c r="BB14" s="784">
        <v>0</v>
      </c>
      <c r="BC14" s="784">
        <v>81</v>
      </c>
      <c r="BD14" s="784">
        <v>61</v>
      </c>
      <c r="BE14" s="784">
        <v>40</v>
      </c>
      <c r="BF14" s="784">
        <v>364</v>
      </c>
      <c r="BG14" s="784">
        <v>661</v>
      </c>
      <c r="BH14" s="784">
        <v>253</v>
      </c>
      <c r="BI14" s="784">
        <v>0</v>
      </c>
      <c r="BJ14" s="784">
        <v>194</v>
      </c>
      <c r="BK14" s="784">
        <v>151</v>
      </c>
      <c r="BL14" s="784">
        <v>149</v>
      </c>
      <c r="BM14" s="784">
        <v>109</v>
      </c>
      <c r="BN14" s="784">
        <v>11</v>
      </c>
      <c r="BO14" s="784">
        <v>136</v>
      </c>
      <c r="BP14" s="784">
        <v>70</v>
      </c>
      <c r="BQ14" s="784">
        <v>65</v>
      </c>
      <c r="BR14" s="784">
        <v>247</v>
      </c>
      <c r="BS14" s="784">
        <v>566</v>
      </c>
      <c r="BT14" s="784">
        <v>314</v>
      </c>
      <c r="BU14" s="784">
        <v>0</v>
      </c>
      <c r="BV14" s="784">
        <v>863</v>
      </c>
    </row>
    <row r="15" spans="2:74" ht="14.4">
      <c r="B15" s="187" t="s">
        <v>1089</v>
      </c>
      <c r="C15" s="784">
        <v>4614</v>
      </c>
      <c r="D15" s="784">
        <v>1177</v>
      </c>
      <c r="E15" s="784">
        <v>1549</v>
      </c>
      <c r="F15" s="784">
        <v>174</v>
      </c>
      <c r="G15" s="784">
        <v>4181</v>
      </c>
      <c r="H15" s="784">
        <v>4301</v>
      </c>
      <c r="I15" s="784">
        <v>6296</v>
      </c>
      <c r="J15" s="784">
        <v>5349</v>
      </c>
      <c r="K15" s="784">
        <v>3260</v>
      </c>
      <c r="L15" s="784">
        <v>3233</v>
      </c>
      <c r="M15" s="784">
        <v>0</v>
      </c>
      <c r="N15" s="784">
        <v>5086</v>
      </c>
      <c r="O15" s="784">
        <v>145</v>
      </c>
      <c r="P15" s="784">
        <v>44</v>
      </c>
      <c r="Q15" s="784">
        <v>78</v>
      </c>
      <c r="R15" s="784">
        <v>8</v>
      </c>
      <c r="S15" s="784">
        <v>247</v>
      </c>
      <c r="T15" s="784">
        <v>95</v>
      </c>
      <c r="U15" s="784">
        <v>262</v>
      </c>
      <c r="V15" s="784">
        <v>579</v>
      </c>
      <c r="W15" s="784">
        <v>395</v>
      </c>
      <c r="X15" s="784">
        <v>524</v>
      </c>
      <c r="Y15" s="784">
        <v>0</v>
      </c>
      <c r="Z15" s="784">
        <v>362</v>
      </c>
      <c r="AA15" s="784">
        <v>141</v>
      </c>
      <c r="AB15" s="784">
        <v>18</v>
      </c>
      <c r="AC15" s="784">
        <v>38</v>
      </c>
      <c r="AD15" s="784">
        <v>3</v>
      </c>
      <c r="AE15" s="784">
        <v>143</v>
      </c>
      <c r="AF15" s="784">
        <v>124</v>
      </c>
      <c r="AG15" s="784">
        <v>878</v>
      </c>
      <c r="AH15" s="784">
        <v>602</v>
      </c>
      <c r="AI15" s="784">
        <v>483</v>
      </c>
      <c r="AJ15" s="784">
        <v>885</v>
      </c>
      <c r="AK15" s="784">
        <v>0</v>
      </c>
      <c r="AL15" s="784">
        <v>400</v>
      </c>
      <c r="AM15" s="784">
        <v>77</v>
      </c>
      <c r="AN15" s="784">
        <v>5</v>
      </c>
      <c r="AO15" s="784">
        <v>0</v>
      </c>
      <c r="AP15" s="784">
        <v>0</v>
      </c>
      <c r="AQ15" s="784">
        <v>69</v>
      </c>
      <c r="AR15" s="784">
        <v>210</v>
      </c>
      <c r="AS15" s="784">
        <v>567</v>
      </c>
      <c r="AT15" s="784">
        <v>489</v>
      </c>
      <c r="AU15" s="784">
        <v>277</v>
      </c>
      <c r="AV15" s="784">
        <v>899</v>
      </c>
      <c r="AW15" s="784">
        <v>0</v>
      </c>
      <c r="AX15" s="784">
        <v>211</v>
      </c>
      <c r="AY15" s="784">
        <v>15</v>
      </c>
      <c r="AZ15" s="784">
        <v>102</v>
      </c>
      <c r="BA15" s="784">
        <v>0</v>
      </c>
      <c r="BB15" s="784">
        <v>0</v>
      </c>
      <c r="BC15" s="784">
        <v>0</v>
      </c>
      <c r="BD15" s="784">
        <v>20</v>
      </c>
      <c r="BE15" s="784">
        <v>114</v>
      </c>
      <c r="BF15" s="784">
        <v>91</v>
      </c>
      <c r="BG15" s="784">
        <v>311</v>
      </c>
      <c r="BH15" s="784">
        <v>80</v>
      </c>
      <c r="BI15" s="784">
        <v>0</v>
      </c>
      <c r="BJ15" s="784">
        <v>497</v>
      </c>
      <c r="BK15" s="784">
        <v>183</v>
      </c>
      <c r="BL15" s="784">
        <v>51</v>
      </c>
      <c r="BM15" s="784">
        <v>12</v>
      </c>
      <c r="BN15" s="784">
        <v>14</v>
      </c>
      <c r="BO15" s="784">
        <v>35</v>
      </c>
      <c r="BP15" s="784">
        <v>44</v>
      </c>
      <c r="BQ15" s="784">
        <v>70</v>
      </c>
      <c r="BR15" s="784">
        <v>258</v>
      </c>
      <c r="BS15" s="784">
        <v>228</v>
      </c>
      <c r="BT15" s="784">
        <v>385</v>
      </c>
      <c r="BU15" s="784">
        <v>0</v>
      </c>
      <c r="BV15" s="784">
        <v>445</v>
      </c>
    </row>
    <row r="16" spans="2:74" ht="14.4">
      <c r="B16" s="187" t="s">
        <v>1090</v>
      </c>
      <c r="C16" s="784">
        <v>2830</v>
      </c>
      <c r="D16" s="784">
        <v>1288</v>
      </c>
      <c r="E16" s="784">
        <v>2124</v>
      </c>
      <c r="F16" s="784">
        <v>205</v>
      </c>
      <c r="G16" s="784">
        <v>4833</v>
      </c>
      <c r="H16" s="784">
        <v>6728</v>
      </c>
      <c r="I16" s="784">
        <v>7287</v>
      </c>
      <c r="J16" s="784">
        <v>6469</v>
      </c>
      <c r="K16" s="784">
        <v>4478</v>
      </c>
      <c r="L16" s="784">
        <v>3767</v>
      </c>
      <c r="M16" s="784">
        <v>0</v>
      </c>
      <c r="N16" s="784">
        <v>5408</v>
      </c>
      <c r="O16" s="784">
        <v>204</v>
      </c>
      <c r="P16" s="784">
        <v>136</v>
      </c>
      <c r="Q16" s="784">
        <v>487</v>
      </c>
      <c r="R16" s="784">
        <v>18</v>
      </c>
      <c r="S16" s="784">
        <v>1067</v>
      </c>
      <c r="T16" s="784">
        <v>437</v>
      </c>
      <c r="U16" s="784">
        <v>748</v>
      </c>
      <c r="V16" s="784">
        <v>862</v>
      </c>
      <c r="W16" s="784">
        <v>798</v>
      </c>
      <c r="X16" s="784">
        <v>1010</v>
      </c>
      <c r="Y16" s="784">
        <v>0</v>
      </c>
      <c r="Z16" s="784">
        <v>774</v>
      </c>
      <c r="AA16" s="784">
        <v>181</v>
      </c>
      <c r="AB16" s="784">
        <v>87</v>
      </c>
      <c r="AC16" s="784">
        <v>531</v>
      </c>
      <c r="AD16" s="784">
        <v>18</v>
      </c>
      <c r="AE16" s="784">
        <v>1404</v>
      </c>
      <c r="AF16" s="784">
        <v>1428</v>
      </c>
      <c r="AG16" s="784">
        <v>1873</v>
      </c>
      <c r="AH16" s="784">
        <v>952</v>
      </c>
      <c r="AI16" s="784">
        <v>1072</v>
      </c>
      <c r="AJ16" s="784">
        <v>1792</v>
      </c>
      <c r="AK16" s="784">
        <v>0</v>
      </c>
      <c r="AL16" s="784">
        <v>752</v>
      </c>
      <c r="AM16" s="784">
        <v>212</v>
      </c>
      <c r="AN16" s="784">
        <v>46</v>
      </c>
      <c r="AO16" s="784">
        <v>445</v>
      </c>
      <c r="AP16" s="784">
        <v>12</v>
      </c>
      <c r="AQ16" s="784">
        <v>1823</v>
      </c>
      <c r="AR16" s="784">
        <v>1753</v>
      </c>
      <c r="AS16" s="784">
        <v>2142</v>
      </c>
      <c r="AT16" s="784">
        <v>876</v>
      </c>
      <c r="AU16" s="784">
        <v>1291</v>
      </c>
      <c r="AV16" s="784">
        <v>2886</v>
      </c>
      <c r="AW16" s="784">
        <v>0</v>
      </c>
      <c r="AX16" s="784">
        <v>509</v>
      </c>
      <c r="AY16" s="784">
        <v>13</v>
      </c>
      <c r="AZ16" s="784">
        <v>2</v>
      </c>
      <c r="BA16" s="784">
        <v>0</v>
      </c>
      <c r="BB16" s="784">
        <v>0</v>
      </c>
      <c r="BC16" s="784">
        <v>33</v>
      </c>
      <c r="BD16" s="784">
        <v>0</v>
      </c>
      <c r="BE16" s="784">
        <v>228</v>
      </c>
      <c r="BF16" s="784">
        <v>521</v>
      </c>
      <c r="BG16" s="784">
        <v>256</v>
      </c>
      <c r="BH16" s="784">
        <v>395</v>
      </c>
      <c r="BI16" s="784">
        <v>0</v>
      </c>
      <c r="BJ16" s="784">
        <v>106</v>
      </c>
      <c r="BK16" s="784">
        <v>111</v>
      </c>
      <c r="BL16" s="784">
        <v>43</v>
      </c>
      <c r="BM16" s="784">
        <v>56</v>
      </c>
      <c r="BN16" s="784">
        <v>2</v>
      </c>
      <c r="BO16" s="784">
        <v>117</v>
      </c>
      <c r="BP16" s="784">
        <v>86</v>
      </c>
      <c r="BQ16" s="784">
        <v>94</v>
      </c>
      <c r="BR16" s="784">
        <v>274</v>
      </c>
      <c r="BS16" s="784">
        <v>407</v>
      </c>
      <c r="BT16" s="784">
        <v>363</v>
      </c>
      <c r="BU16" s="784">
        <v>0</v>
      </c>
      <c r="BV16" s="784">
        <v>632</v>
      </c>
    </row>
    <row r="17" spans="2:74" ht="14.4">
      <c r="B17" s="187" t="s">
        <v>1091</v>
      </c>
      <c r="C17" s="784">
        <v>4352</v>
      </c>
      <c r="D17" s="784">
        <v>3673</v>
      </c>
      <c r="E17" s="784">
        <v>4956</v>
      </c>
      <c r="F17" s="784">
        <v>351</v>
      </c>
      <c r="G17" s="784">
        <v>11585</v>
      </c>
      <c r="H17" s="784">
        <v>14299</v>
      </c>
      <c r="I17" s="784">
        <v>19449</v>
      </c>
      <c r="J17" s="784">
        <v>21098</v>
      </c>
      <c r="K17" s="784">
        <v>13159</v>
      </c>
      <c r="L17" s="784">
        <v>9837</v>
      </c>
      <c r="M17" s="784">
        <v>0</v>
      </c>
      <c r="N17" s="784">
        <v>9484</v>
      </c>
      <c r="O17" s="784">
        <v>1147</v>
      </c>
      <c r="P17" s="784">
        <v>2997</v>
      </c>
      <c r="Q17" s="784">
        <v>2251</v>
      </c>
      <c r="R17" s="784">
        <v>40</v>
      </c>
      <c r="S17" s="784">
        <v>4105</v>
      </c>
      <c r="T17" s="784">
        <v>1917</v>
      </c>
      <c r="U17" s="784">
        <v>1563</v>
      </c>
      <c r="V17" s="784">
        <v>2025</v>
      </c>
      <c r="W17" s="784">
        <v>1851</v>
      </c>
      <c r="X17" s="784">
        <v>2261</v>
      </c>
      <c r="Y17" s="784">
        <v>0</v>
      </c>
      <c r="Z17" s="784">
        <v>1495</v>
      </c>
      <c r="AA17" s="784">
        <v>585</v>
      </c>
      <c r="AB17" s="784">
        <v>848</v>
      </c>
      <c r="AC17" s="784">
        <v>646</v>
      </c>
      <c r="AD17" s="784">
        <v>12</v>
      </c>
      <c r="AE17" s="784">
        <v>3057</v>
      </c>
      <c r="AF17" s="784">
        <v>1963</v>
      </c>
      <c r="AG17" s="784">
        <v>2967</v>
      </c>
      <c r="AH17" s="784">
        <v>3381</v>
      </c>
      <c r="AI17" s="784">
        <v>2580</v>
      </c>
      <c r="AJ17" s="784">
        <v>4443</v>
      </c>
      <c r="AK17" s="784">
        <v>0</v>
      </c>
      <c r="AL17" s="784">
        <v>595</v>
      </c>
      <c r="AM17" s="784">
        <v>297</v>
      </c>
      <c r="AN17" s="784">
        <v>166</v>
      </c>
      <c r="AO17" s="784">
        <v>229</v>
      </c>
      <c r="AP17" s="784">
        <v>8</v>
      </c>
      <c r="AQ17" s="784">
        <v>1472</v>
      </c>
      <c r="AR17" s="784">
        <v>2357</v>
      </c>
      <c r="AS17" s="784">
        <v>4445</v>
      </c>
      <c r="AT17" s="784">
        <v>3581</v>
      </c>
      <c r="AU17" s="784">
        <v>3001</v>
      </c>
      <c r="AV17" s="784">
        <v>11037</v>
      </c>
      <c r="AW17" s="784">
        <v>0</v>
      </c>
      <c r="AX17" s="784">
        <v>191</v>
      </c>
      <c r="AY17" s="784">
        <v>99</v>
      </c>
      <c r="AZ17" s="784">
        <v>16</v>
      </c>
      <c r="BA17" s="784">
        <v>68</v>
      </c>
      <c r="BB17" s="784">
        <v>5</v>
      </c>
      <c r="BC17" s="784">
        <v>84</v>
      </c>
      <c r="BD17" s="784">
        <v>33</v>
      </c>
      <c r="BE17" s="784">
        <v>354</v>
      </c>
      <c r="BF17" s="784">
        <v>354</v>
      </c>
      <c r="BG17" s="784">
        <v>285</v>
      </c>
      <c r="BH17" s="784">
        <v>743</v>
      </c>
      <c r="BI17" s="784">
        <v>0</v>
      </c>
      <c r="BJ17" s="784">
        <v>82</v>
      </c>
      <c r="BK17" s="784">
        <v>463</v>
      </c>
      <c r="BL17" s="784">
        <v>290</v>
      </c>
      <c r="BM17" s="784">
        <v>208</v>
      </c>
      <c r="BN17" s="784">
        <v>7</v>
      </c>
      <c r="BO17" s="784">
        <v>313</v>
      </c>
      <c r="BP17" s="784">
        <v>213</v>
      </c>
      <c r="BQ17" s="784">
        <v>230</v>
      </c>
      <c r="BR17" s="784">
        <v>722</v>
      </c>
      <c r="BS17" s="784">
        <v>701</v>
      </c>
      <c r="BT17" s="784">
        <v>1042</v>
      </c>
      <c r="BU17" s="784">
        <v>0</v>
      </c>
      <c r="BV17" s="784">
        <v>1008</v>
      </c>
    </row>
    <row r="18" spans="2:74" ht="14.4">
      <c r="B18" s="187" t="s">
        <v>1092</v>
      </c>
      <c r="C18" s="784">
        <v>4389</v>
      </c>
      <c r="D18" s="784">
        <v>4303</v>
      </c>
      <c r="E18" s="784">
        <v>6404</v>
      </c>
      <c r="F18" s="784">
        <v>552</v>
      </c>
      <c r="G18" s="784">
        <v>12892</v>
      </c>
      <c r="H18" s="784">
        <v>13429</v>
      </c>
      <c r="I18" s="784">
        <v>18442</v>
      </c>
      <c r="J18" s="784">
        <v>18434</v>
      </c>
      <c r="K18" s="784">
        <v>11005</v>
      </c>
      <c r="L18" s="784">
        <v>9900</v>
      </c>
      <c r="M18" s="784">
        <v>0</v>
      </c>
      <c r="N18" s="784">
        <v>11061</v>
      </c>
      <c r="O18" s="784">
        <v>417</v>
      </c>
      <c r="P18" s="784">
        <v>706</v>
      </c>
      <c r="Q18" s="784">
        <v>1779</v>
      </c>
      <c r="R18" s="784">
        <v>60</v>
      </c>
      <c r="S18" s="784">
        <v>3293</v>
      </c>
      <c r="T18" s="784">
        <v>1506</v>
      </c>
      <c r="U18" s="784">
        <v>1277</v>
      </c>
      <c r="V18" s="784">
        <v>1909</v>
      </c>
      <c r="W18" s="784">
        <v>2162</v>
      </c>
      <c r="X18" s="784">
        <v>3015</v>
      </c>
      <c r="Y18" s="784">
        <v>0</v>
      </c>
      <c r="Z18" s="784">
        <v>1046</v>
      </c>
      <c r="AA18" s="784">
        <v>562</v>
      </c>
      <c r="AB18" s="784">
        <v>781</v>
      </c>
      <c r="AC18" s="784">
        <v>2353</v>
      </c>
      <c r="AD18" s="784">
        <v>49</v>
      </c>
      <c r="AE18" s="784">
        <v>2603</v>
      </c>
      <c r="AF18" s="784">
        <v>2900</v>
      </c>
      <c r="AG18" s="784">
        <v>6276</v>
      </c>
      <c r="AH18" s="784">
        <v>5980</v>
      </c>
      <c r="AI18" s="784">
        <v>3567</v>
      </c>
      <c r="AJ18" s="784">
        <v>4716</v>
      </c>
      <c r="AK18" s="784">
        <v>0</v>
      </c>
      <c r="AL18" s="784">
        <v>723</v>
      </c>
      <c r="AM18" s="784">
        <v>6879</v>
      </c>
      <c r="AN18" s="784">
        <v>3537</v>
      </c>
      <c r="AO18" s="784">
        <v>4980</v>
      </c>
      <c r="AP18" s="784">
        <v>302</v>
      </c>
      <c r="AQ18" s="784">
        <v>9715</v>
      </c>
      <c r="AR18" s="784">
        <v>9640</v>
      </c>
      <c r="AS18" s="784">
        <v>9236</v>
      </c>
      <c r="AT18" s="784">
        <v>4636</v>
      </c>
      <c r="AU18" s="784">
        <v>3277</v>
      </c>
      <c r="AV18" s="784">
        <v>7539</v>
      </c>
      <c r="AW18" s="784">
        <v>0</v>
      </c>
      <c r="AX18" s="784">
        <v>824</v>
      </c>
      <c r="AY18" s="784">
        <v>54</v>
      </c>
      <c r="AZ18" s="784">
        <v>34</v>
      </c>
      <c r="BA18" s="784">
        <v>190</v>
      </c>
      <c r="BB18" s="784">
        <v>0</v>
      </c>
      <c r="BC18" s="784">
        <v>93</v>
      </c>
      <c r="BD18" s="784">
        <v>151</v>
      </c>
      <c r="BE18" s="784">
        <v>497</v>
      </c>
      <c r="BF18" s="784">
        <v>396</v>
      </c>
      <c r="BG18" s="784">
        <v>487</v>
      </c>
      <c r="BH18" s="784">
        <v>689</v>
      </c>
      <c r="BI18" s="784">
        <v>0</v>
      </c>
      <c r="BJ18" s="784">
        <v>146</v>
      </c>
      <c r="BK18" s="784">
        <v>345</v>
      </c>
      <c r="BL18" s="784">
        <v>204</v>
      </c>
      <c r="BM18" s="784">
        <v>381</v>
      </c>
      <c r="BN18" s="784">
        <v>12</v>
      </c>
      <c r="BO18" s="784">
        <v>399</v>
      </c>
      <c r="BP18" s="784">
        <v>162</v>
      </c>
      <c r="BQ18" s="784">
        <v>188</v>
      </c>
      <c r="BR18" s="784">
        <v>487</v>
      </c>
      <c r="BS18" s="784">
        <v>502</v>
      </c>
      <c r="BT18" s="784">
        <v>720</v>
      </c>
      <c r="BU18" s="784">
        <v>0</v>
      </c>
      <c r="BV18" s="784">
        <v>865</v>
      </c>
    </row>
    <row r="19" spans="2:74" ht="14.4">
      <c r="B19" s="187" t="s">
        <v>1093</v>
      </c>
      <c r="C19" s="784">
        <v>1592</v>
      </c>
      <c r="D19" s="784">
        <v>1436</v>
      </c>
      <c r="E19" s="784">
        <v>1817</v>
      </c>
      <c r="F19" s="784">
        <v>211</v>
      </c>
      <c r="G19" s="784">
        <v>3830</v>
      </c>
      <c r="H19" s="784">
        <v>3244</v>
      </c>
      <c r="I19" s="784">
        <v>6560</v>
      </c>
      <c r="J19" s="784">
        <v>6448</v>
      </c>
      <c r="K19" s="784">
        <v>4200</v>
      </c>
      <c r="L19" s="784">
        <v>2213</v>
      </c>
      <c r="M19" s="784">
        <v>0</v>
      </c>
      <c r="N19" s="784">
        <v>8097</v>
      </c>
      <c r="O19" s="784">
        <v>55</v>
      </c>
      <c r="P19" s="784">
        <v>116</v>
      </c>
      <c r="Q19" s="784">
        <v>191</v>
      </c>
      <c r="R19" s="784">
        <v>11</v>
      </c>
      <c r="S19" s="784">
        <v>755</v>
      </c>
      <c r="T19" s="784">
        <v>245</v>
      </c>
      <c r="U19" s="784">
        <v>500</v>
      </c>
      <c r="V19" s="784">
        <v>475</v>
      </c>
      <c r="W19" s="784">
        <v>652</v>
      </c>
      <c r="X19" s="784">
        <v>450</v>
      </c>
      <c r="Y19" s="784">
        <v>0</v>
      </c>
      <c r="Z19" s="784">
        <v>656</v>
      </c>
      <c r="AA19" s="784">
        <v>14</v>
      </c>
      <c r="AB19" s="784">
        <v>27</v>
      </c>
      <c r="AC19" s="784">
        <v>20</v>
      </c>
      <c r="AD19" s="784">
        <v>0</v>
      </c>
      <c r="AE19" s="784">
        <v>297</v>
      </c>
      <c r="AF19" s="784">
        <v>255</v>
      </c>
      <c r="AG19" s="784">
        <v>862</v>
      </c>
      <c r="AH19" s="784">
        <v>661</v>
      </c>
      <c r="AI19" s="784">
        <v>1000</v>
      </c>
      <c r="AJ19" s="784">
        <v>782</v>
      </c>
      <c r="AK19" s="784">
        <v>0</v>
      </c>
      <c r="AL19" s="784">
        <v>593</v>
      </c>
      <c r="AM19" s="784">
        <v>0</v>
      </c>
      <c r="AN19" s="784">
        <v>0</v>
      </c>
      <c r="AO19" s="784">
        <v>18</v>
      </c>
      <c r="AP19" s="784">
        <v>0</v>
      </c>
      <c r="AQ19" s="784">
        <v>165</v>
      </c>
      <c r="AR19" s="784">
        <v>318</v>
      </c>
      <c r="AS19" s="784">
        <v>244</v>
      </c>
      <c r="AT19" s="784">
        <v>68</v>
      </c>
      <c r="AU19" s="784">
        <v>445</v>
      </c>
      <c r="AV19" s="784">
        <v>638</v>
      </c>
      <c r="AW19" s="784">
        <v>0</v>
      </c>
      <c r="AX19" s="784">
        <v>184</v>
      </c>
      <c r="AY19" s="784">
        <v>0</v>
      </c>
      <c r="AZ19" s="784">
        <v>0</v>
      </c>
      <c r="BA19" s="784">
        <v>10</v>
      </c>
      <c r="BB19" s="784">
        <v>0</v>
      </c>
      <c r="BC19" s="784">
        <v>15</v>
      </c>
      <c r="BD19" s="784">
        <v>128</v>
      </c>
      <c r="BE19" s="784">
        <v>155</v>
      </c>
      <c r="BF19" s="784">
        <v>174</v>
      </c>
      <c r="BG19" s="784">
        <v>364</v>
      </c>
      <c r="BH19" s="784">
        <v>214</v>
      </c>
      <c r="BI19" s="784">
        <v>0</v>
      </c>
      <c r="BJ19" s="784">
        <v>181</v>
      </c>
      <c r="BK19" s="784">
        <v>42</v>
      </c>
      <c r="BL19" s="784">
        <v>38</v>
      </c>
      <c r="BM19" s="784">
        <v>56</v>
      </c>
      <c r="BN19" s="784">
        <v>8</v>
      </c>
      <c r="BO19" s="784">
        <v>154</v>
      </c>
      <c r="BP19" s="784">
        <v>127</v>
      </c>
      <c r="BQ19" s="784">
        <v>91</v>
      </c>
      <c r="BR19" s="784">
        <v>204</v>
      </c>
      <c r="BS19" s="784">
        <v>374</v>
      </c>
      <c r="BT19" s="784">
        <v>222</v>
      </c>
      <c r="BU19" s="784">
        <v>0</v>
      </c>
      <c r="BV19" s="784">
        <v>601</v>
      </c>
    </row>
    <row r="20" spans="2:74" ht="14.4">
      <c r="B20" s="1053" t="s">
        <v>1094</v>
      </c>
      <c r="C20" s="1054">
        <v>3037</v>
      </c>
      <c r="D20" s="1054">
        <v>2599</v>
      </c>
      <c r="E20" s="1054">
        <v>3741</v>
      </c>
      <c r="F20" s="1054">
        <v>616</v>
      </c>
      <c r="G20" s="1054">
        <v>9285</v>
      </c>
      <c r="H20" s="1054">
        <v>8692</v>
      </c>
      <c r="I20" s="1054">
        <v>14101</v>
      </c>
      <c r="J20" s="1054">
        <v>12154</v>
      </c>
      <c r="K20" s="1054">
        <v>6810</v>
      </c>
      <c r="L20" s="1054">
        <v>4137</v>
      </c>
      <c r="M20" s="1054">
        <v>0</v>
      </c>
      <c r="N20" s="1054">
        <v>11456</v>
      </c>
      <c r="O20" s="1054">
        <v>485</v>
      </c>
      <c r="P20" s="1054">
        <v>570</v>
      </c>
      <c r="Q20" s="1054">
        <v>707</v>
      </c>
      <c r="R20" s="1054">
        <v>218</v>
      </c>
      <c r="S20" s="1054">
        <v>3206</v>
      </c>
      <c r="T20" s="1054">
        <v>979</v>
      </c>
      <c r="U20" s="1054">
        <v>923</v>
      </c>
      <c r="V20" s="1054">
        <v>1211</v>
      </c>
      <c r="W20" s="1054">
        <v>1654</v>
      </c>
      <c r="X20" s="1054">
        <v>1874</v>
      </c>
      <c r="Y20" s="1054">
        <v>0</v>
      </c>
      <c r="Z20" s="1054">
        <v>1540</v>
      </c>
      <c r="AA20" s="1054">
        <v>100</v>
      </c>
      <c r="AB20" s="1054">
        <v>1055</v>
      </c>
      <c r="AC20" s="1054">
        <v>539</v>
      </c>
      <c r="AD20" s="1054">
        <v>141</v>
      </c>
      <c r="AE20" s="1054">
        <v>2299</v>
      </c>
      <c r="AF20" s="1054">
        <v>782</v>
      </c>
      <c r="AG20" s="1054">
        <v>1887</v>
      </c>
      <c r="AH20" s="1054">
        <v>1405</v>
      </c>
      <c r="AI20" s="1054">
        <v>2606</v>
      </c>
      <c r="AJ20" s="1054">
        <v>2133</v>
      </c>
      <c r="AK20" s="1054">
        <v>0</v>
      </c>
      <c r="AL20" s="1054">
        <v>386</v>
      </c>
      <c r="AM20" s="1054">
        <v>20</v>
      </c>
      <c r="AN20" s="1054">
        <v>652</v>
      </c>
      <c r="AO20" s="1054">
        <v>229</v>
      </c>
      <c r="AP20" s="1054">
        <v>47</v>
      </c>
      <c r="AQ20" s="1054">
        <v>1848</v>
      </c>
      <c r="AR20" s="1054">
        <v>1450</v>
      </c>
      <c r="AS20" s="1054">
        <v>2582</v>
      </c>
      <c r="AT20" s="1054">
        <v>764</v>
      </c>
      <c r="AU20" s="1054">
        <v>744</v>
      </c>
      <c r="AV20" s="1054">
        <v>2087</v>
      </c>
      <c r="AW20" s="1054">
        <v>0</v>
      </c>
      <c r="AX20" s="1054">
        <v>231</v>
      </c>
      <c r="AY20" s="1054">
        <v>1</v>
      </c>
      <c r="AZ20" s="1054">
        <v>0</v>
      </c>
      <c r="BA20" s="1054">
        <v>16</v>
      </c>
      <c r="BB20" s="1054">
        <v>0</v>
      </c>
      <c r="BC20" s="1054">
        <v>103</v>
      </c>
      <c r="BD20" s="1054">
        <v>38</v>
      </c>
      <c r="BE20" s="1054">
        <v>408</v>
      </c>
      <c r="BF20" s="1054">
        <v>116</v>
      </c>
      <c r="BG20" s="1054">
        <v>606</v>
      </c>
      <c r="BH20" s="1054">
        <v>496</v>
      </c>
      <c r="BI20" s="1054">
        <v>0</v>
      </c>
      <c r="BJ20" s="1054">
        <v>321</v>
      </c>
      <c r="BK20" s="1054">
        <v>94</v>
      </c>
      <c r="BL20" s="1054">
        <v>653</v>
      </c>
      <c r="BM20" s="1054">
        <v>237</v>
      </c>
      <c r="BN20" s="1054">
        <v>159</v>
      </c>
      <c r="BO20" s="1054">
        <v>985</v>
      </c>
      <c r="BP20" s="1054">
        <v>270</v>
      </c>
      <c r="BQ20" s="1054">
        <v>313</v>
      </c>
      <c r="BR20" s="1054">
        <v>255</v>
      </c>
      <c r="BS20" s="1054">
        <v>250</v>
      </c>
      <c r="BT20" s="1054">
        <v>453</v>
      </c>
      <c r="BU20" s="1054">
        <v>0</v>
      </c>
      <c r="BV20" s="1054">
        <v>719</v>
      </c>
    </row>
    <row r="21" spans="2:74" ht="14.4">
      <c r="B21" s="855" t="s">
        <v>1095</v>
      </c>
      <c r="C21" s="133">
        <v>1989</v>
      </c>
      <c r="D21" s="133">
        <v>1552</v>
      </c>
      <c r="E21" s="133">
        <v>2730</v>
      </c>
      <c r="F21" s="133">
        <v>396</v>
      </c>
      <c r="G21" s="133">
        <v>7303</v>
      </c>
      <c r="H21" s="133">
        <v>9116</v>
      </c>
      <c r="I21" s="133">
        <v>10634</v>
      </c>
      <c r="J21" s="133">
        <v>12997</v>
      </c>
      <c r="K21" s="133">
        <v>5768</v>
      </c>
      <c r="L21" s="133">
        <v>4270</v>
      </c>
      <c r="M21" s="133">
        <v>0</v>
      </c>
      <c r="N21" s="133">
        <v>8136</v>
      </c>
      <c r="O21" s="133">
        <v>448</v>
      </c>
      <c r="P21" s="133">
        <v>738</v>
      </c>
      <c r="Q21" s="133">
        <v>1403</v>
      </c>
      <c r="R21" s="133">
        <v>78</v>
      </c>
      <c r="S21" s="133">
        <v>3835</v>
      </c>
      <c r="T21" s="133">
        <v>2702</v>
      </c>
      <c r="U21" s="133">
        <v>1000</v>
      </c>
      <c r="V21" s="133">
        <v>1669</v>
      </c>
      <c r="W21" s="133">
        <v>1207</v>
      </c>
      <c r="X21" s="133">
        <v>1034</v>
      </c>
      <c r="Y21" s="133">
        <v>0</v>
      </c>
      <c r="Z21" s="133">
        <v>1901</v>
      </c>
      <c r="AA21" s="133">
        <v>444</v>
      </c>
      <c r="AB21" s="133">
        <v>387</v>
      </c>
      <c r="AC21" s="133">
        <v>1899</v>
      </c>
      <c r="AD21" s="133">
        <v>26</v>
      </c>
      <c r="AE21" s="133">
        <v>1852</v>
      </c>
      <c r="AF21" s="133">
        <v>2118</v>
      </c>
      <c r="AG21" s="133">
        <v>3883</v>
      </c>
      <c r="AH21" s="133">
        <v>2256</v>
      </c>
      <c r="AI21" s="133">
        <v>2373</v>
      </c>
      <c r="AJ21" s="133">
        <v>2879</v>
      </c>
      <c r="AK21" s="133">
        <v>0</v>
      </c>
      <c r="AL21" s="133">
        <v>619</v>
      </c>
      <c r="AM21" s="133">
        <v>1858</v>
      </c>
      <c r="AN21" s="133">
        <v>3421</v>
      </c>
      <c r="AO21" s="133">
        <v>1139</v>
      </c>
      <c r="AP21" s="133">
        <v>50</v>
      </c>
      <c r="AQ21" s="133">
        <v>3638</v>
      </c>
      <c r="AR21" s="133">
        <v>6399</v>
      </c>
      <c r="AS21" s="133">
        <v>7403</v>
      </c>
      <c r="AT21" s="133">
        <v>1167</v>
      </c>
      <c r="AU21" s="133">
        <v>3043</v>
      </c>
      <c r="AV21" s="133">
        <v>7487</v>
      </c>
      <c r="AW21" s="133">
        <v>0</v>
      </c>
      <c r="AX21" s="133">
        <v>1195</v>
      </c>
      <c r="AY21" s="133">
        <v>72</v>
      </c>
      <c r="AZ21" s="133">
        <v>85</v>
      </c>
      <c r="BA21" s="133">
        <v>32</v>
      </c>
      <c r="BB21" s="133">
        <v>0</v>
      </c>
      <c r="BC21" s="133">
        <v>71</v>
      </c>
      <c r="BD21" s="133">
        <v>1892</v>
      </c>
      <c r="BE21" s="133">
        <v>351</v>
      </c>
      <c r="BF21" s="133">
        <v>800</v>
      </c>
      <c r="BG21" s="133">
        <v>1249</v>
      </c>
      <c r="BH21" s="133">
        <v>951</v>
      </c>
      <c r="BI21" s="133">
        <v>0</v>
      </c>
      <c r="BJ21" s="133">
        <v>506</v>
      </c>
      <c r="BK21" s="133">
        <v>175</v>
      </c>
      <c r="BL21" s="133">
        <v>117</v>
      </c>
      <c r="BM21" s="133">
        <v>82</v>
      </c>
      <c r="BN21" s="133">
        <v>4</v>
      </c>
      <c r="BO21" s="133">
        <v>176</v>
      </c>
      <c r="BP21" s="133">
        <v>156</v>
      </c>
      <c r="BQ21" s="133">
        <v>69</v>
      </c>
      <c r="BR21" s="133">
        <v>199</v>
      </c>
      <c r="BS21" s="133">
        <v>256</v>
      </c>
      <c r="BT21" s="133">
        <v>496</v>
      </c>
      <c r="BU21" s="133">
        <v>0</v>
      </c>
      <c r="BV21" s="133">
        <v>742</v>
      </c>
    </row>
    <row r="22" spans="2:74" ht="14.4">
      <c r="B22" s="855" t="s">
        <v>1096</v>
      </c>
      <c r="C22" s="133">
        <v>1376</v>
      </c>
      <c r="D22" s="133">
        <v>1058</v>
      </c>
      <c r="E22" s="133">
        <v>2000</v>
      </c>
      <c r="F22" s="133">
        <v>562</v>
      </c>
      <c r="G22" s="133">
        <v>5924</v>
      </c>
      <c r="H22" s="133">
        <v>4930</v>
      </c>
      <c r="I22" s="133">
        <v>8751</v>
      </c>
      <c r="J22" s="133">
        <v>6882</v>
      </c>
      <c r="K22" s="133">
        <v>3464</v>
      </c>
      <c r="L22" s="133">
        <v>1921</v>
      </c>
      <c r="M22" s="133">
        <v>0</v>
      </c>
      <c r="N22" s="133">
        <v>6584</v>
      </c>
      <c r="O22" s="133">
        <v>251</v>
      </c>
      <c r="P22" s="133">
        <v>131</v>
      </c>
      <c r="Q22" s="133">
        <v>197</v>
      </c>
      <c r="R22" s="133">
        <v>111</v>
      </c>
      <c r="S22" s="133">
        <v>1056</v>
      </c>
      <c r="T22" s="133">
        <v>421</v>
      </c>
      <c r="U22" s="133">
        <v>634</v>
      </c>
      <c r="V22" s="133">
        <v>740</v>
      </c>
      <c r="W22" s="133">
        <v>615</v>
      </c>
      <c r="X22" s="133">
        <v>301</v>
      </c>
      <c r="Y22" s="133">
        <v>0</v>
      </c>
      <c r="Z22" s="133">
        <v>1274</v>
      </c>
      <c r="AA22" s="133">
        <v>34</v>
      </c>
      <c r="AB22" s="133">
        <v>32</v>
      </c>
      <c r="AC22" s="133">
        <v>42</v>
      </c>
      <c r="AD22" s="133">
        <v>9</v>
      </c>
      <c r="AE22" s="133">
        <v>382</v>
      </c>
      <c r="AF22" s="133">
        <v>290</v>
      </c>
      <c r="AG22" s="133">
        <v>1100</v>
      </c>
      <c r="AH22" s="133">
        <v>790</v>
      </c>
      <c r="AI22" s="133">
        <v>1069</v>
      </c>
      <c r="AJ22" s="133">
        <v>775</v>
      </c>
      <c r="AK22" s="133">
        <v>0</v>
      </c>
      <c r="AL22" s="133">
        <v>436</v>
      </c>
      <c r="AM22" s="133">
        <v>44</v>
      </c>
      <c r="AN22" s="133">
        <v>1</v>
      </c>
      <c r="AO22" s="133">
        <v>31</v>
      </c>
      <c r="AP22" s="133">
        <v>33</v>
      </c>
      <c r="AQ22" s="133">
        <v>292</v>
      </c>
      <c r="AR22" s="133">
        <v>221</v>
      </c>
      <c r="AS22" s="133">
        <v>365</v>
      </c>
      <c r="AT22" s="133">
        <v>212</v>
      </c>
      <c r="AU22" s="133">
        <v>853</v>
      </c>
      <c r="AV22" s="133">
        <v>2482</v>
      </c>
      <c r="AW22" s="133">
        <v>0</v>
      </c>
      <c r="AX22" s="133">
        <v>268</v>
      </c>
      <c r="AY22" s="133">
        <v>1</v>
      </c>
      <c r="AZ22" s="133">
        <v>0</v>
      </c>
      <c r="BA22" s="133">
        <v>0</v>
      </c>
      <c r="BB22" s="133">
        <v>12</v>
      </c>
      <c r="BC22" s="133">
        <v>3</v>
      </c>
      <c r="BD22" s="133">
        <v>53</v>
      </c>
      <c r="BE22" s="133">
        <v>67</v>
      </c>
      <c r="BF22" s="133">
        <v>226</v>
      </c>
      <c r="BG22" s="133">
        <v>313</v>
      </c>
      <c r="BH22" s="133">
        <v>276</v>
      </c>
      <c r="BI22" s="133">
        <v>0</v>
      </c>
      <c r="BJ22" s="133">
        <v>336</v>
      </c>
      <c r="BK22" s="133">
        <v>79</v>
      </c>
      <c r="BL22" s="133">
        <v>22</v>
      </c>
      <c r="BM22" s="133">
        <v>31</v>
      </c>
      <c r="BN22" s="133">
        <v>20</v>
      </c>
      <c r="BO22" s="133">
        <v>223</v>
      </c>
      <c r="BP22" s="133">
        <v>43</v>
      </c>
      <c r="BQ22" s="133">
        <v>42</v>
      </c>
      <c r="BR22" s="133">
        <v>203</v>
      </c>
      <c r="BS22" s="133">
        <v>292</v>
      </c>
      <c r="BT22" s="133">
        <v>169</v>
      </c>
      <c r="BU22" s="133">
        <v>0</v>
      </c>
      <c r="BV22" s="133">
        <v>445</v>
      </c>
    </row>
    <row r="23" spans="2:74" ht="14.4">
      <c r="B23" s="855" t="s">
        <v>1097</v>
      </c>
      <c r="C23" s="133">
        <v>1559</v>
      </c>
      <c r="D23" s="133">
        <v>1662</v>
      </c>
      <c r="E23" s="133">
        <v>3708</v>
      </c>
      <c r="F23" s="133">
        <v>738</v>
      </c>
      <c r="G23" s="133">
        <v>11165</v>
      </c>
      <c r="H23" s="133">
        <v>10214</v>
      </c>
      <c r="I23" s="133">
        <v>14564</v>
      </c>
      <c r="J23" s="133">
        <v>12843</v>
      </c>
      <c r="K23" s="133">
        <v>6333</v>
      </c>
      <c r="L23" s="133">
        <v>3054</v>
      </c>
      <c r="M23" s="133">
        <v>0</v>
      </c>
      <c r="N23" s="133">
        <v>13909</v>
      </c>
      <c r="O23" s="133">
        <v>88</v>
      </c>
      <c r="P23" s="133">
        <v>223</v>
      </c>
      <c r="Q23" s="133">
        <v>691</v>
      </c>
      <c r="R23" s="133">
        <v>206</v>
      </c>
      <c r="S23" s="133">
        <v>3421</v>
      </c>
      <c r="T23" s="133">
        <v>1223</v>
      </c>
      <c r="U23" s="133">
        <v>907</v>
      </c>
      <c r="V23" s="133">
        <v>1069</v>
      </c>
      <c r="W23" s="133">
        <v>1138</v>
      </c>
      <c r="X23" s="133">
        <v>659</v>
      </c>
      <c r="Y23" s="133">
        <v>0</v>
      </c>
      <c r="Z23" s="133">
        <v>1408</v>
      </c>
      <c r="AA23" s="133">
        <v>53</v>
      </c>
      <c r="AB23" s="133">
        <v>113</v>
      </c>
      <c r="AC23" s="133">
        <v>172</v>
      </c>
      <c r="AD23" s="133">
        <v>151</v>
      </c>
      <c r="AE23" s="133">
        <v>2695</v>
      </c>
      <c r="AF23" s="133">
        <v>1300</v>
      </c>
      <c r="AG23" s="133">
        <v>1887</v>
      </c>
      <c r="AH23" s="133">
        <v>1794</v>
      </c>
      <c r="AI23" s="133">
        <v>2180</v>
      </c>
      <c r="AJ23" s="133">
        <v>1203</v>
      </c>
      <c r="AK23" s="133">
        <v>0</v>
      </c>
      <c r="AL23" s="133">
        <v>945</v>
      </c>
      <c r="AM23" s="133">
        <v>14</v>
      </c>
      <c r="AN23" s="133">
        <v>51</v>
      </c>
      <c r="AO23" s="133">
        <v>57</v>
      </c>
      <c r="AP23" s="133">
        <v>25</v>
      </c>
      <c r="AQ23" s="133">
        <v>1528</v>
      </c>
      <c r="AR23" s="133">
        <v>2234</v>
      </c>
      <c r="AS23" s="133">
        <v>1232</v>
      </c>
      <c r="AT23" s="133">
        <v>639</v>
      </c>
      <c r="AU23" s="133">
        <v>1568</v>
      </c>
      <c r="AV23" s="133">
        <v>3544</v>
      </c>
      <c r="AW23" s="133">
        <v>0</v>
      </c>
      <c r="AX23" s="133">
        <v>347</v>
      </c>
      <c r="AY23" s="133">
        <v>8</v>
      </c>
      <c r="AZ23" s="133">
        <v>0</v>
      </c>
      <c r="BA23" s="133">
        <v>11</v>
      </c>
      <c r="BB23" s="133">
        <v>0</v>
      </c>
      <c r="BC23" s="133">
        <v>6</v>
      </c>
      <c r="BD23" s="133">
        <v>55</v>
      </c>
      <c r="BE23" s="133">
        <v>313</v>
      </c>
      <c r="BF23" s="133">
        <v>637</v>
      </c>
      <c r="BG23" s="133">
        <v>800</v>
      </c>
      <c r="BH23" s="133">
        <v>390</v>
      </c>
      <c r="BI23" s="133">
        <v>0</v>
      </c>
      <c r="BJ23" s="133">
        <v>399</v>
      </c>
      <c r="BK23" s="133">
        <v>31</v>
      </c>
      <c r="BL23" s="133">
        <v>51</v>
      </c>
      <c r="BM23" s="133">
        <v>102</v>
      </c>
      <c r="BN23" s="133">
        <v>6</v>
      </c>
      <c r="BO23" s="133">
        <v>528</v>
      </c>
      <c r="BP23" s="133">
        <v>181</v>
      </c>
      <c r="BQ23" s="133">
        <v>84</v>
      </c>
      <c r="BR23" s="133">
        <v>219</v>
      </c>
      <c r="BS23" s="133">
        <v>384</v>
      </c>
      <c r="BT23" s="133">
        <v>346</v>
      </c>
      <c r="BU23" s="133">
        <v>0</v>
      </c>
      <c r="BV23" s="133">
        <v>858</v>
      </c>
    </row>
    <row r="24" spans="2:74" ht="14.4">
      <c r="B24" s="855" t="s">
        <v>1098</v>
      </c>
      <c r="C24" s="133">
        <v>577</v>
      </c>
      <c r="D24" s="133">
        <v>864</v>
      </c>
      <c r="E24" s="133">
        <v>1613</v>
      </c>
      <c r="F24" s="133">
        <v>250</v>
      </c>
      <c r="G24" s="133">
        <v>7800</v>
      </c>
      <c r="H24" s="133">
        <v>6768</v>
      </c>
      <c r="I24" s="133">
        <v>11205</v>
      </c>
      <c r="J24" s="133">
        <v>8944</v>
      </c>
      <c r="K24" s="133">
        <v>4811</v>
      </c>
      <c r="L24" s="133">
        <v>2685</v>
      </c>
      <c r="M24" s="133">
        <v>0</v>
      </c>
      <c r="N24" s="133">
        <v>6201</v>
      </c>
      <c r="O24" s="133">
        <v>117</v>
      </c>
      <c r="P24" s="133">
        <v>231</v>
      </c>
      <c r="Q24" s="133">
        <v>283</v>
      </c>
      <c r="R24" s="133">
        <v>24</v>
      </c>
      <c r="S24" s="133">
        <v>1755</v>
      </c>
      <c r="T24" s="133">
        <v>1049</v>
      </c>
      <c r="U24" s="133">
        <v>798</v>
      </c>
      <c r="V24" s="133">
        <v>807</v>
      </c>
      <c r="W24" s="133">
        <v>639</v>
      </c>
      <c r="X24" s="133">
        <v>492</v>
      </c>
      <c r="Y24" s="133">
        <v>0</v>
      </c>
      <c r="Z24" s="133">
        <v>471</v>
      </c>
      <c r="AA24" s="133">
        <v>88</v>
      </c>
      <c r="AB24" s="133">
        <v>166</v>
      </c>
      <c r="AC24" s="133">
        <v>77</v>
      </c>
      <c r="AD24" s="133">
        <v>9</v>
      </c>
      <c r="AE24" s="133">
        <v>877</v>
      </c>
      <c r="AF24" s="133">
        <v>850</v>
      </c>
      <c r="AG24" s="133">
        <v>2311</v>
      </c>
      <c r="AH24" s="133">
        <v>1921</v>
      </c>
      <c r="AI24" s="133">
        <v>1570</v>
      </c>
      <c r="AJ24" s="133">
        <v>820</v>
      </c>
      <c r="AK24" s="133">
        <v>0</v>
      </c>
      <c r="AL24" s="133">
        <v>361</v>
      </c>
      <c r="AM24" s="133">
        <v>55</v>
      </c>
      <c r="AN24" s="133">
        <v>41</v>
      </c>
      <c r="AO24" s="133">
        <v>33</v>
      </c>
      <c r="AP24" s="133">
        <v>4</v>
      </c>
      <c r="AQ24" s="133">
        <v>735</v>
      </c>
      <c r="AR24" s="133">
        <v>943</v>
      </c>
      <c r="AS24" s="133">
        <v>2261</v>
      </c>
      <c r="AT24" s="133">
        <v>249</v>
      </c>
      <c r="AU24" s="133">
        <v>1215</v>
      </c>
      <c r="AV24" s="133">
        <v>4033</v>
      </c>
      <c r="AW24" s="133">
        <v>0</v>
      </c>
      <c r="AX24" s="133">
        <v>63</v>
      </c>
      <c r="AY24" s="133">
        <v>5</v>
      </c>
      <c r="AZ24" s="133">
        <v>2</v>
      </c>
      <c r="BA24" s="133">
        <v>0</v>
      </c>
      <c r="BB24" s="133">
        <v>0</v>
      </c>
      <c r="BC24" s="133">
        <v>27</v>
      </c>
      <c r="BD24" s="133">
        <v>88</v>
      </c>
      <c r="BE24" s="133">
        <v>600</v>
      </c>
      <c r="BF24" s="133">
        <v>481</v>
      </c>
      <c r="BG24" s="133">
        <v>688</v>
      </c>
      <c r="BH24" s="133">
        <v>168</v>
      </c>
      <c r="BI24" s="133">
        <v>0</v>
      </c>
      <c r="BJ24" s="133">
        <v>96</v>
      </c>
      <c r="BK24" s="133">
        <v>31</v>
      </c>
      <c r="BL24" s="133">
        <v>59</v>
      </c>
      <c r="BM24" s="133">
        <v>30</v>
      </c>
      <c r="BN24" s="133">
        <v>3</v>
      </c>
      <c r="BO24" s="133">
        <v>185</v>
      </c>
      <c r="BP24" s="133">
        <v>163</v>
      </c>
      <c r="BQ24" s="133">
        <v>152</v>
      </c>
      <c r="BR24" s="133">
        <v>237</v>
      </c>
      <c r="BS24" s="133">
        <v>230</v>
      </c>
      <c r="BT24" s="133">
        <v>235</v>
      </c>
      <c r="BU24" s="133">
        <v>0</v>
      </c>
      <c r="BV24" s="133">
        <v>193</v>
      </c>
    </row>
    <row r="25" spans="2:74" ht="14.4">
      <c r="B25" s="855" t="s">
        <v>1099</v>
      </c>
      <c r="C25" s="133">
        <v>101</v>
      </c>
      <c r="D25" s="133">
        <v>52</v>
      </c>
      <c r="E25" s="133">
        <v>215</v>
      </c>
      <c r="F25" s="133">
        <v>57</v>
      </c>
      <c r="G25" s="133">
        <v>5250</v>
      </c>
      <c r="H25" s="133">
        <v>3187</v>
      </c>
      <c r="I25" s="133">
        <v>5109</v>
      </c>
      <c r="J25" s="133">
        <v>3205</v>
      </c>
      <c r="K25" s="133">
        <v>2410</v>
      </c>
      <c r="L25" s="133">
        <v>1251</v>
      </c>
      <c r="M25" s="133">
        <v>0</v>
      </c>
      <c r="N25" s="133">
        <v>3238</v>
      </c>
      <c r="O25" s="133">
        <v>13</v>
      </c>
      <c r="P25" s="133">
        <v>9</v>
      </c>
      <c r="Q25" s="133">
        <v>48</v>
      </c>
      <c r="R25" s="133">
        <v>3</v>
      </c>
      <c r="S25" s="133">
        <v>1392</v>
      </c>
      <c r="T25" s="133">
        <v>475</v>
      </c>
      <c r="U25" s="133">
        <v>504</v>
      </c>
      <c r="V25" s="133">
        <v>371</v>
      </c>
      <c r="W25" s="133">
        <v>362</v>
      </c>
      <c r="X25" s="133">
        <v>223</v>
      </c>
      <c r="Y25" s="133">
        <v>0</v>
      </c>
      <c r="Z25" s="133">
        <v>961</v>
      </c>
      <c r="AA25" s="133">
        <v>1</v>
      </c>
      <c r="AB25" s="133">
        <v>1</v>
      </c>
      <c r="AC25" s="133">
        <v>6</v>
      </c>
      <c r="AD25" s="133">
        <v>3</v>
      </c>
      <c r="AE25" s="133">
        <v>668</v>
      </c>
      <c r="AF25" s="133">
        <v>440</v>
      </c>
      <c r="AG25" s="133">
        <v>799</v>
      </c>
      <c r="AH25" s="133">
        <v>717</v>
      </c>
      <c r="AI25" s="133">
        <v>533</v>
      </c>
      <c r="AJ25" s="133">
        <v>427</v>
      </c>
      <c r="AK25" s="133">
        <v>0</v>
      </c>
      <c r="AL25" s="133">
        <v>643</v>
      </c>
      <c r="AM25" s="133">
        <v>0</v>
      </c>
      <c r="AN25" s="133">
        <v>0</v>
      </c>
      <c r="AO25" s="133">
        <v>0</v>
      </c>
      <c r="AP25" s="133">
        <v>0</v>
      </c>
      <c r="AQ25" s="133">
        <v>264</v>
      </c>
      <c r="AR25" s="133">
        <v>293</v>
      </c>
      <c r="AS25" s="133">
        <v>141</v>
      </c>
      <c r="AT25" s="133">
        <v>209</v>
      </c>
      <c r="AU25" s="133">
        <v>227</v>
      </c>
      <c r="AV25" s="133">
        <v>757</v>
      </c>
      <c r="AW25" s="133">
        <v>0</v>
      </c>
      <c r="AX25" s="133">
        <v>436</v>
      </c>
      <c r="AY25" s="133">
        <v>0</v>
      </c>
      <c r="AZ25" s="133">
        <v>0</v>
      </c>
      <c r="BA25" s="133">
        <v>0</v>
      </c>
      <c r="BB25" s="133">
        <v>0</v>
      </c>
      <c r="BC25" s="133">
        <v>104</v>
      </c>
      <c r="BD25" s="133">
        <v>31</v>
      </c>
      <c r="BE25" s="133">
        <v>170</v>
      </c>
      <c r="BF25" s="133">
        <v>276</v>
      </c>
      <c r="BG25" s="133">
        <v>390</v>
      </c>
      <c r="BH25" s="133">
        <v>127</v>
      </c>
      <c r="BI25" s="133">
        <v>0</v>
      </c>
      <c r="BJ25" s="133">
        <v>272</v>
      </c>
      <c r="BK25" s="133">
        <v>10</v>
      </c>
      <c r="BL25" s="133">
        <v>5</v>
      </c>
      <c r="BM25" s="133">
        <v>4</v>
      </c>
      <c r="BN25" s="133">
        <v>5</v>
      </c>
      <c r="BO25" s="133">
        <v>346</v>
      </c>
      <c r="BP25" s="133">
        <v>86</v>
      </c>
      <c r="BQ25" s="133">
        <v>68</v>
      </c>
      <c r="BR25" s="133">
        <v>182</v>
      </c>
      <c r="BS25" s="133">
        <v>111</v>
      </c>
      <c r="BT25" s="133">
        <v>92</v>
      </c>
      <c r="BU25" s="133">
        <v>0</v>
      </c>
      <c r="BV25" s="133">
        <v>566</v>
      </c>
    </row>
    <row r="26" spans="2:74" ht="14.4">
      <c r="B26" s="855" t="s">
        <v>394</v>
      </c>
      <c r="C26" s="133">
        <v>0</v>
      </c>
      <c r="D26" s="133">
        <v>0</v>
      </c>
      <c r="E26" s="133">
        <v>1</v>
      </c>
      <c r="F26" s="133">
        <v>0</v>
      </c>
      <c r="G26" s="133">
        <v>3</v>
      </c>
      <c r="H26" s="133">
        <v>4</v>
      </c>
      <c r="I26" s="133">
        <v>0</v>
      </c>
      <c r="J26" s="133">
        <v>2</v>
      </c>
      <c r="K26" s="133">
        <v>0</v>
      </c>
      <c r="L26" s="133">
        <v>0</v>
      </c>
      <c r="M26" s="133">
        <v>0</v>
      </c>
      <c r="N26" s="133">
        <v>2</v>
      </c>
      <c r="O26" s="133">
        <v>0</v>
      </c>
      <c r="P26" s="133">
        <v>0</v>
      </c>
      <c r="Q26" s="133">
        <v>0</v>
      </c>
      <c r="R26" s="133">
        <v>2</v>
      </c>
      <c r="S26" s="133">
        <v>0</v>
      </c>
      <c r="T26" s="133">
        <v>0</v>
      </c>
      <c r="U26" s="133">
        <v>22</v>
      </c>
      <c r="V26" s="133">
        <v>6</v>
      </c>
      <c r="W26" s="133">
        <v>0</v>
      </c>
      <c r="X26" s="133">
        <v>15</v>
      </c>
      <c r="Y26" s="133">
        <v>0</v>
      </c>
      <c r="Z26" s="133">
        <v>0</v>
      </c>
      <c r="AA26" s="133">
        <v>0</v>
      </c>
      <c r="AB26" s="133">
        <v>0</v>
      </c>
      <c r="AC26" s="133">
        <v>0</v>
      </c>
      <c r="AD26" s="133">
        <v>0</v>
      </c>
      <c r="AE26" s="133">
        <v>24</v>
      </c>
      <c r="AF26" s="133">
        <v>0</v>
      </c>
      <c r="AG26" s="133">
        <v>115</v>
      </c>
      <c r="AH26" s="133">
        <v>57</v>
      </c>
      <c r="AI26" s="133">
        <v>102</v>
      </c>
      <c r="AJ26" s="133">
        <v>195</v>
      </c>
      <c r="AK26" s="133">
        <v>0</v>
      </c>
      <c r="AL26" s="133">
        <v>27</v>
      </c>
      <c r="AM26" s="133">
        <v>0</v>
      </c>
      <c r="AN26" s="133">
        <v>0</v>
      </c>
      <c r="AO26" s="133">
        <v>0</v>
      </c>
      <c r="AP26" s="133">
        <v>0</v>
      </c>
      <c r="AQ26" s="133">
        <v>12</v>
      </c>
      <c r="AR26" s="133">
        <v>0</v>
      </c>
      <c r="AS26" s="133">
        <v>156</v>
      </c>
      <c r="AT26" s="133">
        <v>179</v>
      </c>
      <c r="AU26" s="133">
        <v>19</v>
      </c>
      <c r="AV26" s="133">
        <v>189</v>
      </c>
      <c r="AW26" s="133">
        <v>0</v>
      </c>
      <c r="AX26" s="133">
        <v>12</v>
      </c>
      <c r="AY26" s="133">
        <v>0</v>
      </c>
      <c r="AZ26" s="133">
        <v>0</v>
      </c>
      <c r="BA26" s="133">
        <v>0</v>
      </c>
      <c r="BB26" s="133">
        <v>0</v>
      </c>
      <c r="BC26" s="133">
        <v>120</v>
      </c>
      <c r="BD26" s="133">
        <v>0</v>
      </c>
      <c r="BE26" s="133">
        <v>0</v>
      </c>
      <c r="BF26" s="133">
        <v>0</v>
      </c>
      <c r="BG26" s="133">
        <v>0</v>
      </c>
      <c r="BH26" s="133">
        <v>24</v>
      </c>
      <c r="BI26" s="133">
        <v>0</v>
      </c>
      <c r="BJ26" s="133">
        <v>0</v>
      </c>
      <c r="BK26" s="133">
        <v>0</v>
      </c>
      <c r="BL26" s="133">
        <v>0</v>
      </c>
      <c r="BM26" s="133">
        <v>0</v>
      </c>
      <c r="BN26" s="133">
        <v>0</v>
      </c>
      <c r="BO26" s="133">
        <v>0</v>
      </c>
      <c r="BP26" s="133">
        <v>0</v>
      </c>
      <c r="BQ26" s="133">
        <v>0</v>
      </c>
      <c r="BR26" s="133">
        <v>0</v>
      </c>
      <c r="BS26" s="133">
        <v>5</v>
      </c>
      <c r="BT26" s="133">
        <v>51</v>
      </c>
      <c r="BU26" s="133">
        <v>0</v>
      </c>
      <c r="BV26" s="133">
        <v>39</v>
      </c>
    </row>
    <row r="27" spans="2:74" ht="21">
      <c r="B27" s="1048" t="s">
        <v>147</v>
      </c>
      <c r="C27" s="1049">
        <f>SUM(C7:BV26)</f>
        <v>2323925</v>
      </c>
      <c r="D27" s="793"/>
    </row>
    <row r="30" spans="2:74" ht="21">
      <c r="B30" s="1045" t="s">
        <v>1189</v>
      </c>
    </row>
    <row r="31" spans="2:74" ht="14.4">
      <c r="B31" s="1047">
        <v>2018</v>
      </c>
    </row>
    <row r="32" spans="2:74" ht="13.8">
      <c r="B32" s="1046" t="s">
        <v>1190</v>
      </c>
    </row>
    <row r="33" spans="2:74" ht="14.4">
      <c r="C33" s="187" t="s">
        <v>342</v>
      </c>
      <c r="O33" s="187" t="s">
        <v>346</v>
      </c>
      <c r="AA33" s="187" t="s">
        <v>349</v>
      </c>
      <c r="AM33" s="187" t="s">
        <v>341</v>
      </c>
      <c r="AY33" s="187" t="s">
        <v>351</v>
      </c>
      <c r="BK33" s="187" t="s">
        <v>352</v>
      </c>
    </row>
    <row r="34" spans="2:74" ht="14.4">
      <c r="C34" s="187" t="s">
        <v>363</v>
      </c>
      <c r="D34" s="187" t="s">
        <v>364</v>
      </c>
      <c r="E34" s="187" t="s">
        <v>365</v>
      </c>
      <c r="F34" s="187" t="s">
        <v>366</v>
      </c>
      <c r="G34" s="187" t="s">
        <v>367</v>
      </c>
      <c r="H34" s="187" t="s">
        <v>368</v>
      </c>
      <c r="I34" s="187" t="s">
        <v>369</v>
      </c>
      <c r="J34" s="187" t="s">
        <v>370</v>
      </c>
      <c r="K34" s="187" t="s">
        <v>371</v>
      </c>
      <c r="L34" s="187" t="s">
        <v>372</v>
      </c>
      <c r="M34" s="187" t="s">
        <v>353</v>
      </c>
      <c r="N34" s="187" t="s">
        <v>373</v>
      </c>
      <c r="O34" s="187" t="s">
        <v>363</v>
      </c>
      <c r="P34" s="187" t="s">
        <v>364</v>
      </c>
      <c r="Q34" s="187" t="s">
        <v>365</v>
      </c>
      <c r="R34" s="187" t="s">
        <v>366</v>
      </c>
      <c r="S34" s="187" t="s">
        <v>367</v>
      </c>
      <c r="T34" s="187" t="s">
        <v>368</v>
      </c>
      <c r="U34" s="187" t="s">
        <v>369</v>
      </c>
      <c r="V34" s="187" t="s">
        <v>370</v>
      </c>
      <c r="W34" s="187" t="s">
        <v>371</v>
      </c>
      <c r="X34" s="187" t="s">
        <v>372</v>
      </c>
      <c r="Y34" s="187" t="s">
        <v>353</v>
      </c>
      <c r="Z34" s="187" t="s">
        <v>373</v>
      </c>
      <c r="AA34" s="187" t="s">
        <v>363</v>
      </c>
      <c r="AB34" s="187" t="s">
        <v>364</v>
      </c>
      <c r="AC34" s="187" t="s">
        <v>365</v>
      </c>
      <c r="AD34" s="187" t="s">
        <v>366</v>
      </c>
      <c r="AE34" s="187" t="s">
        <v>367</v>
      </c>
      <c r="AF34" s="187" t="s">
        <v>368</v>
      </c>
      <c r="AG34" s="187" t="s">
        <v>369</v>
      </c>
      <c r="AH34" s="187" t="s">
        <v>370</v>
      </c>
      <c r="AI34" s="187" t="s">
        <v>371</v>
      </c>
      <c r="AJ34" s="187" t="s">
        <v>372</v>
      </c>
      <c r="AK34" s="187" t="s">
        <v>353</v>
      </c>
      <c r="AL34" s="187" t="s">
        <v>373</v>
      </c>
      <c r="AM34" s="187" t="s">
        <v>363</v>
      </c>
      <c r="AN34" s="187" t="s">
        <v>364</v>
      </c>
      <c r="AO34" s="187" t="s">
        <v>365</v>
      </c>
      <c r="AP34" s="187" t="s">
        <v>366</v>
      </c>
      <c r="AQ34" s="187" t="s">
        <v>367</v>
      </c>
      <c r="AR34" s="187" t="s">
        <v>368</v>
      </c>
      <c r="AS34" s="187" t="s">
        <v>369</v>
      </c>
      <c r="AT34" s="187" t="s">
        <v>370</v>
      </c>
      <c r="AU34" s="187" t="s">
        <v>371</v>
      </c>
      <c r="AV34" s="187" t="s">
        <v>372</v>
      </c>
      <c r="AW34" s="187" t="s">
        <v>353</v>
      </c>
      <c r="AX34" s="187" t="s">
        <v>373</v>
      </c>
      <c r="AY34" s="187" t="s">
        <v>363</v>
      </c>
      <c r="AZ34" s="187" t="s">
        <v>364</v>
      </c>
      <c r="BA34" s="187" t="s">
        <v>365</v>
      </c>
      <c r="BB34" s="187" t="s">
        <v>366</v>
      </c>
      <c r="BC34" s="187" t="s">
        <v>367</v>
      </c>
      <c r="BD34" s="187" t="s">
        <v>368</v>
      </c>
      <c r="BE34" s="187" t="s">
        <v>369</v>
      </c>
      <c r="BF34" s="187" t="s">
        <v>370</v>
      </c>
      <c r="BG34" s="187" t="s">
        <v>371</v>
      </c>
      <c r="BH34" s="187" t="s">
        <v>372</v>
      </c>
      <c r="BI34" s="187" t="s">
        <v>353</v>
      </c>
      <c r="BJ34" s="187" t="s">
        <v>373</v>
      </c>
      <c r="BK34" s="187" t="s">
        <v>363</v>
      </c>
      <c r="BL34" s="187" t="s">
        <v>364</v>
      </c>
      <c r="BM34" s="187" t="s">
        <v>365</v>
      </c>
      <c r="BN34" s="187" t="s">
        <v>366</v>
      </c>
      <c r="BO34" s="187" t="s">
        <v>367</v>
      </c>
      <c r="BP34" s="187" t="s">
        <v>368</v>
      </c>
      <c r="BQ34" s="187" t="s">
        <v>369</v>
      </c>
      <c r="BR34" s="187" t="s">
        <v>370</v>
      </c>
      <c r="BS34" s="187" t="s">
        <v>371</v>
      </c>
      <c r="BT34" s="187" t="s">
        <v>372</v>
      </c>
      <c r="BU34" s="187" t="s">
        <v>353</v>
      </c>
      <c r="BV34" s="187" t="s">
        <v>373</v>
      </c>
    </row>
    <row r="35" spans="2:74" ht="14.4">
      <c r="B35" s="187" t="s">
        <v>1083</v>
      </c>
      <c r="C35" s="784">
        <v>6121</v>
      </c>
      <c r="D35" s="784">
        <v>3822</v>
      </c>
      <c r="E35" s="784">
        <v>5787</v>
      </c>
      <c r="F35" s="784">
        <v>484</v>
      </c>
      <c r="G35" s="784">
        <v>9913</v>
      </c>
      <c r="H35" s="784">
        <v>9478</v>
      </c>
      <c r="I35" s="784">
        <v>11703</v>
      </c>
      <c r="J35" s="784">
        <v>10517</v>
      </c>
      <c r="K35" s="784">
        <v>4712</v>
      </c>
      <c r="L35" s="784">
        <v>5256</v>
      </c>
      <c r="M35" s="784">
        <v>3227</v>
      </c>
      <c r="N35" s="784">
        <v>2294</v>
      </c>
      <c r="O35" s="784">
        <v>1192</v>
      </c>
      <c r="P35" s="784">
        <v>944</v>
      </c>
      <c r="Q35" s="784">
        <v>1717</v>
      </c>
      <c r="R35" s="784">
        <v>116</v>
      </c>
      <c r="S35" s="784">
        <v>4660</v>
      </c>
      <c r="T35" s="784">
        <v>983</v>
      </c>
      <c r="U35" s="784">
        <v>807</v>
      </c>
      <c r="V35" s="784">
        <v>850</v>
      </c>
      <c r="W35" s="784">
        <v>702</v>
      </c>
      <c r="X35" s="784">
        <v>1604</v>
      </c>
      <c r="Y35" s="784">
        <v>977</v>
      </c>
      <c r="Z35" s="784">
        <v>1016</v>
      </c>
      <c r="AA35" s="784">
        <v>1062</v>
      </c>
      <c r="AB35" s="784">
        <v>444</v>
      </c>
      <c r="AC35" s="784">
        <v>471</v>
      </c>
      <c r="AD35" s="784">
        <v>28</v>
      </c>
      <c r="AE35" s="784">
        <v>2139</v>
      </c>
      <c r="AF35" s="784">
        <v>2902</v>
      </c>
      <c r="AG35" s="784">
        <v>4021</v>
      </c>
      <c r="AH35" s="784">
        <v>2259</v>
      </c>
      <c r="AI35" s="784">
        <v>1237</v>
      </c>
      <c r="AJ35" s="784">
        <v>2784</v>
      </c>
      <c r="AK35" s="784">
        <v>1548</v>
      </c>
      <c r="AL35" s="784">
        <v>439</v>
      </c>
      <c r="AM35" s="784">
        <v>802</v>
      </c>
      <c r="AN35" s="784">
        <v>436</v>
      </c>
      <c r="AO35" s="784">
        <v>288</v>
      </c>
      <c r="AP35" s="784">
        <v>6</v>
      </c>
      <c r="AQ35" s="784">
        <v>1498</v>
      </c>
      <c r="AR35" s="784">
        <v>3949</v>
      </c>
      <c r="AS35" s="784">
        <v>3851</v>
      </c>
      <c r="AT35" s="784">
        <v>1906</v>
      </c>
      <c r="AU35" s="784">
        <v>1721</v>
      </c>
      <c r="AV35" s="784">
        <v>4138</v>
      </c>
      <c r="AW35" s="784">
        <v>2861</v>
      </c>
      <c r="AX35" s="784">
        <v>290</v>
      </c>
      <c r="AY35" s="784">
        <v>13</v>
      </c>
      <c r="AZ35" s="784">
        <v>37</v>
      </c>
      <c r="BA35" s="784">
        <v>11</v>
      </c>
      <c r="BB35" s="784">
        <v>0</v>
      </c>
      <c r="BC35" s="784">
        <v>36</v>
      </c>
      <c r="BD35" s="784">
        <v>14</v>
      </c>
      <c r="BE35" s="784">
        <v>138</v>
      </c>
      <c r="BF35" s="784">
        <v>121</v>
      </c>
      <c r="BG35" s="784">
        <v>471</v>
      </c>
      <c r="BH35" s="784">
        <v>232</v>
      </c>
      <c r="BI35" s="784">
        <v>697</v>
      </c>
      <c r="BJ35" s="784">
        <v>170</v>
      </c>
      <c r="BK35" s="784">
        <v>588</v>
      </c>
      <c r="BL35" s="784">
        <v>388</v>
      </c>
      <c r="BM35" s="784">
        <v>322</v>
      </c>
      <c r="BN35" s="784">
        <v>17</v>
      </c>
      <c r="BO35" s="784">
        <v>334</v>
      </c>
      <c r="BP35" s="784">
        <v>198</v>
      </c>
      <c r="BQ35" s="784">
        <v>145</v>
      </c>
      <c r="BR35" s="784">
        <v>615</v>
      </c>
      <c r="BS35" s="784">
        <v>420</v>
      </c>
      <c r="BT35" s="784">
        <v>644</v>
      </c>
      <c r="BU35" s="784">
        <v>336</v>
      </c>
      <c r="BV35" s="784">
        <v>723</v>
      </c>
    </row>
    <row r="36" spans="2:74" ht="14.4">
      <c r="B36" s="187" t="s">
        <v>1073</v>
      </c>
      <c r="C36" s="784">
        <v>5656</v>
      </c>
      <c r="D36" s="784">
        <v>3748</v>
      </c>
      <c r="E36" s="784">
        <v>6557</v>
      </c>
      <c r="F36" s="784">
        <v>652</v>
      </c>
      <c r="G36" s="784">
        <v>13450</v>
      </c>
      <c r="H36" s="784">
        <v>16108</v>
      </c>
      <c r="I36" s="784">
        <v>16639</v>
      </c>
      <c r="J36" s="784">
        <v>20942</v>
      </c>
      <c r="K36" s="784">
        <v>12504</v>
      </c>
      <c r="L36" s="784">
        <v>11165</v>
      </c>
      <c r="M36" s="784">
        <v>6786</v>
      </c>
      <c r="N36" s="784">
        <v>4256</v>
      </c>
      <c r="O36" s="784">
        <v>533</v>
      </c>
      <c r="P36" s="784">
        <v>580</v>
      </c>
      <c r="Q36" s="784">
        <v>1379</v>
      </c>
      <c r="R36" s="784">
        <v>95</v>
      </c>
      <c r="S36" s="784">
        <v>6387</v>
      </c>
      <c r="T36" s="784">
        <v>3104</v>
      </c>
      <c r="U36" s="784">
        <v>2298</v>
      </c>
      <c r="V36" s="784">
        <v>3758</v>
      </c>
      <c r="W36" s="784">
        <v>2142</v>
      </c>
      <c r="X36" s="784">
        <v>3315</v>
      </c>
      <c r="Y36" s="784">
        <v>2511</v>
      </c>
      <c r="Z36" s="784">
        <v>668</v>
      </c>
      <c r="AA36" s="784">
        <v>206</v>
      </c>
      <c r="AB36" s="784">
        <v>166</v>
      </c>
      <c r="AC36" s="784">
        <v>223</v>
      </c>
      <c r="AD36" s="784">
        <v>43</v>
      </c>
      <c r="AE36" s="784">
        <v>4384</v>
      </c>
      <c r="AF36" s="784">
        <v>6083</v>
      </c>
      <c r="AG36" s="784">
        <v>8935</v>
      </c>
      <c r="AH36" s="784">
        <v>8067</v>
      </c>
      <c r="AI36" s="784">
        <v>4733</v>
      </c>
      <c r="AJ36" s="784">
        <v>4299</v>
      </c>
      <c r="AK36" s="784">
        <v>3963</v>
      </c>
      <c r="AL36" s="784">
        <v>320</v>
      </c>
      <c r="AM36" s="784">
        <v>66</v>
      </c>
      <c r="AN36" s="784">
        <v>86</v>
      </c>
      <c r="AO36" s="784">
        <v>126</v>
      </c>
      <c r="AP36" s="784">
        <v>14</v>
      </c>
      <c r="AQ36" s="784">
        <v>3872</v>
      </c>
      <c r="AR36" s="784">
        <v>10459</v>
      </c>
      <c r="AS36" s="784">
        <v>6963</v>
      </c>
      <c r="AT36" s="784">
        <v>4484</v>
      </c>
      <c r="AU36" s="784">
        <v>4964</v>
      </c>
      <c r="AV36" s="784">
        <v>14717</v>
      </c>
      <c r="AW36" s="784">
        <v>13356</v>
      </c>
      <c r="AX36" s="784">
        <v>173</v>
      </c>
      <c r="AY36" s="784">
        <v>15</v>
      </c>
      <c r="AZ36" s="784">
        <v>17</v>
      </c>
      <c r="BA36" s="784">
        <v>50</v>
      </c>
      <c r="BB36" s="784">
        <v>0</v>
      </c>
      <c r="BC36" s="784">
        <v>116</v>
      </c>
      <c r="BD36" s="784">
        <v>465</v>
      </c>
      <c r="BE36" s="784">
        <v>446</v>
      </c>
      <c r="BF36" s="784">
        <v>262</v>
      </c>
      <c r="BG36" s="784">
        <v>478</v>
      </c>
      <c r="BH36" s="784">
        <v>816</v>
      </c>
      <c r="BI36" s="784">
        <v>954</v>
      </c>
      <c r="BJ36" s="784">
        <v>205</v>
      </c>
      <c r="BK36" s="784">
        <v>243</v>
      </c>
      <c r="BL36" s="784">
        <v>168</v>
      </c>
      <c r="BM36" s="784">
        <v>278</v>
      </c>
      <c r="BN36" s="784">
        <v>14</v>
      </c>
      <c r="BO36" s="784">
        <v>449</v>
      </c>
      <c r="BP36" s="784">
        <v>474</v>
      </c>
      <c r="BQ36" s="784">
        <v>362</v>
      </c>
      <c r="BR36" s="784">
        <v>801</v>
      </c>
      <c r="BS36" s="784">
        <v>872</v>
      </c>
      <c r="BT36" s="784">
        <v>1792</v>
      </c>
      <c r="BU36" s="784">
        <v>1120</v>
      </c>
      <c r="BV36" s="784">
        <v>826</v>
      </c>
    </row>
    <row r="37" spans="2:74" ht="14.4">
      <c r="B37" s="187" t="s">
        <v>936</v>
      </c>
      <c r="C37" s="784">
        <v>974</v>
      </c>
      <c r="D37" s="784">
        <v>1909</v>
      </c>
      <c r="E37" s="784">
        <v>4150</v>
      </c>
      <c r="F37" s="784">
        <v>174</v>
      </c>
      <c r="G37" s="784">
        <v>2820</v>
      </c>
      <c r="H37" s="784">
        <v>2520</v>
      </c>
      <c r="I37" s="784">
        <v>3493</v>
      </c>
      <c r="J37" s="784">
        <v>4931</v>
      </c>
      <c r="K37" s="784">
        <v>2798</v>
      </c>
      <c r="L37" s="784">
        <v>1558</v>
      </c>
      <c r="M37" s="784">
        <v>1848</v>
      </c>
      <c r="N37" s="784">
        <v>144</v>
      </c>
      <c r="O37" s="784">
        <v>733</v>
      </c>
      <c r="P37" s="784">
        <v>1204</v>
      </c>
      <c r="Q37" s="784">
        <v>4036</v>
      </c>
      <c r="R37" s="784">
        <v>253</v>
      </c>
      <c r="S37" s="784">
        <v>5245</v>
      </c>
      <c r="T37" s="784">
        <v>1694</v>
      </c>
      <c r="U37" s="784">
        <v>1902</v>
      </c>
      <c r="V37" s="784">
        <v>1886</v>
      </c>
      <c r="W37" s="784">
        <v>1033</v>
      </c>
      <c r="X37" s="784">
        <v>1227</v>
      </c>
      <c r="Y37" s="784">
        <v>933</v>
      </c>
      <c r="Z37" s="784">
        <v>100</v>
      </c>
      <c r="AA37" s="784">
        <v>1582</v>
      </c>
      <c r="AB37" s="784">
        <v>1013</v>
      </c>
      <c r="AC37" s="784">
        <v>2078</v>
      </c>
      <c r="AD37" s="784">
        <v>96</v>
      </c>
      <c r="AE37" s="784">
        <v>4564</v>
      </c>
      <c r="AF37" s="784">
        <v>3592</v>
      </c>
      <c r="AG37" s="784">
        <v>4409</v>
      </c>
      <c r="AH37" s="784">
        <v>7676</v>
      </c>
      <c r="AI37" s="784">
        <v>2776</v>
      </c>
      <c r="AJ37" s="784">
        <v>1884</v>
      </c>
      <c r="AK37" s="784">
        <v>1008</v>
      </c>
      <c r="AL37" s="784">
        <v>91</v>
      </c>
      <c r="AM37" s="784">
        <v>30259</v>
      </c>
      <c r="AN37" s="784">
        <v>9529</v>
      </c>
      <c r="AO37" s="784">
        <v>37234</v>
      </c>
      <c r="AP37" s="784">
        <v>1449</v>
      </c>
      <c r="AQ37" s="784">
        <v>36488</v>
      </c>
      <c r="AR37" s="784">
        <v>23680</v>
      </c>
      <c r="AS37" s="784">
        <v>27328</v>
      </c>
      <c r="AT37" s="784">
        <v>20341</v>
      </c>
      <c r="AU37" s="784">
        <v>17107</v>
      </c>
      <c r="AV37" s="784">
        <v>22668</v>
      </c>
      <c r="AW37" s="784">
        <v>14391</v>
      </c>
      <c r="AX37" s="784">
        <v>260</v>
      </c>
      <c r="AY37" s="784">
        <v>234</v>
      </c>
      <c r="AZ37" s="784">
        <v>99</v>
      </c>
      <c r="BA37" s="784">
        <v>37</v>
      </c>
      <c r="BB37" s="784">
        <v>0</v>
      </c>
      <c r="BC37" s="784">
        <v>615</v>
      </c>
      <c r="BD37" s="784">
        <v>622</v>
      </c>
      <c r="BE37" s="784">
        <v>730</v>
      </c>
      <c r="BF37" s="784">
        <v>668</v>
      </c>
      <c r="BG37" s="784">
        <v>2038</v>
      </c>
      <c r="BH37" s="784">
        <v>2321</v>
      </c>
      <c r="BI37" s="784">
        <v>799</v>
      </c>
      <c r="BJ37" s="784">
        <v>12</v>
      </c>
      <c r="BK37" s="784">
        <v>559</v>
      </c>
      <c r="BL37" s="784">
        <v>148</v>
      </c>
      <c r="BM37" s="784">
        <v>610</v>
      </c>
      <c r="BN37" s="784">
        <v>10</v>
      </c>
      <c r="BO37" s="784">
        <v>588</v>
      </c>
      <c r="BP37" s="784">
        <v>755</v>
      </c>
      <c r="BQ37" s="784">
        <v>373</v>
      </c>
      <c r="BR37" s="784">
        <v>954</v>
      </c>
      <c r="BS37" s="784">
        <v>423</v>
      </c>
      <c r="BT37" s="784">
        <v>254</v>
      </c>
      <c r="BU37" s="784">
        <v>128</v>
      </c>
      <c r="BV37" s="784">
        <v>247</v>
      </c>
    </row>
    <row r="38" spans="2:74" ht="14.4">
      <c r="B38" s="187" t="s">
        <v>1085</v>
      </c>
      <c r="C38" s="784">
        <v>5570</v>
      </c>
      <c r="D38" s="784">
        <v>3288</v>
      </c>
      <c r="E38" s="784">
        <v>4480</v>
      </c>
      <c r="F38" s="784">
        <v>617</v>
      </c>
      <c r="G38" s="784">
        <v>11627</v>
      </c>
      <c r="H38" s="784">
        <v>8599</v>
      </c>
      <c r="I38" s="784">
        <v>14864</v>
      </c>
      <c r="J38" s="784">
        <v>8552</v>
      </c>
      <c r="K38" s="784">
        <v>3768</v>
      </c>
      <c r="L38" s="784">
        <v>3729</v>
      </c>
      <c r="M38" s="784">
        <v>1953</v>
      </c>
      <c r="N38" s="784">
        <v>4123</v>
      </c>
      <c r="O38" s="784">
        <v>218</v>
      </c>
      <c r="P38" s="784">
        <v>208</v>
      </c>
      <c r="Q38" s="784">
        <v>235</v>
      </c>
      <c r="R38" s="784">
        <v>21</v>
      </c>
      <c r="S38" s="784">
        <v>895</v>
      </c>
      <c r="T38" s="784">
        <v>284</v>
      </c>
      <c r="U38" s="784">
        <v>773</v>
      </c>
      <c r="V38" s="784">
        <v>797</v>
      </c>
      <c r="W38" s="784">
        <v>1004</v>
      </c>
      <c r="X38" s="784">
        <v>1076</v>
      </c>
      <c r="Y38" s="784">
        <v>794</v>
      </c>
      <c r="Z38" s="784">
        <v>486</v>
      </c>
      <c r="AA38" s="784">
        <v>351</v>
      </c>
      <c r="AB38" s="784">
        <v>196</v>
      </c>
      <c r="AC38" s="784">
        <v>102</v>
      </c>
      <c r="AD38" s="784">
        <v>12</v>
      </c>
      <c r="AE38" s="784">
        <v>752</v>
      </c>
      <c r="AF38" s="784">
        <v>546</v>
      </c>
      <c r="AG38" s="784">
        <v>1769</v>
      </c>
      <c r="AH38" s="784">
        <v>782</v>
      </c>
      <c r="AI38" s="784">
        <v>1128</v>
      </c>
      <c r="AJ38" s="784">
        <v>1343</v>
      </c>
      <c r="AK38" s="784">
        <v>1036</v>
      </c>
      <c r="AL38" s="784">
        <v>355</v>
      </c>
      <c r="AM38" s="784">
        <v>210</v>
      </c>
      <c r="AN38" s="784">
        <v>207</v>
      </c>
      <c r="AO38" s="784">
        <v>74</v>
      </c>
      <c r="AP38" s="784">
        <v>8</v>
      </c>
      <c r="AQ38" s="784">
        <v>886</v>
      </c>
      <c r="AR38" s="784">
        <v>1697</v>
      </c>
      <c r="AS38" s="784">
        <v>2380</v>
      </c>
      <c r="AT38" s="784">
        <v>515</v>
      </c>
      <c r="AU38" s="784">
        <v>820</v>
      </c>
      <c r="AV38" s="784">
        <v>2157</v>
      </c>
      <c r="AW38" s="784">
        <v>1534</v>
      </c>
      <c r="AX38" s="784">
        <v>164</v>
      </c>
      <c r="AY38" s="784">
        <v>55</v>
      </c>
      <c r="AZ38" s="784">
        <v>24</v>
      </c>
      <c r="BA38" s="784">
        <v>67</v>
      </c>
      <c r="BB38" s="784">
        <v>0</v>
      </c>
      <c r="BC38" s="784">
        <v>9</v>
      </c>
      <c r="BD38" s="784">
        <v>23</v>
      </c>
      <c r="BE38" s="784">
        <v>37</v>
      </c>
      <c r="BF38" s="784">
        <v>227</v>
      </c>
      <c r="BG38" s="784">
        <v>402</v>
      </c>
      <c r="BH38" s="784">
        <v>855</v>
      </c>
      <c r="BI38" s="784">
        <v>353</v>
      </c>
      <c r="BJ38" s="784">
        <v>366</v>
      </c>
      <c r="BK38" s="784">
        <v>399</v>
      </c>
      <c r="BL38" s="784">
        <v>128</v>
      </c>
      <c r="BM38" s="784">
        <v>222</v>
      </c>
      <c r="BN38" s="784">
        <v>6</v>
      </c>
      <c r="BO38" s="784">
        <v>432</v>
      </c>
      <c r="BP38" s="784">
        <v>137</v>
      </c>
      <c r="BQ38" s="784">
        <v>118</v>
      </c>
      <c r="BR38" s="784">
        <v>340</v>
      </c>
      <c r="BS38" s="784">
        <v>525</v>
      </c>
      <c r="BT38" s="784">
        <v>534</v>
      </c>
      <c r="BU38" s="784">
        <v>207</v>
      </c>
      <c r="BV38" s="784">
        <v>787</v>
      </c>
    </row>
    <row r="39" spans="2:74" ht="14.4">
      <c r="B39" s="187" t="s">
        <v>1086</v>
      </c>
      <c r="C39" s="784">
        <v>5339</v>
      </c>
      <c r="D39" s="784">
        <v>2527</v>
      </c>
      <c r="E39" s="784">
        <v>4667</v>
      </c>
      <c r="F39" s="784">
        <v>735</v>
      </c>
      <c r="G39" s="784">
        <v>11060</v>
      </c>
      <c r="H39" s="784">
        <v>8488</v>
      </c>
      <c r="I39" s="784">
        <v>12013</v>
      </c>
      <c r="J39" s="784">
        <v>9318</v>
      </c>
      <c r="K39" s="784">
        <v>4178</v>
      </c>
      <c r="L39" s="784">
        <v>3685</v>
      </c>
      <c r="M39" s="784">
        <v>2062</v>
      </c>
      <c r="N39" s="784">
        <v>5571</v>
      </c>
      <c r="O39" s="784">
        <v>428</v>
      </c>
      <c r="P39" s="784">
        <v>275</v>
      </c>
      <c r="Q39" s="784">
        <v>489</v>
      </c>
      <c r="R39" s="784">
        <v>56</v>
      </c>
      <c r="S39" s="784">
        <v>1376</v>
      </c>
      <c r="T39" s="784">
        <v>460</v>
      </c>
      <c r="U39" s="784">
        <v>780</v>
      </c>
      <c r="V39" s="784">
        <v>1147</v>
      </c>
      <c r="W39" s="784">
        <v>1012</v>
      </c>
      <c r="X39" s="784">
        <v>1138</v>
      </c>
      <c r="Y39" s="784">
        <v>815</v>
      </c>
      <c r="Z39" s="784">
        <v>1081</v>
      </c>
      <c r="AA39" s="784">
        <v>105</v>
      </c>
      <c r="AB39" s="784">
        <v>136</v>
      </c>
      <c r="AC39" s="784">
        <v>148</v>
      </c>
      <c r="AD39" s="784">
        <v>24</v>
      </c>
      <c r="AE39" s="784">
        <v>512</v>
      </c>
      <c r="AF39" s="784">
        <v>761</v>
      </c>
      <c r="AG39" s="784">
        <v>1055</v>
      </c>
      <c r="AH39" s="784">
        <v>726</v>
      </c>
      <c r="AI39" s="784">
        <v>1165</v>
      </c>
      <c r="AJ39" s="784">
        <v>1330</v>
      </c>
      <c r="AK39" s="784">
        <v>634</v>
      </c>
      <c r="AL39" s="784">
        <v>450</v>
      </c>
      <c r="AM39" s="784">
        <v>110</v>
      </c>
      <c r="AN39" s="784">
        <v>191</v>
      </c>
      <c r="AO39" s="784">
        <v>76</v>
      </c>
      <c r="AP39" s="784">
        <v>45</v>
      </c>
      <c r="AQ39" s="784">
        <v>568</v>
      </c>
      <c r="AR39" s="784">
        <v>993</v>
      </c>
      <c r="AS39" s="784">
        <v>1048</v>
      </c>
      <c r="AT39" s="784">
        <v>581</v>
      </c>
      <c r="AU39" s="784">
        <v>548</v>
      </c>
      <c r="AV39" s="784">
        <v>1565</v>
      </c>
      <c r="AW39" s="784">
        <v>1160</v>
      </c>
      <c r="AX39" s="784">
        <v>111</v>
      </c>
      <c r="AY39" s="784">
        <v>5</v>
      </c>
      <c r="AZ39" s="784">
        <v>0</v>
      </c>
      <c r="BA39" s="784">
        <v>15</v>
      </c>
      <c r="BB39" s="784">
        <v>7</v>
      </c>
      <c r="BC39" s="784">
        <v>51</v>
      </c>
      <c r="BD39" s="784">
        <v>59</v>
      </c>
      <c r="BE39" s="784">
        <v>368</v>
      </c>
      <c r="BF39" s="784">
        <v>187</v>
      </c>
      <c r="BG39" s="784">
        <v>1008</v>
      </c>
      <c r="BH39" s="784">
        <v>423</v>
      </c>
      <c r="BI39" s="784">
        <v>597</v>
      </c>
      <c r="BJ39" s="784">
        <v>166</v>
      </c>
      <c r="BK39" s="784">
        <v>116</v>
      </c>
      <c r="BL39" s="784">
        <v>120</v>
      </c>
      <c r="BM39" s="784">
        <v>154</v>
      </c>
      <c r="BN39" s="784">
        <v>20</v>
      </c>
      <c r="BO39" s="784">
        <v>292</v>
      </c>
      <c r="BP39" s="784">
        <v>148</v>
      </c>
      <c r="BQ39" s="784">
        <v>109</v>
      </c>
      <c r="BR39" s="784">
        <v>287</v>
      </c>
      <c r="BS39" s="784">
        <v>433</v>
      </c>
      <c r="BT39" s="784">
        <v>376</v>
      </c>
      <c r="BU39" s="784">
        <v>110</v>
      </c>
      <c r="BV39" s="784">
        <v>869</v>
      </c>
    </row>
    <row r="40" spans="2:74" ht="14.4">
      <c r="B40" s="187" t="s">
        <v>1084</v>
      </c>
      <c r="C40" s="784">
        <v>5716</v>
      </c>
      <c r="D40" s="784">
        <v>3487</v>
      </c>
      <c r="E40" s="784">
        <v>4995</v>
      </c>
      <c r="F40" s="784">
        <v>523</v>
      </c>
      <c r="G40" s="784">
        <v>10195</v>
      </c>
      <c r="H40" s="784">
        <v>8636</v>
      </c>
      <c r="I40" s="784">
        <v>11311</v>
      </c>
      <c r="J40" s="784">
        <v>11163</v>
      </c>
      <c r="K40" s="784">
        <v>5551</v>
      </c>
      <c r="L40" s="784">
        <v>5414</v>
      </c>
      <c r="M40" s="784">
        <v>3371</v>
      </c>
      <c r="N40" s="784">
        <v>4280</v>
      </c>
      <c r="O40" s="784">
        <v>886</v>
      </c>
      <c r="P40" s="784">
        <v>753</v>
      </c>
      <c r="Q40" s="784">
        <v>1345</v>
      </c>
      <c r="R40" s="784">
        <v>59</v>
      </c>
      <c r="S40" s="784">
        <v>2628</v>
      </c>
      <c r="T40" s="784">
        <v>814</v>
      </c>
      <c r="U40" s="784">
        <v>1341</v>
      </c>
      <c r="V40" s="784">
        <v>1706</v>
      </c>
      <c r="W40" s="784">
        <v>1052</v>
      </c>
      <c r="X40" s="784">
        <v>1515</v>
      </c>
      <c r="Y40" s="784">
        <v>1026</v>
      </c>
      <c r="Z40" s="784">
        <v>817</v>
      </c>
      <c r="AA40" s="784">
        <v>601</v>
      </c>
      <c r="AB40" s="784">
        <v>415</v>
      </c>
      <c r="AC40" s="784">
        <v>393</v>
      </c>
      <c r="AD40" s="784">
        <v>36</v>
      </c>
      <c r="AE40" s="784">
        <v>1376</v>
      </c>
      <c r="AF40" s="784">
        <v>872</v>
      </c>
      <c r="AG40" s="784">
        <v>2670</v>
      </c>
      <c r="AH40" s="784">
        <v>2420</v>
      </c>
      <c r="AI40" s="784">
        <v>1754</v>
      </c>
      <c r="AJ40" s="784">
        <v>2279</v>
      </c>
      <c r="AK40" s="784">
        <v>1463</v>
      </c>
      <c r="AL40" s="784">
        <v>390</v>
      </c>
      <c r="AM40" s="784">
        <v>569</v>
      </c>
      <c r="AN40" s="784">
        <v>301</v>
      </c>
      <c r="AO40" s="784">
        <v>388</v>
      </c>
      <c r="AP40" s="784">
        <v>2</v>
      </c>
      <c r="AQ40" s="784">
        <v>1670</v>
      </c>
      <c r="AR40" s="784">
        <v>3234</v>
      </c>
      <c r="AS40" s="784">
        <v>5192</v>
      </c>
      <c r="AT40" s="784">
        <v>1156</v>
      </c>
      <c r="AU40" s="784">
        <v>1783</v>
      </c>
      <c r="AV40" s="784">
        <v>4754</v>
      </c>
      <c r="AW40" s="784">
        <v>3158</v>
      </c>
      <c r="AX40" s="784">
        <v>153</v>
      </c>
      <c r="AY40" s="784">
        <v>9</v>
      </c>
      <c r="AZ40" s="784">
        <v>17</v>
      </c>
      <c r="BA40" s="784">
        <v>1</v>
      </c>
      <c r="BB40" s="784">
        <v>0</v>
      </c>
      <c r="BC40" s="784">
        <v>56</v>
      </c>
      <c r="BD40" s="784">
        <v>64</v>
      </c>
      <c r="BE40" s="784">
        <v>334</v>
      </c>
      <c r="BF40" s="784">
        <v>202</v>
      </c>
      <c r="BG40" s="784">
        <v>456</v>
      </c>
      <c r="BH40" s="784">
        <v>678</v>
      </c>
      <c r="BI40" s="784">
        <v>436</v>
      </c>
      <c r="BJ40" s="784">
        <v>147</v>
      </c>
      <c r="BK40" s="784">
        <v>342</v>
      </c>
      <c r="BL40" s="784">
        <v>162</v>
      </c>
      <c r="BM40" s="784">
        <v>133</v>
      </c>
      <c r="BN40" s="784">
        <v>6</v>
      </c>
      <c r="BO40" s="784">
        <v>215</v>
      </c>
      <c r="BP40" s="784">
        <v>140</v>
      </c>
      <c r="BQ40" s="784">
        <v>77</v>
      </c>
      <c r="BR40" s="784">
        <v>308</v>
      </c>
      <c r="BS40" s="784">
        <v>622</v>
      </c>
      <c r="BT40" s="784">
        <v>828</v>
      </c>
      <c r="BU40" s="784">
        <v>454</v>
      </c>
      <c r="BV40" s="784">
        <v>771</v>
      </c>
    </row>
    <row r="41" spans="2:74" ht="14.4">
      <c r="B41" s="187" t="s">
        <v>1087</v>
      </c>
      <c r="C41" s="784">
        <v>6153</v>
      </c>
      <c r="D41" s="784">
        <v>3095</v>
      </c>
      <c r="E41" s="784">
        <v>4664</v>
      </c>
      <c r="F41" s="784">
        <v>248</v>
      </c>
      <c r="G41" s="784">
        <v>8323</v>
      </c>
      <c r="H41" s="784">
        <v>9191</v>
      </c>
      <c r="I41" s="784">
        <v>8985</v>
      </c>
      <c r="J41" s="784">
        <v>8383</v>
      </c>
      <c r="K41" s="784">
        <v>4691</v>
      </c>
      <c r="L41" s="784">
        <v>4724</v>
      </c>
      <c r="M41" s="784">
        <v>2741</v>
      </c>
      <c r="N41" s="784">
        <v>1925</v>
      </c>
      <c r="O41" s="784">
        <v>849</v>
      </c>
      <c r="P41" s="784">
        <v>844</v>
      </c>
      <c r="Q41" s="784">
        <v>1082</v>
      </c>
      <c r="R41" s="784">
        <v>22</v>
      </c>
      <c r="S41" s="784">
        <v>2250</v>
      </c>
      <c r="T41" s="784">
        <v>554</v>
      </c>
      <c r="U41" s="784">
        <v>671</v>
      </c>
      <c r="V41" s="784">
        <v>932</v>
      </c>
      <c r="W41" s="784">
        <v>1246</v>
      </c>
      <c r="X41" s="784">
        <v>1507</v>
      </c>
      <c r="Y41" s="784">
        <v>1049</v>
      </c>
      <c r="Z41" s="784">
        <v>936</v>
      </c>
      <c r="AA41" s="784">
        <v>620</v>
      </c>
      <c r="AB41" s="784">
        <v>533</v>
      </c>
      <c r="AC41" s="784">
        <v>334</v>
      </c>
      <c r="AD41" s="784">
        <v>20</v>
      </c>
      <c r="AE41" s="784">
        <v>2047</v>
      </c>
      <c r="AF41" s="784">
        <v>1652</v>
      </c>
      <c r="AG41" s="784">
        <v>2868</v>
      </c>
      <c r="AH41" s="784">
        <v>2996</v>
      </c>
      <c r="AI41" s="784">
        <v>1863</v>
      </c>
      <c r="AJ41" s="784">
        <v>2084</v>
      </c>
      <c r="AK41" s="784">
        <v>1414</v>
      </c>
      <c r="AL41" s="784">
        <v>470</v>
      </c>
      <c r="AM41" s="784">
        <v>480</v>
      </c>
      <c r="AN41" s="784">
        <v>492</v>
      </c>
      <c r="AO41" s="784">
        <v>209</v>
      </c>
      <c r="AP41" s="784">
        <v>0</v>
      </c>
      <c r="AQ41" s="784">
        <v>810</v>
      </c>
      <c r="AR41" s="784">
        <v>1791</v>
      </c>
      <c r="AS41" s="784">
        <v>3190</v>
      </c>
      <c r="AT41" s="784">
        <v>1643</v>
      </c>
      <c r="AU41" s="784">
        <v>1373</v>
      </c>
      <c r="AV41" s="784">
        <v>3803</v>
      </c>
      <c r="AW41" s="784">
        <v>2834</v>
      </c>
      <c r="AX41" s="784">
        <v>273</v>
      </c>
      <c r="AY41" s="784">
        <v>19</v>
      </c>
      <c r="AZ41" s="784">
        <v>7</v>
      </c>
      <c r="BA41" s="784">
        <v>0</v>
      </c>
      <c r="BB41" s="784">
        <v>0</v>
      </c>
      <c r="BC41" s="784">
        <v>54</v>
      </c>
      <c r="BD41" s="784">
        <v>75</v>
      </c>
      <c r="BE41" s="784">
        <v>110</v>
      </c>
      <c r="BF41" s="784">
        <v>192</v>
      </c>
      <c r="BG41" s="784">
        <v>584</v>
      </c>
      <c r="BH41" s="784">
        <v>878</v>
      </c>
      <c r="BI41" s="784">
        <v>460</v>
      </c>
      <c r="BJ41" s="784">
        <v>164</v>
      </c>
      <c r="BK41" s="784">
        <v>569</v>
      </c>
      <c r="BL41" s="784">
        <v>343</v>
      </c>
      <c r="BM41" s="784">
        <v>159</v>
      </c>
      <c r="BN41" s="784">
        <v>9</v>
      </c>
      <c r="BO41" s="784">
        <v>146</v>
      </c>
      <c r="BP41" s="784">
        <v>165</v>
      </c>
      <c r="BQ41" s="784">
        <v>208</v>
      </c>
      <c r="BR41" s="784">
        <v>412</v>
      </c>
      <c r="BS41" s="784">
        <v>291</v>
      </c>
      <c r="BT41" s="784">
        <v>712</v>
      </c>
      <c r="BU41" s="784">
        <v>410</v>
      </c>
      <c r="BV41" s="784">
        <v>854</v>
      </c>
    </row>
    <row r="42" spans="2:74" ht="14.4">
      <c r="B42" s="187" t="s">
        <v>1088</v>
      </c>
      <c r="C42" s="784">
        <v>6416</v>
      </c>
      <c r="D42" s="784">
        <v>3194</v>
      </c>
      <c r="E42" s="784">
        <v>3936</v>
      </c>
      <c r="F42" s="784">
        <v>362</v>
      </c>
      <c r="G42" s="784">
        <v>8689</v>
      </c>
      <c r="H42" s="784">
        <v>6868</v>
      </c>
      <c r="I42" s="784">
        <v>8305</v>
      </c>
      <c r="J42" s="784">
        <v>7250</v>
      </c>
      <c r="K42" s="784">
        <v>3128</v>
      </c>
      <c r="L42" s="784">
        <v>3343</v>
      </c>
      <c r="M42" s="784">
        <v>1742</v>
      </c>
      <c r="N42" s="784">
        <v>3256</v>
      </c>
      <c r="O42" s="784">
        <v>577</v>
      </c>
      <c r="P42" s="784">
        <v>563</v>
      </c>
      <c r="Q42" s="784">
        <v>417</v>
      </c>
      <c r="R42" s="784">
        <v>42</v>
      </c>
      <c r="S42" s="784">
        <v>1312</v>
      </c>
      <c r="T42" s="784">
        <v>326</v>
      </c>
      <c r="U42" s="784">
        <v>434</v>
      </c>
      <c r="V42" s="784">
        <v>739</v>
      </c>
      <c r="W42" s="784">
        <v>629</v>
      </c>
      <c r="X42" s="784">
        <v>751</v>
      </c>
      <c r="Y42" s="784">
        <v>540</v>
      </c>
      <c r="Z42" s="784">
        <v>524</v>
      </c>
      <c r="AA42" s="784">
        <v>318</v>
      </c>
      <c r="AB42" s="784">
        <v>392</v>
      </c>
      <c r="AC42" s="784">
        <v>66</v>
      </c>
      <c r="AD42" s="784">
        <v>10</v>
      </c>
      <c r="AE42" s="784">
        <v>1261</v>
      </c>
      <c r="AF42" s="784">
        <v>1116</v>
      </c>
      <c r="AG42" s="784">
        <v>1908</v>
      </c>
      <c r="AH42" s="784">
        <v>1001</v>
      </c>
      <c r="AI42" s="784">
        <v>875</v>
      </c>
      <c r="AJ42" s="784">
        <v>1213</v>
      </c>
      <c r="AK42" s="784">
        <v>542</v>
      </c>
      <c r="AL42" s="784">
        <v>259</v>
      </c>
      <c r="AM42" s="784">
        <v>202</v>
      </c>
      <c r="AN42" s="784">
        <v>317</v>
      </c>
      <c r="AO42" s="784">
        <v>48</v>
      </c>
      <c r="AP42" s="784">
        <v>0</v>
      </c>
      <c r="AQ42" s="784">
        <v>1331</v>
      </c>
      <c r="AR42" s="784">
        <v>2174</v>
      </c>
      <c r="AS42" s="784">
        <v>1972</v>
      </c>
      <c r="AT42" s="784">
        <v>500</v>
      </c>
      <c r="AU42" s="784">
        <v>846</v>
      </c>
      <c r="AV42" s="784">
        <v>1660</v>
      </c>
      <c r="AW42" s="784">
        <v>936</v>
      </c>
      <c r="AX42" s="784">
        <v>393</v>
      </c>
      <c r="AY42" s="784">
        <v>45</v>
      </c>
      <c r="AZ42" s="784">
        <v>32</v>
      </c>
      <c r="BA42" s="784">
        <v>4</v>
      </c>
      <c r="BB42" s="784">
        <v>0</v>
      </c>
      <c r="BC42" s="784">
        <v>57</v>
      </c>
      <c r="BD42" s="784">
        <v>15</v>
      </c>
      <c r="BE42" s="784">
        <v>45</v>
      </c>
      <c r="BF42" s="784">
        <v>373</v>
      </c>
      <c r="BG42" s="784">
        <v>655</v>
      </c>
      <c r="BH42" s="784">
        <v>292</v>
      </c>
      <c r="BI42" s="784">
        <v>223</v>
      </c>
      <c r="BJ42" s="784">
        <v>151</v>
      </c>
      <c r="BK42" s="784">
        <v>415</v>
      </c>
      <c r="BL42" s="784">
        <v>254</v>
      </c>
      <c r="BM42" s="784">
        <v>103</v>
      </c>
      <c r="BN42" s="784">
        <v>10</v>
      </c>
      <c r="BO42" s="784">
        <v>131</v>
      </c>
      <c r="BP42" s="784">
        <v>86</v>
      </c>
      <c r="BQ42" s="784">
        <v>78</v>
      </c>
      <c r="BR42" s="784">
        <v>241</v>
      </c>
      <c r="BS42" s="784">
        <v>532</v>
      </c>
      <c r="BT42" s="784">
        <v>474</v>
      </c>
      <c r="BU42" s="784">
        <v>182</v>
      </c>
      <c r="BV42" s="784">
        <v>712</v>
      </c>
    </row>
    <row r="43" spans="2:74" ht="14.4">
      <c r="B43" s="187" t="s">
        <v>1089</v>
      </c>
      <c r="C43" s="784">
        <v>6622</v>
      </c>
      <c r="D43" s="784">
        <v>1253</v>
      </c>
      <c r="E43" s="784">
        <v>1717</v>
      </c>
      <c r="F43" s="784">
        <v>184</v>
      </c>
      <c r="G43" s="784">
        <v>4589</v>
      </c>
      <c r="H43" s="784">
        <v>4450</v>
      </c>
      <c r="I43" s="784">
        <v>6425</v>
      </c>
      <c r="J43" s="784">
        <v>5234</v>
      </c>
      <c r="K43" s="784">
        <v>3147</v>
      </c>
      <c r="L43" s="784">
        <v>3723</v>
      </c>
      <c r="M43" s="784">
        <v>2181</v>
      </c>
      <c r="N43" s="784">
        <v>1493</v>
      </c>
      <c r="O43" s="784">
        <v>190</v>
      </c>
      <c r="P43" s="784">
        <v>52</v>
      </c>
      <c r="Q43" s="784">
        <v>72</v>
      </c>
      <c r="R43" s="784">
        <v>9</v>
      </c>
      <c r="S43" s="784">
        <v>255</v>
      </c>
      <c r="T43" s="784">
        <v>102</v>
      </c>
      <c r="U43" s="784">
        <v>304</v>
      </c>
      <c r="V43" s="784">
        <v>561</v>
      </c>
      <c r="W43" s="784">
        <v>393</v>
      </c>
      <c r="X43" s="784">
        <v>627</v>
      </c>
      <c r="Y43" s="784">
        <v>583</v>
      </c>
      <c r="Z43" s="784">
        <v>174</v>
      </c>
      <c r="AA43" s="784">
        <v>287</v>
      </c>
      <c r="AB43" s="784">
        <v>32</v>
      </c>
      <c r="AC43" s="784">
        <v>29</v>
      </c>
      <c r="AD43" s="784">
        <v>3</v>
      </c>
      <c r="AE43" s="784">
        <v>172</v>
      </c>
      <c r="AF43" s="784">
        <v>130</v>
      </c>
      <c r="AG43" s="784">
        <v>950</v>
      </c>
      <c r="AH43" s="784">
        <v>602</v>
      </c>
      <c r="AI43" s="784">
        <v>456</v>
      </c>
      <c r="AJ43" s="784">
        <v>1044</v>
      </c>
      <c r="AK43" s="784">
        <v>855</v>
      </c>
      <c r="AL43" s="784">
        <v>228</v>
      </c>
      <c r="AM43" s="784">
        <v>159</v>
      </c>
      <c r="AN43" s="784">
        <v>4</v>
      </c>
      <c r="AO43" s="784">
        <v>39</v>
      </c>
      <c r="AP43" s="784">
        <v>0</v>
      </c>
      <c r="AQ43" s="784">
        <v>70</v>
      </c>
      <c r="AR43" s="784">
        <v>146</v>
      </c>
      <c r="AS43" s="784">
        <v>717</v>
      </c>
      <c r="AT43" s="784">
        <v>467</v>
      </c>
      <c r="AU43" s="784">
        <v>249</v>
      </c>
      <c r="AV43" s="784">
        <v>1201</v>
      </c>
      <c r="AW43" s="784">
        <v>1585</v>
      </c>
      <c r="AX43" s="784">
        <v>64</v>
      </c>
      <c r="AY43" s="784">
        <v>15</v>
      </c>
      <c r="AZ43" s="784">
        <v>78</v>
      </c>
      <c r="BA43" s="784">
        <v>0</v>
      </c>
      <c r="BB43" s="784">
        <v>0</v>
      </c>
      <c r="BC43" s="784">
        <v>0</v>
      </c>
      <c r="BD43" s="784">
        <v>20</v>
      </c>
      <c r="BE43" s="784">
        <v>9</v>
      </c>
      <c r="BF43" s="784">
        <v>100</v>
      </c>
      <c r="BG43" s="784">
        <v>258</v>
      </c>
      <c r="BH43" s="784">
        <v>414</v>
      </c>
      <c r="BI43" s="784">
        <v>89</v>
      </c>
      <c r="BJ43" s="784">
        <v>508</v>
      </c>
      <c r="BK43" s="784">
        <v>346</v>
      </c>
      <c r="BL43" s="784">
        <v>52</v>
      </c>
      <c r="BM43" s="784">
        <v>22</v>
      </c>
      <c r="BN43" s="784">
        <v>16</v>
      </c>
      <c r="BO43" s="784">
        <v>33</v>
      </c>
      <c r="BP43" s="784">
        <v>55</v>
      </c>
      <c r="BQ43" s="784">
        <v>55</v>
      </c>
      <c r="BR43" s="784">
        <v>285</v>
      </c>
      <c r="BS43" s="784">
        <v>287</v>
      </c>
      <c r="BT43" s="784">
        <v>548</v>
      </c>
      <c r="BU43" s="784">
        <v>389</v>
      </c>
      <c r="BV43" s="784">
        <v>465</v>
      </c>
    </row>
    <row r="44" spans="2:74" ht="14.4">
      <c r="B44" s="187" t="s">
        <v>1090</v>
      </c>
      <c r="C44" s="784">
        <v>4487</v>
      </c>
      <c r="D44" s="784">
        <v>1424</v>
      </c>
      <c r="E44" s="784">
        <v>2305</v>
      </c>
      <c r="F44" s="784">
        <v>181</v>
      </c>
      <c r="G44" s="784">
        <v>5226</v>
      </c>
      <c r="H44" s="784">
        <v>7089</v>
      </c>
      <c r="I44" s="784">
        <v>7698</v>
      </c>
      <c r="J44" s="784">
        <v>6441</v>
      </c>
      <c r="K44" s="784">
        <v>4379</v>
      </c>
      <c r="L44" s="784">
        <v>4229</v>
      </c>
      <c r="M44" s="784">
        <v>2698</v>
      </c>
      <c r="N44" s="784">
        <v>1566</v>
      </c>
      <c r="O44" s="784">
        <v>315</v>
      </c>
      <c r="P44" s="784">
        <v>193</v>
      </c>
      <c r="Q44" s="784">
        <v>598</v>
      </c>
      <c r="R44" s="784">
        <v>17</v>
      </c>
      <c r="S44" s="784">
        <v>1245</v>
      </c>
      <c r="T44" s="784">
        <v>496</v>
      </c>
      <c r="U44" s="784">
        <v>829</v>
      </c>
      <c r="V44" s="784">
        <v>891</v>
      </c>
      <c r="W44" s="784">
        <v>810</v>
      </c>
      <c r="X44" s="784">
        <v>1166</v>
      </c>
      <c r="Y44" s="784">
        <v>827</v>
      </c>
      <c r="Z44" s="784">
        <v>180</v>
      </c>
      <c r="AA44" s="784">
        <v>312</v>
      </c>
      <c r="AB44" s="784">
        <v>137</v>
      </c>
      <c r="AC44" s="784">
        <v>702</v>
      </c>
      <c r="AD44" s="784">
        <v>3</v>
      </c>
      <c r="AE44" s="784">
        <v>1591</v>
      </c>
      <c r="AF44" s="784">
        <v>1482</v>
      </c>
      <c r="AG44" s="784">
        <v>2166</v>
      </c>
      <c r="AH44" s="784">
        <v>997</v>
      </c>
      <c r="AI44" s="784">
        <v>1039</v>
      </c>
      <c r="AJ44" s="784">
        <v>1997</v>
      </c>
      <c r="AK44" s="784">
        <v>1140</v>
      </c>
      <c r="AL44" s="784">
        <v>148</v>
      </c>
      <c r="AM44" s="784">
        <v>337</v>
      </c>
      <c r="AN44" s="784">
        <v>95</v>
      </c>
      <c r="AO44" s="784">
        <v>397</v>
      </c>
      <c r="AP44" s="784">
        <v>0</v>
      </c>
      <c r="AQ44" s="784">
        <v>1808</v>
      </c>
      <c r="AR44" s="784">
        <v>1788</v>
      </c>
      <c r="AS44" s="784">
        <v>1938</v>
      </c>
      <c r="AT44" s="784">
        <v>724</v>
      </c>
      <c r="AU44" s="784">
        <v>1106</v>
      </c>
      <c r="AV44" s="784">
        <v>3113</v>
      </c>
      <c r="AW44" s="784">
        <v>3253</v>
      </c>
      <c r="AX44" s="784">
        <v>69</v>
      </c>
      <c r="AY44" s="784">
        <v>16</v>
      </c>
      <c r="AZ44" s="784">
        <v>24</v>
      </c>
      <c r="BA44" s="784">
        <v>0</v>
      </c>
      <c r="BB44" s="784">
        <v>0</v>
      </c>
      <c r="BC44" s="784">
        <v>30</v>
      </c>
      <c r="BD44" s="784">
        <v>51</v>
      </c>
      <c r="BE44" s="784">
        <v>264</v>
      </c>
      <c r="BF44" s="784">
        <v>695</v>
      </c>
      <c r="BG44" s="784">
        <v>317</v>
      </c>
      <c r="BH44" s="784">
        <v>360</v>
      </c>
      <c r="BI44" s="784">
        <v>554</v>
      </c>
      <c r="BJ44" s="784">
        <v>55</v>
      </c>
      <c r="BK44" s="784">
        <v>227</v>
      </c>
      <c r="BL44" s="784">
        <v>79</v>
      </c>
      <c r="BM44" s="784">
        <v>97</v>
      </c>
      <c r="BN44" s="784">
        <v>14</v>
      </c>
      <c r="BO44" s="784">
        <v>157</v>
      </c>
      <c r="BP44" s="784">
        <v>233</v>
      </c>
      <c r="BQ44" s="784">
        <v>118</v>
      </c>
      <c r="BR44" s="784">
        <v>337</v>
      </c>
      <c r="BS44" s="784">
        <v>511</v>
      </c>
      <c r="BT44" s="784">
        <v>507</v>
      </c>
      <c r="BU44" s="784">
        <v>269</v>
      </c>
      <c r="BV44" s="784">
        <v>555</v>
      </c>
    </row>
    <row r="45" spans="2:74" ht="14.4">
      <c r="B45" s="187" t="s">
        <v>1091</v>
      </c>
      <c r="C45" s="784">
        <v>4897</v>
      </c>
      <c r="D45" s="784">
        <v>4030</v>
      </c>
      <c r="E45" s="784">
        <v>5323</v>
      </c>
      <c r="F45" s="784">
        <v>372</v>
      </c>
      <c r="G45" s="784">
        <v>12377</v>
      </c>
      <c r="H45" s="784">
        <v>14692</v>
      </c>
      <c r="I45" s="784">
        <v>19925</v>
      </c>
      <c r="J45" s="784">
        <v>20857</v>
      </c>
      <c r="K45" s="784">
        <v>12949</v>
      </c>
      <c r="L45" s="784">
        <v>10950</v>
      </c>
      <c r="M45" s="784">
        <v>7123</v>
      </c>
      <c r="N45" s="784">
        <v>4104</v>
      </c>
      <c r="O45" s="784">
        <v>1216</v>
      </c>
      <c r="P45" s="784">
        <v>2873</v>
      </c>
      <c r="Q45" s="784">
        <v>2175</v>
      </c>
      <c r="R45" s="784">
        <v>36</v>
      </c>
      <c r="S45" s="784">
        <v>4083</v>
      </c>
      <c r="T45" s="784">
        <v>1951</v>
      </c>
      <c r="U45" s="784">
        <v>1627</v>
      </c>
      <c r="V45" s="784">
        <v>2002</v>
      </c>
      <c r="W45" s="784">
        <v>1823</v>
      </c>
      <c r="X45" s="784">
        <v>2503</v>
      </c>
      <c r="Y45" s="784">
        <v>1599</v>
      </c>
      <c r="Z45" s="784">
        <v>980</v>
      </c>
      <c r="AA45" s="784">
        <v>734</v>
      </c>
      <c r="AB45" s="784">
        <v>986</v>
      </c>
      <c r="AC45" s="784">
        <v>739</v>
      </c>
      <c r="AD45" s="784">
        <v>25</v>
      </c>
      <c r="AE45" s="784">
        <v>3124</v>
      </c>
      <c r="AF45" s="784">
        <v>1994</v>
      </c>
      <c r="AG45" s="784">
        <v>2945</v>
      </c>
      <c r="AH45" s="784">
        <v>3459</v>
      </c>
      <c r="AI45" s="784">
        <v>2568</v>
      </c>
      <c r="AJ45" s="784">
        <v>4917</v>
      </c>
      <c r="AK45" s="784">
        <v>5277</v>
      </c>
      <c r="AL45" s="784">
        <v>241</v>
      </c>
      <c r="AM45" s="784">
        <v>307</v>
      </c>
      <c r="AN45" s="784">
        <v>177</v>
      </c>
      <c r="AO45" s="784">
        <v>203</v>
      </c>
      <c r="AP45" s="784">
        <v>24</v>
      </c>
      <c r="AQ45" s="784">
        <v>1576</v>
      </c>
      <c r="AR45" s="784">
        <v>2149</v>
      </c>
      <c r="AS45" s="784">
        <v>4458</v>
      </c>
      <c r="AT45" s="784">
        <v>3622</v>
      </c>
      <c r="AU45" s="784">
        <v>3035</v>
      </c>
      <c r="AV45" s="784">
        <v>11378</v>
      </c>
      <c r="AW45" s="784">
        <v>8605</v>
      </c>
      <c r="AX45" s="784">
        <v>103</v>
      </c>
      <c r="AY45" s="784">
        <v>104</v>
      </c>
      <c r="AZ45" s="784">
        <v>18</v>
      </c>
      <c r="BA45" s="784">
        <v>30</v>
      </c>
      <c r="BB45" s="784">
        <v>0</v>
      </c>
      <c r="BC45" s="784">
        <v>88</v>
      </c>
      <c r="BD45" s="784">
        <v>28</v>
      </c>
      <c r="BE45" s="784">
        <v>366</v>
      </c>
      <c r="BF45" s="784">
        <v>330</v>
      </c>
      <c r="BG45" s="784">
        <v>412</v>
      </c>
      <c r="BH45" s="784">
        <v>939</v>
      </c>
      <c r="BI45" s="784">
        <v>881</v>
      </c>
      <c r="BJ45" s="784">
        <v>92</v>
      </c>
      <c r="BK45" s="784">
        <v>618</v>
      </c>
      <c r="BL45" s="784">
        <v>338</v>
      </c>
      <c r="BM45" s="784">
        <v>213</v>
      </c>
      <c r="BN45" s="784">
        <v>6</v>
      </c>
      <c r="BO45" s="784">
        <v>284</v>
      </c>
      <c r="BP45" s="784">
        <v>210</v>
      </c>
      <c r="BQ45" s="784">
        <v>235</v>
      </c>
      <c r="BR45" s="784">
        <v>804</v>
      </c>
      <c r="BS45" s="784">
        <v>744</v>
      </c>
      <c r="BT45" s="784">
        <v>1027</v>
      </c>
      <c r="BU45" s="784">
        <v>575</v>
      </c>
      <c r="BV45" s="784">
        <v>843</v>
      </c>
    </row>
    <row r="46" spans="2:74" ht="14.4">
      <c r="B46" s="187" t="s">
        <v>1092</v>
      </c>
      <c r="C46" s="784">
        <v>6652</v>
      </c>
      <c r="D46" s="784">
        <v>5088</v>
      </c>
      <c r="E46" s="784">
        <v>7050</v>
      </c>
      <c r="F46" s="784">
        <v>596</v>
      </c>
      <c r="G46" s="784">
        <v>13784</v>
      </c>
      <c r="H46" s="784">
        <v>13862</v>
      </c>
      <c r="I46" s="784">
        <v>19079</v>
      </c>
      <c r="J46" s="784">
        <v>18407</v>
      </c>
      <c r="K46" s="784">
        <v>10872</v>
      </c>
      <c r="L46" s="784">
        <v>11238</v>
      </c>
      <c r="M46" s="784">
        <v>6307</v>
      </c>
      <c r="N46" s="784">
        <v>4803</v>
      </c>
      <c r="O46" s="784">
        <v>553</v>
      </c>
      <c r="P46" s="784">
        <v>777</v>
      </c>
      <c r="Q46" s="784">
        <v>1849</v>
      </c>
      <c r="R46" s="784">
        <v>68</v>
      </c>
      <c r="S46" s="784">
        <v>3401</v>
      </c>
      <c r="T46" s="784">
        <v>1561</v>
      </c>
      <c r="U46" s="784">
        <v>1346</v>
      </c>
      <c r="V46" s="784">
        <v>1947</v>
      </c>
      <c r="W46" s="784">
        <v>2163</v>
      </c>
      <c r="X46" s="784">
        <v>3357</v>
      </c>
      <c r="Y46" s="784">
        <v>2493</v>
      </c>
      <c r="Z46" s="784">
        <v>615</v>
      </c>
      <c r="AA46" s="784">
        <v>648</v>
      </c>
      <c r="AB46" s="784">
        <v>898</v>
      </c>
      <c r="AC46" s="784">
        <v>2501</v>
      </c>
      <c r="AD46" s="784">
        <v>41</v>
      </c>
      <c r="AE46" s="784">
        <v>2760</v>
      </c>
      <c r="AF46" s="784">
        <v>3004</v>
      </c>
      <c r="AG46" s="784">
        <v>6091</v>
      </c>
      <c r="AH46" s="784">
        <v>6130</v>
      </c>
      <c r="AI46" s="784">
        <v>3574</v>
      </c>
      <c r="AJ46" s="784">
        <v>5160</v>
      </c>
      <c r="AK46" s="784">
        <v>3074</v>
      </c>
      <c r="AL46" s="784">
        <v>326</v>
      </c>
      <c r="AM46" s="784">
        <v>7641</v>
      </c>
      <c r="AN46" s="784">
        <v>3330</v>
      </c>
      <c r="AO46" s="784">
        <v>5114</v>
      </c>
      <c r="AP46" s="784">
        <v>280</v>
      </c>
      <c r="AQ46" s="784">
        <v>9858</v>
      </c>
      <c r="AR46" s="784">
        <v>9426</v>
      </c>
      <c r="AS46" s="784">
        <v>9520</v>
      </c>
      <c r="AT46" s="784">
        <v>4545</v>
      </c>
      <c r="AU46" s="784">
        <v>3237</v>
      </c>
      <c r="AV46" s="784">
        <v>7890</v>
      </c>
      <c r="AW46" s="784">
        <v>8099</v>
      </c>
      <c r="AX46" s="784">
        <v>509</v>
      </c>
      <c r="AY46" s="784">
        <v>52</v>
      </c>
      <c r="AZ46" s="784">
        <v>33</v>
      </c>
      <c r="BA46" s="784">
        <v>208</v>
      </c>
      <c r="BB46" s="784">
        <v>0</v>
      </c>
      <c r="BC46" s="784">
        <v>74</v>
      </c>
      <c r="BD46" s="784">
        <v>491</v>
      </c>
      <c r="BE46" s="784">
        <v>620</v>
      </c>
      <c r="BF46" s="784">
        <v>552</v>
      </c>
      <c r="BG46" s="784">
        <v>524</v>
      </c>
      <c r="BH46" s="784">
        <v>820</v>
      </c>
      <c r="BI46" s="784">
        <v>918</v>
      </c>
      <c r="BJ46" s="784">
        <v>187</v>
      </c>
      <c r="BK46" s="784">
        <v>467</v>
      </c>
      <c r="BL46" s="784">
        <v>247</v>
      </c>
      <c r="BM46" s="784">
        <v>382</v>
      </c>
      <c r="BN46" s="784">
        <v>7</v>
      </c>
      <c r="BO46" s="784">
        <v>388</v>
      </c>
      <c r="BP46" s="784">
        <v>256</v>
      </c>
      <c r="BQ46" s="784">
        <v>260</v>
      </c>
      <c r="BR46" s="784">
        <v>554</v>
      </c>
      <c r="BS46" s="784">
        <v>527</v>
      </c>
      <c r="BT46" s="784">
        <v>880</v>
      </c>
      <c r="BU46" s="784">
        <v>369</v>
      </c>
      <c r="BV46" s="784">
        <v>905</v>
      </c>
    </row>
    <row r="47" spans="2:74" ht="14.4">
      <c r="B47" s="187" t="s">
        <v>1093</v>
      </c>
      <c r="C47" s="784">
        <v>3453</v>
      </c>
      <c r="D47" s="784">
        <v>1592</v>
      </c>
      <c r="E47" s="784">
        <v>2139</v>
      </c>
      <c r="F47" s="784">
        <v>239</v>
      </c>
      <c r="G47" s="784">
        <v>4377</v>
      </c>
      <c r="H47" s="784">
        <v>3511</v>
      </c>
      <c r="I47" s="784">
        <v>6870</v>
      </c>
      <c r="J47" s="784">
        <v>6400</v>
      </c>
      <c r="K47" s="784">
        <v>4048</v>
      </c>
      <c r="L47" s="784">
        <v>2618</v>
      </c>
      <c r="M47" s="784">
        <v>1525</v>
      </c>
      <c r="N47" s="784">
        <v>3831</v>
      </c>
      <c r="O47" s="784">
        <v>114</v>
      </c>
      <c r="P47" s="784">
        <v>118</v>
      </c>
      <c r="Q47" s="784">
        <v>178</v>
      </c>
      <c r="R47" s="784">
        <v>12</v>
      </c>
      <c r="S47" s="784">
        <v>762</v>
      </c>
      <c r="T47" s="784">
        <v>263</v>
      </c>
      <c r="U47" s="784">
        <v>541</v>
      </c>
      <c r="V47" s="784">
        <v>478</v>
      </c>
      <c r="W47" s="784">
        <v>653</v>
      </c>
      <c r="X47" s="784">
        <v>520</v>
      </c>
      <c r="Y47" s="784">
        <v>427</v>
      </c>
      <c r="Z47" s="784">
        <v>456</v>
      </c>
      <c r="AA47" s="784">
        <v>27</v>
      </c>
      <c r="AB47" s="784">
        <v>29</v>
      </c>
      <c r="AC47" s="784">
        <v>42</v>
      </c>
      <c r="AD47" s="784">
        <v>0</v>
      </c>
      <c r="AE47" s="784">
        <v>309</v>
      </c>
      <c r="AF47" s="784">
        <v>269</v>
      </c>
      <c r="AG47" s="784">
        <v>987</v>
      </c>
      <c r="AH47" s="784">
        <v>681</v>
      </c>
      <c r="AI47" s="784">
        <v>1030</v>
      </c>
      <c r="AJ47" s="784">
        <v>942</v>
      </c>
      <c r="AK47" s="784">
        <v>755</v>
      </c>
      <c r="AL47" s="784">
        <v>363</v>
      </c>
      <c r="AM47" s="784">
        <v>30</v>
      </c>
      <c r="AN47" s="784">
        <v>23</v>
      </c>
      <c r="AO47" s="784">
        <v>30</v>
      </c>
      <c r="AP47" s="784">
        <v>2</v>
      </c>
      <c r="AQ47" s="784">
        <v>192</v>
      </c>
      <c r="AR47" s="784">
        <v>351</v>
      </c>
      <c r="AS47" s="784">
        <v>294</v>
      </c>
      <c r="AT47" s="784">
        <v>84</v>
      </c>
      <c r="AU47" s="784">
        <v>479</v>
      </c>
      <c r="AV47" s="784">
        <v>706</v>
      </c>
      <c r="AW47" s="784">
        <v>830</v>
      </c>
      <c r="AX47" s="784">
        <v>107</v>
      </c>
      <c r="AY47" s="784">
        <v>1</v>
      </c>
      <c r="AZ47" s="784">
        <v>2</v>
      </c>
      <c r="BA47" s="784">
        <v>15</v>
      </c>
      <c r="BB47" s="784">
        <v>0</v>
      </c>
      <c r="BC47" s="784">
        <v>15</v>
      </c>
      <c r="BD47" s="784">
        <v>124</v>
      </c>
      <c r="BE47" s="784">
        <v>137</v>
      </c>
      <c r="BF47" s="784">
        <v>174</v>
      </c>
      <c r="BG47" s="784">
        <v>403</v>
      </c>
      <c r="BH47" s="784">
        <v>206</v>
      </c>
      <c r="BI47" s="784">
        <v>287</v>
      </c>
      <c r="BJ47" s="784">
        <v>187</v>
      </c>
      <c r="BK47" s="784">
        <v>142</v>
      </c>
      <c r="BL47" s="784">
        <v>40</v>
      </c>
      <c r="BM47" s="784">
        <v>55</v>
      </c>
      <c r="BN47" s="784">
        <v>2</v>
      </c>
      <c r="BO47" s="784">
        <v>151</v>
      </c>
      <c r="BP47" s="784">
        <v>126</v>
      </c>
      <c r="BQ47" s="784">
        <v>150</v>
      </c>
      <c r="BR47" s="784">
        <v>255</v>
      </c>
      <c r="BS47" s="784">
        <v>397</v>
      </c>
      <c r="BT47" s="784">
        <v>308</v>
      </c>
      <c r="BU47" s="784">
        <v>195</v>
      </c>
      <c r="BV47" s="784">
        <v>650</v>
      </c>
    </row>
    <row r="48" spans="2:74" ht="14.4">
      <c r="B48" s="1053" t="s">
        <v>1094</v>
      </c>
      <c r="C48" s="1054">
        <v>5322</v>
      </c>
      <c r="D48" s="1054">
        <v>3113</v>
      </c>
      <c r="E48" s="1054">
        <v>4460</v>
      </c>
      <c r="F48" s="1054">
        <v>645</v>
      </c>
      <c r="G48" s="1054">
        <v>10540</v>
      </c>
      <c r="H48" s="1054">
        <v>9216</v>
      </c>
      <c r="I48" s="1054">
        <v>15268</v>
      </c>
      <c r="J48" s="1054">
        <v>12132</v>
      </c>
      <c r="K48" s="1054">
        <v>6698</v>
      </c>
      <c r="L48" s="1054">
        <v>5068</v>
      </c>
      <c r="M48" s="1054">
        <v>3620</v>
      </c>
      <c r="N48" s="1054">
        <v>3912</v>
      </c>
      <c r="O48" s="1054">
        <v>710</v>
      </c>
      <c r="P48" s="1054">
        <v>509</v>
      </c>
      <c r="Q48" s="1054">
        <v>684</v>
      </c>
      <c r="R48" s="1054">
        <v>225</v>
      </c>
      <c r="S48" s="1054">
        <v>3259</v>
      </c>
      <c r="T48" s="1054">
        <v>1018</v>
      </c>
      <c r="U48" s="1054">
        <v>921</v>
      </c>
      <c r="V48" s="1054">
        <v>1166</v>
      </c>
      <c r="W48" s="1054">
        <v>1647</v>
      </c>
      <c r="X48" s="1054">
        <v>2115</v>
      </c>
      <c r="Y48" s="1054">
        <v>1696</v>
      </c>
      <c r="Z48" s="1054">
        <v>872</v>
      </c>
      <c r="AA48" s="1054">
        <v>129</v>
      </c>
      <c r="AB48" s="1054">
        <v>1170</v>
      </c>
      <c r="AC48" s="1054">
        <v>597</v>
      </c>
      <c r="AD48" s="1054">
        <v>142</v>
      </c>
      <c r="AE48" s="1054">
        <v>2411</v>
      </c>
      <c r="AF48" s="1054">
        <v>779</v>
      </c>
      <c r="AG48" s="1054">
        <v>2047</v>
      </c>
      <c r="AH48" s="1054">
        <v>1420</v>
      </c>
      <c r="AI48" s="1054">
        <v>2654</v>
      </c>
      <c r="AJ48" s="1054">
        <v>2336</v>
      </c>
      <c r="AK48" s="1054">
        <v>2349</v>
      </c>
      <c r="AL48" s="1054">
        <v>255</v>
      </c>
      <c r="AM48" s="1054">
        <v>37</v>
      </c>
      <c r="AN48" s="1054">
        <v>930</v>
      </c>
      <c r="AO48" s="1054">
        <v>291</v>
      </c>
      <c r="AP48" s="1054">
        <v>70</v>
      </c>
      <c r="AQ48" s="1054">
        <v>1930</v>
      </c>
      <c r="AR48" s="1054">
        <v>1429</v>
      </c>
      <c r="AS48" s="1054">
        <v>2626</v>
      </c>
      <c r="AT48" s="1054">
        <v>759</v>
      </c>
      <c r="AU48" s="1054">
        <v>831</v>
      </c>
      <c r="AV48" s="1054">
        <v>2539</v>
      </c>
      <c r="AW48" s="1054">
        <v>1562</v>
      </c>
      <c r="AX48" s="1054">
        <v>182</v>
      </c>
      <c r="AY48" s="1054">
        <v>0</v>
      </c>
      <c r="AZ48" s="1054">
        <v>0</v>
      </c>
      <c r="BA48" s="1054">
        <v>16</v>
      </c>
      <c r="BB48" s="1054">
        <v>0</v>
      </c>
      <c r="BC48" s="1054">
        <v>104</v>
      </c>
      <c r="BD48" s="1054">
        <v>35</v>
      </c>
      <c r="BE48" s="1054">
        <v>425</v>
      </c>
      <c r="BF48" s="1054">
        <v>134</v>
      </c>
      <c r="BG48" s="1054">
        <v>609</v>
      </c>
      <c r="BH48" s="1054">
        <v>530</v>
      </c>
      <c r="BI48" s="1054">
        <v>544</v>
      </c>
      <c r="BJ48" s="1054">
        <v>351</v>
      </c>
      <c r="BK48" s="1054">
        <v>121</v>
      </c>
      <c r="BL48" s="1054">
        <v>537</v>
      </c>
      <c r="BM48" s="1054">
        <v>207</v>
      </c>
      <c r="BN48" s="1054">
        <v>145</v>
      </c>
      <c r="BO48" s="1054">
        <v>1117</v>
      </c>
      <c r="BP48" s="1054">
        <v>275</v>
      </c>
      <c r="BQ48" s="1054">
        <v>322</v>
      </c>
      <c r="BR48" s="1054">
        <v>317</v>
      </c>
      <c r="BS48" s="1054">
        <v>287</v>
      </c>
      <c r="BT48" s="1054">
        <v>626</v>
      </c>
      <c r="BU48" s="1054">
        <v>242</v>
      </c>
      <c r="BV48" s="1054">
        <v>665</v>
      </c>
    </row>
    <row r="49" spans="2:74" ht="14.4">
      <c r="B49" s="855" t="s">
        <v>1188</v>
      </c>
      <c r="C49" s="133">
        <v>5983</v>
      </c>
      <c r="D49" s="133">
        <v>3030</v>
      </c>
      <c r="E49" s="133">
        <v>5506</v>
      </c>
      <c r="F49" s="133">
        <v>1004</v>
      </c>
      <c r="G49" s="133">
        <v>14705</v>
      </c>
      <c r="H49" s="133">
        <v>14718</v>
      </c>
      <c r="I49" s="133">
        <v>20182</v>
      </c>
      <c r="J49" s="133">
        <v>19761</v>
      </c>
      <c r="K49" s="133">
        <v>8977</v>
      </c>
      <c r="L49" s="133">
        <v>7606</v>
      </c>
      <c r="M49" s="133">
        <v>5361</v>
      </c>
      <c r="N49" s="133">
        <v>6577</v>
      </c>
      <c r="O49" s="133">
        <v>1329</v>
      </c>
      <c r="P49" s="133">
        <v>937</v>
      </c>
      <c r="Q49" s="133">
        <v>1594</v>
      </c>
      <c r="R49" s="133">
        <v>193</v>
      </c>
      <c r="S49" s="133">
        <v>5029</v>
      </c>
      <c r="T49" s="133">
        <v>3143</v>
      </c>
      <c r="U49" s="133">
        <v>1761</v>
      </c>
      <c r="V49" s="133">
        <v>2349</v>
      </c>
      <c r="W49" s="133">
        <v>1812</v>
      </c>
      <c r="X49" s="133">
        <v>1548</v>
      </c>
      <c r="Y49" s="133">
        <v>1071</v>
      </c>
      <c r="Z49" s="133">
        <v>1982</v>
      </c>
      <c r="AA49" s="133">
        <v>933</v>
      </c>
      <c r="AB49" s="133">
        <v>443</v>
      </c>
      <c r="AC49" s="133">
        <v>1928</v>
      </c>
      <c r="AD49" s="133">
        <v>53</v>
      </c>
      <c r="AE49" s="133">
        <v>2285</v>
      </c>
      <c r="AF49" s="133">
        <v>2403</v>
      </c>
      <c r="AG49" s="133">
        <v>5093</v>
      </c>
      <c r="AH49" s="133">
        <v>3067</v>
      </c>
      <c r="AI49" s="133">
        <v>3398</v>
      </c>
      <c r="AJ49" s="133">
        <v>3827</v>
      </c>
      <c r="AK49" s="133">
        <v>2895</v>
      </c>
      <c r="AL49" s="133">
        <v>725</v>
      </c>
      <c r="AM49" s="133">
        <v>2562</v>
      </c>
      <c r="AN49" s="133">
        <v>3549</v>
      </c>
      <c r="AO49" s="133">
        <v>1183</v>
      </c>
      <c r="AP49" s="133">
        <v>142</v>
      </c>
      <c r="AQ49" s="133">
        <v>4053</v>
      </c>
      <c r="AR49" s="133">
        <v>6734</v>
      </c>
      <c r="AS49" s="133">
        <v>7810</v>
      </c>
      <c r="AT49" s="133">
        <v>1333</v>
      </c>
      <c r="AU49" s="133">
        <v>3850</v>
      </c>
      <c r="AV49" s="133">
        <v>10468</v>
      </c>
      <c r="AW49" s="133">
        <v>9508</v>
      </c>
      <c r="AX49" s="133">
        <v>386</v>
      </c>
      <c r="AY49" s="133">
        <v>71</v>
      </c>
      <c r="AZ49" s="133">
        <v>65</v>
      </c>
      <c r="BA49" s="133">
        <v>28</v>
      </c>
      <c r="BB49" s="133">
        <v>12</v>
      </c>
      <c r="BC49" s="133">
        <v>56</v>
      </c>
      <c r="BD49" s="133">
        <v>2000</v>
      </c>
      <c r="BE49" s="133">
        <v>422</v>
      </c>
      <c r="BF49" s="133">
        <v>1036</v>
      </c>
      <c r="BG49" s="133">
        <v>1551</v>
      </c>
      <c r="BH49" s="133">
        <v>1911</v>
      </c>
      <c r="BI49" s="133">
        <v>1877</v>
      </c>
      <c r="BJ49" s="133">
        <v>646</v>
      </c>
      <c r="BK49" s="133">
        <v>447</v>
      </c>
      <c r="BL49" s="133">
        <v>185</v>
      </c>
      <c r="BM49" s="133">
        <v>104</v>
      </c>
      <c r="BN49" s="133">
        <v>22</v>
      </c>
      <c r="BO49" s="133">
        <v>427</v>
      </c>
      <c r="BP49" s="133">
        <v>129</v>
      </c>
      <c r="BQ49" s="133">
        <v>140</v>
      </c>
      <c r="BR49" s="133">
        <v>498</v>
      </c>
      <c r="BS49" s="133">
        <v>633</v>
      </c>
      <c r="BT49" s="133">
        <v>956</v>
      </c>
      <c r="BU49" s="133">
        <v>492</v>
      </c>
      <c r="BV49" s="133">
        <v>1080</v>
      </c>
    </row>
    <row r="50" spans="2:74" ht="14.4">
      <c r="B50" s="855" t="s">
        <v>1095</v>
      </c>
      <c r="C50" s="133">
        <v>0</v>
      </c>
      <c r="D50" s="133">
        <v>0</v>
      </c>
      <c r="E50" s="133">
        <v>0</v>
      </c>
      <c r="F50" s="133">
        <v>0</v>
      </c>
      <c r="G50" s="133">
        <v>0</v>
      </c>
      <c r="H50" s="133">
        <v>0</v>
      </c>
      <c r="I50" s="133">
        <v>0</v>
      </c>
      <c r="J50" s="133">
        <v>0</v>
      </c>
      <c r="K50" s="133">
        <v>0</v>
      </c>
      <c r="L50" s="133">
        <v>0</v>
      </c>
      <c r="M50" s="133">
        <v>0</v>
      </c>
      <c r="N50" s="133">
        <v>0</v>
      </c>
      <c r="O50" s="133">
        <v>0</v>
      </c>
      <c r="P50" s="133">
        <v>0</v>
      </c>
      <c r="Q50" s="133">
        <v>0</v>
      </c>
      <c r="R50" s="133">
        <v>0</v>
      </c>
      <c r="S50" s="133">
        <v>0</v>
      </c>
      <c r="T50" s="133">
        <v>0</v>
      </c>
      <c r="U50" s="133">
        <v>0</v>
      </c>
      <c r="V50" s="133">
        <v>0</v>
      </c>
      <c r="W50" s="133">
        <v>0</v>
      </c>
      <c r="X50" s="133">
        <v>0</v>
      </c>
      <c r="Y50" s="133">
        <v>0</v>
      </c>
      <c r="Z50" s="133">
        <v>0</v>
      </c>
      <c r="AA50" s="133">
        <v>0</v>
      </c>
      <c r="AB50" s="133">
        <v>0</v>
      </c>
      <c r="AC50" s="133">
        <v>0</v>
      </c>
      <c r="AD50" s="133">
        <v>0</v>
      </c>
      <c r="AE50" s="133">
        <v>0</v>
      </c>
      <c r="AF50" s="133">
        <v>0</v>
      </c>
      <c r="AG50" s="133">
        <v>0</v>
      </c>
      <c r="AH50" s="133">
        <v>0</v>
      </c>
      <c r="AI50" s="133">
        <v>0</v>
      </c>
      <c r="AJ50" s="133">
        <v>0</v>
      </c>
      <c r="AK50" s="133">
        <v>0</v>
      </c>
      <c r="AL50" s="133">
        <v>0</v>
      </c>
      <c r="AM50" s="133">
        <v>0</v>
      </c>
      <c r="AN50" s="133">
        <v>0</v>
      </c>
      <c r="AO50" s="133">
        <v>0</v>
      </c>
      <c r="AP50" s="133">
        <v>0</v>
      </c>
      <c r="AQ50" s="133">
        <v>0</v>
      </c>
      <c r="AR50" s="133">
        <v>0</v>
      </c>
      <c r="AS50" s="133">
        <v>0</v>
      </c>
      <c r="AT50" s="133">
        <v>0</v>
      </c>
      <c r="AU50" s="133">
        <v>0</v>
      </c>
      <c r="AV50" s="133">
        <v>0</v>
      </c>
      <c r="AW50" s="133">
        <v>0</v>
      </c>
      <c r="AX50" s="133">
        <v>0</v>
      </c>
      <c r="AY50" s="133">
        <v>0</v>
      </c>
      <c r="AZ50" s="133">
        <v>0</v>
      </c>
      <c r="BA50" s="133">
        <v>0</v>
      </c>
      <c r="BB50" s="133">
        <v>0</v>
      </c>
      <c r="BC50" s="133">
        <v>0</v>
      </c>
      <c r="BD50" s="133">
        <v>0</v>
      </c>
      <c r="BE50" s="133">
        <v>0</v>
      </c>
      <c r="BF50" s="133">
        <v>0</v>
      </c>
      <c r="BG50" s="133">
        <v>0</v>
      </c>
      <c r="BH50" s="133">
        <v>0</v>
      </c>
      <c r="BI50" s="133">
        <v>0</v>
      </c>
      <c r="BJ50" s="133">
        <v>0</v>
      </c>
      <c r="BK50" s="133">
        <v>0</v>
      </c>
      <c r="BL50" s="133">
        <v>0</v>
      </c>
      <c r="BM50" s="133">
        <v>0</v>
      </c>
      <c r="BN50" s="133">
        <v>0</v>
      </c>
      <c r="BO50" s="133">
        <v>0</v>
      </c>
      <c r="BP50" s="133">
        <v>0</v>
      </c>
      <c r="BQ50" s="133">
        <v>0</v>
      </c>
      <c r="BR50" s="133">
        <v>0</v>
      </c>
      <c r="BS50" s="133">
        <v>0</v>
      </c>
      <c r="BT50" s="133">
        <v>0</v>
      </c>
      <c r="BU50" s="133">
        <v>0</v>
      </c>
      <c r="BV50" s="133">
        <v>0</v>
      </c>
    </row>
    <row r="51" spans="2:74" ht="14.4">
      <c r="B51" s="855" t="s">
        <v>1096</v>
      </c>
      <c r="C51" s="133">
        <v>0</v>
      </c>
      <c r="D51" s="133">
        <v>0</v>
      </c>
      <c r="E51" s="133">
        <v>0</v>
      </c>
      <c r="F51" s="133">
        <v>0</v>
      </c>
      <c r="G51" s="133">
        <v>0</v>
      </c>
      <c r="H51" s="133">
        <v>0</v>
      </c>
      <c r="I51" s="133">
        <v>0</v>
      </c>
      <c r="J51" s="133">
        <v>0</v>
      </c>
      <c r="K51" s="133">
        <v>0</v>
      </c>
      <c r="L51" s="133">
        <v>0</v>
      </c>
      <c r="M51" s="133">
        <v>0</v>
      </c>
      <c r="N51" s="133">
        <v>0</v>
      </c>
      <c r="O51" s="133">
        <v>0</v>
      </c>
      <c r="P51" s="133">
        <v>0</v>
      </c>
      <c r="Q51" s="133">
        <v>0</v>
      </c>
      <c r="R51" s="133">
        <v>0</v>
      </c>
      <c r="S51" s="133">
        <v>0</v>
      </c>
      <c r="T51" s="133">
        <v>0</v>
      </c>
      <c r="U51" s="133">
        <v>0</v>
      </c>
      <c r="V51" s="133">
        <v>0</v>
      </c>
      <c r="W51" s="133">
        <v>0</v>
      </c>
      <c r="X51" s="133">
        <v>0</v>
      </c>
      <c r="Y51" s="133">
        <v>0</v>
      </c>
      <c r="Z51" s="133">
        <v>0</v>
      </c>
      <c r="AA51" s="133">
        <v>0</v>
      </c>
      <c r="AB51" s="133">
        <v>0</v>
      </c>
      <c r="AC51" s="133">
        <v>0</v>
      </c>
      <c r="AD51" s="133">
        <v>0</v>
      </c>
      <c r="AE51" s="133">
        <v>0</v>
      </c>
      <c r="AF51" s="133">
        <v>0</v>
      </c>
      <c r="AG51" s="133">
        <v>0</v>
      </c>
      <c r="AH51" s="133">
        <v>0</v>
      </c>
      <c r="AI51" s="133">
        <v>0</v>
      </c>
      <c r="AJ51" s="133">
        <v>0</v>
      </c>
      <c r="AK51" s="133">
        <v>0</v>
      </c>
      <c r="AL51" s="133">
        <v>0</v>
      </c>
      <c r="AM51" s="133">
        <v>0</v>
      </c>
      <c r="AN51" s="133">
        <v>0</v>
      </c>
      <c r="AO51" s="133">
        <v>0</v>
      </c>
      <c r="AP51" s="133">
        <v>0</v>
      </c>
      <c r="AQ51" s="133">
        <v>0</v>
      </c>
      <c r="AR51" s="133">
        <v>0</v>
      </c>
      <c r="AS51" s="133">
        <v>0</v>
      </c>
      <c r="AT51" s="133">
        <v>0</v>
      </c>
      <c r="AU51" s="133">
        <v>0</v>
      </c>
      <c r="AV51" s="133">
        <v>0</v>
      </c>
      <c r="AW51" s="133">
        <v>0</v>
      </c>
      <c r="AX51" s="133">
        <v>0</v>
      </c>
      <c r="AY51" s="133">
        <v>0</v>
      </c>
      <c r="AZ51" s="133">
        <v>0</v>
      </c>
      <c r="BA51" s="133">
        <v>0</v>
      </c>
      <c r="BB51" s="133">
        <v>0</v>
      </c>
      <c r="BC51" s="133">
        <v>0</v>
      </c>
      <c r="BD51" s="133">
        <v>0</v>
      </c>
      <c r="BE51" s="133">
        <v>0</v>
      </c>
      <c r="BF51" s="133">
        <v>0</v>
      </c>
      <c r="BG51" s="133">
        <v>0</v>
      </c>
      <c r="BH51" s="133">
        <v>0</v>
      </c>
      <c r="BI51" s="133">
        <v>0</v>
      </c>
      <c r="BJ51" s="133">
        <v>0</v>
      </c>
      <c r="BK51" s="133">
        <v>0</v>
      </c>
      <c r="BL51" s="133">
        <v>0</v>
      </c>
      <c r="BM51" s="133">
        <v>0</v>
      </c>
      <c r="BN51" s="133">
        <v>0</v>
      </c>
      <c r="BO51" s="133">
        <v>0</v>
      </c>
      <c r="BP51" s="133">
        <v>0</v>
      </c>
      <c r="BQ51" s="133">
        <v>0</v>
      </c>
      <c r="BR51" s="133">
        <v>0</v>
      </c>
      <c r="BS51" s="133">
        <v>0</v>
      </c>
      <c r="BT51" s="133">
        <v>0</v>
      </c>
      <c r="BU51" s="133">
        <v>0</v>
      </c>
      <c r="BV51" s="133">
        <v>0</v>
      </c>
    </row>
    <row r="52" spans="2:74" ht="14.4">
      <c r="B52" s="855" t="s">
        <v>1097</v>
      </c>
      <c r="C52" s="133">
        <v>3004</v>
      </c>
      <c r="D52" s="133">
        <v>2054</v>
      </c>
      <c r="E52" s="133">
        <v>4511</v>
      </c>
      <c r="F52" s="133">
        <v>757</v>
      </c>
      <c r="G52" s="133">
        <v>12718</v>
      </c>
      <c r="H52" s="133">
        <v>10917</v>
      </c>
      <c r="I52" s="133">
        <v>15178</v>
      </c>
      <c r="J52" s="133">
        <v>12704</v>
      </c>
      <c r="K52" s="133">
        <v>6267</v>
      </c>
      <c r="L52" s="133">
        <v>5269</v>
      </c>
      <c r="M52" s="133">
        <v>2335</v>
      </c>
      <c r="N52" s="133">
        <v>5220</v>
      </c>
      <c r="O52" s="133">
        <v>179</v>
      </c>
      <c r="P52" s="133">
        <v>256</v>
      </c>
      <c r="Q52" s="133">
        <v>649</v>
      </c>
      <c r="R52" s="133">
        <v>218</v>
      </c>
      <c r="S52" s="133">
        <v>3534</v>
      </c>
      <c r="T52" s="133">
        <v>1282</v>
      </c>
      <c r="U52" s="133">
        <v>992</v>
      </c>
      <c r="V52" s="133">
        <v>1106</v>
      </c>
      <c r="W52" s="133">
        <v>1122</v>
      </c>
      <c r="X52" s="133">
        <v>798</v>
      </c>
      <c r="Y52" s="133">
        <v>497</v>
      </c>
      <c r="Z52" s="133">
        <v>817</v>
      </c>
      <c r="AA52" s="133">
        <v>107</v>
      </c>
      <c r="AB52" s="133">
        <v>145</v>
      </c>
      <c r="AC52" s="133">
        <v>220</v>
      </c>
      <c r="AD52" s="133">
        <v>135</v>
      </c>
      <c r="AE52" s="133">
        <v>2858</v>
      </c>
      <c r="AF52" s="133">
        <v>1335</v>
      </c>
      <c r="AG52" s="133">
        <v>2013</v>
      </c>
      <c r="AH52" s="133">
        <v>1834</v>
      </c>
      <c r="AI52" s="133">
        <v>2150</v>
      </c>
      <c r="AJ52" s="133">
        <v>1377</v>
      </c>
      <c r="AK52" s="133">
        <v>916</v>
      </c>
      <c r="AL52" s="133">
        <v>602</v>
      </c>
      <c r="AM52" s="133">
        <v>53</v>
      </c>
      <c r="AN52" s="133">
        <v>92</v>
      </c>
      <c r="AO52" s="133">
        <v>85</v>
      </c>
      <c r="AP52" s="133">
        <v>29</v>
      </c>
      <c r="AQ52" s="133">
        <v>1622</v>
      </c>
      <c r="AR52" s="133">
        <v>2191</v>
      </c>
      <c r="AS52" s="133">
        <v>1274</v>
      </c>
      <c r="AT52" s="133">
        <v>697</v>
      </c>
      <c r="AU52" s="133">
        <v>1587</v>
      </c>
      <c r="AV52" s="133">
        <v>3803</v>
      </c>
      <c r="AW52" s="133">
        <v>2082</v>
      </c>
      <c r="AX52" s="133">
        <v>355</v>
      </c>
      <c r="AY52" s="133">
        <v>8</v>
      </c>
      <c r="AZ52" s="133">
        <v>0</v>
      </c>
      <c r="BA52" s="133">
        <v>11</v>
      </c>
      <c r="BB52" s="133">
        <v>0</v>
      </c>
      <c r="BC52" s="133">
        <v>19</v>
      </c>
      <c r="BD52" s="133">
        <v>63</v>
      </c>
      <c r="BE52" s="133">
        <v>353</v>
      </c>
      <c r="BF52" s="133">
        <v>623</v>
      </c>
      <c r="BG52" s="133">
        <v>872</v>
      </c>
      <c r="BH52" s="133">
        <v>415</v>
      </c>
      <c r="BI52" s="133">
        <v>694</v>
      </c>
      <c r="BJ52" s="133">
        <v>431</v>
      </c>
      <c r="BK52" s="133">
        <v>76</v>
      </c>
      <c r="BL52" s="133">
        <v>64</v>
      </c>
      <c r="BM52" s="133">
        <v>121</v>
      </c>
      <c r="BN52" s="133">
        <v>3</v>
      </c>
      <c r="BO52" s="133">
        <v>519</v>
      </c>
      <c r="BP52" s="133">
        <v>227</v>
      </c>
      <c r="BQ52" s="133">
        <v>212</v>
      </c>
      <c r="BR52" s="133">
        <v>290</v>
      </c>
      <c r="BS52" s="133">
        <v>405</v>
      </c>
      <c r="BT52" s="133">
        <v>432</v>
      </c>
      <c r="BU52" s="133">
        <v>208</v>
      </c>
      <c r="BV52" s="133">
        <v>894</v>
      </c>
    </row>
    <row r="53" spans="2:74" ht="14.4">
      <c r="B53" s="855" t="s">
        <v>1098</v>
      </c>
      <c r="C53" s="133">
        <v>984</v>
      </c>
      <c r="D53" s="133">
        <v>1193</v>
      </c>
      <c r="E53" s="133">
        <v>2098</v>
      </c>
      <c r="F53" s="133">
        <v>273</v>
      </c>
      <c r="G53" s="133">
        <v>8869</v>
      </c>
      <c r="H53" s="133">
        <v>7098</v>
      </c>
      <c r="I53" s="133">
        <v>11664</v>
      </c>
      <c r="J53" s="133">
        <v>8928</v>
      </c>
      <c r="K53" s="133">
        <v>4845</v>
      </c>
      <c r="L53" s="133">
        <v>3182</v>
      </c>
      <c r="M53" s="133">
        <v>1763</v>
      </c>
      <c r="N53" s="133">
        <v>2119</v>
      </c>
      <c r="O53" s="133">
        <v>107</v>
      </c>
      <c r="P53" s="133">
        <v>216</v>
      </c>
      <c r="Q53" s="133">
        <v>307</v>
      </c>
      <c r="R53" s="133">
        <v>20</v>
      </c>
      <c r="S53" s="133">
        <v>1807</v>
      </c>
      <c r="T53" s="133">
        <v>1070</v>
      </c>
      <c r="U53" s="133">
        <v>835</v>
      </c>
      <c r="V53" s="133">
        <v>836</v>
      </c>
      <c r="W53" s="133">
        <v>645</v>
      </c>
      <c r="X53" s="133">
        <v>527</v>
      </c>
      <c r="Y53" s="133">
        <v>486</v>
      </c>
      <c r="Z53" s="133">
        <v>310</v>
      </c>
      <c r="AA53" s="133">
        <v>129</v>
      </c>
      <c r="AB53" s="133">
        <v>182</v>
      </c>
      <c r="AC53" s="133">
        <v>94</v>
      </c>
      <c r="AD53" s="133">
        <v>12</v>
      </c>
      <c r="AE53" s="133">
        <v>867</v>
      </c>
      <c r="AF53" s="133">
        <v>853</v>
      </c>
      <c r="AG53" s="133">
        <v>2255</v>
      </c>
      <c r="AH53" s="133">
        <v>1914</v>
      </c>
      <c r="AI53" s="133">
        <v>1582</v>
      </c>
      <c r="AJ53" s="133">
        <v>940</v>
      </c>
      <c r="AK53" s="133">
        <v>732</v>
      </c>
      <c r="AL53" s="133">
        <v>296</v>
      </c>
      <c r="AM53" s="133">
        <v>102</v>
      </c>
      <c r="AN53" s="133">
        <v>33</v>
      </c>
      <c r="AO53" s="133">
        <v>58</v>
      </c>
      <c r="AP53" s="133">
        <v>4</v>
      </c>
      <c r="AQ53" s="133">
        <v>756</v>
      </c>
      <c r="AR53" s="133">
        <v>1018</v>
      </c>
      <c r="AS53" s="133">
        <v>2330</v>
      </c>
      <c r="AT53" s="133">
        <v>259</v>
      </c>
      <c r="AU53" s="133">
        <v>1214</v>
      </c>
      <c r="AV53" s="133">
        <v>4063</v>
      </c>
      <c r="AW53" s="133">
        <v>2118</v>
      </c>
      <c r="AX53" s="133">
        <v>34</v>
      </c>
      <c r="AY53" s="133">
        <v>4</v>
      </c>
      <c r="AZ53" s="133">
        <v>0</v>
      </c>
      <c r="BA53" s="133">
        <v>0</v>
      </c>
      <c r="BB53" s="133">
        <v>0</v>
      </c>
      <c r="BC53" s="133">
        <v>28</v>
      </c>
      <c r="BD53" s="133">
        <v>90</v>
      </c>
      <c r="BE53" s="133">
        <v>613</v>
      </c>
      <c r="BF53" s="133">
        <v>523</v>
      </c>
      <c r="BG53" s="133">
        <v>740</v>
      </c>
      <c r="BH53" s="133">
        <v>282</v>
      </c>
      <c r="BI53" s="133">
        <v>664</v>
      </c>
      <c r="BJ53" s="133">
        <v>426</v>
      </c>
      <c r="BK53" s="133">
        <v>58</v>
      </c>
      <c r="BL53" s="133">
        <v>47</v>
      </c>
      <c r="BM53" s="133">
        <v>28</v>
      </c>
      <c r="BN53" s="133">
        <v>7</v>
      </c>
      <c r="BO53" s="133">
        <v>215</v>
      </c>
      <c r="BP53" s="133">
        <v>205</v>
      </c>
      <c r="BQ53" s="133">
        <v>167</v>
      </c>
      <c r="BR53" s="133">
        <v>275</v>
      </c>
      <c r="BS53" s="133">
        <v>293</v>
      </c>
      <c r="BT53" s="133">
        <v>588</v>
      </c>
      <c r="BU53" s="133">
        <v>132</v>
      </c>
      <c r="BV53" s="133">
        <v>257</v>
      </c>
    </row>
    <row r="54" spans="2:74" ht="14.4">
      <c r="B54" s="855" t="s">
        <v>1099</v>
      </c>
      <c r="C54" s="133">
        <v>139</v>
      </c>
      <c r="D54" s="133">
        <v>122</v>
      </c>
      <c r="E54" s="133">
        <v>354</v>
      </c>
      <c r="F54" s="133">
        <v>49</v>
      </c>
      <c r="G54" s="133">
        <v>6091</v>
      </c>
      <c r="H54" s="133">
        <v>3435</v>
      </c>
      <c r="I54" s="133">
        <v>5300</v>
      </c>
      <c r="J54" s="133">
        <v>3242</v>
      </c>
      <c r="K54" s="133">
        <v>2490</v>
      </c>
      <c r="L54" s="133">
        <v>1421</v>
      </c>
      <c r="M54" s="133">
        <v>907</v>
      </c>
      <c r="N54" s="133">
        <v>1398</v>
      </c>
      <c r="O54" s="133">
        <v>26</v>
      </c>
      <c r="P54" s="133">
        <v>23</v>
      </c>
      <c r="Q54" s="133">
        <v>67</v>
      </c>
      <c r="R54" s="133">
        <v>1</v>
      </c>
      <c r="S54" s="133">
        <v>1482</v>
      </c>
      <c r="T54" s="133">
        <v>504</v>
      </c>
      <c r="U54" s="133">
        <v>527</v>
      </c>
      <c r="V54" s="133">
        <v>380</v>
      </c>
      <c r="W54" s="133">
        <v>363</v>
      </c>
      <c r="X54" s="133">
        <v>247</v>
      </c>
      <c r="Y54" s="133">
        <v>207</v>
      </c>
      <c r="Z54" s="133">
        <v>683</v>
      </c>
      <c r="AA54" s="133">
        <v>8</v>
      </c>
      <c r="AB54" s="133">
        <v>6</v>
      </c>
      <c r="AC54" s="133">
        <v>7</v>
      </c>
      <c r="AD54" s="133">
        <v>0</v>
      </c>
      <c r="AE54" s="133">
        <v>707</v>
      </c>
      <c r="AF54" s="133">
        <v>503</v>
      </c>
      <c r="AG54" s="133">
        <v>923</v>
      </c>
      <c r="AH54" s="133">
        <v>707</v>
      </c>
      <c r="AI54" s="133">
        <v>548</v>
      </c>
      <c r="AJ54" s="133">
        <v>486</v>
      </c>
      <c r="AK54" s="133">
        <v>367</v>
      </c>
      <c r="AL54" s="133">
        <v>431</v>
      </c>
      <c r="AM54" s="133">
        <v>0</v>
      </c>
      <c r="AN54" s="133">
        <v>0</v>
      </c>
      <c r="AO54" s="133">
        <v>0</v>
      </c>
      <c r="AP54" s="133">
        <v>0</v>
      </c>
      <c r="AQ54" s="133">
        <v>281</v>
      </c>
      <c r="AR54" s="133">
        <v>265</v>
      </c>
      <c r="AS54" s="133">
        <v>159</v>
      </c>
      <c r="AT54" s="133">
        <v>222</v>
      </c>
      <c r="AU54" s="133">
        <v>230</v>
      </c>
      <c r="AV54" s="133">
        <v>816</v>
      </c>
      <c r="AW54" s="133">
        <v>492</v>
      </c>
      <c r="AX54" s="133">
        <v>423</v>
      </c>
      <c r="AY54" s="133">
        <v>0</v>
      </c>
      <c r="AZ54" s="133">
        <v>0</v>
      </c>
      <c r="BA54" s="133">
        <v>0</v>
      </c>
      <c r="BB54" s="133">
        <v>0</v>
      </c>
      <c r="BC54" s="133">
        <v>81</v>
      </c>
      <c r="BD54" s="133">
        <v>81</v>
      </c>
      <c r="BE54" s="133">
        <v>172</v>
      </c>
      <c r="BF54" s="133">
        <v>292</v>
      </c>
      <c r="BG54" s="133">
        <v>361</v>
      </c>
      <c r="BH54" s="133">
        <v>139</v>
      </c>
      <c r="BI54" s="133">
        <v>289</v>
      </c>
      <c r="BJ54" s="133">
        <v>288</v>
      </c>
      <c r="BK54" s="133">
        <v>12</v>
      </c>
      <c r="BL54" s="133">
        <v>6</v>
      </c>
      <c r="BM54" s="133">
        <v>9</v>
      </c>
      <c r="BN54" s="133">
        <v>2</v>
      </c>
      <c r="BO54" s="133">
        <v>357</v>
      </c>
      <c r="BP54" s="133">
        <v>98</v>
      </c>
      <c r="BQ54" s="133">
        <v>105</v>
      </c>
      <c r="BR54" s="133">
        <v>148</v>
      </c>
      <c r="BS54" s="133">
        <v>135</v>
      </c>
      <c r="BT54" s="133">
        <v>187</v>
      </c>
      <c r="BU54" s="133">
        <v>110</v>
      </c>
      <c r="BV54" s="133">
        <v>556</v>
      </c>
    </row>
    <row r="55" spans="2:74" ht="14.4">
      <c r="B55" s="855" t="s">
        <v>394</v>
      </c>
      <c r="C55" s="133">
        <v>0</v>
      </c>
      <c r="D55" s="133">
        <v>0</v>
      </c>
      <c r="E55" s="133">
        <v>1</v>
      </c>
      <c r="F55" s="133">
        <v>0</v>
      </c>
      <c r="G55" s="133">
        <v>3</v>
      </c>
      <c r="H55" s="133">
        <v>4</v>
      </c>
      <c r="I55" s="133">
        <v>0</v>
      </c>
      <c r="J55" s="133">
        <v>2</v>
      </c>
      <c r="K55" s="133">
        <v>0</v>
      </c>
      <c r="L55" s="133">
        <v>0</v>
      </c>
      <c r="M55" s="133">
        <v>0</v>
      </c>
      <c r="N55" s="133">
        <v>2</v>
      </c>
      <c r="O55" s="133">
        <v>0</v>
      </c>
      <c r="P55" s="133">
        <v>0</v>
      </c>
      <c r="Q55" s="133">
        <v>0</v>
      </c>
      <c r="R55" s="133">
        <v>2</v>
      </c>
      <c r="S55" s="133">
        <v>0</v>
      </c>
      <c r="T55" s="133">
        <v>0</v>
      </c>
      <c r="U55" s="133">
        <v>22</v>
      </c>
      <c r="V55" s="133">
        <v>6</v>
      </c>
      <c r="W55" s="133">
        <v>0</v>
      </c>
      <c r="X55" s="133">
        <v>21</v>
      </c>
      <c r="Y55" s="133">
        <v>2</v>
      </c>
      <c r="Z55" s="133">
        <v>0</v>
      </c>
      <c r="AA55" s="133">
        <v>0</v>
      </c>
      <c r="AB55" s="133">
        <v>0</v>
      </c>
      <c r="AC55" s="133">
        <v>0</v>
      </c>
      <c r="AD55" s="133">
        <v>0</v>
      </c>
      <c r="AE55" s="133">
        <v>24</v>
      </c>
      <c r="AF55" s="133">
        <v>0</v>
      </c>
      <c r="AG55" s="133">
        <v>88</v>
      </c>
      <c r="AH55" s="133">
        <v>57</v>
      </c>
      <c r="AI55" s="133">
        <v>106</v>
      </c>
      <c r="AJ55" s="133">
        <v>187</v>
      </c>
      <c r="AK55" s="133">
        <v>34</v>
      </c>
      <c r="AL55" s="133">
        <v>18</v>
      </c>
      <c r="AM55" s="133">
        <v>0</v>
      </c>
      <c r="AN55" s="133">
        <v>0</v>
      </c>
      <c r="AO55" s="133">
        <v>0</v>
      </c>
      <c r="AP55" s="133">
        <v>0</v>
      </c>
      <c r="AQ55" s="133">
        <v>12</v>
      </c>
      <c r="AR55" s="133">
        <v>0</v>
      </c>
      <c r="AS55" s="133">
        <v>156</v>
      </c>
      <c r="AT55" s="133">
        <v>179</v>
      </c>
      <c r="AU55" s="133">
        <v>19</v>
      </c>
      <c r="AV55" s="133">
        <v>202</v>
      </c>
      <c r="AW55" s="133">
        <v>63</v>
      </c>
      <c r="AX55" s="133">
        <v>12</v>
      </c>
      <c r="AY55" s="133">
        <v>0</v>
      </c>
      <c r="AZ55" s="133">
        <v>0</v>
      </c>
      <c r="BA55" s="133">
        <v>0</v>
      </c>
      <c r="BB55" s="133">
        <v>0</v>
      </c>
      <c r="BC55" s="133">
        <v>120</v>
      </c>
      <c r="BD55" s="133">
        <v>0</v>
      </c>
      <c r="BE55" s="133">
        <v>0</v>
      </c>
      <c r="BF55" s="133">
        <v>0</v>
      </c>
      <c r="BG55" s="133">
        <v>0</v>
      </c>
      <c r="BH55" s="133">
        <v>24</v>
      </c>
      <c r="BI55" s="133">
        <v>76</v>
      </c>
      <c r="BJ55" s="133">
        <v>0</v>
      </c>
      <c r="BK55" s="133">
        <v>0</v>
      </c>
      <c r="BL55" s="133">
        <v>0</v>
      </c>
      <c r="BM55" s="133">
        <v>0</v>
      </c>
      <c r="BN55" s="133">
        <v>0</v>
      </c>
      <c r="BO55" s="133">
        <v>1</v>
      </c>
      <c r="BP55" s="133">
        <v>0</v>
      </c>
      <c r="BQ55" s="133">
        <v>0</v>
      </c>
      <c r="BR55" s="133">
        <v>0</v>
      </c>
      <c r="BS55" s="133">
        <v>5</v>
      </c>
      <c r="BT55" s="133">
        <v>21</v>
      </c>
      <c r="BU55" s="133">
        <v>1</v>
      </c>
      <c r="BV55" s="133">
        <v>8</v>
      </c>
    </row>
    <row r="56" spans="2:74" ht="21">
      <c r="B56" s="1048" t="s">
        <v>147</v>
      </c>
      <c r="C56" s="1049">
        <f>SUM(C35:BV55)</f>
        <v>2547732</v>
      </c>
    </row>
    <row r="57" spans="2:74">
      <c r="B57" s="794"/>
    </row>
    <row r="58" spans="2:74">
      <c r="B58" s="794"/>
    </row>
    <row r="59" spans="2:74">
      <c r="B59" s="794"/>
    </row>
    <row r="60" spans="2:74">
      <c r="L60" s="784"/>
      <c r="M60" s="784"/>
    </row>
    <row r="62" spans="2:74" ht="19.2">
      <c r="B62" s="1051" t="s">
        <v>1191</v>
      </c>
      <c r="C62" s="796"/>
      <c r="D62" s="796"/>
      <c r="E62" s="796"/>
      <c r="F62" s="796"/>
    </row>
    <row r="63" spans="2:74">
      <c r="B63" t="s">
        <v>1105</v>
      </c>
      <c r="C63" s="182">
        <v>2019</v>
      </c>
      <c r="D63" s="182">
        <v>2020</v>
      </c>
      <c r="E63" t="s">
        <v>1123</v>
      </c>
      <c r="F63" t="s">
        <v>1123</v>
      </c>
    </row>
    <row r="64" spans="2:74">
      <c r="B64" t="s">
        <v>1105</v>
      </c>
      <c r="C64" s="182"/>
      <c r="D64" s="182"/>
      <c r="E64" t="s">
        <v>1124</v>
      </c>
      <c r="F64" t="s">
        <v>1125</v>
      </c>
    </row>
    <row r="65" spans="2:6">
      <c r="B65" t="s">
        <v>147</v>
      </c>
      <c r="C65" s="795">
        <v>2581155</v>
      </c>
      <c r="D65" s="795">
        <v>2610040</v>
      </c>
      <c r="E65" s="788">
        <v>286115</v>
      </c>
      <c r="F65" s="788">
        <v>28885</v>
      </c>
    </row>
    <row r="66" spans="2:6">
      <c r="B66" s="182" t="s">
        <v>342</v>
      </c>
      <c r="C66" s="788">
        <v>1276690</v>
      </c>
      <c r="D66" s="795">
        <v>1281004</v>
      </c>
      <c r="E66" s="788">
        <v>61101</v>
      </c>
      <c r="F66" s="788">
        <v>4314</v>
      </c>
    </row>
    <row r="67" spans="2:6">
      <c r="B67" s="182" t="s">
        <v>346</v>
      </c>
      <c r="C67" s="788">
        <v>232948</v>
      </c>
      <c r="D67" s="795">
        <v>235467</v>
      </c>
      <c r="E67" s="788">
        <v>23871</v>
      </c>
      <c r="F67" s="788">
        <v>2519</v>
      </c>
    </row>
    <row r="68" spans="2:6">
      <c r="B68" s="182" t="s">
        <v>349</v>
      </c>
      <c r="C68" s="788">
        <v>307910</v>
      </c>
      <c r="D68" s="795">
        <v>311648</v>
      </c>
      <c r="E68" s="788">
        <v>43827</v>
      </c>
      <c r="F68" s="788">
        <v>3738</v>
      </c>
    </row>
    <row r="69" spans="2:6">
      <c r="B69" s="182" t="s">
        <v>341</v>
      </c>
      <c r="C69" s="788">
        <v>628145</v>
      </c>
      <c r="D69" s="795">
        <v>643631</v>
      </c>
      <c r="E69" s="788">
        <v>120639</v>
      </c>
      <c r="F69" s="788">
        <v>15486</v>
      </c>
    </row>
    <row r="70" spans="2:6">
      <c r="B70" s="182" t="s">
        <v>351</v>
      </c>
      <c r="C70" s="788">
        <v>61912</v>
      </c>
      <c r="D70" s="795">
        <v>63309</v>
      </c>
      <c r="E70" s="788">
        <v>22114</v>
      </c>
      <c r="F70" s="788">
        <v>1397</v>
      </c>
    </row>
    <row r="71" spans="2:6">
      <c r="B71" s="182" t="s">
        <v>352</v>
      </c>
      <c r="C71" s="788">
        <v>73550</v>
      </c>
      <c r="D71" s="795">
        <v>74981</v>
      </c>
      <c r="E71" s="788">
        <v>14563</v>
      </c>
      <c r="F71" s="788">
        <v>1431</v>
      </c>
    </row>
    <row r="73" spans="2:6" ht="15.6">
      <c r="B73" t="s">
        <v>1126</v>
      </c>
    </row>
    <row r="74" spans="2:6">
      <c r="B74" t="s">
        <v>1122</v>
      </c>
    </row>
    <row r="75" spans="2:6" ht="13.8">
      <c r="B75" s="1046" t="s">
        <v>1194</v>
      </c>
    </row>
    <row r="79" spans="2:6" ht="17.399999999999999">
      <c r="B79" s="1051" t="s">
        <v>1193</v>
      </c>
      <c r="F79" s="784"/>
    </row>
    <row r="80" spans="2:6">
      <c r="B80" t="s">
        <v>1105</v>
      </c>
      <c r="C80" s="182">
        <v>2016</v>
      </c>
      <c r="D80" s="182">
        <v>2020</v>
      </c>
      <c r="E80" t="s">
        <v>1106</v>
      </c>
      <c r="F80" s="784"/>
    </row>
    <row r="81" spans="1:17">
      <c r="B81" t="s">
        <v>1107</v>
      </c>
      <c r="C81" s="795">
        <v>4113674</v>
      </c>
      <c r="D81" s="795">
        <v>4212721</v>
      </c>
      <c r="E81" s="788">
        <v>99047</v>
      </c>
    </row>
    <row r="82" spans="1:17" ht="14.4">
      <c r="B82" t="s">
        <v>1108</v>
      </c>
      <c r="C82" s="788">
        <v>1523073</v>
      </c>
      <c r="D82" s="795">
        <v>1564662</v>
      </c>
      <c r="E82" s="788">
        <v>41589</v>
      </c>
      <c r="J82" s="799"/>
    </row>
    <row r="83" spans="1:17">
      <c r="A83" s="11"/>
      <c r="B83" t="s">
        <v>1109</v>
      </c>
      <c r="C83" s="788">
        <v>2590601</v>
      </c>
      <c r="D83" s="788">
        <v>2648059</v>
      </c>
      <c r="E83" s="788">
        <v>57458</v>
      </c>
      <c r="L83" s="11"/>
      <c r="M83" s="11"/>
      <c r="N83" s="11"/>
      <c r="O83" s="11"/>
      <c r="P83" s="11"/>
      <c r="Q83" s="11"/>
    </row>
    <row r="84" spans="1:17">
      <c r="A84" s="11"/>
      <c r="C84" s="788" t="s">
        <v>1105</v>
      </c>
      <c r="D84" s="788" t="s">
        <v>1105</v>
      </c>
      <c r="E84" s="788" t="s">
        <v>1105</v>
      </c>
      <c r="G84" s="784"/>
      <c r="L84" s="11"/>
      <c r="M84" s="11"/>
      <c r="N84" s="11"/>
      <c r="O84" s="11"/>
      <c r="P84" s="11"/>
      <c r="Q84" s="11"/>
    </row>
    <row r="85" spans="1:17" ht="14.4">
      <c r="A85" s="11"/>
      <c r="B85" t="s">
        <v>1108</v>
      </c>
      <c r="C85" s="788" t="s">
        <v>1105</v>
      </c>
      <c r="D85" s="788" t="s">
        <v>1105</v>
      </c>
      <c r="E85" s="788" t="s">
        <v>1105</v>
      </c>
      <c r="G85" s="784"/>
      <c r="J85" s="187"/>
      <c r="K85" s="187"/>
      <c r="L85" s="11"/>
      <c r="M85" s="11"/>
      <c r="N85" s="11"/>
      <c r="O85" s="11"/>
      <c r="P85" s="11"/>
      <c r="Q85" s="11"/>
    </row>
    <row r="86" spans="1:17" ht="14.4">
      <c r="A86" s="11"/>
      <c r="B86" s="182" t="s">
        <v>342</v>
      </c>
      <c r="C86" s="788">
        <v>1158982</v>
      </c>
      <c r="D86" s="795">
        <v>1174481</v>
      </c>
      <c r="E86" s="788">
        <v>15499</v>
      </c>
      <c r="G86" s="784"/>
      <c r="K86" s="187"/>
      <c r="L86" s="11"/>
      <c r="M86" s="11"/>
      <c r="N86" s="11"/>
      <c r="O86" s="11"/>
      <c r="P86" s="11"/>
      <c r="Q86" s="11"/>
    </row>
    <row r="87" spans="1:17" ht="14.4">
      <c r="A87" s="11"/>
      <c r="B87" s="182" t="s">
        <v>346</v>
      </c>
      <c r="C87" s="788">
        <v>161373</v>
      </c>
      <c r="D87" s="795">
        <v>171080</v>
      </c>
      <c r="E87" s="788">
        <v>9707</v>
      </c>
      <c r="G87" s="784"/>
      <c r="K87" s="187"/>
      <c r="L87" s="11"/>
      <c r="M87" s="11"/>
      <c r="N87" s="11"/>
      <c r="O87" s="11"/>
      <c r="P87" s="11"/>
      <c r="Q87" s="11"/>
    </row>
    <row r="88" spans="1:17" ht="14.4">
      <c r="A88" s="11"/>
      <c r="B88" s="182" t="s">
        <v>349</v>
      </c>
      <c r="C88" s="788">
        <v>159762</v>
      </c>
      <c r="D88" s="795">
        <v>172198</v>
      </c>
      <c r="E88" s="788">
        <v>12436</v>
      </c>
      <c r="K88" s="187"/>
      <c r="L88" s="11"/>
      <c r="M88" s="11"/>
      <c r="N88" s="11"/>
      <c r="O88" s="11"/>
      <c r="P88" s="11"/>
      <c r="Q88" s="11"/>
    </row>
    <row r="89" spans="1:17" ht="14.4">
      <c r="A89" s="11"/>
      <c r="B89" s="182" t="s">
        <v>341</v>
      </c>
      <c r="C89" s="788">
        <v>37993</v>
      </c>
      <c r="D89" s="795">
        <v>41578</v>
      </c>
      <c r="E89" s="788">
        <v>3585</v>
      </c>
      <c r="K89" s="187"/>
      <c r="L89" s="1050"/>
      <c r="M89" s="1050"/>
      <c r="N89" s="11"/>
      <c r="O89" s="11"/>
      <c r="P89" s="11"/>
      <c r="Q89" s="11"/>
    </row>
    <row r="90" spans="1:17" ht="14.4">
      <c r="A90" s="11"/>
      <c r="B90" s="182" t="s">
        <v>351</v>
      </c>
      <c r="C90" s="788">
        <v>4963</v>
      </c>
      <c r="D90" s="795">
        <v>5325</v>
      </c>
      <c r="E90" s="788">
        <v>362</v>
      </c>
      <c r="J90" s="187"/>
      <c r="K90" s="187"/>
      <c r="L90" s="1050"/>
      <c r="M90" s="1050"/>
      <c r="N90" s="11"/>
      <c r="O90" s="11"/>
      <c r="P90" s="11"/>
      <c r="Q90" s="11"/>
    </row>
    <row r="91" spans="1:17" ht="14.4">
      <c r="A91" s="11"/>
      <c r="C91" s="788" t="s">
        <v>1105</v>
      </c>
      <c r="D91" s="788" t="s">
        <v>1105</v>
      </c>
      <c r="E91" s="788" t="s">
        <v>1105</v>
      </c>
      <c r="K91" s="187"/>
      <c r="L91" s="1050"/>
      <c r="M91" s="1050"/>
      <c r="N91" s="11"/>
      <c r="O91" s="11"/>
      <c r="P91" s="11"/>
      <c r="Q91" s="11"/>
    </row>
    <row r="92" spans="1:17" ht="14.4">
      <c r="A92" s="11"/>
      <c r="B92" t="s">
        <v>1109</v>
      </c>
      <c r="C92" s="788" t="s">
        <v>1105</v>
      </c>
      <c r="D92" s="788" t="s">
        <v>1105</v>
      </c>
      <c r="E92" s="788" t="s">
        <v>1105</v>
      </c>
      <c r="K92" s="187"/>
      <c r="L92" s="1050"/>
      <c r="M92" s="1050"/>
      <c r="N92" s="11"/>
      <c r="O92" s="11"/>
      <c r="P92" s="11"/>
      <c r="Q92" s="11"/>
    </row>
    <row r="93" spans="1:17" ht="14.4">
      <c r="A93" s="11"/>
      <c r="B93" t="s">
        <v>1110</v>
      </c>
      <c r="C93" s="788">
        <v>1839482</v>
      </c>
      <c r="D93" s="788">
        <v>1898207</v>
      </c>
      <c r="E93" s="788">
        <v>58725</v>
      </c>
      <c r="K93" s="187"/>
      <c r="L93" s="1050"/>
      <c r="M93" s="1050"/>
      <c r="N93" s="11"/>
      <c r="O93" s="11"/>
      <c r="P93" s="11"/>
      <c r="Q93" s="11"/>
    </row>
    <row r="94" spans="1:17" ht="14.4">
      <c r="A94" s="11"/>
      <c r="B94" t="s">
        <v>1111</v>
      </c>
      <c r="C94" s="788" t="s">
        <v>1105</v>
      </c>
      <c r="D94" s="788" t="s">
        <v>1105</v>
      </c>
      <c r="E94" s="788" t="s">
        <v>1105</v>
      </c>
      <c r="K94" s="187"/>
      <c r="L94" s="1050"/>
      <c r="M94" s="1050"/>
      <c r="N94" s="11"/>
      <c r="O94" s="11"/>
      <c r="P94" s="11"/>
      <c r="Q94" s="11"/>
    </row>
    <row r="95" spans="1:17" ht="14.4">
      <c r="A95" s="11"/>
      <c r="B95" t="s">
        <v>1112</v>
      </c>
      <c r="C95" s="788">
        <v>423041</v>
      </c>
      <c r="D95" s="788">
        <v>437833</v>
      </c>
      <c r="E95" s="788">
        <v>14792</v>
      </c>
      <c r="J95" s="187"/>
      <c r="K95" s="187"/>
      <c r="L95" s="1050"/>
      <c r="M95" s="1050"/>
      <c r="N95" s="11"/>
      <c r="O95" s="11"/>
      <c r="P95" s="11"/>
      <c r="Q95" s="11"/>
    </row>
    <row r="96" spans="1:17" ht="14.4">
      <c r="A96" s="11"/>
      <c r="B96" t="s">
        <v>1113</v>
      </c>
      <c r="C96" s="788">
        <v>32727</v>
      </c>
      <c r="D96" s="788">
        <v>32906</v>
      </c>
      <c r="E96" s="788">
        <v>179</v>
      </c>
      <c r="K96" s="187"/>
      <c r="L96" s="1050"/>
      <c r="M96" s="1050"/>
      <c r="N96" s="11"/>
      <c r="O96" s="11"/>
      <c r="P96" s="11"/>
      <c r="Q96" s="11"/>
    </row>
    <row r="97" spans="1:17" ht="14.4">
      <c r="A97" s="11"/>
      <c r="B97" t="s">
        <v>1114</v>
      </c>
      <c r="C97" s="788">
        <v>107451</v>
      </c>
      <c r="D97" s="788">
        <v>111724</v>
      </c>
      <c r="E97" s="788">
        <v>4273</v>
      </c>
      <c r="K97" s="187"/>
      <c r="L97" s="11"/>
      <c r="M97" s="11"/>
      <c r="N97" s="11"/>
      <c r="O97" s="11"/>
      <c r="P97" s="11"/>
      <c r="Q97" s="11"/>
    </row>
    <row r="98" spans="1:17" ht="14.4">
      <c r="A98" s="11"/>
      <c r="B98" t="s">
        <v>1115</v>
      </c>
      <c r="C98" s="788">
        <v>503483</v>
      </c>
      <c r="D98" s="788">
        <v>495470</v>
      </c>
      <c r="E98" s="788">
        <v>-8013</v>
      </c>
      <c r="K98" s="187"/>
      <c r="L98" s="11"/>
      <c r="M98" s="11"/>
      <c r="N98" s="11"/>
      <c r="O98" s="11"/>
      <c r="P98" s="11"/>
      <c r="Q98" s="11"/>
    </row>
    <row r="99" spans="1:17" ht="14.4">
      <c r="A99" s="11"/>
      <c r="B99" t="s">
        <v>1116</v>
      </c>
      <c r="C99" s="788">
        <v>38875</v>
      </c>
      <c r="D99" s="788">
        <v>38863</v>
      </c>
      <c r="E99" s="788">
        <v>-12</v>
      </c>
      <c r="K99" s="187"/>
      <c r="L99" s="11"/>
      <c r="M99" s="11"/>
      <c r="N99" s="11"/>
      <c r="O99" s="11"/>
      <c r="P99" s="11"/>
      <c r="Q99" s="11"/>
    </row>
    <row r="100" spans="1:17" ht="14.4">
      <c r="A100" s="11"/>
      <c r="B100" t="s">
        <v>1117</v>
      </c>
      <c r="C100" s="788">
        <v>11470</v>
      </c>
      <c r="D100" s="788">
        <v>12180</v>
      </c>
      <c r="E100" s="788">
        <v>710</v>
      </c>
      <c r="J100" s="187"/>
      <c r="K100" s="187"/>
      <c r="L100" s="11"/>
      <c r="M100" s="11"/>
      <c r="N100" s="11"/>
      <c r="O100" s="11"/>
      <c r="P100" s="11"/>
      <c r="Q100" s="11"/>
    </row>
    <row r="101" spans="1:17" ht="14.4">
      <c r="A101" s="11"/>
      <c r="B101" t="s">
        <v>1118</v>
      </c>
      <c r="C101" s="788">
        <v>31511</v>
      </c>
      <c r="D101" s="788">
        <v>32269</v>
      </c>
      <c r="E101" s="788">
        <v>758</v>
      </c>
      <c r="K101" s="187"/>
      <c r="L101" s="11"/>
      <c r="M101" s="11"/>
      <c r="N101" s="11"/>
      <c r="O101" s="11"/>
      <c r="P101" s="11"/>
      <c r="Q101" s="11"/>
    </row>
    <row r="102" spans="1:17" ht="14.4">
      <c r="A102" s="11"/>
      <c r="B102" t="s">
        <v>1119</v>
      </c>
      <c r="C102" s="788">
        <v>47770</v>
      </c>
      <c r="D102" s="788">
        <v>48676</v>
      </c>
      <c r="E102" s="788">
        <v>906</v>
      </c>
      <c r="K102" s="187"/>
      <c r="L102" s="11"/>
      <c r="M102" s="11"/>
      <c r="N102" s="11"/>
      <c r="O102" s="11"/>
      <c r="P102" s="11"/>
      <c r="Q102" s="11"/>
    </row>
    <row r="103" spans="1:17" ht="14.4">
      <c r="A103" s="11"/>
      <c r="B103" t="s">
        <v>1120</v>
      </c>
      <c r="C103" s="788">
        <v>5657</v>
      </c>
      <c r="D103" s="788">
        <v>5656</v>
      </c>
      <c r="E103" s="788">
        <v>-1</v>
      </c>
      <c r="K103" s="187"/>
      <c r="L103" s="11"/>
      <c r="M103" s="11"/>
      <c r="N103" s="11"/>
      <c r="O103" s="11"/>
      <c r="P103" s="11"/>
      <c r="Q103" s="11"/>
    </row>
    <row r="104" spans="1:17" ht="14.4">
      <c r="A104" s="11"/>
      <c r="B104" t="s">
        <v>1121</v>
      </c>
      <c r="C104" s="788">
        <v>4902</v>
      </c>
      <c r="D104" s="788">
        <v>5014</v>
      </c>
      <c r="E104" s="788">
        <v>112</v>
      </c>
      <c r="K104" s="187"/>
      <c r="L104" s="11"/>
      <c r="M104" s="11"/>
      <c r="N104" s="11"/>
      <c r="O104" s="11"/>
      <c r="P104" s="11"/>
      <c r="Q104" s="11"/>
    </row>
    <row r="105" spans="1:17" ht="14.4">
      <c r="A105" s="11"/>
      <c r="J105" s="187"/>
      <c r="K105" s="187"/>
      <c r="L105" s="11"/>
      <c r="M105" s="11"/>
      <c r="N105" s="11"/>
      <c r="O105" s="11"/>
      <c r="P105" s="11"/>
      <c r="Q105" s="11"/>
    </row>
    <row r="106" spans="1:17" ht="14.4">
      <c r="A106" s="11"/>
      <c r="B106" t="s">
        <v>1122</v>
      </c>
      <c r="K106" s="187"/>
      <c r="L106" s="11"/>
      <c r="M106" s="11"/>
      <c r="N106" s="11"/>
      <c r="O106" s="11"/>
      <c r="P106" s="11"/>
      <c r="Q106" s="11"/>
    </row>
    <row r="107" spans="1:17" ht="14.4">
      <c r="A107" s="11"/>
      <c r="B107" s="1046" t="s">
        <v>1104</v>
      </c>
      <c r="K107" s="187"/>
      <c r="L107" s="11"/>
      <c r="M107" s="11"/>
      <c r="N107" s="11"/>
      <c r="O107" s="11"/>
      <c r="P107" s="11"/>
      <c r="Q107" s="11"/>
    </row>
    <row r="108" spans="1:17" ht="14.4">
      <c r="A108" s="11"/>
      <c r="K108" s="187"/>
      <c r="L108" s="11"/>
      <c r="M108" s="11"/>
      <c r="N108" s="11"/>
      <c r="O108" s="11"/>
      <c r="P108" s="11"/>
      <c r="Q108" s="11"/>
    </row>
    <row r="109" spans="1:17" ht="14.4">
      <c r="A109" s="11"/>
      <c r="K109" s="187"/>
      <c r="L109" s="11"/>
      <c r="M109" s="11"/>
      <c r="N109" s="11"/>
      <c r="O109" s="11"/>
      <c r="P109" s="11"/>
      <c r="Q109" s="11"/>
    </row>
    <row r="110" spans="1:17" ht="14.4">
      <c r="A110" s="11"/>
      <c r="J110" s="187"/>
      <c r="K110" s="187"/>
      <c r="L110" s="11"/>
      <c r="M110" s="11"/>
      <c r="N110" s="11"/>
      <c r="O110" s="11"/>
      <c r="P110" s="11"/>
      <c r="Q110" s="11"/>
    </row>
    <row r="111" spans="1:17" ht="21">
      <c r="A111" s="11"/>
      <c r="B111" s="1043" t="s">
        <v>1192</v>
      </c>
      <c r="K111" s="187"/>
      <c r="L111" s="11"/>
      <c r="M111" s="11"/>
      <c r="N111" s="11"/>
      <c r="O111" s="11"/>
      <c r="P111" s="11"/>
      <c r="Q111" s="11"/>
    </row>
    <row r="112" spans="1:17" ht="14.4">
      <c r="A112" s="11"/>
      <c r="K112" s="187"/>
      <c r="L112" s="11"/>
      <c r="M112" s="11"/>
      <c r="N112" s="11"/>
      <c r="O112" s="11"/>
      <c r="P112" s="11"/>
      <c r="Q112" s="11"/>
    </row>
    <row r="113" spans="1:17" ht="14.4">
      <c r="A113" s="11"/>
      <c r="C113" s="187" t="s">
        <v>1072</v>
      </c>
      <c r="K113" s="187"/>
      <c r="L113" s="11"/>
      <c r="M113" s="11"/>
      <c r="N113" s="11"/>
      <c r="O113" s="11"/>
      <c r="P113" s="11"/>
      <c r="Q113" s="11"/>
    </row>
    <row r="114" spans="1:17" ht="14.4">
      <c r="C114" s="787" t="s">
        <v>341</v>
      </c>
      <c r="D114" s="787" t="s">
        <v>342</v>
      </c>
      <c r="E114" s="787" t="s">
        <v>346</v>
      </c>
      <c r="F114" s="787" t="s">
        <v>349</v>
      </c>
      <c r="G114" s="787" t="s">
        <v>351</v>
      </c>
      <c r="K114" s="187"/>
    </row>
    <row r="115" spans="1:17" ht="14.4">
      <c r="B115" s="187"/>
      <c r="C115" s="784"/>
      <c r="D115" s="784"/>
      <c r="E115" s="784"/>
      <c r="F115" s="784"/>
      <c r="G115" s="784"/>
      <c r="J115" s="187"/>
      <c r="K115" s="187"/>
    </row>
    <row r="116" spans="1:17" ht="14.4">
      <c r="B116" s="187" t="s">
        <v>1083</v>
      </c>
      <c r="C116" s="784">
        <v>1413</v>
      </c>
      <c r="D116" s="784">
        <v>68067</v>
      </c>
      <c r="E116" s="784">
        <v>9232</v>
      </c>
      <c r="F116" s="784">
        <v>9006</v>
      </c>
      <c r="G116" s="784">
        <v>172</v>
      </c>
      <c r="K116" s="187"/>
    </row>
    <row r="117" spans="1:17" ht="14.4">
      <c r="B117" s="187" t="s">
        <v>1073</v>
      </c>
      <c r="C117" s="784">
        <v>2745</v>
      </c>
      <c r="D117" s="784">
        <v>102471</v>
      </c>
      <c r="E117" s="784">
        <v>19564</v>
      </c>
      <c r="F117" s="784">
        <v>25492</v>
      </c>
      <c r="G117" s="784">
        <v>281</v>
      </c>
      <c r="K117" s="187"/>
    </row>
    <row r="118" spans="1:17" ht="14.4">
      <c r="B118" s="187" t="s">
        <v>1084</v>
      </c>
      <c r="C118" s="784">
        <v>1305</v>
      </c>
      <c r="D118" s="784">
        <v>67478</v>
      </c>
      <c r="E118" s="784">
        <v>8686</v>
      </c>
      <c r="F118" s="784">
        <v>5478</v>
      </c>
      <c r="G118" s="784">
        <v>220</v>
      </c>
      <c r="K118" s="187"/>
    </row>
    <row r="119" spans="1:17" ht="14.4">
      <c r="B119" s="187" t="s">
        <v>936</v>
      </c>
      <c r="C119" s="784">
        <v>10622</v>
      </c>
      <c r="D119" s="784">
        <v>24413</v>
      </c>
      <c r="E119" s="784">
        <v>13638</v>
      </c>
      <c r="F119" s="784">
        <v>19774</v>
      </c>
      <c r="G119" s="784">
        <v>123</v>
      </c>
      <c r="K119" s="187"/>
    </row>
    <row r="120" spans="1:17" ht="14.4">
      <c r="B120" s="187" t="s">
        <v>1085</v>
      </c>
      <c r="C120" s="784">
        <v>622</v>
      </c>
      <c r="D120" s="784">
        <v>68211</v>
      </c>
      <c r="E120" s="784">
        <v>4523</v>
      </c>
      <c r="F120" s="784">
        <v>3722</v>
      </c>
      <c r="G120" s="784">
        <v>217</v>
      </c>
      <c r="J120" s="187"/>
      <c r="K120" s="187"/>
    </row>
    <row r="121" spans="1:17" ht="14.4">
      <c r="B121" s="187" t="s">
        <v>1086</v>
      </c>
      <c r="C121" s="784">
        <v>491</v>
      </c>
      <c r="D121" s="784">
        <v>65919</v>
      </c>
      <c r="E121" s="784">
        <v>5814</v>
      </c>
      <c r="F121" s="784">
        <v>2837</v>
      </c>
      <c r="G121" s="784">
        <v>281</v>
      </c>
      <c r="K121" s="187"/>
    </row>
    <row r="122" spans="1:17" ht="14.4">
      <c r="B122" s="187" t="s">
        <v>1087</v>
      </c>
      <c r="C122" s="784">
        <v>1147</v>
      </c>
      <c r="D122" s="784">
        <v>58154</v>
      </c>
      <c r="E122" s="784">
        <v>7048</v>
      </c>
      <c r="F122" s="784">
        <v>6656</v>
      </c>
      <c r="G122" s="784">
        <v>230</v>
      </c>
      <c r="K122" s="187"/>
    </row>
    <row r="123" spans="1:17" ht="14.4">
      <c r="B123" s="187" t="s">
        <v>1088</v>
      </c>
      <c r="C123" s="784">
        <v>748</v>
      </c>
      <c r="D123" s="784">
        <v>52999</v>
      </c>
      <c r="E123" s="784">
        <v>4142</v>
      </c>
      <c r="F123" s="784">
        <v>3305</v>
      </c>
      <c r="G123" s="784">
        <v>236</v>
      </c>
      <c r="K123" s="187"/>
    </row>
    <row r="124" spans="1:17" ht="14.4">
      <c r="B124" s="187" t="s">
        <v>1089</v>
      </c>
      <c r="C124" s="784">
        <v>342</v>
      </c>
      <c r="D124" s="784">
        <v>37074</v>
      </c>
      <c r="E124" s="784">
        <v>2180</v>
      </c>
      <c r="F124" s="784">
        <v>2247</v>
      </c>
      <c r="G124" s="784">
        <v>130</v>
      </c>
      <c r="K124" s="187"/>
    </row>
    <row r="125" spans="1:17" ht="14.4">
      <c r="B125" s="187" t="s">
        <v>1090</v>
      </c>
      <c r="C125" s="784">
        <v>911</v>
      </c>
      <c r="D125" s="784">
        <v>42191</v>
      </c>
      <c r="E125" s="784">
        <v>5386</v>
      </c>
      <c r="F125" s="784">
        <v>6125</v>
      </c>
      <c r="G125" s="784">
        <v>185</v>
      </c>
    </row>
    <row r="126" spans="1:17" ht="14.4">
      <c r="B126" s="187" t="s">
        <v>1091</v>
      </c>
      <c r="C126" s="784">
        <v>1933</v>
      </c>
      <c r="D126" s="784">
        <v>103501</v>
      </c>
      <c r="E126" s="784">
        <v>14401</v>
      </c>
      <c r="F126" s="784">
        <v>11551</v>
      </c>
      <c r="G126" s="784">
        <v>275</v>
      </c>
    </row>
    <row r="127" spans="1:17" ht="14.4">
      <c r="B127" s="187" t="s">
        <v>1092</v>
      </c>
      <c r="C127" s="784">
        <v>5847</v>
      </c>
      <c r="D127" s="784">
        <v>100911</v>
      </c>
      <c r="E127" s="784">
        <v>13962</v>
      </c>
      <c r="F127" s="784">
        <v>19613</v>
      </c>
      <c r="G127" s="784">
        <v>301</v>
      </c>
    </row>
    <row r="128" spans="1:17" ht="14.4">
      <c r="B128" s="187" t="s">
        <v>1093</v>
      </c>
      <c r="C128" s="784">
        <v>221</v>
      </c>
      <c r="D128" s="784">
        <v>36297</v>
      </c>
      <c r="E128" s="784">
        <v>2642</v>
      </c>
      <c r="F128" s="784">
        <v>2459</v>
      </c>
      <c r="G128" s="784">
        <v>196</v>
      </c>
    </row>
    <row r="129" spans="2:7" ht="14.4">
      <c r="B129" s="187" t="s">
        <v>1094</v>
      </c>
      <c r="C129" s="784">
        <v>926</v>
      </c>
      <c r="D129" s="784">
        <v>70222</v>
      </c>
      <c r="E129" s="784">
        <v>9508</v>
      </c>
      <c r="F129" s="784">
        <v>6318</v>
      </c>
      <c r="G129" s="784">
        <v>239</v>
      </c>
    </row>
    <row r="130" spans="2:7" ht="14.4">
      <c r="B130" s="187" t="s">
        <v>1095</v>
      </c>
      <c r="C130" s="784">
        <v>2978</v>
      </c>
      <c r="D130" s="784">
        <v>58023</v>
      </c>
      <c r="E130" s="784">
        <v>11772</v>
      </c>
      <c r="F130" s="784">
        <v>8820</v>
      </c>
      <c r="G130" s="784">
        <v>568</v>
      </c>
    </row>
    <row r="131" spans="2:7" ht="14.4">
      <c r="B131" s="187" t="s">
        <v>1096</v>
      </c>
      <c r="C131" s="784">
        <v>439</v>
      </c>
      <c r="D131" s="784">
        <v>40937</v>
      </c>
      <c r="E131" s="784">
        <v>4199</v>
      </c>
      <c r="F131" s="784">
        <v>2796</v>
      </c>
      <c r="G131" s="784">
        <v>190</v>
      </c>
    </row>
    <row r="132" spans="2:7" ht="14.4">
      <c r="B132" s="187" t="s">
        <v>1097</v>
      </c>
      <c r="C132" s="784">
        <v>971</v>
      </c>
      <c r="D132" s="784">
        <v>73384</v>
      </c>
      <c r="E132" s="784">
        <v>8048</v>
      </c>
      <c r="F132" s="784">
        <v>6231</v>
      </c>
      <c r="G132" s="784">
        <v>344</v>
      </c>
    </row>
    <row r="133" spans="2:7" ht="14.4">
      <c r="B133" s="187" t="s">
        <v>1098</v>
      </c>
      <c r="C133" s="784">
        <v>687</v>
      </c>
      <c r="D133" s="784">
        <v>45540</v>
      </c>
      <c r="E133" s="784">
        <v>4016</v>
      </c>
      <c r="F133" s="784">
        <v>2606</v>
      </c>
      <c r="G133" s="784">
        <v>208</v>
      </c>
    </row>
    <row r="134" spans="2:7" ht="14.4">
      <c r="B134" s="187" t="s">
        <v>1099</v>
      </c>
      <c r="C134" s="784">
        <v>333</v>
      </c>
      <c r="D134" s="784">
        <v>22133</v>
      </c>
      <c r="E134" s="784">
        <v>3278</v>
      </c>
      <c r="F134" s="784">
        <v>2823</v>
      </c>
      <c r="G134" s="784">
        <v>149</v>
      </c>
    </row>
    <row r="135" spans="2:7" ht="14.4">
      <c r="B135" s="1041" t="s">
        <v>394</v>
      </c>
      <c r="C135" s="1042">
        <v>45</v>
      </c>
      <c r="D135" s="1042">
        <v>13</v>
      </c>
      <c r="E135" s="1042">
        <v>45</v>
      </c>
      <c r="F135" s="1042">
        <v>316</v>
      </c>
      <c r="G135" s="1042">
        <v>6</v>
      </c>
    </row>
    <row r="136" spans="2:7" ht="21">
      <c r="B136" s="1048" t="s">
        <v>147</v>
      </c>
      <c r="C136" s="1049">
        <f>SUM(C116:G135)</f>
        <v>1477474</v>
      </c>
      <c r="D136" s="784"/>
      <c r="E136" s="784"/>
      <c r="F136" s="784"/>
      <c r="G136" s="784"/>
    </row>
    <row r="137" spans="2:7">
      <c r="D137" s="784"/>
      <c r="E137" s="784"/>
      <c r="F137" s="784"/>
      <c r="G137" s="784"/>
    </row>
  </sheetData>
  <pageMargins left="0.7" right="0.7" top="0.75" bottom="0.75" header="0.3" footer="0.3"/>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9699B-0666-48CF-BB20-E9785A95E440}">
  <sheetPr>
    <tabColor theme="9" tint="-0.249977111117893"/>
  </sheetPr>
  <dimension ref="A1:O145"/>
  <sheetViews>
    <sheetView zoomScale="70" zoomScaleNormal="70" workbookViewId="0">
      <selection activeCell="J71" sqref="J71"/>
    </sheetView>
  </sheetViews>
  <sheetFormatPr defaultRowHeight="13.2"/>
  <cols>
    <col min="2" max="2" width="53.109375" customWidth="1"/>
    <col min="3" max="3" width="30.44140625" customWidth="1"/>
    <col min="4" max="4" width="32" bestFit="1" customWidth="1"/>
    <col min="5" max="5" width="23.109375" customWidth="1"/>
    <col min="6" max="6" width="24.109375" customWidth="1"/>
    <col min="7" max="7" width="26.109375" customWidth="1"/>
    <col min="8" max="8" width="14.5546875" customWidth="1"/>
    <col min="9" max="9" width="16.33203125" customWidth="1"/>
    <col min="10" max="10" width="26.44140625" customWidth="1"/>
    <col min="11" max="11" width="32.33203125" customWidth="1"/>
    <col min="12" max="12" width="17.6640625" customWidth="1"/>
    <col min="13" max="13" width="11.109375" customWidth="1"/>
    <col min="17" max="17" width="17.109375" customWidth="1"/>
    <col min="18" max="18" width="20.5546875" customWidth="1"/>
    <col min="19" max="19" width="23.88671875" customWidth="1"/>
    <col min="20" max="20" width="13.6640625" customWidth="1"/>
    <col min="21" max="21" width="24.44140625" customWidth="1"/>
    <col min="22" max="23" width="21.88671875" bestFit="1" customWidth="1"/>
    <col min="24" max="24" width="22.44140625" bestFit="1" customWidth="1"/>
    <col min="25" max="25" width="25.6640625" bestFit="1" customWidth="1"/>
  </cols>
  <sheetData>
    <row r="1" spans="2:15">
      <c r="B1" s="794"/>
    </row>
    <row r="3" spans="2:15" ht="18">
      <c r="B3" s="1127" t="s">
        <v>1201</v>
      </c>
      <c r="C3" s="1127"/>
      <c r="D3" s="1127"/>
      <c r="E3" s="1127"/>
      <c r="F3" s="1127"/>
      <c r="G3" s="1127"/>
      <c r="I3" s="11"/>
      <c r="J3" s="11"/>
      <c r="K3" s="11"/>
      <c r="L3" s="11"/>
      <c r="M3" s="11"/>
    </row>
    <row r="4" spans="2:15" ht="18">
      <c r="B4" s="1118" t="s">
        <v>1202</v>
      </c>
      <c r="C4" s="1119"/>
      <c r="D4" s="1119"/>
      <c r="E4" s="1119"/>
      <c r="F4" s="1119"/>
      <c r="G4" s="1119"/>
      <c r="J4" s="827" t="s">
        <v>1149</v>
      </c>
      <c r="K4" s="11"/>
      <c r="L4" s="11"/>
      <c r="M4" s="11"/>
    </row>
    <row r="5" spans="2:15" ht="15.6">
      <c r="B5" t="s">
        <v>1105</v>
      </c>
      <c r="C5" s="1124">
        <v>2010</v>
      </c>
      <c r="D5" s="1124">
        <v>2015</v>
      </c>
      <c r="E5" s="1124">
        <v>2016</v>
      </c>
      <c r="F5" s="1124">
        <v>2017</v>
      </c>
      <c r="G5" s="1124">
        <v>2018</v>
      </c>
      <c r="H5" s="1124">
        <v>2019</v>
      </c>
      <c r="I5" s="1117"/>
      <c r="J5" s="1124">
        <v>2010</v>
      </c>
      <c r="K5" s="1124">
        <v>2015</v>
      </c>
      <c r="L5" s="1124">
        <v>2016</v>
      </c>
      <c r="M5" s="1124">
        <v>2017</v>
      </c>
      <c r="N5" s="1124">
        <v>2018</v>
      </c>
      <c r="O5" s="1124">
        <v>2019</v>
      </c>
    </row>
    <row r="6" spans="2:15" ht="14.4">
      <c r="B6" s="797" t="s">
        <v>1127</v>
      </c>
      <c r="C6" s="795">
        <v>39734</v>
      </c>
      <c r="D6" s="1120">
        <v>38690</v>
      </c>
      <c r="E6" s="1120">
        <v>40045</v>
      </c>
      <c r="F6" s="1120">
        <v>40442</v>
      </c>
      <c r="G6" s="1120">
        <v>40837</v>
      </c>
      <c r="H6" s="1120">
        <v>40548</v>
      </c>
      <c r="J6" s="1021">
        <f t="shared" ref="J6:O6" si="0">C6*0.0036</f>
        <v>143.04239999999999</v>
      </c>
      <c r="K6" s="1021">
        <f t="shared" si="0"/>
        <v>139.28399999999999</v>
      </c>
      <c r="L6" s="1021">
        <f t="shared" si="0"/>
        <v>144.16200000000001</v>
      </c>
      <c r="M6" s="1021">
        <f t="shared" si="0"/>
        <v>145.59119999999999</v>
      </c>
      <c r="N6" s="1021">
        <f t="shared" si="0"/>
        <v>147.01319999999998</v>
      </c>
      <c r="O6" s="1021">
        <f t="shared" si="0"/>
        <v>145.97280000000001</v>
      </c>
    </row>
    <row r="7" spans="2:15" ht="14.4">
      <c r="B7" s="797" t="s">
        <v>1128</v>
      </c>
      <c r="C7" s="795">
        <v>0</v>
      </c>
      <c r="D7" s="1120" t="s">
        <v>570</v>
      </c>
      <c r="E7" s="1120" t="s">
        <v>570</v>
      </c>
      <c r="F7" s="1120" t="s">
        <v>570</v>
      </c>
      <c r="G7" s="1120" t="s">
        <v>570</v>
      </c>
      <c r="H7" s="1120">
        <v>0</v>
      </c>
      <c r="J7" s="1021">
        <f t="shared" ref="J7:J19" si="1">C7*0.0036</f>
        <v>0</v>
      </c>
      <c r="K7" s="1021">
        <v>0</v>
      </c>
      <c r="L7" s="1021">
        <v>0</v>
      </c>
      <c r="M7" s="1021">
        <v>0</v>
      </c>
      <c r="N7" s="1021">
        <v>0</v>
      </c>
      <c r="O7" s="1021">
        <f t="shared" ref="O7:O13" si="2">H7*0.0036</f>
        <v>0</v>
      </c>
    </row>
    <row r="8" spans="2:15" ht="14.4">
      <c r="B8" s="797" t="s">
        <v>1129</v>
      </c>
      <c r="C8" s="795">
        <v>1561</v>
      </c>
      <c r="D8" s="1120">
        <v>725</v>
      </c>
      <c r="E8" s="1120">
        <v>807</v>
      </c>
      <c r="F8" s="1120">
        <v>656</v>
      </c>
      <c r="G8" s="1120">
        <v>421</v>
      </c>
      <c r="H8" s="1120">
        <v>105</v>
      </c>
      <c r="J8" s="1021">
        <f t="shared" si="1"/>
        <v>5.6196000000000002</v>
      </c>
      <c r="K8" s="1021">
        <f t="shared" ref="K8:N13" si="3">D8*0.0036</f>
        <v>2.61</v>
      </c>
      <c r="L8" s="1021">
        <f t="shared" si="3"/>
        <v>2.9051999999999998</v>
      </c>
      <c r="M8" s="1021">
        <f t="shared" si="3"/>
        <v>2.3616000000000001</v>
      </c>
      <c r="N8" s="1021">
        <f t="shared" si="3"/>
        <v>1.5156000000000001</v>
      </c>
      <c r="O8" s="1021">
        <f t="shared" si="2"/>
        <v>0.378</v>
      </c>
    </row>
    <row r="9" spans="2:15" ht="14.4">
      <c r="B9" s="797" t="s">
        <v>1130</v>
      </c>
      <c r="C9" s="795">
        <v>635</v>
      </c>
      <c r="D9" s="1120">
        <v>187</v>
      </c>
      <c r="E9" s="1120">
        <v>174</v>
      </c>
      <c r="F9" s="1120">
        <v>124</v>
      </c>
      <c r="G9" s="1120">
        <v>112</v>
      </c>
      <c r="H9" s="1120">
        <v>10</v>
      </c>
      <c r="J9" s="1021">
        <f t="shared" si="1"/>
        <v>2.286</v>
      </c>
      <c r="K9" s="1021">
        <f t="shared" si="3"/>
        <v>0.67320000000000002</v>
      </c>
      <c r="L9" s="1021">
        <f t="shared" si="3"/>
        <v>0.62639999999999996</v>
      </c>
      <c r="M9" s="1021">
        <f t="shared" si="3"/>
        <v>0.44639999999999996</v>
      </c>
      <c r="N9" s="1021">
        <f t="shared" si="3"/>
        <v>0.4032</v>
      </c>
      <c r="O9" s="1021">
        <f t="shared" si="2"/>
        <v>3.5999999999999997E-2</v>
      </c>
    </row>
    <row r="10" spans="2:15" ht="14.4">
      <c r="B10" s="797" t="s">
        <v>1131</v>
      </c>
      <c r="C10" s="795">
        <v>97</v>
      </c>
      <c r="D10" s="1120">
        <v>57</v>
      </c>
      <c r="E10" s="1120">
        <v>97</v>
      </c>
      <c r="F10" s="1120">
        <v>90</v>
      </c>
      <c r="G10" s="1120">
        <v>42</v>
      </c>
      <c r="H10" s="1120">
        <v>102</v>
      </c>
      <c r="J10" s="1021">
        <f t="shared" si="1"/>
        <v>0.34920000000000001</v>
      </c>
      <c r="K10" s="1021">
        <f t="shared" si="3"/>
        <v>0.20519999999999999</v>
      </c>
      <c r="L10" s="1021">
        <f t="shared" si="3"/>
        <v>0.34920000000000001</v>
      </c>
      <c r="M10" s="1021">
        <f t="shared" si="3"/>
        <v>0.32400000000000001</v>
      </c>
      <c r="N10" s="1021">
        <f t="shared" si="3"/>
        <v>0.1512</v>
      </c>
      <c r="O10" s="1021">
        <f t="shared" si="2"/>
        <v>0.36719999999999997</v>
      </c>
    </row>
    <row r="11" spans="2:15" ht="14.4">
      <c r="B11" s="797" t="s">
        <v>1132</v>
      </c>
      <c r="C11" s="795">
        <v>8361</v>
      </c>
      <c r="D11" s="1120">
        <v>5620</v>
      </c>
      <c r="E11" s="1120">
        <v>5411</v>
      </c>
      <c r="F11" s="1120">
        <v>5706</v>
      </c>
      <c r="G11" s="1120">
        <v>5647</v>
      </c>
      <c r="H11" s="1120">
        <v>5474</v>
      </c>
      <c r="J11" s="1021">
        <f t="shared" si="1"/>
        <v>30.099599999999999</v>
      </c>
      <c r="K11" s="1021">
        <f t="shared" si="3"/>
        <v>20.231999999999999</v>
      </c>
      <c r="L11" s="1021">
        <f t="shared" si="3"/>
        <v>19.479599999999998</v>
      </c>
      <c r="M11" s="1021">
        <f t="shared" si="3"/>
        <v>20.541599999999999</v>
      </c>
      <c r="N11" s="1021">
        <f t="shared" si="3"/>
        <v>20.3292</v>
      </c>
      <c r="O11" s="1021">
        <f t="shared" si="2"/>
        <v>19.706399999999999</v>
      </c>
    </row>
    <row r="12" spans="2:15" ht="14.4">
      <c r="B12" s="797" t="s">
        <v>1133</v>
      </c>
      <c r="C12" s="795">
        <v>46</v>
      </c>
      <c r="D12" s="1120">
        <v>39</v>
      </c>
      <c r="E12" s="1120">
        <v>42</v>
      </c>
      <c r="F12" s="1120">
        <v>37</v>
      </c>
      <c r="G12" s="1120">
        <v>37</v>
      </c>
      <c r="H12" s="1120">
        <v>18</v>
      </c>
      <c r="J12" s="1021">
        <f t="shared" si="1"/>
        <v>0.1656</v>
      </c>
      <c r="K12" s="1021">
        <f t="shared" si="3"/>
        <v>0.1404</v>
      </c>
      <c r="L12" s="1021">
        <f t="shared" si="3"/>
        <v>0.1512</v>
      </c>
      <c r="M12" s="1021">
        <f t="shared" si="3"/>
        <v>0.13319999999999999</v>
      </c>
      <c r="N12" s="1021">
        <f t="shared" si="3"/>
        <v>0.13319999999999999</v>
      </c>
      <c r="O12" s="1021">
        <f t="shared" si="2"/>
        <v>6.4799999999999996E-2</v>
      </c>
    </row>
    <row r="13" spans="2:15" ht="14.4">
      <c r="B13" s="797" t="s">
        <v>1134</v>
      </c>
      <c r="C13" s="795">
        <v>1084</v>
      </c>
      <c r="D13" s="1120">
        <v>1037</v>
      </c>
      <c r="E13" s="1120">
        <v>1212</v>
      </c>
      <c r="F13" s="1120">
        <v>1365</v>
      </c>
      <c r="G13" s="1120">
        <v>1408</v>
      </c>
      <c r="H13" s="1120">
        <v>1548</v>
      </c>
      <c r="J13" s="1021">
        <f t="shared" si="1"/>
        <v>3.9024000000000001</v>
      </c>
      <c r="K13" s="1021">
        <f t="shared" si="3"/>
        <v>3.7332000000000001</v>
      </c>
      <c r="L13" s="1021">
        <f t="shared" si="3"/>
        <v>4.3632</v>
      </c>
      <c r="M13" s="1021">
        <f t="shared" si="3"/>
        <v>4.9139999999999997</v>
      </c>
      <c r="N13" s="1021">
        <f t="shared" si="3"/>
        <v>5.0687999999999995</v>
      </c>
      <c r="O13" s="1021">
        <f t="shared" si="2"/>
        <v>5.5728</v>
      </c>
    </row>
    <row r="14" spans="2:15">
      <c r="B14" t="s">
        <v>1135</v>
      </c>
      <c r="C14" s="788">
        <v>13437</v>
      </c>
      <c r="D14" s="798">
        <v>9537</v>
      </c>
      <c r="E14" s="798">
        <v>8899</v>
      </c>
      <c r="F14" s="798">
        <v>8524</v>
      </c>
      <c r="G14" s="798">
        <v>8096</v>
      </c>
      <c r="H14" s="798">
        <v>7465</v>
      </c>
      <c r="J14" s="1021"/>
    </row>
    <row r="15" spans="2:15">
      <c r="B15" t="s">
        <v>1136</v>
      </c>
      <c r="C15" s="788">
        <v>679</v>
      </c>
      <c r="D15" s="798">
        <v>742</v>
      </c>
      <c r="E15" s="798">
        <v>755</v>
      </c>
      <c r="F15" s="798">
        <v>768</v>
      </c>
      <c r="G15" s="798">
        <v>781</v>
      </c>
      <c r="H15" s="798">
        <v>781</v>
      </c>
      <c r="J15" s="1021"/>
    </row>
    <row r="16" spans="2:15">
      <c r="B16" t="s">
        <v>1137</v>
      </c>
      <c r="C16" s="788">
        <v>7662</v>
      </c>
      <c r="D16" s="798">
        <v>10654</v>
      </c>
      <c r="E16" s="798">
        <v>10582</v>
      </c>
      <c r="F16" s="798">
        <v>9270</v>
      </c>
      <c r="G16" s="798">
        <v>9567</v>
      </c>
      <c r="H16" s="798">
        <v>8589</v>
      </c>
      <c r="J16" s="1021"/>
    </row>
    <row r="17" spans="2:15">
      <c r="B17" t="s">
        <v>1138</v>
      </c>
      <c r="C17" s="788">
        <v>467</v>
      </c>
      <c r="D17" s="798">
        <v>682</v>
      </c>
      <c r="E17" s="798">
        <v>1582</v>
      </c>
      <c r="F17" s="798">
        <v>2357</v>
      </c>
      <c r="G17" s="798">
        <v>1783</v>
      </c>
      <c r="H17" s="798">
        <v>2211</v>
      </c>
      <c r="J17" s="1021"/>
    </row>
    <row r="18" spans="2:15">
      <c r="B18" t="s">
        <v>1139</v>
      </c>
      <c r="C18" s="788">
        <v>73763</v>
      </c>
      <c r="D18" s="798">
        <v>67971</v>
      </c>
      <c r="E18" s="798">
        <v>69606</v>
      </c>
      <c r="F18" s="798">
        <v>69341</v>
      </c>
      <c r="G18" s="798">
        <v>68734</v>
      </c>
      <c r="H18" s="798">
        <v>66851</v>
      </c>
      <c r="J18" s="1021"/>
    </row>
    <row r="19" spans="2:15" ht="14.4">
      <c r="B19" s="1134" t="s">
        <v>1140</v>
      </c>
      <c r="C19" s="1135">
        <v>52197</v>
      </c>
      <c r="D19" s="1120">
        <v>47098</v>
      </c>
      <c r="E19" s="1120">
        <v>48543</v>
      </c>
      <c r="F19" s="1120">
        <v>49189</v>
      </c>
      <c r="G19" s="1120">
        <v>49287</v>
      </c>
      <c r="H19" s="1120">
        <v>48586</v>
      </c>
      <c r="J19" s="1021">
        <f t="shared" si="1"/>
        <v>187.9092</v>
      </c>
      <c r="K19" s="1021">
        <f t="shared" ref="K19" si="4">D19*0.0036</f>
        <v>169.55279999999999</v>
      </c>
      <c r="L19" s="1021">
        <f t="shared" ref="L19" si="5">E19*0.0036</f>
        <v>174.75479999999999</v>
      </c>
      <c r="M19" s="1021">
        <f t="shared" ref="M19" si="6">F19*0.0036</f>
        <v>177.0804</v>
      </c>
      <c r="N19" s="1021">
        <f t="shared" ref="N19" si="7">G19*0.0036</f>
        <v>177.4332</v>
      </c>
      <c r="O19" s="1021">
        <f t="shared" ref="O19" si="8">H19*0.0036</f>
        <v>174.90959999999998</v>
      </c>
    </row>
    <row r="20" spans="2:15">
      <c r="B20" t="s">
        <v>1141</v>
      </c>
      <c r="C20" s="788">
        <v>33738</v>
      </c>
      <c r="D20" s="798">
        <v>29138</v>
      </c>
      <c r="E20" s="798">
        <v>29458</v>
      </c>
      <c r="F20" s="798">
        <v>29172</v>
      </c>
      <c r="G20" s="798">
        <v>28529</v>
      </c>
      <c r="H20" s="798">
        <v>27406</v>
      </c>
    </row>
    <row r="21" spans="2:15">
      <c r="B21" t="s">
        <v>1142</v>
      </c>
      <c r="C21" s="788">
        <v>15087</v>
      </c>
      <c r="D21" s="798">
        <v>13097</v>
      </c>
      <c r="E21" s="798">
        <v>13293</v>
      </c>
      <c r="F21" s="798">
        <v>13140</v>
      </c>
      <c r="G21" s="798">
        <v>12940</v>
      </c>
      <c r="H21" s="798">
        <v>12547</v>
      </c>
    </row>
    <row r="22" spans="2:15">
      <c r="B22" t="s">
        <v>1143</v>
      </c>
      <c r="C22" s="788">
        <v>18174</v>
      </c>
      <c r="D22" s="798">
        <v>16586</v>
      </c>
      <c r="E22" s="798">
        <v>16948</v>
      </c>
      <c r="F22" s="798">
        <v>17014</v>
      </c>
      <c r="G22" s="798">
        <v>16950</v>
      </c>
      <c r="H22" s="798">
        <v>16623</v>
      </c>
    </row>
    <row r="23" spans="2:15">
      <c r="B23" t="s">
        <v>1144</v>
      </c>
      <c r="C23" s="788">
        <v>8127</v>
      </c>
      <c r="D23" s="798">
        <v>7455</v>
      </c>
      <c r="E23" s="798">
        <v>7648</v>
      </c>
      <c r="F23" s="798">
        <v>7664</v>
      </c>
      <c r="G23" s="798">
        <v>7688</v>
      </c>
      <c r="H23" s="798">
        <v>7610</v>
      </c>
    </row>
    <row r="24" spans="2:15">
      <c r="B24" t="s">
        <v>1145</v>
      </c>
      <c r="C24" s="788">
        <v>4889252</v>
      </c>
      <c r="D24" s="798">
        <v>5189894</v>
      </c>
      <c r="E24" s="798">
        <v>5236151</v>
      </c>
      <c r="F24" s="798">
        <v>5276968</v>
      </c>
      <c r="G24" s="798">
        <v>5311916</v>
      </c>
      <c r="H24" s="798">
        <v>5328212</v>
      </c>
    </row>
    <row r="25" spans="2:15">
      <c r="B25" s="182" t="s">
        <v>1146</v>
      </c>
      <c r="C25" s="795">
        <v>2186340</v>
      </c>
      <c r="D25" s="1121">
        <v>2332722</v>
      </c>
      <c r="E25" s="1121">
        <v>2362884</v>
      </c>
      <c r="F25" s="1121">
        <v>2376971</v>
      </c>
      <c r="G25" s="1121">
        <v>2409257</v>
      </c>
      <c r="H25" s="1121">
        <v>2439242</v>
      </c>
    </row>
    <row r="27" spans="2:15">
      <c r="B27" t="s">
        <v>1122</v>
      </c>
    </row>
    <row r="31" spans="2:15" ht="18">
      <c r="B31" s="1127" t="s">
        <v>1204</v>
      </c>
      <c r="C31" s="1127"/>
      <c r="D31" s="1127"/>
      <c r="E31" s="1127"/>
      <c r="F31" s="1127"/>
      <c r="G31" s="1127"/>
    </row>
    <row r="32" spans="2:15" ht="18">
      <c r="B32" s="1118" t="s">
        <v>1103</v>
      </c>
      <c r="G32" s="1136" t="s">
        <v>1207</v>
      </c>
    </row>
    <row r="33" spans="2:8" ht="14.4">
      <c r="B33" s="797"/>
      <c r="C33" s="1128">
        <v>2009</v>
      </c>
      <c r="D33" s="1128">
        <v>2012</v>
      </c>
      <c r="E33" s="1130">
        <v>2010</v>
      </c>
      <c r="F33" s="30" t="s">
        <v>1206</v>
      </c>
      <c r="G33" s="1137">
        <v>2010</v>
      </c>
    </row>
    <row r="34" spans="2:8" ht="14.4">
      <c r="B34" s="797" t="s">
        <v>1182</v>
      </c>
      <c r="C34" s="797">
        <v>20415</v>
      </c>
      <c r="D34" s="797">
        <v>20230</v>
      </c>
      <c r="E34" s="1131">
        <f>IF(D34&gt;C34, C34+(1/3)*(D34-C34), C34-(1/3)*(C34-D34))</f>
        <v>20353.333333333332</v>
      </c>
      <c r="F34" s="1132">
        <f>'Statistics Norway - STOCK'!C27</f>
        <v>2323925</v>
      </c>
      <c r="G34" s="1138">
        <f>F34*E34/1000000</f>
        <v>47299.620166666668</v>
      </c>
      <c r="H34" s="1139" t="s">
        <v>1209</v>
      </c>
    </row>
    <row r="35" spans="2:8" ht="14.4">
      <c r="B35" s="1129" t="s">
        <v>979</v>
      </c>
      <c r="C35" s="1129">
        <v>15977</v>
      </c>
      <c r="D35" s="1129">
        <v>16044</v>
      </c>
      <c r="E35" s="1131">
        <f t="shared" ref="E35:E37" si="9">IF(D35&gt;C35, C35+(1/3)*(D35-C35), C35-(1/3)*(C35-D35))</f>
        <v>15999.333333333334</v>
      </c>
      <c r="F35" s="30"/>
      <c r="G35" s="1133"/>
    </row>
    <row r="36" spans="2:8" ht="14.4">
      <c r="B36" s="1129" t="s">
        <v>981</v>
      </c>
      <c r="C36" s="1129">
        <v>845</v>
      </c>
      <c r="D36" s="1129">
        <v>698</v>
      </c>
      <c r="E36" s="1131">
        <f t="shared" si="9"/>
        <v>796</v>
      </c>
      <c r="F36" s="30"/>
      <c r="G36" s="1133"/>
    </row>
    <row r="37" spans="2:8" ht="14.4">
      <c r="B37" s="1129" t="s">
        <v>1183</v>
      </c>
      <c r="C37" s="1129">
        <v>3407</v>
      </c>
      <c r="D37" s="1129">
        <v>3204</v>
      </c>
      <c r="E37" s="1131">
        <f t="shared" si="9"/>
        <v>3339.3333333333335</v>
      </c>
      <c r="F37" s="30"/>
      <c r="G37" s="1133"/>
    </row>
    <row r="38" spans="2:8" ht="14.4">
      <c r="B38" s="1129"/>
      <c r="C38" s="1129"/>
      <c r="D38" s="1129"/>
      <c r="E38" s="797"/>
      <c r="F38" s="30"/>
      <c r="G38" s="1133"/>
    </row>
    <row r="39" spans="2:8" ht="14.4">
      <c r="B39" s="797"/>
      <c r="C39" s="797"/>
      <c r="D39" s="797"/>
      <c r="E39" s="797"/>
      <c r="F39" s="30"/>
      <c r="G39" s="1133"/>
    </row>
    <row r="40" spans="2:8" ht="18">
      <c r="B40" s="1127" t="s">
        <v>1205</v>
      </c>
      <c r="C40" s="1127"/>
      <c r="D40" s="1127"/>
      <c r="E40" s="797"/>
      <c r="F40" s="30"/>
      <c r="G40" s="1133"/>
    </row>
    <row r="41" spans="2:8" ht="18">
      <c r="B41" s="1118" t="s">
        <v>1103</v>
      </c>
      <c r="E41" s="797"/>
      <c r="F41" s="30"/>
      <c r="G41" s="1136" t="s">
        <v>1207</v>
      </c>
    </row>
    <row r="42" spans="2:8" ht="14.4">
      <c r="B42" s="797"/>
      <c r="C42" s="1128">
        <v>2009</v>
      </c>
      <c r="D42" s="1128">
        <v>2012</v>
      </c>
      <c r="E42" s="1130">
        <v>2010</v>
      </c>
      <c r="F42" s="30" t="s">
        <v>48</v>
      </c>
      <c r="G42" s="1137">
        <v>2010</v>
      </c>
    </row>
    <row r="43" spans="2:8" ht="14.4">
      <c r="B43" s="797" t="s">
        <v>1182</v>
      </c>
      <c r="C43" s="797">
        <v>181</v>
      </c>
      <c r="D43" s="797">
        <v>185</v>
      </c>
      <c r="E43" s="1131">
        <f>IF(D43&gt;C43, C43+(1/3)*(D43-C43), C43-(1/3)*(C43-D43))</f>
        <v>182.33333333333334</v>
      </c>
      <c r="F43" s="788">
        <f>Service_Demand_2010!U130/1000000</f>
        <v>292.72864436070824</v>
      </c>
      <c r="G43" s="1138">
        <f>F43*E43</f>
        <v>53374.189488435804</v>
      </c>
      <c r="H43" s="1139" t="s">
        <v>1208</v>
      </c>
    </row>
    <row r="44" spans="2:8" ht="14.4">
      <c r="B44" s="1129" t="s">
        <v>979</v>
      </c>
      <c r="C44" s="1129">
        <v>146</v>
      </c>
      <c r="D44" s="1129">
        <v>149</v>
      </c>
      <c r="E44" s="1131">
        <f t="shared" ref="E44:E46" si="10">IF(D44&gt;C44, C44+(1/3)*(D44-C44), C44-(1/3)*(C44-D44))</f>
        <v>147</v>
      </c>
      <c r="H44" s="796" t="s">
        <v>1210</v>
      </c>
    </row>
    <row r="45" spans="2:8" ht="14.4">
      <c r="B45" s="1129" t="s">
        <v>981</v>
      </c>
      <c r="C45" s="1129">
        <v>7</v>
      </c>
      <c r="D45" s="1129">
        <v>6</v>
      </c>
      <c r="E45" s="1131">
        <f t="shared" si="10"/>
        <v>6.666666666666667</v>
      </c>
    </row>
    <row r="46" spans="2:8" ht="14.4">
      <c r="B46" s="1129" t="s">
        <v>1183</v>
      </c>
      <c r="C46" s="1129">
        <v>27</v>
      </c>
      <c r="D46" s="1129">
        <v>27</v>
      </c>
      <c r="E46" s="1131">
        <f t="shared" si="10"/>
        <v>27</v>
      </c>
    </row>
    <row r="47" spans="2:8" ht="14.4">
      <c r="B47" s="1129"/>
      <c r="C47" s="1129"/>
      <c r="D47" s="1129"/>
      <c r="E47" s="797"/>
    </row>
    <row r="48" spans="2:8" ht="14.4">
      <c r="B48" s="1129"/>
      <c r="C48" s="1129"/>
      <c r="D48" s="1129"/>
      <c r="E48" s="797"/>
    </row>
    <row r="49" spans="2:5" ht="14.4">
      <c r="B49" s="1129"/>
      <c r="C49" s="1129"/>
      <c r="D49" s="1129"/>
      <c r="E49" s="797"/>
    </row>
    <row r="50" spans="2:5" ht="14.4">
      <c r="B50" s="1129"/>
      <c r="C50" s="1129"/>
      <c r="D50" s="1129"/>
      <c r="E50" s="797"/>
    </row>
    <row r="51" spans="2:5" ht="14.4">
      <c r="B51" s="1129"/>
      <c r="C51" s="1129"/>
      <c r="D51" s="1129"/>
      <c r="E51" s="797"/>
    </row>
    <row r="52" spans="2:5" ht="14.4">
      <c r="B52" s="1129"/>
      <c r="C52" s="1129"/>
      <c r="D52" s="1129"/>
      <c r="E52" s="797"/>
    </row>
    <row r="53" spans="2:5" ht="14.4">
      <c r="B53" s="1129"/>
      <c r="C53" s="1129"/>
      <c r="D53" s="1129"/>
      <c r="E53" s="797"/>
    </row>
    <row r="54" spans="2:5" ht="14.4">
      <c r="B54" s="1129"/>
      <c r="C54" s="1129"/>
      <c r="D54" s="1129"/>
      <c r="E54" s="797"/>
    </row>
    <row r="55" spans="2:5" ht="14.4">
      <c r="B55" s="1129"/>
      <c r="C55" s="1129"/>
      <c r="D55" s="1129"/>
      <c r="E55" s="797"/>
    </row>
    <row r="56" spans="2:5" ht="14.4">
      <c r="B56" s="1129"/>
      <c r="C56" s="1129"/>
      <c r="D56" s="1129"/>
      <c r="E56" s="797"/>
    </row>
    <row r="57" spans="2:5" ht="14.4">
      <c r="B57" s="1129"/>
      <c r="C57" s="1129"/>
      <c r="D57" s="1129"/>
      <c r="E57" s="797"/>
    </row>
    <row r="58" spans="2:5" ht="14.4">
      <c r="B58" s="1129"/>
      <c r="C58" s="1129"/>
      <c r="D58" s="1129"/>
      <c r="E58" s="797"/>
    </row>
    <row r="59" spans="2:5" ht="14.4">
      <c r="B59" s="1129"/>
      <c r="C59" s="1129"/>
      <c r="D59" s="1129"/>
      <c r="E59" s="797"/>
    </row>
    <row r="63" spans="2:5" ht="14.4">
      <c r="B63" s="799" t="s">
        <v>1175</v>
      </c>
    </row>
    <row r="65" spans="1:13" ht="14.4">
      <c r="C65" s="187" t="s">
        <v>1079</v>
      </c>
      <c r="L65" s="187"/>
    </row>
    <row r="66" spans="1:13" ht="15.6">
      <c r="C66" s="1125" t="s">
        <v>1071</v>
      </c>
      <c r="D66" s="1125" t="s">
        <v>1072</v>
      </c>
      <c r="E66" s="1130">
        <v>2010</v>
      </c>
      <c r="F66" s="1317"/>
      <c r="G66" s="1318"/>
      <c r="H66" s="1319"/>
      <c r="I66" s="1320"/>
      <c r="L66" s="187"/>
      <c r="M66" s="187"/>
    </row>
    <row r="67" spans="1:13" ht="14.4">
      <c r="A67" s="30" t="s">
        <v>1016</v>
      </c>
      <c r="B67" s="187" t="s">
        <v>936</v>
      </c>
      <c r="C67" s="639">
        <v>179</v>
      </c>
      <c r="D67" s="639">
        <v>166</v>
      </c>
      <c r="E67" s="1348">
        <f>IF(D67&gt;C67, C67+(1/3)*(D67-C67), C67-(1/3)*(C67-D67))</f>
        <v>174.66666666666666</v>
      </c>
      <c r="F67" s="1349">
        <f>AVERAGE(E67:E72)</f>
        <v>179.44444444444443</v>
      </c>
      <c r="G67" s="1361">
        <f>F67/F73</f>
        <v>0.88760648529815867</v>
      </c>
      <c r="H67" s="1323"/>
      <c r="I67" s="1324"/>
      <c r="J67" s="1126"/>
      <c r="K67" s="187"/>
      <c r="L67" s="784"/>
      <c r="M67" s="784"/>
    </row>
    <row r="68" spans="1:13" ht="14.4">
      <c r="A68" s="30"/>
      <c r="B68" s="187" t="s">
        <v>1073</v>
      </c>
      <c r="C68" s="639">
        <v>168</v>
      </c>
      <c r="D68" s="639">
        <v>176</v>
      </c>
      <c r="E68" s="1348">
        <f t="shared" ref="E68:E74" si="11">IF(D68&gt;C68, C68+(1/3)*(D68-C68), C68-(1/3)*(C68-D68))</f>
        <v>170.66666666666666</v>
      </c>
      <c r="F68" s="1349"/>
      <c r="G68" s="1322"/>
      <c r="H68" s="11"/>
      <c r="I68" s="1324"/>
      <c r="J68" s="1126"/>
      <c r="K68" s="187"/>
      <c r="L68" s="784"/>
      <c r="M68" s="784"/>
    </row>
    <row r="69" spans="1:13" ht="14.4">
      <c r="A69" s="30"/>
      <c r="B69" s="187" t="s">
        <v>940</v>
      </c>
      <c r="C69" s="639">
        <v>212</v>
      </c>
      <c r="D69" s="639">
        <v>215</v>
      </c>
      <c r="E69" s="1348">
        <f t="shared" si="11"/>
        <v>213</v>
      </c>
      <c r="F69" s="1349"/>
      <c r="G69" s="1322"/>
      <c r="H69" s="11"/>
      <c r="I69" s="1324"/>
      <c r="K69" s="187"/>
      <c r="L69" s="784"/>
      <c r="M69" s="784"/>
    </row>
    <row r="70" spans="1:13" ht="14.4">
      <c r="A70" s="30"/>
      <c r="B70" s="187" t="s">
        <v>942</v>
      </c>
      <c r="C70" s="639">
        <v>177</v>
      </c>
      <c r="D70" s="639">
        <v>187</v>
      </c>
      <c r="E70" s="1348">
        <f t="shared" si="11"/>
        <v>180.33333333333334</v>
      </c>
      <c r="F70" s="1349"/>
      <c r="G70" s="1322"/>
      <c r="H70" s="11"/>
      <c r="I70" s="1324"/>
      <c r="K70" s="187"/>
      <c r="L70" s="784"/>
      <c r="M70" s="784"/>
    </row>
    <row r="71" spans="1:13" ht="14.4">
      <c r="A71" s="30"/>
      <c r="B71" s="187" t="s">
        <v>943</v>
      </c>
      <c r="C71" s="639">
        <v>169</v>
      </c>
      <c r="D71" s="639">
        <v>177</v>
      </c>
      <c r="E71" s="1348">
        <f t="shared" si="11"/>
        <v>171.66666666666666</v>
      </c>
      <c r="F71" s="1349"/>
      <c r="G71" s="1322"/>
      <c r="H71" s="11"/>
      <c r="I71" s="1324"/>
      <c r="K71" s="187"/>
      <c r="L71" s="784"/>
      <c r="M71" s="784"/>
    </row>
    <row r="72" spans="1:13" ht="14.4">
      <c r="A72" s="30"/>
      <c r="B72" s="187" t="s">
        <v>945</v>
      </c>
      <c r="C72" s="639">
        <v>161</v>
      </c>
      <c r="D72" s="639">
        <v>177</v>
      </c>
      <c r="E72" s="1348">
        <f t="shared" si="11"/>
        <v>166.33333333333334</v>
      </c>
      <c r="F72" s="1349"/>
      <c r="G72" s="1322"/>
      <c r="H72" s="11"/>
      <c r="I72" s="1324"/>
      <c r="K72" s="187"/>
      <c r="L72" s="784"/>
      <c r="M72" s="784"/>
    </row>
    <row r="73" spans="1:13" ht="14.4">
      <c r="A73" s="30" t="s">
        <v>1017</v>
      </c>
      <c r="B73" s="187" t="s">
        <v>1074</v>
      </c>
      <c r="C73" s="639">
        <v>200</v>
      </c>
      <c r="D73" s="639">
        <v>186</v>
      </c>
      <c r="E73" s="1348">
        <f t="shared" si="11"/>
        <v>195.33333333333334</v>
      </c>
      <c r="F73" s="1349">
        <f>AVERAGE(E73:E74)</f>
        <v>202.16666666666669</v>
      </c>
      <c r="G73" s="1322"/>
      <c r="H73" s="1323"/>
      <c r="I73" s="1324"/>
      <c r="K73" s="187"/>
      <c r="L73" s="784"/>
      <c r="M73" s="784"/>
    </row>
    <row r="74" spans="1:13" ht="14.4">
      <c r="B74" s="187" t="s">
        <v>947</v>
      </c>
      <c r="C74" s="639">
        <v>208</v>
      </c>
      <c r="D74" s="639">
        <v>211</v>
      </c>
      <c r="E74" s="1348">
        <f t="shared" si="11"/>
        <v>209</v>
      </c>
      <c r="F74" s="1321"/>
      <c r="G74" s="1322"/>
      <c r="H74" s="11"/>
      <c r="I74" s="11"/>
      <c r="K74" s="187"/>
      <c r="L74" s="784"/>
      <c r="M74" s="784"/>
    </row>
    <row r="77" spans="1:13">
      <c r="B77" s="182"/>
    </row>
    <row r="78" spans="1:13" ht="14.4">
      <c r="B78" s="799" t="s">
        <v>1078</v>
      </c>
    </row>
    <row r="80" spans="1:13" ht="14.4">
      <c r="C80" s="187" t="s">
        <v>1079</v>
      </c>
      <c r="F80" s="1314"/>
      <c r="G80" s="153"/>
    </row>
    <row r="81" spans="2:11" ht="14.4">
      <c r="C81" s="1044" t="s">
        <v>1071</v>
      </c>
      <c r="D81" s="1044" t="s">
        <v>1072</v>
      </c>
      <c r="E81" s="1130">
        <v>2010</v>
      </c>
      <c r="F81" s="1315"/>
      <c r="G81" s="1316"/>
      <c r="I81" s="784"/>
      <c r="J81" s="784"/>
      <c r="K81" s="784"/>
    </row>
    <row r="82" spans="2:11" ht="14.4">
      <c r="B82" s="187" t="s">
        <v>1080</v>
      </c>
      <c r="C82" s="784">
        <v>181</v>
      </c>
      <c r="D82" s="784">
        <v>185</v>
      </c>
      <c r="E82" s="1348">
        <f>IF(D82&gt;C82, C82+(1/3)*(D82-C82), C82-(1/3)*(C82-D82))</f>
        <v>182.33333333333334</v>
      </c>
      <c r="F82" s="1315"/>
      <c r="G82" s="1316"/>
    </row>
    <row r="83" spans="2:11" ht="14.4">
      <c r="B83" s="187" t="s">
        <v>1081</v>
      </c>
      <c r="C83" s="784">
        <v>219</v>
      </c>
      <c r="D83" s="784">
        <v>229</v>
      </c>
      <c r="E83" s="1348">
        <f t="shared" ref="E83:E86" si="12">IF(D83&gt;C83, C83+(1/3)*(D83-C83), C83-(1/3)*(C83-D83))</f>
        <v>222.33333333333334</v>
      </c>
      <c r="F83" s="1315">
        <f>AVERAGE(E83:E85)</f>
        <v>197.88888888888891</v>
      </c>
      <c r="G83" s="1360">
        <f>F86/F83</f>
        <v>0.82201010668163943</v>
      </c>
    </row>
    <row r="84" spans="2:11" ht="14.4">
      <c r="B84" s="187" t="s">
        <v>342</v>
      </c>
      <c r="C84" s="784">
        <v>182</v>
      </c>
      <c r="D84" s="784">
        <v>198</v>
      </c>
      <c r="E84" s="1348">
        <f t="shared" si="12"/>
        <v>187.33333333333334</v>
      </c>
      <c r="F84" s="1315"/>
      <c r="G84" s="1316"/>
    </row>
    <row r="85" spans="2:11" ht="14.4">
      <c r="B85" s="187" t="s">
        <v>1082</v>
      </c>
      <c r="C85" s="784">
        <v>186</v>
      </c>
      <c r="D85" s="784">
        <v>180</v>
      </c>
      <c r="E85" s="1348">
        <f t="shared" si="12"/>
        <v>184</v>
      </c>
      <c r="F85" s="1315"/>
      <c r="G85" s="1316"/>
    </row>
    <row r="86" spans="2:11" ht="14.4">
      <c r="B86" s="187" t="s">
        <v>341</v>
      </c>
      <c r="C86" s="784">
        <v>166</v>
      </c>
      <c r="D86" s="784">
        <v>156</v>
      </c>
      <c r="E86" s="1348">
        <f t="shared" si="12"/>
        <v>162.66666666666666</v>
      </c>
      <c r="F86" s="1315">
        <f>E86</f>
        <v>162.66666666666666</v>
      </c>
      <c r="G86" s="1316"/>
    </row>
    <row r="87" spans="2:11" ht="13.8">
      <c r="F87" s="1315"/>
      <c r="G87" s="1316"/>
    </row>
    <row r="88" spans="2:11" ht="13.8">
      <c r="F88" s="1315"/>
      <c r="G88" s="1316"/>
    </row>
    <row r="89" spans="2:11" ht="13.8">
      <c r="D89" s="784"/>
      <c r="F89" s="1315"/>
      <c r="G89" s="1316"/>
    </row>
    <row r="90" spans="2:11" ht="14.4">
      <c r="B90" s="799" t="s">
        <v>1157</v>
      </c>
      <c r="F90" s="1315"/>
      <c r="G90" s="1316"/>
    </row>
    <row r="91" spans="2:11" ht="13.8">
      <c r="F91" s="1315"/>
      <c r="G91" s="1316"/>
    </row>
    <row r="92" spans="2:11" ht="14.4">
      <c r="C92" s="863" t="s">
        <v>1079</v>
      </c>
      <c r="D92" s="863"/>
      <c r="F92" s="1315"/>
      <c r="G92" s="1316"/>
    </row>
    <row r="93" spans="2:11" ht="14.4">
      <c r="C93" s="1044" t="s">
        <v>1071</v>
      </c>
      <c r="D93" s="1044" t="s">
        <v>1072</v>
      </c>
      <c r="E93" s="1130">
        <v>2010</v>
      </c>
      <c r="F93" s="1315"/>
      <c r="G93" s="1316"/>
    </row>
    <row r="94" spans="2:11" ht="14.4">
      <c r="B94" s="187" t="s">
        <v>1158</v>
      </c>
      <c r="C94" s="784">
        <v>189</v>
      </c>
      <c r="D94" s="784">
        <v>198</v>
      </c>
      <c r="E94" s="1348">
        <f>IF(D94&gt;C94, C94+(1/3)*(D94-C94), C94-(1/3)*(C94-D94))</f>
        <v>192</v>
      </c>
      <c r="F94" s="1315">
        <f>AVERAGE(E94:E96)</f>
        <v>193.66666666666666</v>
      </c>
      <c r="G94" s="1360">
        <f>F97/F94</f>
        <v>0.88582903040734362</v>
      </c>
    </row>
    <row r="95" spans="2:11" ht="14.4">
      <c r="B95" s="187" t="s">
        <v>1159</v>
      </c>
      <c r="C95" s="784">
        <v>197</v>
      </c>
      <c r="D95" s="784">
        <v>208</v>
      </c>
      <c r="E95" s="1348">
        <f t="shared" ref="E95:E99" si="13">IF(D95&gt;C95, C95+(1/3)*(D95-C95), C95-(1/3)*(C95-D95))</f>
        <v>200.66666666666666</v>
      </c>
      <c r="F95" s="1315"/>
      <c r="G95" s="1316"/>
    </row>
    <row r="96" spans="2:11" ht="14.4">
      <c r="B96" s="187" t="s">
        <v>1160</v>
      </c>
      <c r="C96" s="784">
        <v>189</v>
      </c>
      <c r="D96" s="784">
        <v>187</v>
      </c>
      <c r="E96" s="1348">
        <f t="shared" si="13"/>
        <v>188.33333333333334</v>
      </c>
      <c r="F96" s="1315"/>
      <c r="G96" s="1316"/>
    </row>
    <row r="97" spans="2:8" ht="14.4">
      <c r="B97" s="187" t="s">
        <v>1161</v>
      </c>
      <c r="C97" s="784">
        <v>183</v>
      </c>
      <c r="D97" s="784">
        <v>178</v>
      </c>
      <c r="E97" s="1348">
        <f t="shared" si="13"/>
        <v>181.33333333333334</v>
      </c>
      <c r="F97" s="1315">
        <f>AVERAGE(E97:E99)</f>
        <v>171.55555555555554</v>
      </c>
      <c r="G97" s="1316"/>
    </row>
    <row r="98" spans="2:8" ht="14.4">
      <c r="B98" s="187" t="s">
        <v>1162</v>
      </c>
      <c r="C98" s="784">
        <v>158</v>
      </c>
      <c r="D98" s="784">
        <v>178</v>
      </c>
      <c r="E98" s="1348">
        <f t="shared" si="13"/>
        <v>164.66666666666666</v>
      </c>
      <c r="F98" s="1315"/>
      <c r="G98" s="1316"/>
    </row>
    <row r="99" spans="2:8" ht="14.4">
      <c r="B99" s="187" t="s">
        <v>1163</v>
      </c>
      <c r="C99" s="784">
        <v>167</v>
      </c>
      <c r="D99" s="784">
        <v>172</v>
      </c>
      <c r="E99" s="1348">
        <f t="shared" si="13"/>
        <v>168.66666666666666</v>
      </c>
      <c r="F99" s="1315"/>
      <c r="G99" s="1316"/>
    </row>
    <row r="101" spans="2:8" ht="14.4">
      <c r="F101" s="863"/>
      <c r="H101" s="187"/>
    </row>
    <row r="103" spans="2:8" ht="14.4">
      <c r="B103" s="1122" t="s">
        <v>1203</v>
      </c>
    </row>
    <row r="104" spans="2:8" ht="14.4">
      <c r="E104" s="187"/>
    </row>
    <row r="105" spans="2:8" ht="14.4">
      <c r="D105" s="1044" t="s">
        <v>1071</v>
      </c>
      <c r="E105" s="1044" t="s">
        <v>1072</v>
      </c>
    </row>
    <row r="106" spans="2:8" ht="14.4">
      <c r="B106" s="187" t="s">
        <v>936</v>
      </c>
      <c r="C106" s="187" t="s">
        <v>147</v>
      </c>
      <c r="D106" s="784">
        <v>14513</v>
      </c>
      <c r="E106" s="784">
        <v>12564</v>
      </c>
    </row>
    <row r="107" spans="2:8" ht="14.4">
      <c r="C107" s="187" t="s">
        <v>979</v>
      </c>
      <c r="D107" s="784">
        <v>11740</v>
      </c>
      <c r="E107" s="784">
        <v>10420</v>
      </c>
    </row>
    <row r="108" spans="2:8" ht="14.4">
      <c r="C108" s="187" t="s">
        <v>981</v>
      </c>
      <c r="D108" s="784">
        <v>1324</v>
      </c>
      <c r="E108" s="784">
        <v>687</v>
      </c>
    </row>
    <row r="109" spans="2:8" ht="14.4">
      <c r="C109" s="187" t="s">
        <v>980</v>
      </c>
      <c r="D109" s="784">
        <v>866</v>
      </c>
      <c r="E109" s="784">
        <v>620</v>
      </c>
    </row>
    <row r="110" spans="2:8" ht="14.4">
      <c r="C110" s="187" t="s">
        <v>935</v>
      </c>
      <c r="D110" s="784">
        <v>583</v>
      </c>
      <c r="E110" s="784">
        <v>837</v>
      </c>
    </row>
    <row r="111" spans="2:8" ht="14.4">
      <c r="B111" s="187" t="s">
        <v>1073</v>
      </c>
      <c r="C111" s="187" t="s">
        <v>147</v>
      </c>
      <c r="D111" s="784">
        <v>20845</v>
      </c>
      <c r="E111" s="784">
        <v>20783</v>
      </c>
    </row>
    <row r="112" spans="2:8" ht="14.4">
      <c r="C112" s="187" t="s">
        <v>979</v>
      </c>
      <c r="D112" s="784">
        <v>17290</v>
      </c>
      <c r="E112" s="784">
        <v>16975</v>
      </c>
    </row>
    <row r="113" spans="2:5" ht="14.4">
      <c r="C113" s="187" t="s">
        <v>981</v>
      </c>
      <c r="D113" s="784">
        <v>939</v>
      </c>
      <c r="E113" s="784">
        <v>962</v>
      </c>
    </row>
    <row r="114" spans="2:5" ht="14.4">
      <c r="C114" s="187" t="s">
        <v>980</v>
      </c>
      <c r="D114" s="784">
        <v>2470</v>
      </c>
      <c r="E114" s="784">
        <v>2491</v>
      </c>
    </row>
    <row r="115" spans="2:5" ht="14.4">
      <c r="C115" s="187" t="s">
        <v>935</v>
      </c>
      <c r="D115" s="784">
        <v>146</v>
      </c>
      <c r="E115" s="784">
        <v>355</v>
      </c>
    </row>
    <row r="116" spans="2:5" ht="14.4">
      <c r="B116" s="187" t="s">
        <v>940</v>
      </c>
      <c r="C116" s="187" t="s">
        <v>147</v>
      </c>
      <c r="D116" s="784">
        <v>26596</v>
      </c>
      <c r="E116" s="784">
        <v>26392</v>
      </c>
    </row>
    <row r="117" spans="2:5" ht="14.4">
      <c r="C117" s="187" t="s">
        <v>979</v>
      </c>
      <c r="D117" s="784">
        <v>16740</v>
      </c>
      <c r="E117" s="784">
        <v>17157</v>
      </c>
    </row>
    <row r="118" spans="2:5" ht="14.4">
      <c r="C118" s="187" t="s">
        <v>981</v>
      </c>
      <c r="D118" s="784">
        <v>2281</v>
      </c>
      <c r="E118" s="784">
        <v>1067</v>
      </c>
    </row>
    <row r="119" spans="2:5" ht="14.4">
      <c r="C119" s="187" t="s">
        <v>980</v>
      </c>
      <c r="D119" s="784">
        <v>7543</v>
      </c>
      <c r="E119" s="784">
        <v>7966</v>
      </c>
    </row>
    <row r="120" spans="2:5" ht="14.4">
      <c r="C120" s="187" t="s">
        <v>935</v>
      </c>
      <c r="D120" s="784">
        <v>33</v>
      </c>
      <c r="E120" s="784">
        <v>203</v>
      </c>
    </row>
    <row r="121" spans="2:5" ht="14.4">
      <c r="B121" s="187" t="s">
        <v>942</v>
      </c>
      <c r="C121" s="187" t="s">
        <v>147</v>
      </c>
      <c r="D121" s="784">
        <v>22527</v>
      </c>
      <c r="E121" s="784">
        <v>21242</v>
      </c>
    </row>
    <row r="122" spans="2:5" ht="14.4">
      <c r="C122" s="187" t="s">
        <v>979</v>
      </c>
      <c r="D122" s="784">
        <v>17255</v>
      </c>
      <c r="E122" s="784">
        <v>16017</v>
      </c>
    </row>
    <row r="123" spans="2:5" ht="14.4">
      <c r="C123" s="187" t="s">
        <v>981</v>
      </c>
      <c r="D123" s="784">
        <v>780</v>
      </c>
      <c r="E123" s="784">
        <v>1182</v>
      </c>
    </row>
    <row r="124" spans="2:5" ht="14.4">
      <c r="C124" s="187" t="s">
        <v>980</v>
      </c>
      <c r="D124" s="784">
        <v>4464</v>
      </c>
      <c r="E124" s="784">
        <v>4007</v>
      </c>
    </row>
    <row r="125" spans="2:5" ht="14.4">
      <c r="C125" s="187" t="s">
        <v>935</v>
      </c>
      <c r="D125" s="784">
        <v>26</v>
      </c>
      <c r="E125" s="784">
        <v>36</v>
      </c>
    </row>
    <row r="126" spans="2:5" ht="14.4">
      <c r="B126" s="187" t="s">
        <v>943</v>
      </c>
      <c r="C126" s="187" t="s">
        <v>147</v>
      </c>
      <c r="D126" s="784">
        <v>19972</v>
      </c>
      <c r="E126" s="784">
        <v>20565</v>
      </c>
    </row>
    <row r="127" spans="2:5" ht="14.4">
      <c r="C127" s="187" t="s">
        <v>979</v>
      </c>
      <c r="D127" s="784">
        <v>15933</v>
      </c>
      <c r="E127" s="784">
        <v>17288</v>
      </c>
    </row>
    <row r="128" spans="2:5" ht="14.4">
      <c r="C128" s="187" t="s">
        <v>981</v>
      </c>
      <c r="D128" s="784">
        <v>951</v>
      </c>
      <c r="E128" s="784">
        <v>444</v>
      </c>
    </row>
    <row r="129" spans="2:5" ht="14.4">
      <c r="C129" s="187" t="s">
        <v>980</v>
      </c>
      <c r="D129" s="784">
        <v>2882</v>
      </c>
      <c r="E129" s="784">
        <v>2625</v>
      </c>
    </row>
    <row r="130" spans="2:5" ht="14.4">
      <c r="C130" s="187" t="s">
        <v>935</v>
      </c>
      <c r="D130" s="784">
        <v>206</v>
      </c>
      <c r="E130" s="784">
        <v>208</v>
      </c>
    </row>
    <row r="131" spans="2:5" ht="14.4">
      <c r="B131" s="187" t="s">
        <v>945</v>
      </c>
      <c r="C131" s="187" t="s">
        <v>147</v>
      </c>
      <c r="D131" s="784">
        <v>19172</v>
      </c>
      <c r="E131" s="784">
        <v>20194</v>
      </c>
    </row>
    <row r="132" spans="2:5" ht="14.4">
      <c r="C132" s="187" t="s">
        <v>979</v>
      </c>
      <c r="D132" s="784">
        <v>15255</v>
      </c>
      <c r="E132" s="784">
        <v>16491</v>
      </c>
    </row>
    <row r="133" spans="2:5" ht="14.4">
      <c r="C133" s="187" t="s">
        <v>981</v>
      </c>
      <c r="D133" s="784">
        <v>376</v>
      </c>
      <c r="E133" s="784">
        <v>404</v>
      </c>
    </row>
    <row r="134" spans="2:5" ht="14.4">
      <c r="C134" s="187" t="s">
        <v>980</v>
      </c>
      <c r="D134" s="784">
        <v>3279</v>
      </c>
      <c r="E134" s="784">
        <v>3258</v>
      </c>
    </row>
    <row r="135" spans="2:5" ht="14.4">
      <c r="C135" s="187" t="s">
        <v>935</v>
      </c>
      <c r="D135" s="784">
        <v>263</v>
      </c>
      <c r="E135" s="784">
        <v>41</v>
      </c>
    </row>
    <row r="136" spans="2:5" ht="14.4">
      <c r="B136" s="187" t="s">
        <v>1074</v>
      </c>
      <c r="C136" s="187" t="s">
        <v>147</v>
      </c>
      <c r="D136" s="784">
        <v>20846</v>
      </c>
      <c r="E136" s="784">
        <v>19522</v>
      </c>
    </row>
    <row r="137" spans="2:5" ht="14.4">
      <c r="C137" s="187" t="s">
        <v>979</v>
      </c>
      <c r="D137" s="784">
        <v>16568</v>
      </c>
      <c r="E137" s="784">
        <v>14897</v>
      </c>
    </row>
    <row r="138" spans="2:5" ht="14.4">
      <c r="C138" s="187" t="s">
        <v>981</v>
      </c>
      <c r="D138" s="784">
        <v>333</v>
      </c>
      <c r="E138" s="784">
        <v>383</v>
      </c>
    </row>
    <row r="139" spans="2:5" ht="14.4">
      <c r="C139" s="187" t="s">
        <v>980</v>
      </c>
      <c r="D139" s="784">
        <v>3797</v>
      </c>
      <c r="E139" s="784">
        <v>3558</v>
      </c>
    </row>
    <row r="140" spans="2:5" ht="14.4">
      <c r="C140" s="187" t="s">
        <v>935</v>
      </c>
      <c r="D140" s="784">
        <v>149</v>
      </c>
      <c r="E140" s="784">
        <v>684</v>
      </c>
    </row>
    <row r="141" spans="2:5" ht="14.4">
      <c r="B141" s="187" t="s">
        <v>947</v>
      </c>
      <c r="C141" s="187" t="s">
        <v>147</v>
      </c>
      <c r="D141" s="784">
        <v>20919</v>
      </c>
      <c r="E141" s="784">
        <v>23056</v>
      </c>
    </row>
    <row r="142" spans="2:5" ht="14.4">
      <c r="C142" s="187" t="s">
        <v>979</v>
      </c>
      <c r="D142" s="784">
        <v>17462</v>
      </c>
      <c r="E142" s="784">
        <v>19719</v>
      </c>
    </row>
    <row r="143" spans="2:5" ht="14.4">
      <c r="C143" s="187" t="s">
        <v>981</v>
      </c>
      <c r="D143" s="784">
        <v>283</v>
      </c>
      <c r="E143" s="784">
        <v>451</v>
      </c>
    </row>
    <row r="144" spans="2:5" ht="14.4">
      <c r="C144" s="187" t="s">
        <v>980</v>
      </c>
      <c r="D144" s="784">
        <v>3141</v>
      </c>
      <c r="E144" s="784">
        <v>2814</v>
      </c>
    </row>
    <row r="145" spans="3:5" ht="14.4">
      <c r="C145" s="187" t="s">
        <v>935</v>
      </c>
      <c r="D145" s="784">
        <v>33</v>
      </c>
      <c r="E145" s="784">
        <v>73</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B27D8-03FD-402F-B090-FC4AB8C4F2F1}">
  <dimension ref="J3:R24"/>
  <sheetViews>
    <sheetView workbookViewId="0">
      <selection activeCell="K35" sqref="K35"/>
    </sheetView>
  </sheetViews>
  <sheetFormatPr defaultRowHeight="13.2"/>
  <cols>
    <col min="12" max="12" width="11.6640625" customWidth="1"/>
    <col min="17" max="17" width="22" customWidth="1"/>
  </cols>
  <sheetData>
    <row r="3" spans="10:17">
      <c r="J3" s="785" t="s">
        <v>1075</v>
      </c>
      <c r="P3" s="786" t="s">
        <v>1076</v>
      </c>
    </row>
    <row r="5" spans="10:17" ht="14.4">
      <c r="K5" s="269" t="s">
        <v>387</v>
      </c>
      <c r="M5" s="1487" t="s">
        <v>1023</v>
      </c>
      <c r="P5" s="1487" t="s">
        <v>1023</v>
      </c>
      <c r="Q5" s="187" t="s">
        <v>947</v>
      </c>
    </row>
    <row r="6" spans="10:17" ht="14.4">
      <c r="K6" s="269" t="s">
        <v>388</v>
      </c>
      <c r="M6" s="1488"/>
      <c r="P6" s="1488"/>
      <c r="Q6" s="187" t="s">
        <v>1074</v>
      </c>
    </row>
    <row r="7" spans="10:17" ht="14.4">
      <c r="K7" s="269" t="s">
        <v>389</v>
      </c>
      <c r="M7" s="1488"/>
      <c r="P7" s="1488"/>
    </row>
    <row r="8" spans="10:17" ht="14.4">
      <c r="K8" s="269" t="s">
        <v>390</v>
      </c>
      <c r="M8" s="1488"/>
      <c r="P8" s="1488"/>
    </row>
    <row r="9" spans="10:17" ht="14.4">
      <c r="K9" s="269" t="s">
        <v>391</v>
      </c>
      <c r="M9" s="1488"/>
      <c r="P9" s="1488"/>
    </row>
    <row r="10" spans="10:17" ht="14.4">
      <c r="K10" s="269" t="s">
        <v>392</v>
      </c>
      <c r="M10" s="1488"/>
      <c r="P10" s="1488"/>
    </row>
    <row r="12" spans="10:17" ht="14.4">
      <c r="K12" s="269" t="s">
        <v>374</v>
      </c>
      <c r="M12" s="1487" t="s">
        <v>1022</v>
      </c>
      <c r="P12" s="1487" t="s">
        <v>1022</v>
      </c>
      <c r="Q12" s="187" t="s">
        <v>940</v>
      </c>
    </row>
    <row r="13" spans="10:17" ht="14.4">
      <c r="K13" s="269" t="s">
        <v>375</v>
      </c>
      <c r="M13" s="1487"/>
      <c r="P13" s="1487"/>
      <c r="Q13" s="187" t="s">
        <v>1073</v>
      </c>
    </row>
    <row r="14" spans="10:17" ht="14.4">
      <c r="K14" s="269" t="s">
        <v>376</v>
      </c>
      <c r="M14" s="1487"/>
      <c r="P14" s="1487"/>
      <c r="Q14" s="187" t="s">
        <v>936</v>
      </c>
    </row>
    <row r="15" spans="10:17" ht="14.4">
      <c r="K15" s="269" t="s">
        <v>377</v>
      </c>
      <c r="M15" s="1487"/>
      <c r="P15" s="1487"/>
      <c r="Q15" s="187" t="s">
        <v>942</v>
      </c>
    </row>
    <row r="16" spans="10:17" ht="14.4">
      <c r="K16" s="269" t="s">
        <v>378</v>
      </c>
      <c r="M16" s="1487"/>
      <c r="P16" s="1487"/>
      <c r="Q16" s="187" t="s">
        <v>943</v>
      </c>
    </row>
    <row r="17" spans="11:18" ht="14.4">
      <c r="K17" s="269" t="s">
        <v>379</v>
      </c>
      <c r="M17" s="1487"/>
      <c r="P17" s="1487"/>
      <c r="Q17" s="187" t="s">
        <v>945</v>
      </c>
      <c r="R17" t="s">
        <v>1077</v>
      </c>
    </row>
    <row r="18" spans="11:18" ht="14.4">
      <c r="K18" s="269" t="s">
        <v>380</v>
      </c>
      <c r="M18" s="1487"/>
      <c r="P18" s="1487"/>
    </row>
    <row r="19" spans="11:18" ht="14.4">
      <c r="K19" s="269" t="s">
        <v>381</v>
      </c>
      <c r="M19" s="1487"/>
      <c r="P19" s="1487"/>
    </row>
    <row r="20" spans="11:18" ht="14.4">
      <c r="K20" s="269" t="s">
        <v>382</v>
      </c>
      <c r="M20" s="1487"/>
      <c r="P20" s="1487"/>
    </row>
    <row r="21" spans="11:18" ht="14.4">
      <c r="K21" s="269" t="s">
        <v>383</v>
      </c>
      <c r="M21" s="1487"/>
      <c r="P21" s="1487"/>
    </row>
    <row r="22" spans="11:18" ht="14.4">
      <c r="K22" s="269" t="s">
        <v>384</v>
      </c>
      <c r="M22" s="1487"/>
      <c r="P22" s="1487"/>
    </row>
    <row r="23" spans="11:18" ht="14.4">
      <c r="K23" s="269" t="s">
        <v>385</v>
      </c>
      <c r="M23" s="1487"/>
      <c r="P23" s="1487"/>
    </row>
    <row r="24" spans="11:18" ht="14.4">
      <c r="K24" s="269" t="s">
        <v>386</v>
      </c>
      <c r="M24" s="1487"/>
      <c r="P24" s="1487"/>
    </row>
  </sheetData>
  <mergeCells count="4">
    <mergeCell ref="M5:M10"/>
    <mergeCell ref="M12:M24"/>
    <mergeCell ref="P12:P24"/>
    <mergeCell ref="P5:P10"/>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Q210"/>
  <sheetViews>
    <sheetView zoomScale="85" zoomScaleNormal="85" workbookViewId="0">
      <selection activeCell="I69" sqref="I69"/>
    </sheetView>
  </sheetViews>
  <sheetFormatPr defaultRowHeight="10.199999999999999"/>
  <cols>
    <col min="1" max="3" width="2" style="336" customWidth="1"/>
    <col min="4" max="4" width="2.44140625" style="336" customWidth="1"/>
    <col min="5" max="5" width="45.5546875" style="336" customWidth="1"/>
    <col min="6" max="6" width="7.109375" style="442" customWidth="1"/>
    <col min="7" max="7" width="0.5546875" style="442" customWidth="1"/>
    <col min="8" max="22" width="10.6640625" style="442" customWidth="1"/>
    <col min="23" max="45" width="10.6640625" style="336" customWidth="1"/>
    <col min="46" max="51" width="9.6640625" style="336" customWidth="1"/>
    <col min="52" max="52" width="10.6640625" style="442" customWidth="1"/>
    <col min="53" max="57" width="9.6640625" style="336" customWidth="1"/>
    <col min="58" max="93" width="9.109375" style="336"/>
    <col min="94" max="94" width="10.33203125" style="336" bestFit="1" customWidth="1"/>
    <col min="95" max="256" width="9.109375" style="336"/>
    <col min="257" max="259" width="2" style="336" customWidth="1"/>
    <col min="260" max="260" width="2.44140625" style="336" customWidth="1"/>
    <col min="261" max="261" width="45.5546875" style="336" customWidth="1"/>
    <col min="262" max="262" width="7.109375" style="336" customWidth="1"/>
    <col min="263" max="263" width="0.5546875" style="336" customWidth="1"/>
    <col min="264" max="301" width="10.6640625" style="336" customWidth="1"/>
    <col min="302" max="307" width="9.6640625" style="336" customWidth="1"/>
    <col min="308" max="308" width="10.6640625" style="336" customWidth="1"/>
    <col min="309" max="313" width="9.6640625" style="336" customWidth="1"/>
    <col min="314" max="512" width="9.109375" style="336"/>
    <col min="513" max="515" width="2" style="336" customWidth="1"/>
    <col min="516" max="516" width="2.44140625" style="336" customWidth="1"/>
    <col min="517" max="517" width="45.5546875" style="336" customWidth="1"/>
    <col min="518" max="518" width="7.109375" style="336" customWidth="1"/>
    <col min="519" max="519" width="0.5546875" style="336" customWidth="1"/>
    <col min="520" max="557" width="10.6640625" style="336" customWidth="1"/>
    <col min="558" max="563" width="9.6640625" style="336" customWidth="1"/>
    <col min="564" max="564" width="10.6640625" style="336" customWidth="1"/>
    <col min="565" max="569" width="9.6640625" style="336" customWidth="1"/>
    <col min="570" max="768" width="9.109375" style="336"/>
    <col min="769" max="771" width="2" style="336" customWidth="1"/>
    <col min="772" max="772" width="2.44140625" style="336" customWidth="1"/>
    <col min="773" max="773" width="45.5546875" style="336" customWidth="1"/>
    <col min="774" max="774" width="7.109375" style="336" customWidth="1"/>
    <col min="775" max="775" width="0.5546875" style="336" customWidth="1"/>
    <col min="776" max="813" width="10.6640625" style="336" customWidth="1"/>
    <col min="814" max="819" width="9.6640625" style="336" customWidth="1"/>
    <col min="820" max="820" width="10.6640625" style="336" customWidth="1"/>
    <col min="821" max="825" width="9.6640625" style="336" customWidth="1"/>
    <col min="826" max="1024" width="9.109375" style="336"/>
    <col min="1025" max="1027" width="2" style="336" customWidth="1"/>
    <col min="1028" max="1028" width="2.44140625" style="336" customWidth="1"/>
    <col min="1029" max="1029" width="45.5546875" style="336" customWidth="1"/>
    <col min="1030" max="1030" width="7.109375" style="336" customWidth="1"/>
    <col min="1031" max="1031" width="0.5546875" style="336" customWidth="1"/>
    <col min="1032" max="1069" width="10.6640625" style="336" customWidth="1"/>
    <col min="1070" max="1075" width="9.6640625" style="336" customWidth="1"/>
    <col min="1076" max="1076" width="10.6640625" style="336" customWidth="1"/>
    <col min="1077" max="1081" width="9.6640625" style="336" customWidth="1"/>
    <col min="1082" max="1280" width="9.109375" style="336"/>
    <col min="1281" max="1283" width="2" style="336" customWidth="1"/>
    <col min="1284" max="1284" width="2.44140625" style="336" customWidth="1"/>
    <col min="1285" max="1285" width="45.5546875" style="336" customWidth="1"/>
    <col min="1286" max="1286" width="7.109375" style="336" customWidth="1"/>
    <col min="1287" max="1287" width="0.5546875" style="336" customWidth="1"/>
    <col min="1288" max="1325" width="10.6640625" style="336" customWidth="1"/>
    <col min="1326" max="1331" width="9.6640625" style="336" customWidth="1"/>
    <col min="1332" max="1332" width="10.6640625" style="336" customWidth="1"/>
    <col min="1333" max="1337" width="9.6640625" style="336" customWidth="1"/>
    <col min="1338" max="1536" width="9.109375" style="336"/>
    <col min="1537" max="1539" width="2" style="336" customWidth="1"/>
    <col min="1540" max="1540" width="2.44140625" style="336" customWidth="1"/>
    <col min="1541" max="1541" width="45.5546875" style="336" customWidth="1"/>
    <col min="1542" max="1542" width="7.109375" style="336" customWidth="1"/>
    <col min="1543" max="1543" width="0.5546875" style="336" customWidth="1"/>
    <col min="1544" max="1581" width="10.6640625" style="336" customWidth="1"/>
    <col min="1582" max="1587" width="9.6640625" style="336" customWidth="1"/>
    <col min="1588" max="1588" width="10.6640625" style="336" customWidth="1"/>
    <col min="1589" max="1593" width="9.6640625" style="336" customWidth="1"/>
    <col min="1594" max="1792" width="9.109375" style="336"/>
    <col min="1793" max="1795" width="2" style="336" customWidth="1"/>
    <col min="1796" max="1796" width="2.44140625" style="336" customWidth="1"/>
    <col min="1797" max="1797" width="45.5546875" style="336" customWidth="1"/>
    <col min="1798" max="1798" width="7.109375" style="336" customWidth="1"/>
    <col min="1799" max="1799" width="0.5546875" style="336" customWidth="1"/>
    <col min="1800" max="1837" width="10.6640625" style="336" customWidth="1"/>
    <col min="1838" max="1843" width="9.6640625" style="336" customWidth="1"/>
    <col min="1844" max="1844" width="10.6640625" style="336" customWidth="1"/>
    <col min="1845" max="1849" width="9.6640625" style="336" customWidth="1"/>
    <col min="1850" max="2048" width="9.109375" style="336"/>
    <col min="2049" max="2051" width="2" style="336" customWidth="1"/>
    <col min="2052" max="2052" width="2.44140625" style="336" customWidth="1"/>
    <col min="2053" max="2053" width="45.5546875" style="336" customWidth="1"/>
    <col min="2054" max="2054" width="7.109375" style="336" customWidth="1"/>
    <col min="2055" max="2055" width="0.5546875" style="336" customWidth="1"/>
    <col min="2056" max="2093" width="10.6640625" style="336" customWidth="1"/>
    <col min="2094" max="2099" width="9.6640625" style="336" customWidth="1"/>
    <col min="2100" max="2100" width="10.6640625" style="336" customWidth="1"/>
    <col min="2101" max="2105" width="9.6640625" style="336" customWidth="1"/>
    <col min="2106" max="2304" width="9.109375" style="336"/>
    <col min="2305" max="2307" width="2" style="336" customWidth="1"/>
    <col min="2308" max="2308" width="2.44140625" style="336" customWidth="1"/>
    <col min="2309" max="2309" width="45.5546875" style="336" customWidth="1"/>
    <col min="2310" max="2310" width="7.109375" style="336" customWidth="1"/>
    <col min="2311" max="2311" width="0.5546875" style="336" customWidth="1"/>
    <col min="2312" max="2349" width="10.6640625" style="336" customWidth="1"/>
    <col min="2350" max="2355" width="9.6640625" style="336" customWidth="1"/>
    <col min="2356" max="2356" width="10.6640625" style="336" customWidth="1"/>
    <col min="2357" max="2361" width="9.6640625" style="336" customWidth="1"/>
    <col min="2362" max="2560" width="9.109375" style="336"/>
    <col min="2561" max="2563" width="2" style="336" customWidth="1"/>
    <col min="2564" max="2564" width="2.44140625" style="336" customWidth="1"/>
    <col min="2565" max="2565" width="45.5546875" style="336" customWidth="1"/>
    <col min="2566" max="2566" width="7.109375" style="336" customWidth="1"/>
    <col min="2567" max="2567" width="0.5546875" style="336" customWidth="1"/>
    <col min="2568" max="2605" width="10.6640625" style="336" customWidth="1"/>
    <col min="2606" max="2611" width="9.6640625" style="336" customWidth="1"/>
    <col min="2612" max="2612" width="10.6640625" style="336" customWidth="1"/>
    <col min="2613" max="2617" width="9.6640625" style="336" customWidth="1"/>
    <col min="2618" max="2816" width="9.109375" style="336"/>
    <col min="2817" max="2819" width="2" style="336" customWidth="1"/>
    <col min="2820" max="2820" width="2.44140625" style="336" customWidth="1"/>
    <col min="2821" max="2821" width="45.5546875" style="336" customWidth="1"/>
    <col min="2822" max="2822" width="7.109375" style="336" customWidth="1"/>
    <col min="2823" max="2823" width="0.5546875" style="336" customWidth="1"/>
    <col min="2824" max="2861" width="10.6640625" style="336" customWidth="1"/>
    <col min="2862" max="2867" width="9.6640625" style="336" customWidth="1"/>
    <col min="2868" max="2868" width="10.6640625" style="336" customWidth="1"/>
    <col min="2869" max="2873" width="9.6640625" style="336" customWidth="1"/>
    <col min="2874" max="3072" width="9.109375" style="336"/>
    <col min="3073" max="3075" width="2" style="336" customWidth="1"/>
    <col min="3076" max="3076" width="2.44140625" style="336" customWidth="1"/>
    <col min="3077" max="3077" width="45.5546875" style="336" customWidth="1"/>
    <col min="3078" max="3078" width="7.109375" style="336" customWidth="1"/>
    <col min="3079" max="3079" width="0.5546875" style="336" customWidth="1"/>
    <col min="3080" max="3117" width="10.6640625" style="336" customWidth="1"/>
    <col min="3118" max="3123" width="9.6640625" style="336" customWidth="1"/>
    <col min="3124" max="3124" width="10.6640625" style="336" customWidth="1"/>
    <col min="3125" max="3129" width="9.6640625" style="336" customWidth="1"/>
    <col min="3130" max="3328" width="9.109375" style="336"/>
    <col min="3329" max="3331" width="2" style="336" customWidth="1"/>
    <col min="3332" max="3332" width="2.44140625" style="336" customWidth="1"/>
    <col min="3333" max="3333" width="45.5546875" style="336" customWidth="1"/>
    <col min="3334" max="3334" width="7.109375" style="336" customWidth="1"/>
    <col min="3335" max="3335" width="0.5546875" style="336" customWidth="1"/>
    <col min="3336" max="3373" width="10.6640625" style="336" customWidth="1"/>
    <col min="3374" max="3379" width="9.6640625" style="336" customWidth="1"/>
    <col min="3380" max="3380" width="10.6640625" style="336" customWidth="1"/>
    <col min="3381" max="3385" width="9.6640625" style="336" customWidth="1"/>
    <col min="3386" max="3584" width="9.109375" style="336"/>
    <col min="3585" max="3587" width="2" style="336" customWidth="1"/>
    <col min="3588" max="3588" width="2.44140625" style="336" customWidth="1"/>
    <col min="3589" max="3589" width="45.5546875" style="336" customWidth="1"/>
    <col min="3590" max="3590" width="7.109375" style="336" customWidth="1"/>
    <col min="3591" max="3591" width="0.5546875" style="336" customWidth="1"/>
    <col min="3592" max="3629" width="10.6640625" style="336" customWidth="1"/>
    <col min="3630" max="3635" width="9.6640625" style="336" customWidth="1"/>
    <col min="3636" max="3636" width="10.6640625" style="336" customWidth="1"/>
    <col min="3637" max="3641" width="9.6640625" style="336" customWidth="1"/>
    <col min="3642" max="3840" width="9.109375" style="336"/>
    <col min="3841" max="3843" width="2" style="336" customWidth="1"/>
    <col min="3844" max="3844" width="2.44140625" style="336" customWidth="1"/>
    <col min="3845" max="3845" width="45.5546875" style="336" customWidth="1"/>
    <col min="3846" max="3846" width="7.109375" style="336" customWidth="1"/>
    <col min="3847" max="3847" width="0.5546875" style="336" customWidth="1"/>
    <col min="3848" max="3885" width="10.6640625" style="336" customWidth="1"/>
    <col min="3886" max="3891" width="9.6640625" style="336" customWidth="1"/>
    <col min="3892" max="3892" width="10.6640625" style="336" customWidth="1"/>
    <col min="3893" max="3897" width="9.6640625" style="336" customWidth="1"/>
    <col min="3898" max="4096" width="9.109375" style="336"/>
    <col min="4097" max="4099" width="2" style="336" customWidth="1"/>
    <col min="4100" max="4100" width="2.44140625" style="336" customWidth="1"/>
    <col min="4101" max="4101" width="45.5546875" style="336" customWidth="1"/>
    <col min="4102" max="4102" width="7.109375" style="336" customWidth="1"/>
    <col min="4103" max="4103" width="0.5546875" style="336" customWidth="1"/>
    <col min="4104" max="4141" width="10.6640625" style="336" customWidth="1"/>
    <col min="4142" max="4147" width="9.6640625" style="336" customWidth="1"/>
    <col min="4148" max="4148" width="10.6640625" style="336" customWidth="1"/>
    <col min="4149" max="4153" width="9.6640625" style="336" customWidth="1"/>
    <col min="4154" max="4352" width="9.109375" style="336"/>
    <col min="4353" max="4355" width="2" style="336" customWidth="1"/>
    <col min="4356" max="4356" width="2.44140625" style="336" customWidth="1"/>
    <col min="4357" max="4357" width="45.5546875" style="336" customWidth="1"/>
    <col min="4358" max="4358" width="7.109375" style="336" customWidth="1"/>
    <col min="4359" max="4359" width="0.5546875" style="336" customWidth="1"/>
    <col min="4360" max="4397" width="10.6640625" style="336" customWidth="1"/>
    <col min="4398" max="4403" width="9.6640625" style="336" customWidth="1"/>
    <col min="4404" max="4404" width="10.6640625" style="336" customWidth="1"/>
    <col min="4405" max="4409" width="9.6640625" style="336" customWidth="1"/>
    <col min="4410" max="4608" width="9.109375" style="336"/>
    <col min="4609" max="4611" width="2" style="336" customWidth="1"/>
    <col min="4612" max="4612" width="2.44140625" style="336" customWidth="1"/>
    <col min="4613" max="4613" width="45.5546875" style="336" customWidth="1"/>
    <col min="4614" max="4614" width="7.109375" style="336" customWidth="1"/>
    <col min="4615" max="4615" width="0.5546875" style="336" customWidth="1"/>
    <col min="4616" max="4653" width="10.6640625" style="336" customWidth="1"/>
    <col min="4654" max="4659" width="9.6640625" style="336" customWidth="1"/>
    <col min="4660" max="4660" width="10.6640625" style="336" customWidth="1"/>
    <col min="4661" max="4665" width="9.6640625" style="336" customWidth="1"/>
    <col min="4666" max="4864" width="9.109375" style="336"/>
    <col min="4865" max="4867" width="2" style="336" customWidth="1"/>
    <col min="4868" max="4868" width="2.44140625" style="336" customWidth="1"/>
    <col min="4869" max="4869" width="45.5546875" style="336" customWidth="1"/>
    <col min="4870" max="4870" width="7.109375" style="336" customWidth="1"/>
    <col min="4871" max="4871" width="0.5546875" style="336" customWidth="1"/>
    <col min="4872" max="4909" width="10.6640625" style="336" customWidth="1"/>
    <col min="4910" max="4915" width="9.6640625" style="336" customWidth="1"/>
    <col min="4916" max="4916" width="10.6640625" style="336" customWidth="1"/>
    <col min="4917" max="4921" width="9.6640625" style="336" customWidth="1"/>
    <col min="4922" max="5120" width="9.109375" style="336"/>
    <col min="5121" max="5123" width="2" style="336" customWidth="1"/>
    <col min="5124" max="5124" width="2.44140625" style="336" customWidth="1"/>
    <col min="5125" max="5125" width="45.5546875" style="336" customWidth="1"/>
    <col min="5126" max="5126" width="7.109375" style="336" customWidth="1"/>
    <col min="5127" max="5127" width="0.5546875" style="336" customWidth="1"/>
    <col min="5128" max="5165" width="10.6640625" style="336" customWidth="1"/>
    <col min="5166" max="5171" width="9.6640625" style="336" customWidth="1"/>
    <col min="5172" max="5172" width="10.6640625" style="336" customWidth="1"/>
    <col min="5173" max="5177" width="9.6640625" style="336" customWidth="1"/>
    <col min="5178" max="5376" width="9.109375" style="336"/>
    <col min="5377" max="5379" width="2" style="336" customWidth="1"/>
    <col min="5380" max="5380" width="2.44140625" style="336" customWidth="1"/>
    <col min="5381" max="5381" width="45.5546875" style="336" customWidth="1"/>
    <col min="5382" max="5382" width="7.109375" style="336" customWidth="1"/>
    <col min="5383" max="5383" width="0.5546875" style="336" customWidth="1"/>
    <col min="5384" max="5421" width="10.6640625" style="336" customWidth="1"/>
    <col min="5422" max="5427" width="9.6640625" style="336" customWidth="1"/>
    <col min="5428" max="5428" width="10.6640625" style="336" customWidth="1"/>
    <col min="5429" max="5433" width="9.6640625" style="336" customWidth="1"/>
    <col min="5434" max="5632" width="9.109375" style="336"/>
    <col min="5633" max="5635" width="2" style="336" customWidth="1"/>
    <col min="5636" max="5636" width="2.44140625" style="336" customWidth="1"/>
    <col min="5637" max="5637" width="45.5546875" style="336" customWidth="1"/>
    <col min="5638" max="5638" width="7.109375" style="336" customWidth="1"/>
    <col min="5639" max="5639" width="0.5546875" style="336" customWidth="1"/>
    <col min="5640" max="5677" width="10.6640625" style="336" customWidth="1"/>
    <col min="5678" max="5683" width="9.6640625" style="336" customWidth="1"/>
    <col min="5684" max="5684" width="10.6640625" style="336" customWidth="1"/>
    <col min="5685" max="5689" width="9.6640625" style="336" customWidth="1"/>
    <col min="5690" max="5888" width="9.109375" style="336"/>
    <col min="5889" max="5891" width="2" style="336" customWidth="1"/>
    <col min="5892" max="5892" width="2.44140625" style="336" customWidth="1"/>
    <col min="5893" max="5893" width="45.5546875" style="336" customWidth="1"/>
    <col min="5894" max="5894" width="7.109375" style="336" customWidth="1"/>
    <col min="5895" max="5895" width="0.5546875" style="336" customWidth="1"/>
    <col min="5896" max="5933" width="10.6640625" style="336" customWidth="1"/>
    <col min="5934" max="5939" width="9.6640625" style="336" customWidth="1"/>
    <col min="5940" max="5940" width="10.6640625" style="336" customWidth="1"/>
    <col min="5941" max="5945" width="9.6640625" style="336" customWidth="1"/>
    <col min="5946" max="6144" width="9.109375" style="336"/>
    <col min="6145" max="6147" width="2" style="336" customWidth="1"/>
    <col min="6148" max="6148" width="2.44140625" style="336" customWidth="1"/>
    <col min="6149" max="6149" width="45.5546875" style="336" customWidth="1"/>
    <col min="6150" max="6150" width="7.109375" style="336" customWidth="1"/>
    <col min="6151" max="6151" width="0.5546875" style="336" customWidth="1"/>
    <col min="6152" max="6189" width="10.6640625" style="336" customWidth="1"/>
    <col min="6190" max="6195" width="9.6640625" style="336" customWidth="1"/>
    <col min="6196" max="6196" width="10.6640625" style="336" customWidth="1"/>
    <col min="6197" max="6201" width="9.6640625" style="336" customWidth="1"/>
    <col min="6202" max="6400" width="9.109375" style="336"/>
    <col min="6401" max="6403" width="2" style="336" customWidth="1"/>
    <col min="6404" max="6404" width="2.44140625" style="336" customWidth="1"/>
    <col min="6405" max="6405" width="45.5546875" style="336" customWidth="1"/>
    <col min="6406" max="6406" width="7.109375" style="336" customWidth="1"/>
    <col min="6407" max="6407" width="0.5546875" style="336" customWidth="1"/>
    <col min="6408" max="6445" width="10.6640625" style="336" customWidth="1"/>
    <col min="6446" max="6451" width="9.6640625" style="336" customWidth="1"/>
    <col min="6452" max="6452" width="10.6640625" style="336" customWidth="1"/>
    <col min="6453" max="6457" width="9.6640625" style="336" customWidth="1"/>
    <col min="6458" max="6656" width="9.109375" style="336"/>
    <col min="6657" max="6659" width="2" style="336" customWidth="1"/>
    <col min="6660" max="6660" width="2.44140625" style="336" customWidth="1"/>
    <col min="6661" max="6661" width="45.5546875" style="336" customWidth="1"/>
    <col min="6662" max="6662" width="7.109375" style="336" customWidth="1"/>
    <col min="6663" max="6663" width="0.5546875" style="336" customWidth="1"/>
    <col min="6664" max="6701" width="10.6640625" style="336" customWidth="1"/>
    <col min="6702" max="6707" width="9.6640625" style="336" customWidth="1"/>
    <col min="6708" max="6708" width="10.6640625" style="336" customWidth="1"/>
    <col min="6709" max="6713" width="9.6640625" style="336" customWidth="1"/>
    <col min="6714" max="6912" width="9.109375" style="336"/>
    <col min="6913" max="6915" width="2" style="336" customWidth="1"/>
    <col min="6916" max="6916" width="2.44140625" style="336" customWidth="1"/>
    <col min="6917" max="6917" width="45.5546875" style="336" customWidth="1"/>
    <col min="6918" max="6918" width="7.109375" style="336" customWidth="1"/>
    <col min="6919" max="6919" width="0.5546875" style="336" customWidth="1"/>
    <col min="6920" max="6957" width="10.6640625" style="336" customWidth="1"/>
    <col min="6958" max="6963" width="9.6640625" style="336" customWidth="1"/>
    <col min="6964" max="6964" width="10.6640625" style="336" customWidth="1"/>
    <col min="6965" max="6969" width="9.6640625" style="336" customWidth="1"/>
    <col min="6970" max="7168" width="9.109375" style="336"/>
    <col min="7169" max="7171" width="2" style="336" customWidth="1"/>
    <col min="7172" max="7172" width="2.44140625" style="336" customWidth="1"/>
    <col min="7173" max="7173" width="45.5546875" style="336" customWidth="1"/>
    <col min="7174" max="7174" width="7.109375" style="336" customWidth="1"/>
    <col min="7175" max="7175" width="0.5546875" style="336" customWidth="1"/>
    <col min="7176" max="7213" width="10.6640625" style="336" customWidth="1"/>
    <col min="7214" max="7219" width="9.6640625" style="336" customWidth="1"/>
    <col min="7220" max="7220" width="10.6640625" style="336" customWidth="1"/>
    <col min="7221" max="7225" width="9.6640625" style="336" customWidth="1"/>
    <col min="7226" max="7424" width="9.109375" style="336"/>
    <col min="7425" max="7427" width="2" style="336" customWidth="1"/>
    <col min="7428" max="7428" width="2.44140625" style="336" customWidth="1"/>
    <col min="7429" max="7429" width="45.5546875" style="336" customWidth="1"/>
    <col min="7430" max="7430" width="7.109375" style="336" customWidth="1"/>
    <col min="7431" max="7431" width="0.5546875" style="336" customWidth="1"/>
    <col min="7432" max="7469" width="10.6640625" style="336" customWidth="1"/>
    <col min="7470" max="7475" width="9.6640625" style="336" customWidth="1"/>
    <col min="7476" max="7476" width="10.6640625" style="336" customWidth="1"/>
    <col min="7477" max="7481" width="9.6640625" style="336" customWidth="1"/>
    <col min="7482" max="7680" width="9.109375" style="336"/>
    <col min="7681" max="7683" width="2" style="336" customWidth="1"/>
    <col min="7684" max="7684" width="2.44140625" style="336" customWidth="1"/>
    <col min="7685" max="7685" width="45.5546875" style="336" customWidth="1"/>
    <col min="7686" max="7686" width="7.109375" style="336" customWidth="1"/>
    <col min="7687" max="7687" width="0.5546875" style="336" customWidth="1"/>
    <col min="7688" max="7725" width="10.6640625" style="336" customWidth="1"/>
    <col min="7726" max="7731" width="9.6640625" style="336" customWidth="1"/>
    <col min="7732" max="7732" width="10.6640625" style="336" customWidth="1"/>
    <col min="7733" max="7737" width="9.6640625" style="336" customWidth="1"/>
    <col min="7738" max="7936" width="9.109375" style="336"/>
    <col min="7937" max="7939" width="2" style="336" customWidth="1"/>
    <col min="7940" max="7940" width="2.44140625" style="336" customWidth="1"/>
    <col min="7941" max="7941" width="45.5546875" style="336" customWidth="1"/>
    <col min="7942" max="7942" width="7.109375" style="336" customWidth="1"/>
    <col min="7943" max="7943" width="0.5546875" style="336" customWidth="1"/>
    <col min="7944" max="7981" width="10.6640625" style="336" customWidth="1"/>
    <col min="7982" max="7987" width="9.6640625" style="336" customWidth="1"/>
    <col min="7988" max="7988" width="10.6640625" style="336" customWidth="1"/>
    <col min="7989" max="7993" width="9.6640625" style="336" customWidth="1"/>
    <col min="7994" max="8192" width="9.109375" style="336"/>
    <col min="8193" max="8195" width="2" style="336" customWidth="1"/>
    <col min="8196" max="8196" width="2.44140625" style="336" customWidth="1"/>
    <col min="8197" max="8197" width="45.5546875" style="336" customWidth="1"/>
    <col min="8198" max="8198" width="7.109375" style="336" customWidth="1"/>
    <col min="8199" max="8199" width="0.5546875" style="336" customWidth="1"/>
    <col min="8200" max="8237" width="10.6640625" style="336" customWidth="1"/>
    <col min="8238" max="8243" width="9.6640625" style="336" customWidth="1"/>
    <col min="8244" max="8244" width="10.6640625" style="336" customWidth="1"/>
    <col min="8245" max="8249" width="9.6640625" style="336" customWidth="1"/>
    <col min="8250" max="8448" width="9.109375" style="336"/>
    <col min="8449" max="8451" width="2" style="336" customWidth="1"/>
    <col min="8452" max="8452" width="2.44140625" style="336" customWidth="1"/>
    <col min="8453" max="8453" width="45.5546875" style="336" customWidth="1"/>
    <col min="8454" max="8454" width="7.109375" style="336" customWidth="1"/>
    <col min="8455" max="8455" width="0.5546875" style="336" customWidth="1"/>
    <col min="8456" max="8493" width="10.6640625" style="336" customWidth="1"/>
    <col min="8494" max="8499" width="9.6640625" style="336" customWidth="1"/>
    <col min="8500" max="8500" width="10.6640625" style="336" customWidth="1"/>
    <col min="8501" max="8505" width="9.6640625" style="336" customWidth="1"/>
    <col min="8506" max="8704" width="9.109375" style="336"/>
    <col min="8705" max="8707" width="2" style="336" customWidth="1"/>
    <col min="8708" max="8708" width="2.44140625" style="336" customWidth="1"/>
    <col min="8709" max="8709" width="45.5546875" style="336" customWidth="1"/>
    <col min="8710" max="8710" width="7.109375" style="336" customWidth="1"/>
    <col min="8711" max="8711" width="0.5546875" style="336" customWidth="1"/>
    <col min="8712" max="8749" width="10.6640625" style="336" customWidth="1"/>
    <col min="8750" max="8755" width="9.6640625" style="336" customWidth="1"/>
    <col min="8756" max="8756" width="10.6640625" style="336" customWidth="1"/>
    <col min="8757" max="8761" width="9.6640625" style="336" customWidth="1"/>
    <col min="8762" max="8960" width="9.109375" style="336"/>
    <col min="8961" max="8963" width="2" style="336" customWidth="1"/>
    <col min="8964" max="8964" width="2.44140625" style="336" customWidth="1"/>
    <col min="8965" max="8965" width="45.5546875" style="336" customWidth="1"/>
    <col min="8966" max="8966" width="7.109375" style="336" customWidth="1"/>
    <col min="8967" max="8967" width="0.5546875" style="336" customWidth="1"/>
    <col min="8968" max="9005" width="10.6640625" style="336" customWidth="1"/>
    <col min="9006" max="9011" width="9.6640625" style="336" customWidth="1"/>
    <col min="9012" max="9012" width="10.6640625" style="336" customWidth="1"/>
    <col min="9013" max="9017" width="9.6640625" style="336" customWidth="1"/>
    <col min="9018" max="9216" width="9.109375" style="336"/>
    <col min="9217" max="9219" width="2" style="336" customWidth="1"/>
    <col min="9220" max="9220" width="2.44140625" style="336" customWidth="1"/>
    <col min="9221" max="9221" width="45.5546875" style="336" customWidth="1"/>
    <col min="9222" max="9222" width="7.109375" style="336" customWidth="1"/>
    <col min="9223" max="9223" width="0.5546875" style="336" customWidth="1"/>
    <col min="9224" max="9261" width="10.6640625" style="336" customWidth="1"/>
    <col min="9262" max="9267" width="9.6640625" style="336" customWidth="1"/>
    <col min="9268" max="9268" width="10.6640625" style="336" customWidth="1"/>
    <col min="9269" max="9273" width="9.6640625" style="336" customWidth="1"/>
    <col min="9274" max="9472" width="9.109375" style="336"/>
    <col min="9473" max="9475" width="2" style="336" customWidth="1"/>
    <col min="9476" max="9476" width="2.44140625" style="336" customWidth="1"/>
    <col min="9477" max="9477" width="45.5546875" style="336" customWidth="1"/>
    <col min="9478" max="9478" width="7.109375" style="336" customWidth="1"/>
    <col min="9479" max="9479" width="0.5546875" style="336" customWidth="1"/>
    <col min="9480" max="9517" width="10.6640625" style="336" customWidth="1"/>
    <col min="9518" max="9523" width="9.6640625" style="336" customWidth="1"/>
    <col min="9524" max="9524" width="10.6640625" style="336" customWidth="1"/>
    <col min="9525" max="9529" width="9.6640625" style="336" customWidth="1"/>
    <col min="9530" max="9728" width="9.109375" style="336"/>
    <col min="9729" max="9731" width="2" style="336" customWidth="1"/>
    <col min="9732" max="9732" width="2.44140625" style="336" customWidth="1"/>
    <col min="9733" max="9733" width="45.5546875" style="336" customWidth="1"/>
    <col min="9734" max="9734" width="7.109375" style="336" customWidth="1"/>
    <col min="9735" max="9735" width="0.5546875" style="336" customWidth="1"/>
    <col min="9736" max="9773" width="10.6640625" style="336" customWidth="1"/>
    <col min="9774" max="9779" width="9.6640625" style="336" customWidth="1"/>
    <col min="9780" max="9780" width="10.6640625" style="336" customWidth="1"/>
    <col min="9781" max="9785" width="9.6640625" style="336" customWidth="1"/>
    <col min="9786" max="9984" width="9.109375" style="336"/>
    <col min="9985" max="9987" width="2" style="336" customWidth="1"/>
    <col min="9988" max="9988" width="2.44140625" style="336" customWidth="1"/>
    <col min="9989" max="9989" width="45.5546875" style="336" customWidth="1"/>
    <col min="9990" max="9990" width="7.109375" style="336" customWidth="1"/>
    <col min="9991" max="9991" width="0.5546875" style="336" customWidth="1"/>
    <col min="9992" max="10029" width="10.6640625" style="336" customWidth="1"/>
    <col min="10030" max="10035" width="9.6640625" style="336" customWidth="1"/>
    <col min="10036" max="10036" width="10.6640625" style="336" customWidth="1"/>
    <col min="10037" max="10041" width="9.6640625" style="336" customWidth="1"/>
    <col min="10042" max="10240" width="9.109375" style="336"/>
    <col min="10241" max="10243" width="2" style="336" customWidth="1"/>
    <col min="10244" max="10244" width="2.44140625" style="336" customWidth="1"/>
    <col min="10245" max="10245" width="45.5546875" style="336" customWidth="1"/>
    <col min="10246" max="10246" width="7.109375" style="336" customWidth="1"/>
    <col min="10247" max="10247" width="0.5546875" style="336" customWidth="1"/>
    <col min="10248" max="10285" width="10.6640625" style="336" customWidth="1"/>
    <col min="10286" max="10291" width="9.6640625" style="336" customWidth="1"/>
    <col min="10292" max="10292" width="10.6640625" style="336" customWidth="1"/>
    <col min="10293" max="10297" width="9.6640625" style="336" customWidth="1"/>
    <col min="10298" max="10496" width="9.109375" style="336"/>
    <col min="10497" max="10499" width="2" style="336" customWidth="1"/>
    <col min="10500" max="10500" width="2.44140625" style="336" customWidth="1"/>
    <col min="10501" max="10501" width="45.5546875" style="336" customWidth="1"/>
    <col min="10502" max="10502" width="7.109375" style="336" customWidth="1"/>
    <col min="10503" max="10503" width="0.5546875" style="336" customWidth="1"/>
    <col min="10504" max="10541" width="10.6640625" style="336" customWidth="1"/>
    <col min="10542" max="10547" width="9.6640625" style="336" customWidth="1"/>
    <col min="10548" max="10548" width="10.6640625" style="336" customWidth="1"/>
    <col min="10549" max="10553" width="9.6640625" style="336" customWidth="1"/>
    <col min="10554" max="10752" width="9.109375" style="336"/>
    <col min="10753" max="10755" width="2" style="336" customWidth="1"/>
    <col min="10756" max="10756" width="2.44140625" style="336" customWidth="1"/>
    <col min="10757" max="10757" width="45.5546875" style="336" customWidth="1"/>
    <col min="10758" max="10758" width="7.109375" style="336" customWidth="1"/>
    <col min="10759" max="10759" width="0.5546875" style="336" customWidth="1"/>
    <col min="10760" max="10797" width="10.6640625" style="336" customWidth="1"/>
    <col min="10798" max="10803" width="9.6640625" style="336" customWidth="1"/>
    <col min="10804" max="10804" width="10.6640625" style="336" customWidth="1"/>
    <col min="10805" max="10809" width="9.6640625" style="336" customWidth="1"/>
    <col min="10810" max="11008" width="9.109375" style="336"/>
    <col min="11009" max="11011" width="2" style="336" customWidth="1"/>
    <col min="11012" max="11012" width="2.44140625" style="336" customWidth="1"/>
    <col min="11013" max="11013" width="45.5546875" style="336" customWidth="1"/>
    <col min="11014" max="11014" width="7.109375" style="336" customWidth="1"/>
    <col min="11015" max="11015" width="0.5546875" style="336" customWidth="1"/>
    <col min="11016" max="11053" width="10.6640625" style="336" customWidth="1"/>
    <col min="11054" max="11059" width="9.6640625" style="336" customWidth="1"/>
    <col min="11060" max="11060" width="10.6640625" style="336" customWidth="1"/>
    <col min="11061" max="11065" width="9.6640625" style="336" customWidth="1"/>
    <col min="11066" max="11264" width="9.109375" style="336"/>
    <col min="11265" max="11267" width="2" style="336" customWidth="1"/>
    <col min="11268" max="11268" width="2.44140625" style="336" customWidth="1"/>
    <col min="11269" max="11269" width="45.5546875" style="336" customWidth="1"/>
    <col min="11270" max="11270" width="7.109375" style="336" customWidth="1"/>
    <col min="11271" max="11271" width="0.5546875" style="336" customWidth="1"/>
    <col min="11272" max="11309" width="10.6640625" style="336" customWidth="1"/>
    <col min="11310" max="11315" width="9.6640625" style="336" customWidth="1"/>
    <col min="11316" max="11316" width="10.6640625" style="336" customWidth="1"/>
    <col min="11317" max="11321" width="9.6640625" style="336" customWidth="1"/>
    <col min="11322" max="11520" width="9.109375" style="336"/>
    <col min="11521" max="11523" width="2" style="336" customWidth="1"/>
    <col min="11524" max="11524" width="2.44140625" style="336" customWidth="1"/>
    <col min="11525" max="11525" width="45.5546875" style="336" customWidth="1"/>
    <col min="11526" max="11526" width="7.109375" style="336" customWidth="1"/>
    <col min="11527" max="11527" width="0.5546875" style="336" customWidth="1"/>
    <col min="11528" max="11565" width="10.6640625" style="336" customWidth="1"/>
    <col min="11566" max="11571" width="9.6640625" style="336" customWidth="1"/>
    <col min="11572" max="11572" width="10.6640625" style="336" customWidth="1"/>
    <col min="11573" max="11577" width="9.6640625" style="336" customWidth="1"/>
    <col min="11578" max="11776" width="9.109375" style="336"/>
    <col min="11777" max="11779" width="2" style="336" customWidth="1"/>
    <col min="11780" max="11780" width="2.44140625" style="336" customWidth="1"/>
    <col min="11781" max="11781" width="45.5546875" style="336" customWidth="1"/>
    <col min="11782" max="11782" width="7.109375" style="336" customWidth="1"/>
    <col min="11783" max="11783" width="0.5546875" style="336" customWidth="1"/>
    <col min="11784" max="11821" width="10.6640625" style="336" customWidth="1"/>
    <col min="11822" max="11827" width="9.6640625" style="336" customWidth="1"/>
    <col min="11828" max="11828" width="10.6640625" style="336" customWidth="1"/>
    <col min="11829" max="11833" width="9.6640625" style="336" customWidth="1"/>
    <col min="11834" max="12032" width="9.109375" style="336"/>
    <col min="12033" max="12035" width="2" style="336" customWidth="1"/>
    <col min="12036" max="12036" width="2.44140625" style="336" customWidth="1"/>
    <col min="12037" max="12037" width="45.5546875" style="336" customWidth="1"/>
    <col min="12038" max="12038" width="7.109375" style="336" customWidth="1"/>
    <col min="12039" max="12039" width="0.5546875" style="336" customWidth="1"/>
    <col min="12040" max="12077" width="10.6640625" style="336" customWidth="1"/>
    <col min="12078" max="12083" width="9.6640625" style="336" customWidth="1"/>
    <col min="12084" max="12084" width="10.6640625" style="336" customWidth="1"/>
    <col min="12085" max="12089" width="9.6640625" style="336" customWidth="1"/>
    <col min="12090" max="12288" width="9.109375" style="336"/>
    <col min="12289" max="12291" width="2" style="336" customWidth="1"/>
    <col min="12292" max="12292" width="2.44140625" style="336" customWidth="1"/>
    <col min="12293" max="12293" width="45.5546875" style="336" customWidth="1"/>
    <col min="12294" max="12294" width="7.109375" style="336" customWidth="1"/>
    <col min="12295" max="12295" width="0.5546875" style="336" customWidth="1"/>
    <col min="12296" max="12333" width="10.6640625" style="336" customWidth="1"/>
    <col min="12334" max="12339" width="9.6640625" style="336" customWidth="1"/>
    <col min="12340" max="12340" width="10.6640625" style="336" customWidth="1"/>
    <col min="12341" max="12345" width="9.6640625" style="336" customWidth="1"/>
    <col min="12346" max="12544" width="9.109375" style="336"/>
    <col min="12545" max="12547" width="2" style="336" customWidth="1"/>
    <col min="12548" max="12548" width="2.44140625" style="336" customWidth="1"/>
    <col min="12549" max="12549" width="45.5546875" style="336" customWidth="1"/>
    <col min="12550" max="12550" width="7.109375" style="336" customWidth="1"/>
    <col min="12551" max="12551" width="0.5546875" style="336" customWidth="1"/>
    <col min="12552" max="12589" width="10.6640625" style="336" customWidth="1"/>
    <col min="12590" max="12595" width="9.6640625" style="336" customWidth="1"/>
    <col min="12596" max="12596" width="10.6640625" style="336" customWidth="1"/>
    <col min="12597" max="12601" width="9.6640625" style="336" customWidth="1"/>
    <col min="12602" max="12800" width="9.109375" style="336"/>
    <col min="12801" max="12803" width="2" style="336" customWidth="1"/>
    <col min="12804" max="12804" width="2.44140625" style="336" customWidth="1"/>
    <col min="12805" max="12805" width="45.5546875" style="336" customWidth="1"/>
    <col min="12806" max="12806" width="7.109375" style="336" customWidth="1"/>
    <col min="12807" max="12807" width="0.5546875" style="336" customWidth="1"/>
    <col min="12808" max="12845" width="10.6640625" style="336" customWidth="1"/>
    <col min="12846" max="12851" width="9.6640625" style="336" customWidth="1"/>
    <col min="12852" max="12852" width="10.6640625" style="336" customWidth="1"/>
    <col min="12853" max="12857" width="9.6640625" style="336" customWidth="1"/>
    <col min="12858" max="13056" width="9.109375" style="336"/>
    <col min="13057" max="13059" width="2" style="336" customWidth="1"/>
    <col min="13060" max="13060" width="2.44140625" style="336" customWidth="1"/>
    <col min="13061" max="13061" width="45.5546875" style="336" customWidth="1"/>
    <col min="13062" max="13062" width="7.109375" style="336" customWidth="1"/>
    <col min="13063" max="13063" width="0.5546875" style="336" customWidth="1"/>
    <col min="13064" max="13101" width="10.6640625" style="336" customWidth="1"/>
    <col min="13102" max="13107" width="9.6640625" style="336" customWidth="1"/>
    <col min="13108" max="13108" width="10.6640625" style="336" customWidth="1"/>
    <col min="13109" max="13113" width="9.6640625" style="336" customWidth="1"/>
    <col min="13114" max="13312" width="9.109375" style="336"/>
    <col min="13313" max="13315" width="2" style="336" customWidth="1"/>
    <col min="13316" max="13316" width="2.44140625" style="336" customWidth="1"/>
    <col min="13317" max="13317" width="45.5546875" style="336" customWidth="1"/>
    <col min="13318" max="13318" width="7.109375" style="336" customWidth="1"/>
    <col min="13319" max="13319" width="0.5546875" style="336" customWidth="1"/>
    <col min="13320" max="13357" width="10.6640625" style="336" customWidth="1"/>
    <col min="13358" max="13363" width="9.6640625" style="336" customWidth="1"/>
    <col min="13364" max="13364" width="10.6640625" style="336" customWidth="1"/>
    <col min="13365" max="13369" width="9.6640625" style="336" customWidth="1"/>
    <col min="13370" max="13568" width="9.109375" style="336"/>
    <col min="13569" max="13571" width="2" style="336" customWidth="1"/>
    <col min="13572" max="13572" width="2.44140625" style="336" customWidth="1"/>
    <col min="13573" max="13573" width="45.5546875" style="336" customWidth="1"/>
    <col min="13574" max="13574" width="7.109375" style="336" customWidth="1"/>
    <col min="13575" max="13575" width="0.5546875" style="336" customWidth="1"/>
    <col min="13576" max="13613" width="10.6640625" style="336" customWidth="1"/>
    <col min="13614" max="13619" width="9.6640625" style="336" customWidth="1"/>
    <col min="13620" max="13620" width="10.6640625" style="336" customWidth="1"/>
    <col min="13621" max="13625" width="9.6640625" style="336" customWidth="1"/>
    <col min="13626" max="13824" width="9.109375" style="336"/>
    <col min="13825" max="13827" width="2" style="336" customWidth="1"/>
    <col min="13828" max="13828" width="2.44140625" style="336" customWidth="1"/>
    <col min="13829" max="13829" width="45.5546875" style="336" customWidth="1"/>
    <col min="13830" max="13830" width="7.109375" style="336" customWidth="1"/>
    <col min="13831" max="13831" width="0.5546875" style="336" customWidth="1"/>
    <col min="13832" max="13869" width="10.6640625" style="336" customWidth="1"/>
    <col min="13870" max="13875" width="9.6640625" style="336" customWidth="1"/>
    <col min="13876" max="13876" width="10.6640625" style="336" customWidth="1"/>
    <col min="13877" max="13881" width="9.6640625" style="336" customWidth="1"/>
    <col min="13882" max="14080" width="9.109375" style="336"/>
    <col min="14081" max="14083" width="2" style="336" customWidth="1"/>
    <col min="14084" max="14084" width="2.44140625" style="336" customWidth="1"/>
    <col min="14085" max="14085" width="45.5546875" style="336" customWidth="1"/>
    <col min="14086" max="14086" width="7.109375" style="336" customWidth="1"/>
    <col min="14087" max="14087" width="0.5546875" style="336" customWidth="1"/>
    <col min="14088" max="14125" width="10.6640625" style="336" customWidth="1"/>
    <col min="14126" max="14131" width="9.6640625" style="336" customWidth="1"/>
    <col min="14132" max="14132" width="10.6640625" style="336" customWidth="1"/>
    <col min="14133" max="14137" width="9.6640625" style="336" customWidth="1"/>
    <col min="14138" max="14336" width="9.109375" style="336"/>
    <col min="14337" max="14339" width="2" style="336" customWidth="1"/>
    <col min="14340" max="14340" width="2.44140625" style="336" customWidth="1"/>
    <col min="14341" max="14341" width="45.5546875" style="336" customWidth="1"/>
    <col min="14342" max="14342" width="7.109375" style="336" customWidth="1"/>
    <col min="14343" max="14343" width="0.5546875" style="336" customWidth="1"/>
    <col min="14344" max="14381" width="10.6640625" style="336" customWidth="1"/>
    <col min="14382" max="14387" width="9.6640625" style="336" customWidth="1"/>
    <col min="14388" max="14388" width="10.6640625" style="336" customWidth="1"/>
    <col min="14389" max="14393" width="9.6640625" style="336" customWidth="1"/>
    <col min="14394" max="14592" width="9.109375" style="336"/>
    <col min="14593" max="14595" width="2" style="336" customWidth="1"/>
    <col min="14596" max="14596" width="2.44140625" style="336" customWidth="1"/>
    <col min="14597" max="14597" width="45.5546875" style="336" customWidth="1"/>
    <col min="14598" max="14598" width="7.109375" style="336" customWidth="1"/>
    <col min="14599" max="14599" width="0.5546875" style="336" customWidth="1"/>
    <col min="14600" max="14637" width="10.6640625" style="336" customWidth="1"/>
    <col min="14638" max="14643" width="9.6640625" style="336" customWidth="1"/>
    <col min="14644" max="14644" width="10.6640625" style="336" customWidth="1"/>
    <col min="14645" max="14649" width="9.6640625" style="336" customWidth="1"/>
    <col min="14650" max="14848" width="9.109375" style="336"/>
    <col min="14849" max="14851" width="2" style="336" customWidth="1"/>
    <col min="14852" max="14852" width="2.44140625" style="336" customWidth="1"/>
    <col min="14853" max="14853" width="45.5546875" style="336" customWidth="1"/>
    <col min="14854" max="14854" width="7.109375" style="336" customWidth="1"/>
    <col min="14855" max="14855" width="0.5546875" style="336" customWidth="1"/>
    <col min="14856" max="14893" width="10.6640625" style="336" customWidth="1"/>
    <col min="14894" max="14899" width="9.6640625" style="336" customWidth="1"/>
    <col min="14900" max="14900" width="10.6640625" style="336" customWidth="1"/>
    <col min="14901" max="14905" width="9.6640625" style="336" customWidth="1"/>
    <col min="14906" max="15104" width="9.109375" style="336"/>
    <col min="15105" max="15107" width="2" style="336" customWidth="1"/>
    <col min="15108" max="15108" width="2.44140625" style="336" customWidth="1"/>
    <col min="15109" max="15109" width="45.5546875" style="336" customWidth="1"/>
    <col min="15110" max="15110" width="7.109375" style="336" customWidth="1"/>
    <col min="15111" max="15111" width="0.5546875" style="336" customWidth="1"/>
    <col min="15112" max="15149" width="10.6640625" style="336" customWidth="1"/>
    <col min="15150" max="15155" width="9.6640625" style="336" customWidth="1"/>
    <col min="15156" max="15156" width="10.6640625" style="336" customWidth="1"/>
    <col min="15157" max="15161" width="9.6640625" style="336" customWidth="1"/>
    <col min="15162" max="15360" width="9.109375" style="336"/>
    <col min="15361" max="15363" width="2" style="336" customWidth="1"/>
    <col min="15364" max="15364" width="2.44140625" style="336" customWidth="1"/>
    <col min="15365" max="15365" width="45.5546875" style="336" customWidth="1"/>
    <col min="15366" max="15366" width="7.109375" style="336" customWidth="1"/>
    <col min="15367" max="15367" width="0.5546875" style="336" customWidth="1"/>
    <col min="15368" max="15405" width="10.6640625" style="336" customWidth="1"/>
    <col min="15406" max="15411" width="9.6640625" style="336" customWidth="1"/>
    <col min="15412" max="15412" width="10.6640625" style="336" customWidth="1"/>
    <col min="15413" max="15417" width="9.6640625" style="336" customWidth="1"/>
    <col min="15418" max="15616" width="9.109375" style="336"/>
    <col min="15617" max="15619" width="2" style="336" customWidth="1"/>
    <col min="15620" max="15620" width="2.44140625" style="336" customWidth="1"/>
    <col min="15621" max="15621" width="45.5546875" style="336" customWidth="1"/>
    <col min="15622" max="15622" width="7.109375" style="336" customWidth="1"/>
    <col min="15623" max="15623" width="0.5546875" style="336" customWidth="1"/>
    <col min="15624" max="15661" width="10.6640625" style="336" customWidth="1"/>
    <col min="15662" max="15667" width="9.6640625" style="336" customWidth="1"/>
    <col min="15668" max="15668" width="10.6640625" style="336" customWidth="1"/>
    <col min="15669" max="15673" width="9.6640625" style="336" customWidth="1"/>
    <col min="15674" max="15872" width="9.109375" style="336"/>
    <col min="15873" max="15875" width="2" style="336" customWidth="1"/>
    <col min="15876" max="15876" width="2.44140625" style="336" customWidth="1"/>
    <col min="15877" max="15877" width="45.5546875" style="336" customWidth="1"/>
    <col min="15878" max="15878" width="7.109375" style="336" customWidth="1"/>
    <col min="15879" max="15879" width="0.5546875" style="336" customWidth="1"/>
    <col min="15880" max="15917" width="10.6640625" style="336" customWidth="1"/>
    <col min="15918" max="15923" width="9.6640625" style="336" customWidth="1"/>
    <col min="15924" max="15924" width="10.6640625" style="336" customWidth="1"/>
    <col min="15925" max="15929" width="9.6640625" style="336" customWidth="1"/>
    <col min="15930" max="16128" width="9.109375" style="336"/>
    <col min="16129" max="16131" width="2" style="336" customWidth="1"/>
    <col min="16132" max="16132" width="2.44140625" style="336" customWidth="1"/>
    <col min="16133" max="16133" width="45.5546875" style="336" customWidth="1"/>
    <col min="16134" max="16134" width="7.109375" style="336" customWidth="1"/>
    <col min="16135" max="16135" width="0.5546875" style="336" customWidth="1"/>
    <col min="16136" max="16173" width="10.6640625" style="336" customWidth="1"/>
    <col min="16174" max="16179" width="9.6640625" style="336" customWidth="1"/>
    <col min="16180" max="16180" width="10.6640625" style="336" customWidth="1"/>
    <col min="16181" max="16185" width="9.6640625" style="336" customWidth="1"/>
    <col min="16186" max="16384" width="9.109375" style="336"/>
  </cols>
  <sheetData>
    <row r="1" spans="1:73">
      <c r="A1" s="330"/>
      <c r="B1" s="330"/>
      <c r="C1" s="330"/>
      <c r="D1" s="330"/>
      <c r="E1" s="331"/>
      <c r="F1" s="332"/>
      <c r="G1" s="332"/>
      <c r="H1" s="333" t="s">
        <v>486</v>
      </c>
      <c r="I1" s="333">
        <v>2000</v>
      </c>
      <c r="J1" s="333">
        <v>2115</v>
      </c>
      <c r="K1" s="333">
        <v>2116</v>
      </c>
      <c r="L1" s="333">
        <v>2117</v>
      </c>
      <c r="M1" s="333">
        <v>2118</v>
      </c>
      <c r="N1" s="333">
        <v>2210</v>
      </c>
      <c r="O1" s="333">
        <v>2112</v>
      </c>
      <c r="P1" s="333">
        <v>2121</v>
      </c>
      <c r="Q1" s="333">
        <v>2122</v>
      </c>
      <c r="R1" s="333">
        <v>2130</v>
      </c>
      <c r="S1" s="333">
        <v>2230</v>
      </c>
      <c r="T1" s="333">
        <v>2310</v>
      </c>
      <c r="U1" s="333">
        <v>2330</v>
      </c>
      <c r="V1" s="333">
        <v>2410</v>
      </c>
      <c r="W1" s="333">
        <v>3000</v>
      </c>
      <c r="X1" s="333">
        <v>3105</v>
      </c>
      <c r="Y1" s="333">
        <v>3106</v>
      </c>
      <c r="Z1" s="333">
        <v>3191</v>
      </c>
      <c r="AA1" s="333">
        <v>3192</v>
      </c>
      <c r="AB1" s="333">
        <v>3193</v>
      </c>
      <c r="AC1" s="333">
        <v>3214</v>
      </c>
      <c r="AD1" s="333">
        <v>3215</v>
      </c>
      <c r="AE1" s="333">
        <v>3220</v>
      </c>
      <c r="AF1" s="333">
        <v>3234</v>
      </c>
      <c r="AG1" s="333">
        <v>3235</v>
      </c>
      <c r="AH1" s="333">
        <v>3246</v>
      </c>
      <c r="AI1" s="333">
        <v>3247</v>
      </c>
      <c r="AJ1" s="333">
        <v>3244</v>
      </c>
      <c r="AK1" s="333">
        <v>3250</v>
      </c>
      <c r="AL1" s="333">
        <v>3260</v>
      </c>
      <c r="AM1" s="333" t="s">
        <v>487</v>
      </c>
      <c r="AN1" s="333">
        <v>3281</v>
      </c>
      <c r="AO1" s="333">
        <v>3282</v>
      </c>
      <c r="AP1" s="333">
        <v>3283</v>
      </c>
      <c r="AQ1" s="333">
        <v>3285</v>
      </c>
      <c r="AR1" s="333">
        <v>3286</v>
      </c>
      <c r="AS1" s="333">
        <v>3295</v>
      </c>
      <c r="AT1" s="333">
        <v>4000</v>
      </c>
      <c r="AU1" s="333">
        <v>4100</v>
      </c>
      <c r="AV1" s="333">
        <v>4210</v>
      </c>
      <c r="AW1" s="333">
        <v>4220</v>
      </c>
      <c r="AX1" s="333">
        <v>4230</v>
      </c>
      <c r="AY1" s="333">
        <v>4240</v>
      </c>
      <c r="AZ1" s="333">
        <v>5500</v>
      </c>
      <c r="BA1" s="333">
        <v>5510</v>
      </c>
      <c r="BB1" s="333">
        <v>5520</v>
      </c>
      <c r="BC1" s="333">
        <v>5535</v>
      </c>
      <c r="BD1" s="333">
        <v>5532</v>
      </c>
      <c r="BE1" s="333">
        <v>5534</v>
      </c>
      <c r="BF1" s="333">
        <v>5541</v>
      </c>
      <c r="BG1" s="333">
        <v>5544</v>
      </c>
      <c r="BH1" s="333">
        <v>5542</v>
      </c>
      <c r="BI1" s="333">
        <v>55431</v>
      </c>
      <c r="BJ1" s="333">
        <v>5546</v>
      </c>
      <c r="BK1" s="333">
        <v>5547</v>
      </c>
      <c r="BL1" s="333">
        <v>5549</v>
      </c>
      <c r="BM1" s="333">
        <v>5548</v>
      </c>
      <c r="BN1" s="333">
        <v>5550</v>
      </c>
      <c r="BO1" s="334">
        <v>7200</v>
      </c>
      <c r="BP1" s="333">
        <v>7100</v>
      </c>
      <c r="BQ1" s="333">
        <v>55432</v>
      </c>
      <c r="BR1" s="333">
        <v>5100</v>
      </c>
      <c r="BS1" s="333">
        <v>5200</v>
      </c>
      <c r="BT1" s="333">
        <v>6000</v>
      </c>
      <c r="BU1" s="335"/>
    </row>
    <row r="2" spans="1:73" ht="30.6">
      <c r="A2" s="337" t="s">
        <v>488</v>
      </c>
      <c r="B2" s="337"/>
      <c r="C2" s="337"/>
      <c r="D2" s="337"/>
      <c r="E2" s="338" t="s">
        <v>489</v>
      </c>
      <c r="F2" s="339" t="s">
        <v>490</v>
      </c>
      <c r="G2" s="340"/>
      <c r="H2" s="341" t="s">
        <v>491</v>
      </c>
      <c r="I2" s="342" t="s">
        <v>239</v>
      </c>
      <c r="J2" s="340" t="s">
        <v>492</v>
      </c>
      <c r="K2" s="340" t="s">
        <v>493</v>
      </c>
      <c r="L2" s="343" t="s">
        <v>494</v>
      </c>
      <c r="M2" s="343" t="s">
        <v>495</v>
      </c>
      <c r="N2" s="343" t="s">
        <v>496</v>
      </c>
      <c r="O2" s="343" t="s">
        <v>497</v>
      </c>
      <c r="P2" s="343" t="s">
        <v>498</v>
      </c>
      <c r="Q2" s="340" t="s">
        <v>499</v>
      </c>
      <c r="R2" s="340" t="s">
        <v>500</v>
      </c>
      <c r="S2" s="340" t="s">
        <v>501</v>
      </c>
      <c r="T2" s="340" t="s">
        <v>502</v>
      </c>
      <c r="U2" s="343" t="s">
        <v>503</v>
      </c>
      <c r="V2" s="343" t="s">
        <v>504</v>
      </c>
      <c r="W2" s="344" t="s">
        <v>505</v>
      </c>
      <c r="X2" s="343" t="s">
        <v>506</v>
      </c>
      <c r="Y2" s="343" t="s">
        <v>507</v>
      </c>
      <c r="Z2" s="343" t="s">
        <v>508</v>
      </c>
      <c r="AA2" s="343" t="s">
        <v>509</v>
      </c>
      <c r="AB2" s="343" t="s">
        <v>510</v>
      </c>
      <c r="AC2" s="343" t="s">
        <v>511</v>
      </c>
      <c r="AD2" s="343" t="s">
        <v>512</v>
      </c>
      <c r="AE2" s="343" t="s">
        <v>116</v>
      </c>
      <c r="AF2" s="343" t="s">
        <v>513</v>
      </c>
      <c r="AG2" s="343" t="s">
        <v>514</v>
      </c>
      <c r="AH2" s="343" t="s">
        <v>515</v>
      </c>
      <c r="AI2" s="343" t="s">
        <v>516</v>
      </c>
      <c r="AJ2" s="343" t="s">
        <v>117</v>
      </c>
      <c r="AK2" s="343" t="s">
        <v>517</v>
      </c>
      <c r="AL2" s="343" t="s">
        <v>518</v>
      </c>
      <c r="AM2" s="343" t="s">
        <v>118</v>
      </c>
      <c r="AN2" s="343" t="s">
        <v>519</v>
      </c>
      <c r="AO2" s="343" t="s">
        <v>520</v>
      </c>
      <c r="AP2" s="343" t="s">
        <v>521</v>
      </c>
      <c r="AQ2" s="343" t="s">
        <v>119</v>
      </c>
      <c r="AR2" s="343" t="s">
        <v>522</v>
      </c>
      <c r="AS2" s="343" t="s">
        <v>523</v>
      </c>
      <c r="AT2" s="344" t="s">
        <v>524</v>
      </c>
      <c r="AU2" s="343" t="s">
        <v>111</v>
      </c>
      <c r="AV2" s="343" t="s">
        <v>525</v>
      </c>
      <c r="AW2" s="343" t="s">
        <v>526</v>
      </c>
      <c r="AX2" s="343" t="s">
        <v>527</v>
      </c>
      <c r="AY2" s="343" t="s">
        <v>528</v>
      </c>
      <c r="AZ2" s="344" t="s">
        <v>529</v>
      </c>
      <c r="BA2" s="343" t="s">
        <v>530</v>
      </c>
      <c r="BB2" s="343" t="s">
        <v>531</v>
      </c>
      <c r="BC2" s="343" t="s">
        <v>532</v>
      </c>
      <c r="BD2" s="343" t="s">
        <v>533</v>
      </c>
      <c r="BE2" s="343" t="s">
        <v>534</v>
      </c>
      <c r="BF2" s="343" t="s">
        <v>535</v>
      </c>
      <c r="BG2" s="343" t="s">
        <v>536</v>
      </c>
      <c r="BH2" s="343" t="s">
        <v>537</v>
      </c>
      <c r="BI2" s="343" t="s">
        <v>538</v>
      </c>
      <c r="BJ2" s="343" t="s">
        <v>539</v>
      </c>
      <c r="BK2" s="343" t="s">
        <v>540</v>
      </c>
      <c r="BL2" s="343" t="s">
        <v>541</v>
      </c>
      <c r="BM2" s="343" t="s">
        <v>542</v>
      </c>
      <c r="BN2" s="343" t="s">
        <v>543</v>
      </c>
      <c r="BO2" s="344" t="s">
        <v>544</v>
      </c>
      <c r="BP2" s="343" t="s">
        <v>545</v>
      </c>
      <c r="BQ2" s="343" t="s">
        <v>546</v>
      </c>
      <c r="BR2" s="345" t="s">
        <v>547</v>
      </c>
      <c r="BS2" s="345" t="s">
        <v>548</v>
      </c>
      <c r="BT2" s="344" t="s">
        <v>110</v>
      </c>
    </row>
    <row r="3" spans="1:73" s="354" customFormat="1" ht="11.25" customHeight="1">
      <c r="A3" s="346"/>
      <c r="B3" s="346"/>
      <c r="C3" s="346"/>
      <c r="D3" s="346"/>
      <c r="E3" s="346"/>
      <c r="F3" s="347"/>
      <c r="G3" s="347"/>
      <c r="H3" s="348"/>
      <c r="I3" s="349"/>
      <c r="J3" s="350"/>
      <c r="K3" s="350"/>
      <c r="L3" s="350"/>
      <c r="M3" s="350"/>
      <c r="N3" s="350"/>
      <c r="O3" s="350"/>
      <c r="P3" s="350"/>
      <c r="Q3" s="350"/>
      <c r="R3" s="350"/>
      <c r="S3" s="350"/>
      <c r="T3" s="350"/>
      <c r="U3" s="350"/>
      <c r="V3" s="350"/>
      <c r="W3" s="351"/>
      <c r="X3" s="352"/>
      <c r="Y3" s="352"/>
      <c r="Z3" s="352"/>
      <c r="AA3" s="352"/>
      <c r="AB3" s="352"/>
      <c r="AC3" s="352"/>
      <c r="AD3" s="352"/>
      <c r="AE3" s="352"/>
      <c r="AF3" s="352"/>
      <c r="AG3" s="352"/>
      <c r="AH3" s="352"/>
      <c r="AI3" s="352"/>
      <c r="AJ3" s="352"/>
      <c r="AK3" s="352"/>
      <c r="AL3" s="352"/>
      <c r="AM3" s="352"/>
      <c r="AN3" s="352"/>
      <c r="AO3" s="352"/>
      <c r="AP3" s="352"/>
      <c r="AQ3" s="352"/>
      <c r="AR3" s="352"/>
      <c r="AS3" s="352"/>
      <c r="AT3" s="349"/>
      <c r="AU3" s="350"/>
      <c r="AV3" s="350"/>
      <c r="AW3" s="350"/>
      <c r="AX3" s="350"/>
      <c r="AY3" s="350"/>
      <c r="AZ3" s="349"/>
      <c r="BA3" s="350"/>
      <c r="BB3" s="350"/>
      <c r="BC3" s="350"/>
      <c r="BD3" s="350"/>
      <c r="BE3" s="350"/>
      <c r="BF3" s="350"/>
      <c r="BG3" s="350"/>
      <c r="BH3" s="350"/>
      <c r="BI3" s="350"/>
      <c r="BJ3" s="350"/>
      <c r="BK3" s="350"/>
      <c r="BL3" s="350"/>
      <c r="BM3" s="350"/>
      <c r="BN3" s="350"/>
      <c r="BO3" s="349"/>
      <c r="BP3" s="350"/>
      <c r="BQ3" s="350"/>
      <c r="BR3" s="353"/>
      <c r="BS3" s="353"/>
      <c r="BT3" s="349"/>
    </row>
    <row r="4" spans="1:73" ht="11.25" customHeight="1">
      <c r="A4" s="355" t="s">
        <v>549</v>
      </c>
      <c r="B4" s="356" t="s">
        <v>550</v>
      </c>
      <c r="C4" s="356"/>
      <c r="D4" s="356"/>
      <c r="E4" s="356"/>
      <c r="F4" s="357" t="s">
        <v>551</v>
      </c>
      <c r="G4" s="357"/>
      <c r="H4" s="358">
        <v>8708.3019999999997</v>
      </c>
      <c r="I4" s="359">
        <v>54.374000000000002</v>
      </c>
      <c r="J4" s="360">
        <v>0</v>
      </c>
      <c r="K4" s="360">
        <v>0</v>
      </c>
      <c r="L4" s="360">
        <v>54.374000000000002</v>
      </c>
      <c r="M4" s="360">
        <v>0</v>
      </c>
      <c r="N4" s="360">
        <v>0</v>
      </c>
      <c r="O4" s="360">
        <v>0</v>
      </c>
      <c r="P4" s="360">
        <v>0</v>
      </c>
      <c r="Q4" s="360">
        <v>0</v>
      </c>
      <c r="R4" s="360">
        <v>0</v>
      </c>
      <c r="S4" s="360">
        <v>0</v>
      </c>
      <c r="T4" s="360">
        <v>0</v>
      </c>
      <c r="U4" s="360">
        <v>0</v>
      </c>
      <c r="V4" s="360">
        <v>0</v>
      </c>
      <c r="W4" s="359">
        <v>4179.4740000000002</v>
      </c>
      <c r="X4" s="360">
        <v>3815.7599999999998</v>
      </c>
      <c r="Y4" s="360">
        <v>358.85599999999999</v>
      </c>
      <c r="Z4" s="360">
        <v>0</v>
      </c>
      <c r="AA4" s="360">
        <v>4.8579999999999997</v>
      </c>
      <c r="AB4" s="360">
        <v>0</v>
      </c>
      <c r="AC4" s="360">
        <v>0</v>
      </c>
      <c r="AD4" s="360">
        <v>0</v>
      </c>
      <c r="AE4" s="360">
        <v>0</v>
      </c>
      <c r="AF4" s="360">
        <v>0</v>
      </c>
      <c r="AG4" s="360">
        <v>0</v>
      </c>
      <c r="AH4" s="360">
        <v>0</v>
      </c>
      <c r="AI4" s="360">
        <v>0</v>
      </c>
      <c r="AJ4" s="360">
        <v>0</v>
      </c>
      <c r="AK4" s="360">
        <v>0</v>
      </c>
      <c r="AL4" s="360">
        <v>0</v>
      </c>
      <c r="AM4" s="360">
        <v>0</v>
      </c>
      <c r="AN4" s="360">
        <v>0</v>
      </c>
      <c r="AO4" s="360">
        <v>0</v>
      </c>
      <c r="AP4" s="360">
        <v>0</v>
      </c>
      <c r="AQ4" s="360">
        <v>0</v>
      </c>
      <c r="AR4" s="360">
        <v>0</v>
      </c>
      <c r="AS4" s="360">
        <v>0</v>
      </c>
      <c r="AT4" s="359">
        <v>3986.1749999999997</v>
      </c>
      <c r="AU4" s="360">
        <v>3986.1749999999997</v>
      </c>
      <c r="AV4" s="360">
        <v>0</v>
      </c>
      <c r="AW4" s="360">
        <v>0</v>
      </c>
      <c r="AX4" s="360">
        <v>0</v>
      </c>
      <c r="AY4" s="360">
        <v>0</v>
      </c>
      <c r="AZ4" s="359">
        <v>482.31900000000002</v>
      </c>
      <c r="BA4" s="360">
        <v>420.3</v>
      </c>
      <c r="BB4" s="360">
        <v>3.1639999999999997</v>
      </c>
      <c r="BC4" s="360">
        <v>0</v>
      </c>
      <c r="BD4" s="360">
        <v>0</v>
      </c>
      <c r="BE4" s="360">
        <v>0</v>
      </c>
      <c r="BF4" s="360">
        <v>51.642999999999994</v>
      </c>
      <c r="BG4" s="360">
        <v>0</v>
      </c>
      <c r="BH4" s="360">
        <v>1.2430000000000001</v>
      </c>
      <c r="BI4" s="360">
        <v>5.9690000000000003</v>
      </c>
      <c r="BJ4" s="360">
        <v>0</v>
      </c>
      <c r="BK4" s="360">
        <v>0</v>
      </c>
      <c r="BL4" s="360">
        <v>0</v>
      </c>
      <c r="BM4" s="360">
        <v>0</v>
      </c>
      <c r="BN4" s="360">
        <v>0</v>
      </c>
      <c r="BO4" s="359">
        <v>5.96</v>
      </c>
      <c r="BP4" s="360">
        <v>0.11499999999999999</v>
      </c>
      <c r="BQ4" s="360">
        <v>5.8449999999999998</v>
      </c>
      <c r="BR4" s="361">
        <v>0</v>
      </c>
      <c r="BS4" s="361">
        <v>0</v>
      </c>
      <c r="BT4" s="359">
        <v>0</v>
      </c>
    </row>
    <row r="5" spans="1:73">
      <c r="A5" s="362" t="s">
        <v>549</v>
      </c>
      <c r="B5" s="363" t="s">
        <v>552</v>
      </c>
      <c r="C5" s="363"/>
      <c r="D5" s="363"/>
      <c r="E5" s="363"/>
      <c r="F5" s="364" t="s">
        <v>553</v>
      </c>
      <c r="G5" s="364"/>
      <c r="H5" s="365">
        <v>0</v>
      </c>
      <c r="I5" s="366">
        <v>0</v>
      </c>
      <c r="J5" s="367">
        <v>0</v>
      </c>
      <c r="K5" s="367">
        <v>0</v>
      </c>
      <c r="L5" s="367">
        <v>0</v>
      </c>
      <c r="M5" s="367">
        <v>0</v>
      </c>
      <c r="N5" s="367">
        <v>0</v>
      </c>
      <c r="O5" s="367">
        <v>0</v>
      </c>
      <c r="P5" s="367">
        <v>0</v>
      </c>
      <c r="Q5" s="367">
        <v>0</v>
      </c>
      <c r="R5" s="367">
        <v>0</v>
      </c>
      <c r="S5" s="367">
        <v>0</v>
      </c>
      <c r="T5" s="367">
        <v>0</v>
      </c>
      <c r="U5" s="367">
        <v>0</v>
      </c>
      <c r="V5" s="367">
        <v>0</v>
      </c>
      <c r="W5" s="366">
        <v>0</v>
      </c>
      <c r="X5" s="367">
        <v>0</v>
      </c>
      <c r="Y5" s="367">
        <v>0</v>
      </c>
      <c r="Z5" s="367">
        <v>0</v>
      </c>
      <c r="AA5" s="367">
        <v>0</v>
      </c>
      <c r="AB5" s="367">
        <v>0</v>
      </c>
      <c r="AC5" s="367">
        <v>0</v>
      </c>
      <c r="AD5" s="367">
        <v>0</v>
      </c>
      <c r="AE5" s="367">
        <v>0</v>
      </c>
      <c r="AF5" s="367">
        <v>0</v>
      </c>
      <c r="AG5" s="367">
        <v>0</v>
      </c>
      <c r="AH5" s="367">
        <v>0</v>
      </c>
      <c r="AI5" s="367">
        <v>0</v>
      </c>
      <c r="AJ5" s="367">
        <v>0</v>
      </c>
      <c r="AK5" s="367">
        <v>0</v>
      </c>
      <c r="AL5" s="367">
        <v>0</v>
      </c>
      <c r="AM5" s="367">
        <v>0</v>
      </c>
      <c r="AN5" s="367">
        <v>0</v>
      </c>
      <c r="AO5" s="367">
        <v>0</v>
      </c>
      <c r="AP5" s="367">
        <v>0</v>
      </c>
      <c r="AQ5" s="367">
        <v>0</v>
      </c>
      <c r="AR5" s="367">
        <v>0</v>
      </c>
      <c r="AS5" s="367">
        <v>0</v>
      </c>
      <c r="AT5" s="366">
        <v>0</v>
      </c>
      <c r="AU5" s="367">
        <v>0</v>
      </c>
      <c r="AV5" s="367">
        <v>0</v>
      </c>
      <c r="AW5" s="367">
        <v>0</v>
      </c>
      <c r="AX5" s="367">
        <v>0</v>
      </c>
      <c r="AY5" s="367">
        <v>0</v>
      </c>
      <c r="AZ5" s="366">
        <v>0</v>
      </c>
      <c r="BA5" s="367">
        <v>0</v>
      </c>
      <c r="BB5" s="367">
        <v>0</v>
      </c>
      <c r="BC5" s="367">
        <v>0</v>
      </c>
      <c r="BD5" s="367">
        <v>0</v>
      </c>
      <c r="BE5" s="367">
        <v>0</v>
      </c>
      <c r="BF5" s="367">
        <v>0</v>
      </c>
      <c r="BG5" s="367">
        <v>0</v>
      </c>
      <c r="BH5" s="367">
        <v>0</v>
      </c>
      <c r="BI5" s="367">
        <v>0</v>
      </c>
      <c r="BJ5" s="367">
        <v>0</v>
      </c>
      <c r="BK5" s="367">
        <v>0</v>
      </c>
      <c r="BL5" s="367">
        <v>0</v>
      </c>
      <c r="BM5" s="367">
        <v>0</v>
      </c>
      <c r="BN5" s="367">
        <v>0</v>
      </c>
      <c r="BO5" s="366">
        <v>0</v>
      </c>
      <c r="BP5" s="367">
        <v>0</v>
      </c>
      <c r="BQ5" s="367">
        <v>0</v>
      </c>
      <c r="BR5" s="368">
        <v>0</v>
      </c>
      <c r="BS5" s="368">
        <v>0</v>
      </c>
      <c r="BT5" s="366">
        <v>0</v>
      </c>
    </row>
    <row r="6" spans="1:73">
      <c r="A6" s="362" t="s">
        <v>549</v>
      </c>
      <c r="B6" s="363" t="s">
        <v>554</v>
      </c>
      <c r="C6" s="363"/>
      <c r="D6" s="363"/>
      <c r="E6" s="363"/>
      <c r="F6" s="364" t="s">
        <v>555</v>
      </c>
      <c r="G6" s="364"/>
      <c r="H6" s="365">
        <v>3.6999999999999998E-2</v>
      </c>
      <c r="I6" s="366">
        <v>0</v>
      </c>
      <c r="J6" s="367">
        <v>0</v>
      </c>
      <c r="K6" s="367">
        <v>0</v>
      </c>
      <c r="L6" s="367">
        <v>0</v>
      </c>
      <c r="M6" s="367">
        <v>0</v>
      </c>
      <c r="N6" s="367">
        <v>0</v>
      </c>
      <c r="O6" s="367">
        <v>0</v>
      </c>
      <c r="P6" s="367">
        <v>0</v>
      </c>
      <c r="Q6" s="367">
        <v>0</v>
      </c>
      <c r="R6" s="367">
        <v>0</v>
      </c>
      <c r="S6" s="367">
        <v>0</v>
      </c>
      <c r="T6" s="367">
        <v>0</v>
      </c>
      <c r="U6" s="367">
        <v>0</v>
      </c>
      <c r="V6" s="367">
        <v>0</v>
      </c>
      <c r="W6" s="366">
        <v>3.6999999999999998E-2</v>
      </c>
      <c r="X6" s="367">
        <v>0</v>
      </c>
      <c r="Y6" s="367">
        <v>0</v>
      </c>
      <c r="Z6" s="367">
        <v>0</v>
      </c>
      <c r="AA6" s="367">
        <v>3.6999999999999998E-2</v>
      </c>
      <c r="AB6" s="367">
        <v>0</v>
      </c>
      <c r="AC6" s="367">
        <v>0</v>
      </c>
      <c r="AD6" s="367">
        <v>0</v>
      </c>
      <c r="AE6" s="367">
        <v>0</v>
      </c>
      <c r="AF6" s="367">
        <v>0</v>
      </c>
      <c r="AG6" s="367">
        <v>0</v>
      </c>
      <c r="AH6" s="367">
        <v>0</v>
      </c>
      <c r="AI6" s="367">
        <v>0</v>
      </c>
      <c r="AJ6" s="367">
        <v>0</v>
      </c>
      <c r="AK6" s="367">
        <v>0</v>
      </c>
      <c r="AL6" s="367">
        <v>0</v>
      </c>
      <c r="AM6" s="367">
        <v>0</v>
      </c>
      <c r="AN6" s="367">
        <v>0</v>
      </c>
      <c r="AO6" s="367">
        <v>0</v>
      </c>
      <c r="AP6" s="367">
        <v>0</v>
      </c>
      <c r="AQ6" s="367">
        <v>0</v>
      </c>
      <c r="AR6" s="367">
        <v>0</v>
      </c>
      <c r="AS6" s="367">
        <v>0</v>
      </c>
      <c r="AT6" s="366">
        <v>0</v>
      </c>
      <c r="AU6" s="367">
        <v>0</v>
      </c>
      <c r="AV6" s="367">
        <v>0</v>
      </c>
      <c r="AW6" s="367">
        <v>0</v>
      </c>
      <c r="AX6" s="367">
        <v>0</v>
      </c>
      <c r="AY6" s="367">
        <v>0</v>
      </c>
      <c r="AZ6" s="366">
        <v>0</v>
      </c>
      <c r="BA6" s="367">
        <v>0</v>
      </c>
      <c r="BB6" s="367">
        <v>0</v>
      </c>
      <c r="BC6" s="367">
        <v>0</v>
      </c>
      <c r="BD6" s="367">
        <v>0</v>
      </c>
      <c r="BE6" s="367">
        <v>0</v>
      </c>
      <c r="BF6" s="367">
        <v>0</v>
      </c>
      <c r="BG6" s="367">
        <v>0</v>
      </c>
      <c r="BH6" s="367">
        <v>0</v>
      </c>
      <c r="BI6" s="367">
        <v>0</v>
      </c>
      <c r="BJ6" s="367">
        <v>0</v>
      </c>
      <c r="BK6" s="367">
        <v>0</v>
      </c>
      <c r="BL6" s="367">
        <v>0</v>
      </c>
      <c r="BM6" s="367">
        <v>0</v>
      </c>
      <c r="BN6" s="367">
        <v>0</v>
      </c>
      <c r="BO6" s="366">
        <v>0</v>
      </c>
      <c r="BP6" s="367">
        <v>0</v>
      </c>
      <c r="BQ6" s="367">
        <v>0</v>
      </c>
      <c r="BR6" s="368">
        <v>0</v>
      </c>
      <c r="BS6" s="368">
        <v>0</v>
      </c>
      <c r="BT6" s="366">
        <v>0</v>
      </c>
    </row>
    <row r="7" spans="1:73">
      <c r="A7" s="369"/>
      <c r="B7" s="362" t="s">
        <v>549</v>
      </c>
      <c r="C7" s="363" t="s">
        <v>556</v>
      </c>
      <c r="D7" s="363"/>
      <c r="E7" s="363"/>
      <c r="F7" s="364" t="s">
        <v>557</v>
      </c>
      <c r="G7" s="364"/>
      <c r="H7" s="365">
        <v>0</v>
      </c>
      <c r="I7" s="366">
        <v>0</v>
      </c>
      <c r="J7" s="367">
        <v>0</v>
      </c>
      <c r="K7" s="367">
        <v>0</v>
      </c>
      <c r="L7" s="367">
        <v>0</v>
      </c>
      <c r="M7" s="367">
        <v>0</v>
      </c>
      <c r="N7" s="367">
        <v>0</v>
      </c>
      <c r="O7" s="367">
        <v>0</v>
      </c>
      <c r="P7" s="367">
        <v>0</v>
      </c>
      <c r="Q7" s="367">
        <v>0</v>
      </c>
      <c r="R7" s="367">
        <v>0</v>
      </c>
      <c r="S7" s="367">
        <v>0</v>
      </c>
      <c r="T7" s="367">
        <v>0</v>
      </c>
      <c r="U7" s="367">
        <v>0</v>
      </c>
      <c r="V7" s="367">
        <v>0</v>
      </c>
      <c r="W7" s="366">
        <v>0</v>
      </c>
      <c r="X7" s="367">
        <v>0</v>
      </c>
      <c r="Y7" s="367">
        <v>0</v>
      </c>
      <c r="Z7" s="367">
        <v>0</v>
      </c>
      <c r="AA7" s="367">
        <v>0</v>
      </c>
      <c r="AB7" s="367">
        <v>0</v>
      </c>
      <c r="AC7" s="367">
        <v>0</v>
      </c>
      <c r="AD7" s="367">
        <v>0</v>
      </c>
      <c r="AE7" s="367">
        <v>0</v>
      </c>
      <c r="AF7" s="367">
        <v>0</v>
      </c>
      <c r="AG7" s="367">
        <v>0</v>
      </c>
      <c r="AH7" s="367">
        <v>0</v>
      </c>
      <c r="AI7" s="367">
        <v>0</v>
      </c>
      <c r="AJ7" s="367">
        <v>0</v>
      </c>
      <c r="AK7" s="367">
        <v>0</v>
      </c>
      <c r="AL7" s="367">
        <v>0</v>
      </c>
      <c r="AM7" s="367">
        <v>0</v>
      </c>
      <c r="AN7" s="367">
        <v>0</v>
      </c>
      <c r="AO7" s="367">
        <v>0</v>
      </c>
      <c r="AP7" s="367">
        <v>0</v>
      </c>
      <c r="AQ7" s="367">
        <v>0</v>
      </c>
      <c r="AR7" s="367">
        <v>0</v>
      </c>
      <c r="AS7" s="367">
        <v>0</v>
      </c>
      <c r="AT7" s="366">
        <v>0</v>
      </c>
      <c r="AU7" s="367">
        <v>0</v>
      </c>
      <c r="AV7" s="367">
        <v>0</v>
      </c>
      <c r="AW7" s="367">
        <v>0</v>
      </c>
      <c r="AX7" s="367">
        <v>0</v>
      </c>
      <c r="AY7" s="367">
        <v>0</v>
      </c>
      <c r="AZ7" s="366">
        <v>0</v>
      </c>
      <c r="BA7" s="367">
        <v>0</v>
      </c>
      <c r="BB7" s="367">
        <v>0</v>
      </c>
      <c r="BC7" s="367">
        <v>0</v>
      </c>
      <c r="BD7" s="367">
        <v>0</v>
      </c>
      <c r="BE7" s="367">
        <v>0</v>
      </c>
      <c r="BF7" s="367">
        <v>0</v>
      </c>
      <c r="BG7" s="367">
        <v>0</v>
      </c>
      <c r="BH7" s="367">
        <v>0</v>
      </c>
      <c r="BI7" s="367">
        <v>0</v>
      </c>
      <c r="BJ7" s="367">
        <v>0</v>
      </c>
      <c r="BK7" s="367">
        <v>0</v>
      </c>
      <c r="BL7" s="367">
        <v>0</v>
      </c>
      <c r="BM7" s="367">
        <v>0</v>
      </c>
      <c r="BN7" s="367">
        <v>0</v>
      </c>
      <c r="BO7" s="366">
        <v>0</v>
      </c>
      <c r="BP7" s="367">
        <v>0</v>
      </c>
      <c r="BQ7" s="367">
        <v>0</v>
      </c>
      <c r="BR7" s="368">
        <v>0</v>
      </c>
      <c r="BS7" s="368">
        <v>0</v>
      </c>
      <c r="BT7" s="366">
        <v>0</v>
      </c>
    </row>
    <row r="8" spans="1:73">
      <c r="A8" s="369"/>
      <c r="B8" s="362" t="s">
        <v>549</v>
      </c>
      <c r="C8" s="363" t="s">
        <v>558</v>
      </c>
      <c r="D8" s="363"/>
      <c r="E8" s="363"/>
      <c r="F8" s="364" t="s">
        <v>559</v>
      </c>
      <c r="G8" s="364"/>
      <c r="H8" s="365">
        <v>0</v>
      </c>
      <c r="I8" s="366">
        <v>0</v>
      </c>
      <c r="J8" s="367">
        <v>0</v>
      </c>
      <c r="K8" s="367">
        <v>0</v>
      </c>
      <c r="L8" s="367">
        <v>0</v>
      </c>
      <c r="M8" s="367">
        <v>0</v>
      </c>
      <c r="N8" s="367">
        <v>0</v>
      </c>
      <c r="O8" s="367">
        <v>0</v>
      </c>
      <c r="P8" s="367">
        <v>0</v>
      </c>
      <c r="Q8" s="367">
        <v>0</v>
      </c>
      <c r="R8" s="367">
        <v>0</v>
      </c>
      <c r="S8" s="367">
        <v>0</v>
      </c>
      <c r="T8" s="367">
        <v>0</v>
      </c>
      <c r="U8" s="367">
        <v>0</v>
      </c>
      <c r="V8" s="367">
        <v>0</v>
      </c>
      <c r="W8" s="366">
        <v>0</v>
      </c>
      <c r="X8" s="367">
        <v>0</v>
      </c>
      <c r="Y8" s="367">
        <v>0</v>
      </c>
      <c r="Z8" s="367">
        <v>0</v>
      </c>
      <c r="AA8" s="367">
        <v>0</v>
      </c>
      <c r="AB8" s="367">
        <v>0</v>
      </c>
      <c r="AC8" s="367">
        <v>0</v>
      </c>
      <c r="AD8" s="367">
        <v>0</v>
      </c>
      <c r="AE8" s="367">
        <v>0</v>
      </c>
      <c r="AF8" s="367">
        <v>0</v>
      </c>
      <c r="AG8" s="367">
        <v>0</v>
      </c>
      <c r="AH8" s="367">
        <v>0</v>
      </c>
      <c r="AI8" s="367">
        <v>0</v>
      </c>
      <c r="AJ8" s="367">
        <v>0</v>
      </c>
      <c r="AK8" s="367">
        <v>0</v>
      </c>
      <c r="AL8" s="367">
        <v>0</v>
      </c>
      <c r="AM8" s="367">
        <v>0</v>
      </c>
      <c r="AN8" s="367">
        <v>0</v>
      </c>
      <c r="AO8" s="367">
        <v>0</v>
      </c>
      <c r="AP8" s="367">
        <v>0</v>
      </c>
      <c r="AQ8" s="367">
        <v>0</v>
      </c>
      <c r="AR8" s="367">
        <v>0</v>
      </c>
      <c r="AS8" s="367">
        <v>0</v>
      </c>
      <c r="AT8" s="366">
        <v>0</v>
      </c>
      <c r="AU8" s="367">
        <v>0</v>
      </c>
      <c r="AV8" s="367">
        <v>0</v>
      </c>
      <c r="AW8" s="367">
        <v>0</v>
      </c>
      <c r="AX8" s="367">
        <v>0</v>
      </c>
      <c r="AY8" s="367">
        <v>0</v>
      </c>
      <c r="AZ8" s="366">
        <v>0</v>
      </c>
      <c r="BA8" s="367">
        <v>0</v>
      </c>
      <c r="BB8" s="367">
        <v>0</v>
      </c>
      <c r="BC8" s="367">
        <v>0</v>
      </c>
      <c r="BD8" s="367">
        <v>0</v>
      </c>
      <c r="BE8" s="367">
        <v>0</v>
      </c>
      <c r="BF8" s="367">
        <v>0</v>
      </c>
      <c r="BG8" s="367">
        <v>0</v>
      </c>
      <c r="BH8" s="367">
        <v>0</v>
      </c>
      <c r="BI8" s="367">
        <v>0</v>
      </c>
      <c r="BJ8" s="367">
        <v>0</v>
      </c>
      <c r="BK8" s="367">
        <v>0</v>
      </c>
      <c r="BL8" s="367">
        <v>0</v>
      </c>
      <c r="BM8" s="367">
        <v>0</v>
      </c>
      <c r="BN8" s="367">
        <v>0</v>
      </c>
      <c r="BO8" s="366">
        <v>0</v>
      </c>
      <c r="BP8" s="367">
        <v>0</v>
      </c>
      <c r="BQ8" s="367">
        <v>0</v>
      </c>
      <c r="BR8" s="368">
        <v>0</v>
      </c>
      <c r="BS8" s="368">
        <v>0</v>
      </c>
      <c r="BT8" s="366">
        <v>0</v>
      </c>
    </row>
    <row r="9" spans="1:73">
      <c r="A9" s="369"/>
      <c r="B9" s="362" t="s">
        <v>549</v>
      </c>
      <c r="C9" s="363" t="s">
        <v>560</v>
      </c>
      <c r="D9" s="363"/>
      <c r="E9" s="363"/>
      <c r="F9" s="364" t="s">
        <v>561</v>
      </c>
      <c r="G9" s="364"/>
      <c r="H9" s="365">
        <v>3.6999999999999998E-2</v>
      </c>
      <c r="I9" s="366">
        <v>0</v>
      </c>
      <c r="J9" s="367">
        <v>0</v>
      </c>
      <c r="K9" s="367">
        <v>0</v>
      </c>
      <c r="L9" s="367">
        <v>0</v>
      </c>
      <c r="M9" s="367">
        <v>0</v>
      </c>
      <c r="N9" s="367">
        <v>0</v>
      </c>
      <c r="O9" s="367">
        <v>0</v>
      </c>
      <c r="P9" s="367">
        <v>0</v>
      </c>
      <c r="Q9" s="367">
        <v>0</v>
      </c>
      <c r="R9" s="367">
        <v>0</v>
      </c>
      <c r="S9" s="367">
        <v>0</v>
      </c>
      <c r="T9" s="367">
        <v>0</v>
      </c>
      <c r="U9" s="367">
        <v>0</v>
      </c>
      <c r="V9" s="367">
        <v>0</v>
      </c>
      <c r="W9" s="366">
        <v>3.6999999999999998E-2</v>
      </c>
      <c r="X9" s="367">
        <v>0</v>
      </c>
      <c r="Y9" s="367">
        <v>0</v>
      </c>
      <c r="Z9" s="367">
        <v>0</v>
      </c>
      <c r="AA9" s="367">
        <v>3.6999999999999998E-2</v>
      </c>
      <c r="AB9" s="367">
        <v>0</v>
      </c>
      <c r="AC9" s="367">
        <v>0</v>
      </c>
      <c r="AD9" s="367">
        <v>0</v>
      </c>
      <c r="AE9" s="367">
        <v>0</v>
      </c>
      <c r="AF9" s="367">
        <v>0</v>
      </c>
      <c r="AG9" s="367">
        <v>0</v>
      </c>
      <c r="AH9" s="367">
        <v>0</v>
      </c>
      <c r="AI9" s="367">
        <v>0</v>
      </c>
      <c r="AJ9" s="367">
        <v>0</v>
      </c>
      <c r="AK9" s="367">
        <v>0</v>
      </c>
      <c r="AL9" s="367">
        <v>0</v>
      </c>
      <c r="AM9" s="367">
        <v>0</v>
      </c>
      <c r="AN9" s="367">
        <v>0</v>
      </c>
      <c r="AO9" s="367">
        <v>0</v>
      </c>
      <c r="AP9" s="367">
        <v>0</v>
      </c>
      <c r="AQ9" s="367">
        <v>0</v>
      </c>
      <c r="AR9" s="367">
        <v>0</v>
      </c>
      <c r="AS9" s="367">
        <v>0</v>
      </c>
      <c r="AT9" s="366">
        <v>0</v>
      </c>
      <c r="AU9" s="367">
        <v>0</v>
      </c>
      <c r="AV9" s="367">
        <v>0</v>
      </c>
      <c r="AW9" s="367">
        <v>0</v>
      </c>
      <c r="AX9" s="367">
        <v>0</v>
      </c>
      <c r="AY9" s="367">
        <v>0</v>
      </c>
      <c r="AZ9" s="366">
        <v>0</v>
      </c>
      <c r="BA9" s="367">
        <v>0</v>
      </c>
      <c r="BB9" s="367">
        <v>0</v>
      </c>
      <c r="BC9" s="367">
        <v>0</v>
      </c>
      <c r="BD9" s="367">
        <v>0</v>
      </c>
      <c r="BE9" s="367">
        <v>0</v>
      </c>
      <c r="BF9" s="367">
        <v>0</v>
      </c>
      <c r="BG9" s="367">
        <v>0</v>
      </c>
      <c r="BH9" s="367">
        <v>0</v>
      </c>
      <c r="BI9" s="367">
        <v>0</v>
      </c>
      <c r="BJ9" s="367">
        <v>0</v>
      </c>
      <c r="BK9" s="367">
        <v>0</v>
      </c>
      <c r="BL9" s="367">
        <v>0</v>
      </c>
      <c r="BM9" s="367">
        <v>0</v>
      </c>
      <c r="BN9" s="367">
        <v>0</v>
      </c>
      <c r="BO9" s="366">
        <v>0</v>
      </c>
      <c r="BP9" s="367">
        <v>0</v>
      </c>
      <c r="BQ9" s="367">
        <v>0</v>
      </c>
      <c r="BR9" s="368">
        <v>0</v>
      </c>
      <c r="BS9" s="368">
        <v>0</v>
      </c>
      <c r="BT9" s="366">
        <v>0</v>
      </c>
    </row>
    <row r="10" spans="1:73">
      <c r="A10" s="369"/>
      <c r="B10" s="362" t="s">
        <v>549</v>
      </c>
      <c r="C10" s="363" t="s">
        <v>562</v>
      </c>
      <c r="D10" s="363"/>
      <c r="E10" s="363"/>
      <c r="F10" s="364" t="s">
        <v>563</v>
      </c>
      <c r="G10" s="364"/>
      <c r="H10" s="365">
        <v>0</v>
      </c>
      <c r="I10" s="366">
        <v>0</v>
      </c>
      <c r="J10" s="367">
        <v>0</v>
      </c>
      <c r="K10" s="367">
        <v>0</v>
      </c>
      <c r="L10" s="367">
        <v>0</v>
      </c>
      <c r="M10" s="367">
        <v>0</v>
      </c>
      <c r="N10" s="367">
        <v>0</v>
      </c>
      <c r="O10" s="367">
        <v>0</v>
      </c>
      <c r="P10" s="367">
        <v>0</v>
      </c>
      <c r="Q10" s="367">
        <v>0</v>
      </c>
      <c r="R10" s="367">
        <v>0</v>
      </c>
      <c r="S10" s="367">
        <v>0</v>
      </c>
      <c r="T10" s="367">
        <v>0</v>
      </c>
      <c r="U10" s="367">
        <v>0</v>
      </c>
      <c r="V10" s="367">
        <v>0</v>
      </c>
      <c r="W10" s="366">
        <v>0</v>
      </c>
      <c r="X10" s="367">
        <v>0</v>
      </c>
      <c r="Y10" s="367">
        <v>0</v>
      </c>
      <c r="Z10" s="367">
        <v>0</v>
      </c>
      <c r="AA10" s="367">
        <v>0</v>
      </c>
      <c r="AB10" s="367">
        <v>0</v>
      </c>
      <c r="AC10" s="367">
        <v>0</v>
      </c>
      <c r="AD10" s="367">
        <v>0</v>
      </c>
      <c r="AE10" s="367">
        <v>0</v>
      </c>
      <c r="AF10" s="367">
        <v>0</v>
      </c>
      <c r="AG10" s="367">
        <v>0</v>
      </c>
      <c r="AH10" s="367">
        <v>0</v>
      </c>
      <c r="AI10" s="367">
        <v>0</v>
      </c>
      <c r="AJ10" s="367">
        <v>0</v>
      </c>
      <c r="AK10" s="367">
        <v>0</v>
      </c>
      <c r="AL10" s="367">
        <v>0</v>
      </c>
      <c r="AM10" s="367">
        <v>0</v>
      </c>
      <c r="AN10" s="367">
        <v>0</v>
      </c>
      <c r="AO10" s="367">
        <v>0</v>
      </c>
      <c r="AP10" s="367">
        <v>0</v>
      </c>
      <c r="AQ10" s="367">
        <v>0</v>
      </c>
      <c r="AR10" s="367">
        <v>0</v>
      </c>
      <c r="AS10" s="367">
        <v>0</v>
      </c>
      <c r="AT10" s="366">
        <v>0</v>
      </c>
      <c r="AU10" s="367">
        <v>0</v>
      </c>
      <c r="AV10" s="367">
        <v>0</v>
      </c>
      <c r="AW10" s="367">
        <v>0</v>
      </c>
      <c r="AX10" s="367">
        <v>0</v>
      </c>
      <c r="AY10" s="367">
        <v>0</v>
      </c>
      <c r="AZ10" s="366">
        <v>0</v>
      </c>
      <c r="BA10" s="367">
        <v>0</v>
      </c>
      <c r="BB10" s="367">
        <v>0</v>
      </c>
      <c r="BC10" s="367">
        <v>0</v>
      </c>
      <c r="BD10" s="367">
        <v>0</v>
      </c>
      <c r="BE10" s="367">
        <v>0</v>
      </c>
      <c r="BF10" s="367">
        <v>0</v>
      </c>
      <c r="BG10" s="367">
        <v>0</v>
      </c>
      <c r="BH10" s="367">
        <v>0</v>
      </c>
      <c r="BI10" s="367">
        <v>0</v>
      </c>
      <c r="BJ10" s="367">
        <v>0</v>
      </c>
      <c r="BK10" s="367">
        <v>0</v>
      </c>
      <c r="BL10" s="367">
        <v>0</v>
      </c>
      <c r="BM10" s="367">
        <v>0</v>
      </c>
      <c r="BN10" s="367">
        <v>0</v>
      </c>
      <c r="BO10" s="366">
        <v>0</v>
      </c>
      <c r="BP10" s="367">
        <v>0</v>
      </c>
      <c r="BQ10" s="367">
        <v>0</v>
      </c>
      <c r="BR10" s="368">
        <v>0</v>
      </c>
      <c r="BS10" s="368">
        <v>0</v>
      </c>
      <c r="BT10" s="366">
        <v>0</v>
      </c>
    </row>
    <row r="11" spans="1:73">
      <c r="A11" s="362" t="s">
        <v>549</v>
      </c>
      <c r="B11" s="363" t="s">
        <v>564</v>
      </c>
      <c r="C11" s="363"/>
      <c r="D11" s="363"/>
      <c r="E11" s="363"/>
      <c r="F11" s="364" t="s">
        <v>565</v>
      </c>
      <c r="G11" s="364"/>
      <c r="H11" s="365">
        <v>0</v>
      </c>
      <c r="I11" s="366">
        <v>0</v>
      </c>
      <c r="J11" s="367">
        <v>0</v>
      </c>
      <c r="K11" s="367">
        <v>0</v>
      </c>
      <c r="L11" s="367">
        <v>0</v>
      </c>
      <c r="M11" s="367">
        <v>0</v>
      </c>
      <c r="N11" s="367">
        <v>0</v>
      </c>
      <c r="O11" s="367">
        <v>0</v>
      </c>
      <c r="P11" s="367">
        <v>0</v>
      </c>
      <c r="Q11" s="367">
        <v>0</v>
      </c>
      <c r="R11" s="367">
        <v>0</v>
      </c>
      <c r="S11" s="367">
        <v>0</v>
      </c>
      <c r="T11" s="367">
        <v>0</v>
      </c>
      <c r="U11" s="367">
        <v>0</v>
      </c>
      <c r="V11" s="367">
        <v>0</v>
      </c>
      <c r="W11" s="366">
        <v>0</v>
      </c>
      <c r="X11" s="367">
        <v>0</v>
      </c>
      <c r="Y11" s="367">
        <v>0</v>
      </c>
      <c r="Z11" s="367">
        <v>0</v>
      </c>
      <c r="AA11" s="367">
        <v>0</v>
      </c>
      <c r="AB11" s="367">
        <v>0</v>
      </c>
      <c r="AC11" s="367">
        <v>0</v>
      </c>
      <c r="AD11" s="367">
        <v>0</v>
      </c>
      <c r="AE11" s="367">
        <v>0</v>
      </c>
      <c r="AF11" s="367">
        <v>0</v>
      </c>
      <c r="AG11" s="367">
        <v>0</v>
      </c>
      <c r="AH11" s="367">
        <v>0</v>
      </c>
      <c r="AI11" s="367">
        <v>0</v>
      </c>
      <c r="AJ11" s="367">
        <v>0</v>
      </c>
      <c r="AK11" s="367">
        <v>0</v>
      </c>
      <c r="AL11" s="367">
        <v>0</v>
      </c>
      <c r="AM11" s="367">
        <v>0</v>
      </c>
      <c r="AN11" s="367">
        <v>0</v>
      </c>
      <c r="AO11" s="367">
        <v>0</v>
      </c>
      <c r="AP11" s="367">
        <v>0</v>
      </c>
      <c r="AQ11" s="367">
        <v>0</v>
      </c>
      <c r="AR11" s="367">
        <v>0</v>
      </c>
      <c r="AS11" s="367">
        <v>0</v>
      </c>
      <c r="AT11" s="366">
        <v>0</v>
      </c>
      <c r="AU11" s="367">
        <v>0</v>
      </c>
      <c r="AV11" s="367">
        <v>0</v>
      </c>
      <c r="AW11" s="367">
        <v>0</v>
      </c>
      <c r="AX11" s="367">
        <v>0</v>
      </c>
      <c r="AY11" s="367">
        <v>0</v>
      </c>
      <c r="AZ11" s="366">
        <v>0</v>
      </c>
      <c r="BA11" s="367">
        <v>0</v>
      </c>
      <c r="BB11" s="367">
        <v>0</v>
      </c>
      <c r="BC11" s="367">
        <v>0</v>
      </c>
      <c r="BD11" s="367">
        <v>0</v>
      </c>
      <c r="BE11" s="367">
        <v>0</v>
      </c>
      <c r="BF11" s="367">
        <v>0</v>
      </c>
      <c r="BG11" s="367">
        <v>0</v>
      </c>
      <c r="BH11" s="367">
        <v>0</v>
      </c>
      <c r="BI11" s="367">
        <v>0</v>
      </c>
      <c r="BJ11" s="367">
        <v>0</v>
      </c>
      <c r="BK11" s="367">
        <v>0</v>
      </c>
      <c r="BL11" s="367">
        <v>0</v>
      </c>
      <c r="BM11" s="367">
        <v>0</v>
      </c>
      <c r="BN11" s="367">
        <v>0</v>
      </c>
      <c r="BO11" s="366">
        <v>0</v>
      </c>
      <c r="BP11" s="367">
        <v>0</v>
      </c>
      <c r="BQ11" s="367">
        <v>0</v>
      </c>
      <c r="BR11" s="368">
        <v>0</v>
      </c>
      <c r="BS11" s="368">
        <v>0</v>
      </c>
      <c r="BT11" s="366">
        <v>0</v>
      </c>
    </row>
    <row r="12" spans="1:73">
      <c r="A12" s="362" t="s">
        <v>549</v>
      </c>
      <c r="B12" s="363" t="s">
        <v>566</v>
      </c>
      <c r="C12" s="363"/>
      <c r="D12" s="363"/>
      <c r="E12" s="363"/>
      <c r="F12" s="364" t="s">
        <v>567</v>
      </c>
      <c r="G12" s="364"/>
      <c r="H12" s="365">
        <v>342.209</v>
      </c>
      <c r="I12" s="366">
        <v>31.589000000000002</v>
      </c>
      <c r="J12" s="367">
        <v>0</v>
      </c>
      <c r="K12" s="367">
        <v>0</v>
      </c>
      <c r="L12" s="367">
        <v>19.220000000000002</v>
      </c>
      <c r="M12" s="367">
        <v>0</v>
      </c>
      <c r="N12" s="367">
        <v>0</v>
      </c>
      <c r="O12" s="367">
        <v>0</v>
      </c>
      <c r="P12" s="367">
        <v>12.369000000000002</v>
      </c>
      <c r="Q12" s="367">
        <v>0</v>
      </c>
      <c r="R12" s="367">
        <v>0</v>
      </c>
      <c r="S12" s="367">
        <v>0</v>
      </c>
      <c r="T12" s="367">
        <v>0</v>
      </c>
      <c r="U12" s="367">
        <v>0</v>
      </c>
      <c r="V12" s="367">
        <v>0</v>
      </c>
      <c r="W12" s="366">
        <v>251.02600000000001</v>
      </c>
      <c r="X12" s="367">
        <v>63.051000000000002</v>
      </c>
      <c r="Y12" s="367">
        <v>0</v>
      </c>
      <c r="Z12" s="367">
        <v>0</v>
      </c>
      <c r="AA12" s="367">
        <v>0</v>
      </c>
      <c r="AB12" s="367">
        <v>0</v>
      </c>
      <c r="AC12" s="367">
        <v>0</v>
      </c>
      <c r="AD12" s="367">
        <v>3.319</v>
      </c>
      <c r="AE12" s="367">
        <v>11.064000000000002</v>
      </c>
      <c r="AF12" s="367">
        <v>11.539</v>
      </c>
      <c r="AG12" s="367">
        <v>0</v>
      </c>
      <c r="AH12" s="367">
        <v>0.35400000000000004</v>
      </c>
      <c r="AI12" s="367">
        <v>11.481000000000002</v>
      </c>
      <c r="AJ12" s="367">
        <v>2.4569999999999999</v>
      </c>
      <c r="AK12" s="367">
        <v>4.17</v>
      </c>
      <c r="AL12" s="367">
        <v>48.692</v>
      </c>
      <c r="AM12" s="367">
        <v>64.48</v>
      </c>
      <c r="AN12" s="367">
        <v>0.56700000000000006</v>
      </c>
      <c r="AO12" s="367">
        <v>1.722</v>
      </c>
      <c r="AP12" s="367">
        <v>13.104000000000001</v>
      </c>
      <c r="AQ12" s="367">
        <v>13.264999999999999</v>
      </c>
      <c r="AR12" s="367">
        <v>0</v>
      </c>
      <c r="AS12" s="367">
        <v>1.76</v>
      </c>
      <c r="AT12" s="366">
        <v>0</v>
      </c>
      <c r="AU12" s="367">
        <v>0</v>
      </c>
      <c r="AV12" s="367">
        <v>0</v>
      </c>
      <c r="AW12" s="367">
        <v>0</v>
      </c>
      <c r="AX12" s="367">
        <v>0</v>
      </c>
      <c r="AY12" s="367">
        <v>0</v>
      </c>
      <c r="AZ12" s="366">
        <v>6.7709999999999999</v>
      </c>
      <c r="BA12" s="367">
        <v>0</v>
      </c>
      <c r="BB12" s="367">
        <v>0</v>
      </c>
      <c r="BC12" s="367">
        <v>0</v>
      </c>
      <c r="BD12" s="367">
        <v>0</v>
      </c>
      <c r="BE12" s="367">
        <v>0</v>
      </c>
      <c r="BF12" s="367">
        <v>1.901</v>
      </c>
      <c r="BG12" s="367">
        <v>0</v>
      </c>
      <c r="BH12" s="367">
        <v>0</v>
      </c>
      <c r="BI12" s="367">
        <v>0</v>
      </c>
      <c r="BJ12" s="367">
        <v>0.20099999999999998</v>
      </c>
      <c r="BK12" s="367">
        <v>4.6310000000000002</v>
      </c>
      <c r="BL12" s="367">
        <v>0</v>
      </c>
      <c r="BM12" s="367">
        <v>3.9E-2</v>
      </c>
      <c r="BN12" s="367">
        <v>0</v>
      </c>
      <c r="BO12" s="366">
        <v>0</v>
      </c>
      <c r="BP12" s="367">
        <v>0</v>
      </c>
      <c r="BQ12" s="367">
        <v>0</v>
      </c>
      <c r="BR12" s="368">
        <v>0</v>
      </c>
      <c r="BS12" s="368">
        <v>0</v>
      </c>
      <c r="BT12" s="366">
        <v>52.823</v>
      </c>
    </row>
    <row r="13" spans="1:73">
      <c r="A13" s="362" t="s">
        <v>549</v>
      </c>
      <c r="B13" s="363" t="s">
        <v>568</v>
      </c>
      <c r="C13" s="363"/>
      <c r="D13" s="363"/>
      <c r="E13" s="363"/>
      <c r="F13" s="364" t="s">
        <v>569</v>
      </c>
      <c r="G13" s="364"/>
      <c r="H13" s="365">
        <v>0.91499999999999992</v>
      </c>
      <c r="I13" s="366">
        <v>-6.3810000000000002</v>
      </c>
      <c r="J13" s="367">
        <v>0</v>
      </c>
      <c r="K13" s="367">
        <v>0</v>
      </c>
      <c r="L13" s="367">
        <v>-6.2379999999999995</v>
      </c>
      <c r="M13" s="367">
        <v>0</v>
      </c>
      <c r="N13" s="367">
        <v>0</v>
      </c>
      <c r="O13" s="367">
        <v>0</v>
      </c>
      <c r="P13" s="367">
        <v>-0.14200000000000002</v>
      </c>
      <c r="Q13" s="367">
        <v>0</v>
      </c>
      <c r="R13" s="367">
        <v>0</v>
      </c>
      <c r="S13" s="367">
        <v>0</v>
      </c>
      <c r="T13" s="367">
        <v>0</v>
      </c>
      <c r="U13" s="367">
        <v>0</v>
      </c>
      <c r="V13" s="367">
        <v>0</v>
      </c>
      <c r="W13" s="366">
        <v>5.8319999999999999</v>
      </c>
      <c r="X13" s="367">
        <v>-6.3089999999999993</v>
      </c>
      <c r="Y13" s="367">
        <v>0</v>
      </c>
      <c r="Z13" s="367">
        <v>0</v>
      </c>
      <c r="AA13" s="367">
        <v>0</v>
      </c>
      <c r="AB13" s="367">
        <v>0</v>
      </c>
      <c r="AC13" s="367">
        <v>0</v>
      </c>
      <c r="AD13" s="367">
        <v>-9.1999999999999998E-2</v>
      </c>
      <c r="AE13" s="367">
        <v>-2.7660000000000005</v>
      </c>
      <c r="AF13" s="367">
        <v>5.9719999999999995</v>
      </c>
      <c r="AG13" s="367">
        <v>0</v>
      </c>
      <c r="AH13" s="367">
        <v>0</v>
      </c>
      <c r="AI13" s="367">
        <v>2.4940000000000002</v>
      </c>
      <c r="AJ13" s="367">
        <v>-1.853</v>
      </c>
      <c r="AK13" s="367">
        <v>1.7560000000000002</v>
      </c>
      <c r="AL13" s="367">
        <v>6.95</v>
      </c>
      <c r="AM13" s="367">
        <v>0.76</v>
      </c>
      <c r="AN13" s="367">
        <v>8.7000000000000008E-2</v>
      </c>
      <c r="AO13" s="367">
        <v>0.37800000000000006</v>
      </c>
      <c r="AP13" s="367">
        <v>-3.9E-2</v>
      </c>
      <c r="AQ13" s="367">
        <v>-1.5050000000000001</v>
      </c>
      <c r="AR13" s="367">
        <v>0</v>
      </c>
      <c r="AS13" s="367">
        <v>0</v>
      </c>
      <c r="AT13" s="366">
        <v>1.464</v>
      </c>
      <c r="AU13" s="367">
        <v>1.464</v>
      </c>
      <c r="AV13" s="367">
        <v>0</v>
      </c>
      <c r="AW13" s="367">
        <v>0</v>
      </c>
      <c r="AX13" s="367">
        <v>0</v>
      </c>
      <c r="AY13" s="367">
        <v>0</v>
      </c>
      <c r="AZ13" s="366">
        <v>0</v>
      </c>
      <c r="BA13" s="367">
        <v>0</v>
      </c>
      <c r="BB13" s="367">
        <v>0</v>
      </c>
      <c r="BC13" s="367">
        <v>0</v>
      </c>
      <c r="BD13" s="367">
        <v>0</v>
      </c>
      <c r="BE13" s="367">
        <v>0</v>
      </c>
      <c r="BF13" s="367">
        <v>0</v>
      </c>
      <c r="BG13" s="367">
        <v>0</v>
      </c>
      <c r="BH13" s="367">
        <v>0</v>
      </c>
      <c r="BI13" s="367">
        <v>0</v>
      </c>
      <c r="BJ13" s="367">
        <v>0</v>
      </c>
      <c r="BK13" s="367">
        <v>0</v>
      </c>
      <c r="BL13" s="367">
        <v>0</v>
      </c>
      <c r="BM13" s="367">
        <v>0</v>
      </c>
      <c r="BN13" s="367">
        <v>0</v>
      </c>
      <c r="BO13" s="366">
        <v>0</v>
      </c>
      <c r="BP13" s="367">
        <v>0</v>
      </c>
      <c r="BQ13" s="367">
        <v>0</v>
      </c>
      <c r="BR13" s="368">
        <v>0</v>
      </c>
      <c r="BS13" s="368">
        <v>0</v>
      </c>
      <c r="BT13" s="366">
        <v>0</v>
      </c>
    </row>
    <row r="14" spans="1:73">
      <c r="A14" s="362" t="s">
        <v>570</v>
      </c>
      <c r="B14" s="363" t="s">
        <v>571</v>
      </c>
      <c r="C14" s="363"/>
      <c r="D14" s="363"/>
      <c r="E14" s="363"/>
      <c r="F14" s="364" t="s">
        <v>572</v>
      </c>
      <c r="G14" s="364"/>
      <c r="H14" s="365">
        <v>7597.5609999999997</v>
      </c>
      <c r="I14" s="366">
        <v>47.630999999999993</v>
      </c>
      <c r="J14" s="367">
        <v>0</v>
      </c>
      <c r="K14" s="367">
        <v>0</v>
      </c>
      <c r="L14" s="367">
        <v>47.516999999999996</v>
      </c>
      <c r="M14" s="367">
        <v>0</v>
      </c>
      <c r="N14" s="367">
        <v>0</v>
      </c>
      <c r="O14" s="367">
        <v>0</v>
      </c>
      <c r="P14" s="367">
        <v>0.11399999999999999</v>
      </c>
      <c r="Q14" s="367">
        <v>0</v>
      </c>
      <c r="R14" s="367">
        <v>0</v>
      </c>
      <c r="S14" s="367">
        <v>0</v>
      </c>
      <c r="T14" s="367">
        <v>0</v>
      </c>
      <c r="U14" s="367">
        <v>0</v>
      </c>
      <c r="V14" s="367">
        <v>0</v>
      </c>
      <c r="W14" s="366">
        <v>3860.9779999999996</v>
      </c>
      <c r="X14" s="367">
        <v>3310.8470000000002</v>
      </c>
      <c r="Y14" s="367">
        <v>0</v>
      </c>
      <c r="Z14" s="367">
        <v>0</v>
      </c>
      <c r="AA14" s="367">
        <v>0</v>
      </c>
      <c r="AB14" s="367">
        <v>0</v>
      </c>
      <c r="AC14" s="367">
        <v>0</v>
      </c>
      <c r="AD14" s="367">
        <v>14.706000000000001</v>
      </c>
      <c r="AE14" s="367">
        <v>200.904</v>
      </c>
      <c r="AF14" s="367">
        <v>88.721999999999994</v>
      </c>
      <c r="AG14" s="367">
        <v>0</v>
      </c>
      <c r="AH14" s="367">
        <v>0</v>
      </c>
      <c r="AI14" s="367">
        <v>1.548</v>
      </c>
      <c r="AJ14" s="367">
        <v>5.6459999999999999</v>
      </c>
      <c r="AK14" s="367">
        <v>89.512</v>
      </c>
      <c r="AL14" s="367">
        <v>82.581999999999994</v>
      </c>
      <c r="AM14" s="367">
        <v>65.84</v>
      </c>
      <c r="AN14" s="367">
        <v>0</v>
      </c>
      <c r="AO14" s="367">
        <v>0</v>
      </c>
      <c r="AP14" s="367">
        <v>0</v>
      </c>
      <c r="AQ14" s="367">
        <v>0.63</v>
      </c>
      <c r="AR14" s="367">
        <v>0</v>
      </c>
      <c r="AS14" s="367">
        <v>0.04</v>
      </c>
      <c r="AT14" s="366">
        <v>3663.0249999999996</v>
      </c>
      <c r="AU14" s="367">
        <v>3663.0249999999996</v>
      </c>
      <c r="AV14" s="367">
        <v>0</v>
      </c>
      <c r="AW14" s="367">
        <v>0</v>
      </c>
      <c r="AX14" s="367">
        <v>0</v>
      </c>
      <c r="AY14" s="367">
        <v>0</v>
      </c>
      <c r="AZ14" s="366">
        <v>0.28000000000000003</v>
      </c>
      <c r="BA14" s="367">
        <v>0</v>
      </c>
      <c r="BB14" s="367">
        <v>0</v>
      </c>
      <c r="BC14" s="367">
        <v>0</v>
      </c>
      <c r="BD14" s="367">
        <v>0</v>
      </c>
      <c r="BE14" s="367">
        <v>0</v>
      </c>
      <c r="BF14" s="367">
        <v>0.28000000000000003</v>
      </c>
      <c r="BG14" s="367">
        <v>0</v>
      </c>
      <c r="BH14" s="367">
        <v>0</v>
      </c>
      <c r="BI14" s="367">
        <v>0</v>
      </c>
      <c r="BJ14" s="367">
        <v>0</v>
      </c>
      <c r="BK14" s="367">
        <v>0</v>
      </c>
      <c r="BL14" s="367">
        <v>0</v>
      </c>
      <c r="BM14" s="367">
        <v>0</v>
      </c>
      <c r="BN14" s="367">
        <v>0</v>
      </c>
      <c r="BO14" s="366">
        <v>0</v>
      </c>
      <c r="BP14" s="367">
        <v>0</v>
      </c>
      <c r="BQ14" s="367">
        <v>0</v>
      </c>
      <c r="BR14" s="368">
        <v>0</v>
      </c>
      <c r="BS14" s="368">
        <v>0</v>
      </c>
      <c r="BT14" s="366">
        <v>25.646000000000001</v>
      </c>
    </row>
    <row r="15" spans="1:73">
      <c r="A15" s="362" t="s">
        <v>570</v>
      </c>
      <c r="B15" s="363" t="s">
        <v>573</v>
      </c>
      <c r="C15" s="363"/>
      <c r="D15" s="363"/>
      <c r="E15" s="363"/>
      <c r="F15" s="364" t="s">
        <v>574</v>
      </c>
      <c r="G15" s="364"/>
      <c r="H15" s="365">
        <v>16.225000000000001</v>
      </c>
      <c r="I15" s="366">
        <v>0</v>
      </c>
      <c r="J15" s="367">
        <v>0</v>
      </c>
      <c r="K15" s="367">
        <v>0</v>
      </c>
      <c r="L15" s="367">
        <v>0</v>
      </c>
      <c r="M15" s="367">
        <v>0</v>
      </c>
      <c r="N15" s="367">
        <v>0</v>
      </c>
      <c r="O15" s="367">
        <v>0</v>
      </c>
      <c r="P15" s="367">
        <v>0</v>
      </c>
      <c r="Q15" s="367">
        <v>0</v>
      </c>
      <c r="R15" s="367">
        <v>0</v>
      </c>
      <c r="S15" s="367">
        <v>0</v>
      </c>
      <c r="T15" s="367">
        <v>0</v>
      </c>
      <c r="U15" s="367">
        <v>0</v>
      </c>
      <c r="V15" s="367">
        <v>0</v>
      </c>
      <c r="W15" s="366">
        <v>16.225000000000001</v>
      </c>
      <c r="X15" s="367">
        <v>0</v>
      </c>
      <c r="Y15" s="367">
        <v>0</v>
      </c>
      <c r="Z15" s="367">
        <v>0</v>
      </c>
      <c r="AA15" s="367">
        <v>0</v>
      </c>
      <c r="AB15" s="367">
        <v>0</v>
      </c>
      <c r="AC15" s="367">
        <v>0</v>
      </c>
      <c r="AD15" s="367">
        <v>0</v>
      </c>
      <c r="AE15" s="367">
        <v>0</v>
      </c>
      <c r="AF15" s="367">
        <v>0</v>
      </c>
      <c r="AG15" s="367">
        <v>0</v>
      </c>
      <c r="AH15" s="367">
        <v>0</v>
      </c>
      <c r="AI15" s="367">
        <v>0</v>
      </c>
      <c r="AJ15" s="367">
        <v>0</v>
      </c>
      <c r="AK15" s="367">
        <v>0</v>
      </c>
      <c r="AL15" s="367">
        <v>8.0649999999999995</v>
      </c>
      <c r="AM15" s="367">
        <v>8.16</v>
      </c>
      <c r="AN15" s="367">
        <v>0</v>
      </c>
      <c r="AO15" s="367">
        <v>0</v>
      </c>
      <c r="AP15" s="367">
        <v>0</v>
      </c>
      <c r="AQ15" s="367">
        <v>0</v>
      </c>
      <c r="AR15" s="367">
        <v>0</v>
      </c>
      <c r="AS15" s="367">
        <v>0</v>
      </c>
      <c r="AT15" s="366">
        <v>0</v>
      </c>
      <c r="AU15" s="367">
        <v>0</v>
      </c>
      <c r="AV15" s="367">
        <v>0</v>
      </c>
      <c r="AW15" s="367">
        <v>0</v>
      </c>
      <c r="AX15" s="367">
        <v>0</v>
      </c>
      <c r="AY15" s="367">
        <v>0</v>
      </c>
      <c r="AZ15" s="366">
        <v>0</v>
      </c>
      <c r="BA15" s="367">
        <v>0</v>
      </c>
      <c r="BB15" s="367">
        <v>0</v>
      </c>
      <c r="BC15" s="367">
        <v>0</v>
      </c>
      <c r="BD15" s="367">
        <v>0</v>
      </c>
      <c r="BE15" s="367">
        <v>0</v>
      </c>
      <c r="BF15" s="367">
        <v>0</v>
      </c>
      <c r="BG15" s="367">
        <v>0</v>
      </c>
      <c r="BH15" s="367">
        <v>0</v>
      </c>
      <c r="BI15" s="367">
        <v>0</v>
      </c>
      <c r="BJ15" s="367">
        <v>0</v>
      </c>
      <c r="BK15" s="367">
        <v>0</v>
      </c>
      <c r="BL15" s="367">
        <v>0</v>
      </c>
      <c r="BM15" s="367">
        <v>0</v>
      </c>
      <c r="BN15" s="367">
        <v>0</v>
      </c>
      <c r="BO15" s="366">
        <v>0</v>
      </c>
      <c r="BP15" s="367">
        <v>0</v>
      </c>
      <c r="BQ15" s="367">
        <v>0</v>
      </c>
      <c r="BR15" s="368">
        <v>0</v>
      </c>
      <c r="BS15" s="368">
        <v>0</v>
      </c>
      <c r="BT15" s="366">
        <v>0</v>
      </c>
    </row>
    <row r="16" spans="1:73">
      <c r="A16" s="370" t="s">
        <v>570</v>
      </c>
      <c r="B16" s="371" t="s">
        <v>575</v>
      </c>
      <c r="C16" s="371"/>
      <c r="D16" s="371"/>
      <c r="E16" s="371"/>
      <c r="F16" s="372" t="s">
        <v>576</v>
      </c>
      <c r="G16" s="372"/>
      <c r="H16" s="373">
        <v>0</v>
      </c>
      <c r="I16" s="374">
        <v>0</v>
      </c>
      <c r="J16" s="375">
        <v>0</v>
      </c>
      <c r="K16" s="375">
        <v>0</v>
      </c>
      <c r="L16" s="375">
        <v>0</v>
      </c>
      <c r="M16" s="375">
        <v>0</v>
      </c>
      <c r="N16" s="375">
        <v>0</v>
      </c>
      <c r="O16" s="375">
        <v>0</v>
      </c>
      <c r="P16" s="375">
        <v>0</v>
      </c>
      <c r="Q16" s="375">
        <v>0</v>
      </c>
      <c r="R16" s="375">
        <v>0</v>
      </c>
      <c r="S16" s="375">
        <v>0</v>
      </c>
      <c r="T16" s="375">
        <v>0</v>
      </c>
      <c r="U16" s="375">
        <v>0</v>
      </c>
      <c r="V16" s="375">
        <v>0</v>
      </c>
      <c r="W16" s="374">
        <v>0</v>
      </c>
      <c r="X16" s="375">
        <v>0</v>
      </c>
      <c r="Y16" s="375">
        <v>0</v>
      </c>
      <c r="Z16" s="375">
        <v>0</v>
      </c>
      <c r="AA16" s="375">
        <v>0</v>
      </c>
      <c r="AB16" s="375">
        <v>0</v>
      </c>
      <c r="AC16" s="375">
        <v>0</v>
      </c>
      <c r="AD16" s="375">
        <v>0</v>
      </c>
      <c r="AE16" s="375">
        <v>0</v>
      </c>
      <c r="AF16" s="375">
        <v>0</v>
      </c>
      <c r="AG16" s="375">
        <v>0</v>
      </c>
      <c r="AH16" s="375">
        <v>0</v>
      </c>
      <c r="AI16" s="375">
        <v>0</v>
      </c>
      <c r="AJ16" s="375">
        <v>0</v>
      </c>
      <c r="AK16" s="375">
        <v>0</v>
      </c>
      <c r="AL16" s="375">
        <v>0</v>
      </c>
      <c r="AM16" s="375">
        <v>0</v>
      </c>
      <c r="AN16" s="375">
        <v>0</v>
      </c>
      <c r="AO16" s="375">
        <v>0</v>
      </c>
      <c r="AP16" s="375">
        <v>0</v>
      </c>
      <c r="AQ16" s="375">
        <v>0</v>
      </c>
      <c r="AR16" s="375">
        <v>0</v>
      </c>
      <c r="AS16" s="375">
        <v>0</v>
      </c>
      <c r="AT16" s="374">
        <v>0</v>
      </c>
      <c r="AU16" s="375">
        <v>0</v>
      </c>
      <c r="AV16" s="375">
        <v>0</v>
      </c>
      <c r="AW16" s="375">
        <v>0</v>
      </c>
      <c r="AX16" s="375">
        <v>0</v>
      </c>
      <c r="AY16" s="375">
        <v>0</v>
      </c>
      <c r="AZ16" s="374">
        <v>0</v>
      </c>
      <c r="BA16" s="375">
        <v>0</v>
      </c>
      <c r="BB16" s="375">
        <v>0</v>
      </c>
      <c r="BC16" s="375">
        <v>0</v>
      </c>
      <c r="BD16" s="375">
        <v>0</v>
      </c>
      <c r="BE16" s="375">
        <v>0</v>
      </c>
      <c r="BF16" s="375">
        <v>0</v>
      </c>
      <c r="BG16" s="375">
        <v>0</v>
      </c>
      <c r="BH16" s="375">
        <v>0</v>
      </c>
      <c r="BI16" s="375">
        <v>0</v>
      </c>
      <c r="BJ16" s="375">
        <v>0</v>
      </c>
      <c r="BK16" s="375">
        <v>0</v>
      </c>
      <c r="BL16" s="375">
        <v>0</v>
      </c>
      <c r="BM16" s="375">
        <v>0</v>
      </c>
      <c r="BN16" s="375">
        <v>0</v>
      </c>
      <c r="BO16" s="374">
        <v>0</v>
      </c>
      <c r="BP16" s="375">
        <v>0</v>
      </c>
      <c r="BQ16" s="375">
        <v>0</v>
      </c>
      <c r="BR16" s="376">
        <v>0</v>
      </c>
      <c r="BS16" s="376">
        <v>0</v>
      </c>
      <c r="BT16" s="374">
        <v>0</v>
      </c>
    </row>
    <row r="17" spans="1:72">
      <c r="A17" s="377" t="s">
        <v>577</v>
      </c>
      <c r="B17" s="377"/>
      <c r="C17" s="377"/>
      <c r="D17" s="377"/>
      <c r="E17" s="377"/>
      <c r="F17" s="332" t="s">
        <v>578</v>
      </c>
      <c r="G17" s="332"/>
      <c r="H17" s="378">
        <v>1437.6770000000001</v>
      </c>
      <c r="I17" s="379">
        <v>31.951000000000001</v>
      </c>
      <c r="J17" s="380">
        <v>0</v>
      </c>
      <c r="K17" s="380">
        <v>0</v>
      </c>
      <c r="L17" s="380">
        <v>19.838999999999999</v>
      </c>
      <c r="M17" s="380">
        <v>0</v>
      </c>
      <c r="N17" s="380">
        <v>0</v>
      </c>
      <c r="O17" s="380">
        <v>0</v>
      </c>
      <c r="P17" s="380">
        <v>12.112000000000002</v>
      </c>
      <c r="Q17" s="380">
        <v>0</v>
      </c>
      <c r="R17" s="380">
        <v>0</v>
      </c>
      <c r="S17" s="380">
        <v>0</v>
      </c>
      <c r="T17" s="380">
        <v>0</v>
      </c>
      <c r="U17" s="380">
        <v>0</v>
      </c>
      <c r="V17" s="380">
        <v>0</v>
      </c>
      <c r="W17" s="379">
        <v>559.16499999999996</v>
      </c>
      <c r="X17" s="380">
        <v>561.65499999999997</v>
      </c>
      <c r="Y17" s="380">
        <v>358.85599999999999</v>
      </c>
      <c r="Z17" s="380">
        <v>0</v>
      </c>
      <c r="AA17" s="380">
        <v>4.8940000000000001</v>
      </c>
      <c r="AB17" s="380">
        <v>0</v>
      </c>
      <c r="AC17" s="380">
        <v>0</v>
      </c>
      <c r="AD17" s="380">
        <v>-11.478999999999999</v>
      </c>
      <c r="AE17" s="380">
        <v>-192.60600000000002</v>
      </c>
      <c r="AF17" s="380">
        <v>-71.210999999999999</v>
      </c>
      <c r="AG17" s="380">
        <v>0</v>
      </c>
      <c r="AH17" s="380">
        <v>0.35400000000000004</v>
      </c>
      <c r="AI17" s="380">
        <v>12.427000000000001</v>
      </c>
      <c r="AJ17" s="380">
        <v>-5.0430000000000001</v>
      </c>
      <c r="AK17" s="380">
        <v>-83.585999999999999</v>
      </c>
      <c r="AL17" s="380">
        <v>-35.006</v>
      </c>
      <c r="AM17" s="380">
        <v>-8.76</v>
      </c>
      <c r="AN17" s="380">
        <v>0.65400000000000003</v>
      </c>
      <c r="AO17" s="380">
        <v>2.1</v>
      </c>
      <c r="AP17" s="380">
        <v>13.065</v>
      </c>
      <c r="AQ17" s="380">
        <v>11.13</v>
      </c>
      <c r="AR17" s="380">
        <v>0</v>
      </c>
      <c r="AS17" s="380">
        <v>1.72</v>
      </c>
      <c r="AT17" s="379">
        <v>324.61399999999998</v>
      </c>
      <c r="AU17" s="380">
        <v>324.61399999999998</v>
      </c>
      <c r="AV17" s="380">
        <v>0</v>
      </c>
      <c r="AW17" s="380">
        <v>0</v>
      </c>
      <c r="AX17" s="380">
        <v>0</v>
      </c>
      <c r="AY17" s="380">
        <v>0</v>
      </c>
      <c r="AZ17" s="379">
        <v>488.81099999999998</v>
      </c>
      <c r="BA17" s="380">
        <v>420.3</v>
      </c>
      <c r="BB17" s="380">
        <v>3.1639999999999997</v>
      </c>
      <c r="BC17" s="380">
        <v>0</v>
      </c>
      <c r="BD17" s="380">
        <v>0</v>
      </c>
      <c r="BE17" s="380">
        <v>0</v>
      </c>
      <c r="BF17" s="380">
        <v>53.263999999999996</v>
      </c>
      <c r="BG17" s="380">
        <v>0</v>
      </c>
      <c r="BH17" s="380">
        <v>1.2430000000000001</v>
      </c>
      <c r="BI17" s="380">
        <v>5.9690000000000003</v>
      </c>
      <c r="BJ17" s="380">
        <v>0.20099999999999998</v>
      </c>
      <c r="BK17" s="380">
        <v>4.6310000000000002</v>
      </c>
      <c r="BL17" s="380">
        <v>0</v>
      </c>
      <c r="BM17" s="380">
        <v>3.9E-2</v>
      </c>
      <c r="BN17" s="380">
        <v>0</v>
      </c>
      <c r="BO17" s="379">
        <v>5.96</v>
      </c>
      <c r="BP17" s="380">
        <v>0.11499999999999999</v>
      </c>
      <c r="BQ17" s="380">
        <v>5.8449999999999998</v>
      </c>
      <c r="BR17" s="381">
        <v>0</v>
      </c>
      <c r="BS17" s="381">
        <v>0</v>
      </c>
      <c r="BT17" s="379">
        <v>27.176000000000002</v>
      </c>
    </row>
    <row r="18" spans="1:72">
      <c r="A18" s="377" t="s">
        <v>579</v>
      </c>
      <c r="B18" s="377"/>
      <c r="C18" s="377"/>
      <c r="D18" s="377"/>
      <c r="E18" s="377"/>
      <c r="F18" s="332" t="s">
        <v>580</v>
      </c>
      <c r="G18" s="332"/>
      <c r="H18" s="378">
        <v>669.81600000000003</v>
      </c>
      <c r="I18" s="379">
        <v>3.218</v>
      </c>
      <c r="J18" s="380">
        <v>0</v>
      </c>
      <c r="K18" s="380">
        <v>0</v>
      </c>
      <c r="L18" s="380">
        <v>0.73099999999999998</v>
      </c>
      <c r="M18" s="380">
        <v>0</v>
      </c>
      <c r="N18" s="380">
        <v>0</v>
      </c>
      <c r="O18" s="380">
        <v>0</v>
      </c>
      <c r="P18" s="380">
        <v>2.4870000000000001</v>
      </c>
      <c r="Q18" s="380">
        <v>0</v>
      </c>
      <c r="R18" s="380">
        <v>0</v>
      </c>
      <c r="S18" s="380">
        <v>0</v>
      </c>
      <c r="T18" s="380">
        <v>0</v>
      </c>
      <c r="U18" s="380">
        <v>0</v>
      </c>
      <c r="V18" s="380">
        <v>0</v>
      </c>
      <c r="W18" s="379">
        <v>612.01</v>
      </c>
      <c r="X18" s="380">
        <v>538.79899999999998</v>
      </c>
      <c r="Y18" s="380">
        <v>0</v>
      </c>
      <c r="Z18" s="380">
        <v>64.846000000000004</v>
      </c>
      <c r="AA18" s="380">
        <v>4.8940000000000001</v>
      </c>
      <c r="AB18" s="380">
        <v>0</v>
      </c>
      <c r="AC18" s="380">
        <v>0</v>
      </c>
      <c r="AD18" s="380">
        <v>0</v>
      </c>
      <c r="AE18" s="380">
        <v>0.55299999999999994</v>
      </c>
      <c r="AF18" s="380">
        <v>0</v>
      </c>
      <c r="AG18" s="380">
        <v>0</v>
      </c>
      <c r="AH18" s="380">
        <v>0</v>
      </c>
      <c r="AI18" s="380">
        <v>0</v>
      </c>
      <c r="AJ18" s="380">
        <v>0</v>
      </c>
      <c r="AK18" s="380">
        <v>0</v>
      </c>
      <c r="AL18" s="380">
        <v>2.9170000000000003</v>
      </c>
      <c r="AM18" s="380">
        <v>0</v>
      </c>
      <c r="AN18" s="380">
        <v>0</v>
      </c>
      <c r="AO18" s="380">
        <v>0</v>
      </c>
      <c r="AP18" s="380">
        <v>0</v>
      </c>
      <c r="AQ18" s="380">
        <v>0</v>
      </c>
      <c r="AR18" s="380">
        <v>0</v>
      </c>
      <c r="AS18" s="380">
        <v>0</v>
      </c>
      <c r="AT18" s="379">
        <v>33.605000000000004</v>
      </c>
      <c r="AU18" s="380">
        <v>33.253</v>
      </c>
      <c r="AV18" s="380">
        <v>0</v>
      </c>
      <c r="AW18" s="380">
        <v>0.35200000000000004</v>
      </c>
      <c r="AX18" s="380">
        <v>0</v>
      </c>
      <c r="AY18" s="380">
        <v>0</v>
      </c>
      <c r="AZ18" s="379">
        <v>11.251000000000001</v>
      </c>
      <c r="BA18" s="380">
        <v>0</v>
      </c>
      <c r="BB18" s="380">
        <v>0</v>
      </c>
      <c r="BC18" s="380">
        <v>0</v>
      </c>
      <c r="BD18" s="380">
        <v>0</v>
      </c>
      <c r="BE18" s="380">
        <v>0</v>
      </c>
      <c r="BF18" s="380">
        <v>6.0259999999999998</v>
      </c>
      <c r="BG18" s="380">
        <v>0</v>
      </c>
      <c r="BH18" s="380">
        <v>0.16500000000000001</v>
      </c>
      <c r="BI18" s="380">
        <v>5.0599999999999996</v>
      </c>
      <c r="BJ18" s="380">
        <v>0</v>
      </c>
      <c r="BK18" s="380">
        <v>0</v>
      </c>
      <c r="BL18" s="380">
        <v>0</v>
      </c>
      <c r="BM18" s="380">
        <v>0</v>
      </c>
      <c r="BN18" s="380">
        <v>0</v>
      </c>
      <c r="BO18" s="379">
        <v>5.0510000000000002</v>
      </c>
      <c r="BP18" s="380">
        <v>0.11499999999999999</v>
      </c>
      <c r="BQ18" s="380">
        <v>4.9359999999999999</v>
      </c>
      <c r="BR18" s="381">
        <v>0</v>
      </c>
      <c r="BS18" s="381">
        <v>1.6360000000000001</v>
      </c>
      <c r="BT18" s="379">
        <v>3.0460000000000003</v>
      </c>
    </row>
    <row r="19" spans="1:72">
      <c r="A19" s="382" t="s">
        <v>549</v>
      </c>
      <c r="B19" s="383" t="s">
        <v>581</v>
      </c>
      <c r="C19" s="383"/>
      <c r="D19" s="383"/>
      <c r="E19" s="383"/>
      <c r="F19" s="384" t="s">
        <v>582</v>
      </c>
      <c r="G19" s="384"/>
      <c r="H19" s="385">
        <v>43.755000000000003</v>
      </c>
      <c r="I19" s="386">
        <v>0.73099999999999998</v>
      </c>
      <c r="J19" s="387">
        <v>0</v>
      </c>
      <c r="K19" s="387">
        <v>0</v>
      </c>
      <c r="L19" s="387">
        <v>0.73099999999999998</v>
      </c>
      <c r="M19" s="387">
        <v>0</v>
      </c>
      <c r="N19" s="387">
        <v>0</v>
      </c>
      <c r="O19" s="387">
        <v>0</v>
      </c>
      <c r="P19" s="387">
        <v>0</v>
      </c>
      <c r="Q19" s="387">
        <v>0</v>
      </c>
      <c r="R19" s="387">
        <v>0</v>
      </c>
      <c r="S19" s="387">
        <v>0</v>
      </c>
      <c r="T19" s="387">
        <v>0</v>
      </c>
      <c r="U19" s="387">
        <v>0</v>
      </c>
      <c r="V19" s="387">
        <v>0</v>
      </c>
      <c r="W19" s="386">
        <v>0.129</v>
      </c>
      <c r="X19" s="387">
        <v>0</v>
      </c>
      <c r="Y19" s="387">
        <v>0</v>
      </c>
      <c r="Z19" s="387">
        <v>0</v>
      </c>
      <c r="AA19" s="387">
        <v>0</v>
      </c>
      <c r="AB19" s="387">
        <v>0</v>
      </c>
      <c r="AC19" s="387">
        <v>0</v>
      </c>
      <c r="AD19" s="387">
        <v>0</v>
      </c>
      <c r="AE19" s="387">
        <v>0</v>
      </c>
      <c r="AF19" s="387">
        <v>0</v>
      </c>
      <c r="AG19" s="387">
        <v>0</v>
      </c>
      <c r="AH19" s="387">
        <v>0</v>
      </c>
      <c r="AI19" s="387">
        <v>0</v>
      </c>
      <c r="AJ19" s="387">
        <v>0</v>
      </c>
      <c r="AK19" s="387">
        <v>0</v>
      </c>
      <c r="AL19" s="387">
        <v>0.129</v>
      </c>
      <c r="AM19" s="387">
        <v>0</v>
      </c>
      <c r="AN19" s="387">
        <v>0</v>
      </c>
      <c r="AO19" s="387">
        <v>0</v>
      </c>
      <c r="AP19" s="387">
        <v>0</v>
      </c>
      <c r="AQ19" s="387">
        <v>0</v>
      </c>
      <c r="AR19" s="387">
        <v>0</v>
      </c>
      <c r="AS19" s="387">
        <v>0</v>
      </c>
      <c r="AT19" s="386">
        <v>32.905000000000001</v>
      </c>
      <c r="AU19" s="387">
        <v>32.576000000000001</v>
      </c>
      <c r="AV19" s="387">
        <v>0</v>
      </c>
      <c r="AW19" s="387">
        <v>0.32900000000000001</v>
      </c>
      <c r="AX19" s="387">
        <v>0</v>
      </c>
      <c r="AY19" s="387">
        <v>0</v>
      </c>
      <c r="AZ19" s="386">
        <v>4.7989999999999995</v>
      </c>
      <c r="BA19" s="387">
        <v>0</v>
      </c>
      <c r="BB19" s="387">
        <v>0</v>
      </c>
      <c r="BC19" s="387">
        <v>0</v>
      </c>
      <c r="BD19" s="387">
        <v>0</v>
      </c>
      <c r="BE19" s="387">
        <v>0</v>
      </c>
      <c r="BF19" s="387">
        <v>1.2709999999999999</v>
      </c>
      <c r="BG19" s="387">
        <v>0</v>
      </c>
      <c r="BH19" s="387">
        <v>8.8000000000000009E-2</v>
      </c>
      <c r="BI19" s="387">
        <v>3.44</v>
      </c>
      <c r="BJ19" s="387">
        <v>0</v>
      </c>
      <c r="BK19" s="387">
        <v>0</v>
      </c>
      <c r="BL19" s="387">
        <v>0</v>
      </c>
      <c r="BM19" s="387">
        <v>0</v>
      </c>
      <c r="BN19" s="387">
        <v>0</v>
      </c>
      <c r="BO19" s="386">
        <v>3.5549999999999997</v>
      </c>
      <c r="BP19" s="387">
        <v>0.11499999999999999</v>
      </c>
      <c r="BQ19" s="387">
        <v>3.44</v>
      </c>
      <c r="BR19" s="388">
        <v>0</v>
      </c>
      <c r="BS19" s="388">
        <v>1.6360000000000001</v>
      </c>
      <c r="BT19" s="386">
        <v>0</v>
      </c>
    </row>
    <row r="20" spans="1:72">
      <c r="A20" s="369"/>
      <c r="B20" s="362" t="s">
        <v>549</v>
      </c>
      <c r="C20" s="363" t="s">
        <v>583</v>
      </c>
      <c r="D20" s="363"/>
      <c r="E20" s="363"/>
      <c r="F20" s="364" t="s">
        <v>584</v>
      </c>
      <c r="G20" s="364"/>
      <c r="H20" s="365">
        <v>8.0280000000000005</v>
      </c>
      <c r="I20" s="366">
        <v>0.73099999999999998</v>
      </c>
      <c r="J20" s="367">
        <v>0</v>
      </c>
      <c r="K20" s="367">
        <v>0</v>
      </c>
      <c r="L20" s="367">
        <v>0.73099999999999998</v>
      </c>
      <c r="M20" s="367">
        <v>0</v>
      </c>
      <c r="N20" s="367">
        <v>0</v>
      </c>
      <c r="O20" s="367">
        <v>0</v>
      </c>
      <c r="P20" s="367">
        <v>0</v>
      </c>
      <c r="Q20" s="367">
        <v>0</v>
      </c>
      <c r="R20" s="367">
        <v>0</v>
      </c>
      <c r="S20" s="367">
        <v>0</v>
      </c>
      <c r="T20" s="367">
        <v>0</v>
      </c>
      <c r="U20" s="367">
        <v>0</v>
      </c>
      <c r="V20" s="367">
        <v>0</v>
      </c>
      <c r="W20" s="366">
        <v>0</v>
      </c>
      <c r="X20" s="367">
        <v>0</v>
      </c>
      <c r="Y20" s="367">
        <v>0</v>
      </c>
      <c r="Z20" s="367">
        <v>0</v>
      </c>
      <c r="AA20" s="367">
        <v>0</v>
      </c>
      <c r="AB20" s="367">
        <v>0</v>
      </c>
      <c r="AC20" s="367">
        <v>0</v>
      </c>
      <c r="AD20" s="367">
        <v>0</v>
      </c>
      <c r="AE20" s="367">
        <v>0</v>
      </c>
      <c r="AF20" s="367">
        <v>0</v>
      </c>
      <c r="AG20" s="367">
        <v>0</v>
      </c>
      <c r="AH20" s="367">
        <v>0</v>
      </c>
      <c r="AI20" s="367">
        <v>0</v>
      </c>
      <c r="AJ20" s="367">
        <v>0</v>
      </c>
      <c r="AK20" s="367">
        <v>0</v>
      </c>
      <c r="AL20" s="367">
        <v>0</v>
      </c>
      <c r="AM20" s="367">
        <v>0</v>
      </c>
      <c r="AN20" s="367">
        <v>0</v>
      </c>
      <c r="AO20" s="367">
        <v>0</v>
      </c>
      <c r="AP20" s="367">
        <v>0</v>
      </c>
      <c r="AQ20" s="367">
        <v>0</v>
      </c>
      <c r="AR20" s="367">
        <v>0</v>
      </c>
      <c r="AS20" s="367">
        <v>0</v>
      </c>
      <c r="AT20" s="366">
        <v>0.32900000000000001</v>
      </c>
      <c r="AU20" s="367">
        <v>0</v>
      </c>
      <c r="AV20" s="367">
        <v>0</v>
      </c>
      <c r="AW20" s="367">
        <v>0.32900000000000001</v>
      </c>
      <c r="AX20" s="367">
        <v>0</v>
      </c>
      <c r="AY20" s="367">
        <v>0</v>
      </c>
      <c r="AZ20" s="366">
        <v>3.528</v>
      </c>
      <c r="BA20" s="367">
        <v>0</v>
      </c>
      <c r="BB20" s="367">
        <v>0</v>
      </c>
      <c r="BC20" s="367">
        <v>0</v>
      </c>
      <c r="BD20" s="367">
        <v>0</v>
      </c>
      <c r="BE20" s="367">
        <v>0</v>
      </c>
      <c r="BF20" s="367">
        <v>0</v>
      </c>
      <c r="BG20" s="367">
        <v>0</v>
      </c>
      <c r="BH20" s="367">
        <v>8.8000000000000009E-2</v>
      </c>
      <c r="BI20" s="367">
        <v>3.44</v>
      </c>
      <c r="BJ20" s="367">
        <v>0</v>
      </c>
      <c r="BK20" s="367">
        <v>0</v>
      </c>
      <c r="BL20" s="367">
        <v>0</v>
      </c>
      <c r="BM20" s="367">
        <v>0</v>
      </c>
      <c r="BN20" s="367">
        <v>0</v>
      </c>
      <c r="BO20" s="366">
        <v>3.44</v>
      </c>
      <c r="BP20" s="367">
        <v>0</v>
      </c>
      <c r="BQ20" s="367">
        <v>3.44</v>
      </c>
      <c r="BR20" s="368">
        <v>0</v>
      </c>
      <c r="BS20" s="368">
        <v>0</v>
      </c>
      <c r="BT20" s="366">
        <v>0</v>
      </c>
    </row>
    <row r="21" spans="1:72">
      <c r="A21" s="369"/>
      <c r="B21" s="362"/>
      <c r="C21" s="362" t="s">
        <v>549</v>
      </c>
      <c r="D21" s="363" t="s">
        <v>585</v>
      </c>
      <c r="E21" s="363"/>
      <c r="F21" s="364" t="s">
        <v>586</v>
      </c>
      <c r="G21" s="364"/>
      <c r="H21" s="365">
        <v>0.379</v>
      </c>
      <c r="I21" s="366">
        <v>0</v>
      </c>
      <c r="J21" s="367">
        <v>0</v>
      </c>
      <c r="K21" s="367">
        <v>0</v>
      </c>
      <c r="L21" s="367">
        <v>0</v>
      </c>
      <c r="M21" s="367">
        <v>0</v>
      </c>
      <c r="N21" s="367">
        <v>0</v>
      </c>
      <c r="O21" s="367">
        <v>0</v>
      </c>
      <c r="P21" s="367">
        <v>0</v>
      </c>
      <c r="Q21" s="367">
        <v>0</v>
      </c>
      <c r="R21" s="367">
        <v>0</v>
      </c>
      <c r="S21" s="367">
        <v>0</v>
      </c>
      <c r="T21" s="367">
        <v>0</v>
      </c>
      <c r="U21" s="367">
        <v>0</v>
      </c>
      <c r="V21" s="367">
        <v>0</v>
      </c>
      <c r="W21" s="366">
        <v>0</v>
      </c>
      <c r="X21" s="367">
        <v>0</v>
      </c>
      <c r="Y21" s="367">
        <v>0</v>
      </c>
      <c r="Z21" s="367">
        <v>0</v>
      </c>
      <c r="AA21" s="367">
        <v>0</v>
      </c>
      <c r="AB21" s="367">
        <v>0</v>
      </c>
      <c r="AC21" s="367">
        <v>0</v>
      </c>
      <c r="AD21" s="367">
        <v>0</v>
      </c>
      <c r="AE21" s="367">
        <v>0</v>
      </c>
      <c r="AF21" s="367">
        <v>0</v>
      </c>
      <c r="AG21" s="367">
        <v>0</v>
      </c>
      <c r="AH21" s="367">
        <v>0</v>
      </c>
      <c r="AI21" s="367">
        <v>0</v>
      </c>
      <c r="AJ21" s="367">
        <v>0</v>
      </c>
      <c r="AK21" s="367">
        <v>0</v>
      </c>
      <c r="AL21" s="367">
        <v>0</v>
      </c>
      <c r="AM21" s="367">
        <v>0</v>
      </c>
      <c r="AN21" s="367">
        <v>0</v>
      </c>
      <c r="AO21" s="367">
        <v>0</v>
      </c>
      <c r="AP21" s="367">
        <v>0</v>
      </c>
      <c r="AQ21" s="367">
        <v>0</v>
      </c>
      <c r="AR21" s="367">
        <v>0</v>
      </c>
      <c r="AS21" s="367">
        <v>0</v>
      </c>
      <c r="AT21" s="366">
        <v>0.32900000000000001</v>
      </c>
      <c r="AU21" s="367">
        <v>0</v>
      </c>
      <c r="AV21" s="367">
        <v>0</v>
      </c>
      <c r="AW21" s="367">
        <v>0.32900000000000001</v>
      </c>
      <c r="AX21" s="367">
        <v>0</v>
      </c>
      <c r="AY21" s="367">
        <v>0</v>
      </c>
      <c r="AZ21" s="366">
        <v>4.9999999999999996E-2</v>
      </c>
      <c r="BA21" s="367">
        <v>0</v>
      </c>
      <c r="BB21" s="367">
        <v>0</v>
      </c>
      <c r="BC21" s="367">
        <v>0</v>
      </c>
      <c r="BD21" s="367">
        <v>0</v>
      </c>
      <c r="BE21" s="367">
        <v>0</v>
      </c>
      <c r="BF21" s="367">
        <v>0</v>
      </c>
      <c r="BG21" s="367">
        <v>0</v>
      </c>
      <c r="BH21" s="367">
        <v>4.9999999999999996E-2</v>
      </c>
      <c r="BI21" s="367">
        <v>0</v>
      </c>
      <c r="BJ21" s="367">
        <v>0</v>
      </c>
      <c r="BK21" s="367">
        <v>0</v>
      </c>
      <c r="BL21" s="367">
        <v>0</v>
      </c>
      <c r="BM21" s="367">
        <v>0</v>
      </c>
      <c r="BN21" s="367">
        <v>0</v>
      </c>
      <c r="BO21" s="366">
        <v>0</v>
      </c>
      <c r="BP21" s="367">
        <v>0</v>
      </c>
      <c r="BQ21" s="367">
        <v>0</v>
      </c>
      <c r="BR21" s="368">
        <v>0</v>
      </c>
      <c r="BS21" s="368">
        <v>0</v>
      </c>
      <c r="BT21" s="366">
        <v>0</v>
      </c>
    </row>
    <row r="22" spans="1:72">
      <c r="A22" s="369"/>
      <c r="B22" s="362"/>
      <c r="C22" s="362" t="s">
        <v>549</v>
      </c>
      <c r="D22" s="363" t="s">
        <v>587</v>
      </c>
      <c r="E22" s="363"/>
      <c r="F22" s="364" t="s">
        <v>588</v>
      </c>
      <c r="G22" s="364"/>
      <c r="H22" s="365">
        <v>7.649</v>
      </c>
      <c r="I22" s="366">
        <v>0.73099999999999998</v>
      </c>
      <c r="J22" s="367">
        <v>0</v>
      </c>
      <c r="K22" s="367">
        <v>0</v>
      </c>
      <c r="L22" s="367">
        <v>0.73099999999999998</v>
      </c>
      <c r="M22" s="367">
        <v>0</v>
      </c>
      <c r="N22" s="367">
        <v>0</v>
      </c>
      <c r="O22" s="367">
        <v>0</v>
      </c>
      <c r="P22" s="367">
        <v>0</v>
      </c>
      <c r="Q22" s="367">
        <v>0</v>
      </c>
      <c r="R22" s="367">
        <v>0</v>
      </c>
      <c r="S22" s="367">
        <v>0</v>
      </c>
      <c r="T22" s="367">
        <v>0</v>
      </c>
      <c r="U22" s="367">
        <v>0</v>
      </c>
      <c r="V22" s="367">
        <v>0</v>
      </c>
      <c r="W22" s="366">
        <v>0</v>
      </c>
      <c r="X22" s="367">
        <v>0</v>
      </c>
      <c r="Y22" s="367">
        <v>0</v>
      </c>
      <c r="Z22" s="367">
        <v>0</v>
      </c>
      <c r="AA22" s="367">
        <v>0</v>
      </c>
      <c r="AB22" s="367">
        <v>0</v>
      </c>
      <c r="AC22" s="367">
        <v>0</v>
      </c>
      <c r="AD22" s="367">
        <v>0</v>
      </c>
      <c r="AE22" s="367">
        <v>0</v>
      </c>
      <c r="AF22" s="367">
        <v>0</v>
      </c>
      <c r="AG22" s="367">
        <v>0</v>
      </c>
      <c r="AH22" s="367">
        <v>0</v>
      </c>
      <c r="AI22" s="367">
        <v>0</v>
      </c>
      <c r="AJ22" s="367">
        <v>0</v>
      </c>
      <c r="AK22" s="367">
        <v>0</v>
      </c>
      <c r="AL22" s="367">
        <v>0</v>
      </c>
      <c r="AM22" s="367">
        <v>0</v>
      </c>
      <c r="AN22" s="367">
        <v>0</v>
      </c>
      <c r="AO22" s="367">
        <v>0</v>
      </c>
      <c r="AP22" s="367">
        <v>0</v>
      </c>
      <c r="AQ22" s="367">
        <v>0</v>
      </c>
      <c r="AR22" s="367">
        <v>0</v>
      </c>
      <c r="AS22" s="367">
        <v>0</v>
      </c>
      <c r="AT22" s="366">
        <v>0</v>
      </c>
      <c r="AU22" s="367">
        <v>0</v>
      </c>
      <c r="AV22" s="367">
        <v>0</v>
      </c>
      <c r="AW22" s="367">
        <v>0</v>
      </c>
      <c r="AX22" s="367">
        <v>0</v>
      </c>
      <c r="AY22" s="367">
        <v>0</v>
      </c>
      <c r="AZ22" s="366">
        <v>3.4779999999999998</v>
      </c>
      <c r="BA22" s="367">
        <v>0</v>
      </c>
      <c r="BB22" s="367">
        <v>0</v>
      </c>
      <c r="BC22" s="367">
        <v>0</v>
      </c>
      <c r="BD22" s="367">
        <v>0</v>
      </c>
      <c r="BE22" s="367">
        <v>0</v>
      </c>
      <c r="BF22" s="367">
        <v>0</v>
      </c>
      <c r="BG22" s="367">
        <v>0</v>
      </c>
      <c r="BH22" s="367">
        <v>3.7999999999999999E-2</v>
      </c>
      <c r="BI22" s="367">
        <v>3.44</v>
      </c>
      <c r="BJ22" s="367">
        <v>0</v>
      </c>
      <c r="BK22" s="367">
        <v>0</v>
      </c>
      <c r="BL22" s="367">
        <v>0</v>
      </c>
      <c r="BM22" s="367">
        <v>0</v>
      </c>
      <c r="BN22" s="367">
        <v>0</v>
      </c>
      <c r="BO22" s="366">
        <v>3.44</v>
      </c>
      <c r="BP22" s="367">
        <v>0</v>
      </c>
      <c r="BQ22" s="367">
        <v>3.44</v>
      </c>
      <c r="BR22" s="368">
        <v>0</v>
      </c>
      <c r="BS22" s="368">
        <v>0</v>
      </c>
      <c r="BT22" s="366">
        <v>0</v>
      </c>
    </row>
    <row r="23" spans="1:72">
      <c r="A23" s="369"/>
      <c r="B23" s="362" t="s">
        <v>549</v>
      </c>
      <c r="C23" s="363" t="s">
        <v>589</v>
      </c>
      <c r="D23" s="363"/>
      <c r="E23" s="363"/>
      <c r="F23" s="364" t="s">
        <v>590</v>
      </c>
      <c r="G23" s="364"/>
      <c r="H23" s="365">
        <v>34.091000000000001</v>
      </c>
      <c r="I23" s="366">
        <v>0</v>
      </c>
      <c r="J23" s="367">
        <v>0</v>
      </c>
      <c r="K23" s="367">
        <v>0</v>
      </c>
      <c r="L23" s="367">
        <v>0</v>
      </c>
      <c r="M23" s="367">
        <v>0</v>
      </c>
      <c r="N23" s="367">
        <v>0</v>
      </c>
      <c r="O23" s="367">
        <v>0</v>
      </c>
      <c r="P23" s="367">
        <v>0</v>
      </c>
      <c r="Q23" s="367">
        <v>0</v>
      </c>
      <c r="R23" s="367">
        <v>0</v>
      </c>
      <c r="S23" s="367">
        <v>0</v>
      </c>
      <c r="T23" s="367">
        <v>0</v>
      </c>
      <c r="U23" s="367">
        <v>0</v>
      </c>
      <c r="V23" s="367">
        <v>0</v>
      </c>
      <c r="W23" s="366">
        <v>0.129</v>
      </c>
      <c r="X23" s="367">
        <v>0</v>
      </c>
      <c r="Y23" s="367">
        <v>0</v>
      </c>
      <c r="Z23" s="367">
        <v>0</v>
      </c>
      <c r="AA23" s="367">
        <v>0</v>
      </c>
      <c r="AB23" s="367">
        <v>0</v>
      </c>
      <c r="AC23" s="367">
        <v>0</v>
      </c>
      <c r="AD23" s="367">
        <v>0</v>
      </c>
      <c r="AE23" s="367">
        <v>0</v>
      </c>
      <c r="AF23" s="367">
        <v>0</v>
      </c>
      <c r="AG23" s="367">
        <v>0</v>
      </c>
      <c r="AH23" s="367">
        <v>0</v>
      </c>
      <c r="AI23" s="367">
        <v>0</v>
      </c>
      <c r="AJ23" s="367">
        <v>0</v>
      </c>
      <c r="AK23" s="367">
        <v>0</v>
      </c>
      <c r="AL23" s="367">
        <v>0.129</v>
      </c>
      <c r="AM23" s="367">
        <v>0</v>
      </c>
      <c r="AN23" s="367">
        <v>0</v>
      </c>
      <c r="AO23" s="367">
        <v>0</v>
      </c>
      <c r="AP23" s="367">
        <v>0</v>
      </c>
      <c r="AQ23" s="367">
        <v>0</v>
      </c>
      <c r="AR23" s="367">
        <v>0</v>
      </c>
      <c r="AS23" s="367">
        <v>0</v>
      </c>
      <c r="AT23" s="366">
        <v>32.576000000000001</v>
      </c>
      <c r="AU23" s="367">
        <v>32.576000000000001</v>
      </c>
      <c r="AV23" s="367">
        <v>0</v>
      </c>
      <c r="AW23" s="367">
        <v>0</v>
      </c>
      <c r="AX23" s="367">
        <v>0</v>
      </c>
      <c r="AY23" s="367">
        <v>0</v>
      </c>
      <c r="AZ23" s="366">
        <v>1.2709999999999999</v>
      </c>
      <c r="BA23" s="367">
        <v>0</v>
      </c>
      <c r="BB23" s="367">
        <v>0</v>
      </c>
      <c r="BC23" s="367">
        <v>0</v>
      </c>
      <c r="BD23" s="367">
        <v>0</v>
      </c>
      <c r="BE23" s="367">
        <v>0</v>
      </c>
      <c r="BF23" s="367">
        <v>1.2709999999999999</v>
      </c>
      <c r="BG23" s="367">
        <v>0</v>
      </c>
      <c r="BH23" s="367">
        <v>0</v>
      </c>
      <c r="BI23" s="367">
        <v>0</v>
      </c>
      <c r="BJ23" s="367">
        <v>0</v>
      </c>
      <c r="BK23" s="367">
        <v>0</v>
      </c>
      <c r="BL23" s="367">
        <v>0</v>
      </c>
      <c r="BM23" s="367">
        <v>0</v>
      </c>
      <c r="BN23" s="367">
        <v>0</v>
      </c>
      <c r="BO23" s="366">
        <v>0.11499999999999999</v>
      </c>
      <c r="BP23" s="367">
        <v>0.11499999999999999</v>
      </c>
      <c r="BQ23" s="367">
        <v>0</v>
      </c>
      <c r="BR23" s="368">
        <v>0</v>
      </c>
      <c r="BS23" s="368">
        <v>0</v>
      </c>
      <c r="BT23" s="366">
        <v>0</v>
      </c>
    </row>
    <row r="24" spans="1:72">
      <c r="A24" s="369"/>
      <c r="B24" s="362"/>
      <c r="C24" s="362" t="s">
        <v>549</v>
      </c>
      <c r="D24" s="363" t="s">
        <v>591</v>
      </c>
      <c r="E24" s="363"/>
      <c r="F24" s="364" t="s">
        <v>592</v>
      </c>
      <c r="G24" s="364"/>
      <c r="H24" s="365">
        <v>34.091000000000001</v>
      </c>
      <c r="I24" s="366">
        <v>0</v>
      </c>
      <c r="J24" s="367">
        <v>0</v>
      </c>
      <c r="K24" s="367">
        <v>0</v>
      </c>
      <c r="L24" s="367">
        <v>0</v>
      </c>
      <c r="M24" s="367">
        <v>0</v>
      </c>
      <c r="N24" s="367">
        <v>0</v>
      </c>
      <c r="O24" s="367">
        <v>0</v>
      </c>
      <c r="P24" s="367">
        <v>0</v>
      </c>
      <c r="Q24" s="367">
        <v>0</v>
      </c>
      <c r="R24" s="367">
        <v>0</v>
      </c>
      <c r="S24" s="367">
        <v>0</v>
      </c>
      <c r="T24" s="367">
        <v>0</v>
      </c>
      <c r="U24" s="367">
        <v>0</v>
      </c>
      <c r="V24" s="367">
        <v>0</v>
      </c>
      <c r="W24" s="366">
        <v>0.129</v>
      </c>
      <c r="X24" s="367">
        <v>0</v>
      </c>
      <c r="Y24" s="367">
        <v>0</v>
      </c>
      <c r="Z24" s="367">
        <v>0</v>
      </c>
      <c r="AA24" s="367">
        <v>0</v>
      </c>
      <c r="AB24" s="367">
        <v>0</v>
      </c>
      <c r="AC24" s="367">
        <v>0</v>
      </c>
      <c r="AD24" s="367">
        <v>0</v>
      </c>
      <c r="AE24" s="367">
        <v>0</v>
      </c>
      <c r="AF24" s="367">
        <v>0</v>
      </c>
      <c r="AG24" s="367">
        <v>0</v>
      </c>
      <c r="AH24" s="367">
        <v>0</v>
      </c>
      <c r="AI24" s="367">
        <v>0</v>
      </c>
      <c r="AJ24" s="367">
        <v>0</v>
      </c>
      <c r="AK24" s="367">
        <v>0</v>
      </c>
      <c r="AL24" s="367">
        <v>0.129</v>
      </c>
      <c r="AM24" s="367">
        <v>0</v>
      </c>
      <c r="AN24" s="367">
        <v>0</v>
      </c>
      <c r="AO24" s="367">
        <v>0</v>
      </c>
      <c r="AP24" s="367">
        <v>0</v>
      </c>
      <c r="AQ24" s="367">
        <v>0</v>
      </c>
      <c r="AR24" s="367">
        <v>0</v>
      </c>
      <c r="AS24" s="367">
        <v>0</v>
      </c>
      <c r="AT24" s="366">
        <v>32.576000000000001</v>
      </c>
      <c r="AU24" s="367">
        <v>32.576000000000001</v>
      </c>
      <c r="AV24" s="367">
        <v>0</v>
      </c>
      <c r="AW24" s="367">
        <v>0</v>
      </c>
      <c r="AX24" s="367">
        <v>0</v>
      </c>
      <c r="AY24" s="367">
        <v>0</v>
      </c>
      <c r="AZ24" s="366">
        <v>1.2709999999999999</v>
      </c>
      <c r="BA24" s="367">
        <v>0</v>
      </c>
      <c r="BB24" s="367">
        <v>0</v>
      </c>
      <c r="BC24" s="367">
        <v>0</v>
      </c>
      <c r="BD24" s="367">
        <v>0</v>
      </c>
      <c r="BE24" s="367">
        <v>0</v>
      </c>
      <c r="BF24" s="367">
        <v>1.2709999999999999</v>
      </c>
      <c r="BG24" s="367">
        <v>0</v>
      </c>
      <c r="BH24" s="367">
        <v>0</v>
      </c>
      <c r="BI24" s="367">
        <v>0</v>
      </c>
      <c r="BJ24" s="367">
        <v>0</v>
      </c>
      <c r="BK24" s="367">
        <v>0</v>
      </c>
      <c r="BL24" s="367">
        <v>0</v>
      </c>
      <c r="BM24" s="367">
        <v>0</v>
      </c>
      <c r="BN24" s="367">
        <v>0</v>
      </c>
      <c r="BO24" s="366">
        <v>0.11499999999999999</v>
      </c>
      <c r="BP24" s="367">
        <v>0.11499999999999999</v>
      </c>
      <c r="BQ24" s="367">
        <v>0</v>
      </c>
      <c r="BR24" s="368">
        <v>0</v>
      </c>
      <c r="BS24" s="368">
        <v>0</v>
      </c>
      <c r="BT24" s="366">
        <v>0</v>
      </c>
    </row>
    <row r="25" spans="1:72">
      <c r="A25" s="369"/>
      <c r="B25" s="362"/>
      <c r="C25" s="362" t="s">
        <v>549</v>
      </c>
      <c r="D25" s="363" t="s">
        <v>593</v>
      </c>
      <c r="E25" s="363"/>
      <c r="F25" s="364" t="s">
        <v>594</v>
      </c>
      <c r="G25" s="364"/>
      <c r="H25" s="365">
        <v>0</v>
      </c>
      <c r="I25" s="366">
        <v>0</v>
      </c>
      <c r="J25" s="367">
        <v>0</v>
      </c>
      <c r="K25" s="367">
        <v>0</v>
      </c>
      <c r="L25" s="367">
        <v>0</v>
      </c>
      <c r="M25" s="367">
        <v>0</v>
      </c>
      <c r="N25" s="367">
        <v>0</v>
      </c>
      <c r="O25" s="367">
        <v>0</v>
      </c>
      <c r="P25" s="367">
        <v>0</v>
      </c>
      <c r="Q25" s="367">
        <v>0</v>
      </c>
      <c r="R25" s="367">
        <v>0</v>
      </c>
      <c r="S25" s="367">
        <v>0</v>
      </c>
      <c r="T25" s="367">
        <v>0</v>
      </c>
      <c r="U25" s="367">
        <v>0</v>
      </c>
      <c r="V25" s="367">
        <v>0</v>
      </c>
      <c r="W25" s="366">
        <v>0</v>
      </c>
      <c r="X25" s="367">
        <v>0</v>
      </c>
      <c r="Y25" s="367">
        <v>0</v>
      </c>
      <c r="Z25" s="367">
        <v>0</v>
      </c>
      <c r="AA25" s="367">
        <v>0</v>
      </c>
      <c r="AB25" s="367">
        <v>0</v>
      </c>
      <c r="AC25" s="367">
        <v>0</v>
      </c>
      <c r="AD25" s="367">
        <v>0</v>
      </c>
      <c r="AE25" s="367">
        <v>0</v>
      </c>
      <c r="AF25" s="367">
        <v>0</v>
      </c>
      <c r="AG25" s="367">
        <v>0</v>
      </c>
      <c r="AH25" s="367">
        <v>0</v>
      </c>
      <c r="AI25" s="367">
        <v>0</v>
      </c>
      <c r="AJ25" s="367">
        <v>0</v>
      </c>
      <c r="AK25" s="367">
        <v>0</v>
      </c>
      <c r="AL25" s="367">
        <v>0</v>
      </c>
      <c r="AM25" s="367">
        <v>0</v>
      </c>
      <c r="AN25" s="367">
        <v>0</v>
      </c>
      <c r="AO25" s="367">
        <v>0</v>
      </c>
      <c r="AP25" s="367">
        <v>0</v>
      </c>
      <c r="AQ25" s="367">
        <v>0</v>
      </c>
      <c r="AR25" s="367">
        <v>0</v>
      </c>
      <c r="AS25" s="367">
        <v>0</v>
      </c>
      <c r="AT25" s="366">
        <v>0</v>
      </c>
      <c r="AU25" s="367">
        <v>0</v>
      </c>
      <c r="AV25" s="367">
        <v>0</v>
      </c>
      <c r="AW25" s="367">
        <v>0</v>
      </c>
      <c r="AX25" s="367">
        <v>0</v>
      </c>
      <c r="AY25" s="367">
        <v>0</v>
      </c>
      <c r="AZ25" s="366">
        <v>0</v>
      </c>
      <c r="BA25" s="367">
        <v>0</v>
      </c>
      <c r="BB25" s="367">
        <v>0</v>
      </c>
      <c r="BC25" s="367">
        <v>0</v>
      </c>
      <c r="BD25" s="367">
        <v>0</v>
      </c>
      <c r="BE25" s="367">
        <v>0</v>
      </c>
      <c r="BF25" s="367">
        <v>0</v>
      </c>
      <c r="BG25" s="367">
        <v>0</v>
      </c>
      <c r="BH25" s="367">
        <v>0</v>
      </c>
      <c r="BI25" s="367">
        <v>0</v>
      </c>
      <c r="BJ25" s="367">
        <v>0</v>
      </c>
      <c r="BK25" s="367">
        <v>0</v>
      </c>
      <c r="BL25" s="367">
        <v>0</v>
      </c>
      <c r="BM25" s="367">
        <v>0</v>
      </c>
      <c r="BN25" s="367">
        <v>0</v>
      </c>
      <c r="BO25" s="366">
        <v>0</v>
      </c>
      <c r="BP25" s="367">
        <v>0</v>
      </c>
      <c r="BQ25" s="367">
        <v>0</v>
      </c>
      <c r="BR25" s="368">
        <v>0</v>
      </c>
      <c r="BS25" s="368">
        <v>0</v>
      </c>
      <c r="BT25" s="366">
        <v>0</v>
      </c>
    </row>
    <row r="26" spans="1:72">
      <c r="A26" s="369"/>
      <c r="B26" s="362" t="s">
        <v>549</v>
      </c>
      <c r="C26" s="363" t="s">
        <v>595</v>
      </c>
      <c r="D26" s="363"/>
      <c r="E26" s="363"/>
      <c r="F26" s="364" t="s">
        <v>596</v>
      </c>
      <c r="G26" s="364"/>
      <c r="H26" s="365">
        <v>1.6360000000000001</v>
      </c>
      <c r="I26" s="366">
        <v>0</v>
      </c>
      <c r="J26" s="367">
        <v>0</v>
      </c>
      <c r="K26" s="367">
        <v>0</v>
      </c>
      <c r="L26" s="367">
        <v>0</v>
      </c>
      <c r="M26" s="367">
        <v>0</v>
      </c>
      <c r="N26" s="367">
        <v>0</v>
      </c>
      <c r="O26" s="367">
        <v>0</v>
      </c>
      <c r="P26" s="367">
        <v>0</v>
      </c>
      <c r="Q26" s="367">
        <v>0</v>
      </c>
      <c r="R26" s="367">
        <v>0</v>
      </c>
      <c r="S26" s="367">
        <v>0</v>
      </c>
      <c r="T26" s="367">
        <v>0</v>
      </c>
      <c r="U26" s="367">
        <v>0</v>
      </c>
      <c r="V26" s="367">
        <v>0</v>
      </c>
      <c r="W26" s="366">
        <v>0</v>
      </c>
      <c r="X26" s="367">
        <v>0</v>
      </c>
      <c r="Y26" s="367">
        <v>0</v>
      </c>
      <c r="Z26" s="367">
        <v>0</v>
      </c>
      <c r="AA26" s="367">
        <v>0</v>
      </c>
      <c r="AB26" s="367">
        <v>0</v>
      </c>
      <c r="AC26" s="367">
        <v>0</v>
      </c>
      <c r="AD26" s="367">
        <v>0</v>
      </c>
      <c r="AE26" s="367">
        <v>0</v>
      </c>
      <c r="AF26" s="367">
        <v>0</v>
      </c>
      <c r="AG26" s="367">
        <v>0</v>
      </c>
      <c r="AH26" s="367">
        <v>0</v>
      </c>
      <c r="AI26" s="367">
        <v>0</v>
      </c>
      <c r="AJ26" s="367">
        <v>0</v>
      </c>
      <c r="AK26" s="367">
        <v>0</v>
      </c>
      <c r="AL26" s="367">
        <v>0</v>
      </c>
      <c r="AM26" s="367">
        <v>0</v>
      </c>
      <c r="AN26" s="367">
        <v>0</v>
      </c>
      <c r="AO26" s="367">
        <v>0</v>
      </c>
      <c r="AP26" s="367">
        <v>0</v>
      </c>
      <c r="AQ26" s="367">
        <v>0</v>
      </c>
      <c r="AR26" s="367">
        <v>0</v>
      </c>
      <c r="AS26" s="367">
        <v>0</v>
      </c>
      <c r="AT26" s="366">
        <v>0</v>
      </c>
      <c r="AU26" s="367">
        <v>0</v>
      </c>
      <c r="AV26" s="367">
        <v>0</v>
      </c>
      <c r="AW26" s="367">
        <v>0</v>
      </c>
      <c r="AX26" s="367">
        <v>0</v>
      </c>
      <c r="AY26" s="367">
        <v>0</v>
      </c>
      <c r="AZ26" s="366">
        <v>0</v>
      </c>
      <c r="BA26" s="367">
        <v>0</v>
      </c>
      <c r="BB26" s="367">
        <v>0</v>
      </c>
      <c r="BC26" s="367">
        <v>0</v>
      </c>
      <c r="BD26" s="367">
        <v>0</v>
      </c>
      <c r="BE26" s="367">
        <v>0</v>
      </c>
      <c r="BF26" s="367">
        <v>0</v>
      </c>
      <c r="BG26" s="367">
        <v>0</v>
      </c>
      <c r="BH26" s="367">
        <v>0</v>
      </c>
      <c r="BI26" s="367">
        <v>0</v>
      </c>
      <c r="BJ26" s="367">
        <v>0</v>
      </c>
      <c r="BK26" s="367">
        <v>0</v>
      </c>
      <c r="BL26" s="367">
        <v>0</v>
      </c>
      <c r="BM26" s="367">
        <v>0</v>
      </c>
      <c r="BN26" s="367">
        <v>0</v>
      </c>
      <c r="BO26" s="366">
        <v>0</v>
      </c>
      <c r="BP26" s="367">
        <v>0</v>
      </c>
      <c r="BQ26" s="367">
        <v>0</v>
      </c>
      <c r="BR26" s="368">
        <v>0</v>
      </c>
      <c r="BS26" s="368">
        <v>1.6360000000000001</v>
      </c>
      <c r="BT26" s="366">
        <v>0</v>
      </c>
    </row>
    <row r="27" spans="1:72">
      <c r="A27" s="362" t="s">
        <v>549</v>
      </c>
      <c r="B27" s="363" t="s">
        <v>597</v>
      </c>
      <c r="C27" s="363"/>
      <c r="D27" s="363"/>
      <c r="E27" s="363"/>
      <c r="F27" s="364" t="s">
        <v>598</v>
      </c>
      <c r="G27" s="364"/>
      <c r="H27" s="365">
        <v>0</v>
      </c>
      <c r="I27" s="366">
        <v>0</v>
      </c>
      <c r="J27" s="367">
        <v>0</v>
      </c>
      <c r="K27" s="367">
        <v>0</v>
      </c>
      <c r="L27" s="367">
        <v>0</v>
      </c>
      <c r="M27" s="367">
        <v>0</v>
      </c>
      <c r="N27" s="367">
        <v>0</v>
      </c>
      <c r="O27" s="367">
        <v>0</v>
      </c>
      <c r="P27" s="367">
        <v>0</v>
      </c>
      <c r="Q27" s="367">
        <v>0</v>
      </c>
      <c r="R27" s="367">
        <v>0</v>
      </c>
      <c r="S27" s="367">
        <v>0</v>
      </c>
      <c r="T27" s="367">
        <v>0</v>
      </c>
      <c r="U27" s="367">
        <v>0</v>
      </c>
      <c r="V27" s="367">
        <v>0</v>
      </c>
      <c r="W27" s="366">
        <v>0</v>
      </c>
      <c r="X27" s="367">
        <v>0</v>
      </c>
      <c r="Y27" s="367">
        <v>0</v>
      </c>
      <c r="Z27" s="367">
        <v>0</v>
      </c>
      <c r="AA27" s="367">
        <v>0</v>
      </c>
      <c r="AB27" s="367">
        <v>0</v>
      </c>
      <c r="AC27" s="367">
        <v>0</v>
      </c>
      <c r="AD27" s="367">
        <v>0</v>
      </c>
      <c r="AE27" s="367">
        <v>0</v>
      </c>
      <c r="AF27" s="367">
        <v>0</v>
      </c>
      <c r="AG27" s="367">
        <v>0</v>
      </c>
      <c r="AH27" s="367">
        <v>0</v>
      </c>
      <c r="AI27" s="367">
        <v>0</v>
      </c>
      <c r="AJ27" s="367">
        <v>0</v>
      </c>
      <c r="AK27" s="367">
        <v>0</v>
      </c>
      <c r="AL27" s="367">
        <v>0</v>
      </c>
      <c r="AM27" s="367">
        <v>0</v>
      </c>
      <c r="AN27" s="367">
        <v>0</v>
      </c>
      <c r="AO27" s="367">
        <v>0</v>
      </c>
      <c r="AP27" s="367">
        <v>0</v>
      </c>
      <c r="AQ27" s="367">
        <v>0</v>
      </c>
      <c r="AR27" s="367">
        <v>0</v>
      </c>
      <c r="AS27" s="367">
        <v>0</v>
      </c>
      <c r="AT27" s="366">
        <v>0</v>
      </c>
      <c r="AU27" s="367">
        <v>0</v>
      </c>
      <c r="AV27" s="367">
        <v>0</v>
      </c>
      <c r="AW27" s="367">
        <v>0</v>
      </c>
      <c r="AX27" s="367">
        <v>0</v>
      </c>
      <c r="AY27" s="367">
        <v>0</v>
      </c>
      <c r="AZ27" s="366">
        <v>0</v>
      </c>
      <c r="BA27" s="367">
        <v>0</v>
      </c>
      <c r="BB27" s="367">
        <v>0</v>
      </c>
      <c r="BC27" s="367">
        <v>0</v>
      </c>
      <c r="BD27" s="367">
        <v>0</v>
      </c>
      <c r="BE27" s="367">
        <v>0</v>
      </c>
      <c r="BF27" s="367">
        <v>0</v>
      </c>
      <c r="BG27" s="367">
        <v>0</v>
      </c>
      <c r="BH27" s="367">
        <v>0</v>
      </c>
      <c r="BI27" s="367">
        <v>0</v>
      </c>
      <c r="BJ27" s="367">
        <v>0</v>
      </c>
      <c r="BK27" s="367">
        <v>0</v>
      </c>
      <c r="BL27" s="367">
        <v>0</v>
      </c>
      <c r="BM27" s="367">
        <v>0</v>
      </c>
      <c r="BN27" s="367">
        <v>0</v>
      </c>
      <c r="BO27" s="366">
        <v>0</v>
      </c>
      <c r="BP27" s="367">
        <v>0</v>
      </c>
      <c r="BQ27" s="367">
        <v>0</v>
      </c>
      <c r="BR27" s="368">
        <v>0</v>
      </c>
      <c r="BS27" s="368">
        <v>0</v>
      </c>
      <c r="BT27" s="366">
        <v>0</v>
      </c>
    </row>
    <row r="28" spans="1:72">
      <c r="A28" s="362" t="s">
        <v>549</v>
      </c>
      <c r="B28" s="363" t="s">
        <v>599</v>
      </c>
      <c r="C28" s="363"/>
      <c r="D28" s="363"/>
      <c r="E28" s="363"/>
      <c r="F28" s="364" t="s">
        <v>600</v>
      </c>
      <c r="G28" s="364"/>
      <c r="H28" s="365">
        <v>0</v>
      </c>
      <c r="I28" s="366">
        <v>0</v>
      </c>
      <c r="J28" s="367">
        <v>0</v>
      </c>
      <c r="K28" s="367">
        <v>0</v>
      </c>
      <c r="L28" s="367">
        <v>0</v>
      </c>
      <c r="M28" s="367">
        <v>0</v>
      </c>
      <c r="N28" s="367">
        <v>0</v>
      </c>
      <c r="O28" s="367">
        <v>0</v>
      </c>
      <c r="P28" s="367">
        <v>0</v>
      </c>
      <c r="Q28" s="367">
        <v>0</v>
      </c>
      <c r="R28" s="367">
        <v>0</v>
      </c>
      <c r="S28" s="367">
        <v>0</v>
      </c>
      <c r="T28" s="367">
        <v>0</v>
      </c>
      <c r="U28" s="367">
        <v>0</v>
      </c>
      <c r="V28" s="367">
        <v>0</v>
      </c>
      <c r="W28" s="366">
        <v>0</v>
      </c>
      <c r="X28" s="367">
        <v>0</v>
      </c>
      <c r="Y28" s="367">
        <v>0</v>
      </c>
      <c r="Z28" s="367">
        <v>0</v>
      </c>
      <c r="AA28" s="367">
        <v>0</v>
      </c>
      <c r="AB28" s="367">
        <v>0</v>
      </c>
      <c r="AC28" s="367">
        <v>0</v>
      </c>
      <c r="AD28" s="367">
        <v>0</v>
      </c>
      <c r="AE28" s="367">
        <v>0</v>
      </c>
      <c r="AF28" s="367">
        <v>0</v>
      </c>
      <c r="AG28" s="367">
        <v>0</v>
      </c>
      <c r="AH28" s="367">
        <v>0</v>
      </c>
      <c r="AI28" s="367">
        <v>0</v>
      </c>
      <c r="AJ28" s="367">
        <v>0</v>
      </c>
      <c r="AK28" s="367">
        <v>0</v>
      </c>
      <c r="AL28" s="367">
        <v>0</v>
      </c>
      <c r="AM28" s="367">
        <v>0</v>
      </c>
      <c r="AN28" s="367">
        <v>0</v>
      </c>
      <c r="AO28" s="367">
        <v>0</v>
      </c>
      <c r="AP28" s="367">
        <v>0</v>
      </c>
      <c r="AQ28" s="367">
        <v>0</v>
      </c>
      <c r="AR28" s="367">
        <v>0</v>
      </c>
      <c r="AS28" s="367">
        <v>0</v>
      </c>
      <c r="AT28" s="366">
        <v>0</v>
      </c>
      <c r="AU28" s="367">
        <v>0</v>
      </c>
      <c r="AV28" s="367">
        <v>0</v>
      </c>
      <c r="AW28" s="367">
        <v>0</v>
      </c>
      <c r="AX28" s="367">
        <v>0</v>
      </c>
      <c r="AY28" s="367">
        <v>0</v>
      </c>
      <c r="AZ28" s="366">
        <v>0</v>
      </c>
      <c r="BA28" s="367">
        <v>0</v>
      </c>
      <c r="BB28" s="367">
        <v>0</v>
      </c>
      <c r="BC28" s="367">
        <v>0</v>
      </c>
      <c r="BD28" s="367">
        <v>0</v>
      </c>
      <c r="BE28" s="367">
        <v>0</v>
      </c>
      <c r="BF28" s="367">
        <v>0</v>
      </c>
      <c r="BG28" s="367">
        <v>0</v>
      </c>
      <c r="BH28" s="367">
        <v>0</v>
      </c>
      <c r="BI28" s="367">
        <v>0</v>
      </c>
      <c r="BJ28" s="367">
        <v>0</v>
      </c>
      <c r="BK28" s="367">
        <v>0</v>
      </c>
      <c r="BL28" s="367">
        <v>0</v>
      </c>
      <c r="BM28" s="367">
        <v>0</v>
      </c>
      <c r="BN28" s="367">
        <v>0</v>
      </c>
      <c r="BO28" s="366">
        <v>0</v>
      </c>
      <c r="BP28" s="367">
        <v>0</v>
      </c>
      <c r="BQ28" s="367">
        <v>0</v>
      </c>
      <c r="BR28" s="368">
        <v>0</v>
      </c>
      <c r="BS28" s="368">
        <v>0</v>
      </c>
      <c r="BT28" s="366">
        <v>0</v>
      </c>
    </row>
    <row r="29" spans="1:72">
      <c r="A29" s="362" t="s">
        <v>549</v>
      </c>
      <c r="B29" s="363" t="s">
        <v>601</v>
      </c>
      <c r="C29" s="363"/>
      <c r="D29" s="363"/>
      <c r="E29" s="363"/>
      <c r="F29" s="364" t="s">
        <v>602</v>
      </c>
      <c r="G29" s="364"/>
      <c r="H29" s="365">
        <v>2.4870000000000001</v>
      </c>
      <c r="I29" s="366">
        <v>2.4870000000000001</v>
      </c>
      <c r="J29" s="367">
        <v>0</v>
      </c>
      <c r="K29" s="367">
        <v>0</v>
      </c>
      <c r="L29" s="367">
        <v>0</v>
      </c>
      <c r="M29" s="367">
        <v>0</v>
      </c>
      <c r="N29" s="367">
        <v>0</v>
      </c>
      <c r="O29" s="367">
        <v>0</v>
      </c>
      <c r="P29" s="367">
        <v>2.4870000000000001</v>
      </c>
      <c r="Q29" s="367">
        <v>0</v>
      </c>
      <c r="R29" s="367">
        <v>0</v>
      </c>
      <c r="S29" s="367">
        <v>0</v>
      </c>
      <c r="T29" s="367">
        <v>0</v>
      </c>
      <c r="U29" s="367">
        <v>0</v>
      </c>
      <c r="V29" s="367">
        <v>0</v>
      </c>
      <c r="W29" s="366">
        <v>0</v>
      </c>
      <c r="X29" s="367">
        <v>0</v>
      </c>
      <c r="Y29" s="367">
        <v>0</v>
      </c>
      <c r="Z29" s="367">
        <v>0</v>
      </c>
      <c r="AA29" s="367">
        <v>0</v>
      </c>
      <c r="AB29" s="367">
        <v>0</v>
      </c>
      <c r="AC29" s="367">
        <v>0</v>
      </c>
      <c r="AD29" s="367">
        <v>0</v>
      </c>
      <c r="AE29" s="367">
        <v>0</v>
      </c>
      <c r="AF29" s="367">
        <v>0</v>
      </c>
      <c r="AG29" s="367">
        <v>0</v>
      </c>
      <c r="AH29" s="367">
        <v>0</v>
      </c>
      <c r="AI29" s="367">
        <v>0</v>
      </c>
      <c r="AJ29" s="367">
        <v>0</v>
      </c>
      <c r="AK29" s="367">
        <v>0</v>
      </c>
      <c r="AL29" s="367">
        <v>0</v>
      </c>
      <c r="AM29" s="367">
        <v>0</v>
      </c>
      <c r="AN29" s="367">
        <v>0</v>
      </c>
      <c r="AO29" s="367">
        <v>0</v>
      </c>
      <c r="AP29" s="367">
        <v>0</v>
      </c>
      <c r="AQ29" s="367">
        <v>0</v>
      </c>
      <c r="AR29" s="367">
        <v>0</v>
      </c>
      <c r="AS29" s="367">
        <v>0</v>
      </c>
      <c r="AT29" s="366">
        <v>0</v>
      </c>
      <c r="AU29" s="367">
        <v>0</v>
      </c>
      <c r="AV29" s="367">
        <v>0</v>
      </c>
      <c r="AW29" s="367">
        <v>0</v>
      </c>
      <c r="AX29" s="367">
        <v>0</v>
      </c>
      <c r="AY29" s="367">
        <v>0</v>
      </c>
      <c r="AZ29" s="366">
        <v>0</v>
      </c>
      <c r="BA29" s="367">
        <v>0</v>
      </c>
      <c r="BB29" s="367">
        <v>0</v>
      </c>
      <c r="BC29" s="367">
        <v>0</v>
      </c>
      <c r="BD29" s="367">
        <v>0</v>
      </c>
      <c r="BE29" s="367">
        <v>0</v>
      </c>
      <c r="BF29" s="367">
        <v>0</v>
      </c>
      <c r="BG29" s="367">
        <v>0</v>
      </c>
      <c r="BH29" s="367">
        <v>0</v>
      </c>
      <c r="BI29" s="367">
        <v>0</v>
      </c>
      <c r="BJ29" s="367">
        <v>0</v>
      </c>
      <c r="BK29" s="367">
        <v>0</v>
      </c>
      <c r="BL29" s="367">
        <v>0</v>
      </c>
      <c r="BM29" s="367">
        <v>0</v>
      </c>
      <c r="BN29" s="367">
        <v>0</v>
      </c>
      <c r="BO29" s="366">
        <v>0</v>
      </c>
      <c r="BP29" s="367">
        <v>0</v>
      </c>
      <c r="BQ29" s="367">
        <v>0</v>
      </c>
      <c r="BR29" s="368">
        <v>0</v>
      </c>
      <c r="BS29" s="368">
        <v>0</v>
      </c>
      <c r="BT29" s="366">
        <v>0</v>
      </c>
    </row>
    <row r="30" spans="1:72">
      <c r="A30" s="362" t="s">
        <v>549</v>
      </c>
      <c r="B30" s="363" t="s">
        <v>603</v>
      </c>
      <c r="C30" s="363"/>
      <c r="D30" s="363"/>
      <c r="E30" s="363"/>
      <c r="F30" s="364" t="s">
        <v>604</v>
      </c>
      <c r="G30" s="364"/>
      <c r="H30" s="365">
        <v>0</v>
      </c>
      <c r="I30" s="366">
        <v>0</v>
      </c>
      <c r="J30" s="367">
        <v>0</v>
      </c>
      <c r="K30" s="367">
        <v>0</v>
      </c>
      <c r="L30" s="367">
        <v>0</v>
      </c>
      <c r="M30" s="367">
        <v>0</v>
      </c>
      <c r="N30" s="367">
        <v>0</v>
      </c>
      <c r="O30" s="367">
        <v>0</v>
      </c>
      <c r="P30" s="367">
        <v>0</v>
      </c>
      <c r="Q30" s="367">
        <v>0</v>
      </c>
      <c r="R30" s="367">
        <v>0</v>
      </c>
      <c r="S30" s="367">
        <v>0</v>
      </c>
      <c r="T30" s="367">
        <v>0</v>
      </c>
      <c r="U30" s="367">
        <v>0</v>
      </c>
      <c r="V30" s="367">
        <v>0</v>
      </c>
      <c r="W30" s="366">
        <v>0</v>
      </c>
      <c r="X30" s="367">
        <v>0</v>
      </c>
      <c r="Y30" s="367">
        <v>0</v>
      </c>
      <c r="Z30" s="367">
        <v>0</v>
      </c>
      <c r="AA30" s="367">
        <v>0</v>
      </c>
      <c r="AB30" s="367">
        <v>0</v>
      </c>
      <c r="AC30" s="367">
        <v>0</v>
      </c>
      <c r="AD30" s="367">
        <v>0</v>
      </c>
      <c r="AE30" s="367">
        <v>0</v>
      </c>
      <c r="AF30" s="367">
        <v>0</v>
      </c>
      <c r="AG30" s="367">
        <v>0</v>
      </c>
      <c r="AH30" s="367">
        <v>0</v>
      </c>
      <c r="AI30" s="367">
        <v>0</v>
      </c>
      <c r="AJ30" s="367">
        <v>0</v>
      </c>
      <c r="AK30" s="367">
        <v>0</v>
      </c>
      <c r="AL30" s="367">
        <v>0</v>
      </c>
      <c r="AM30" s="367">
        <v>0</v>
      </c>
      <c r="AN30" s="367">
        <v>0</v>
      </c>
      <c r="AO30" s="367">
        <v>0</v>
      </c>
      <c r="AP30" s="367">
        <v>0</v>
      </c>
      <c r="AQ30" s="367">
        <v>0</v>
      </c>
      <c r="AR30" s="367">
        <v>0</v>
      </c>
      <c r="AS30" s="367">
        <v>0</v>
      </c>
      <c r="AT30" s="366">
        <v>0</v>
      </c>
      <c r="AU30" s="367">
        <v>0</v>
      </c>
      <c r="AV30" s="367">
        <v>0</v>
      </c>
      <c r="AW30" s="367">
        <v>0</v>
      </c>
      <c r="AX30" s="367">
        <v>0</v>
      </c>
      <c r="AY30" s="367">
        <v>0</v>
      </c>
      <c r="AZ30" s="366">
        <v>0</v>
      </c>
      <c r="BA30" s="367">
        <v>0</v>
      </c>
      <c r="BB30" s="367">
        <v>0</v>
      </c>
      <c r="BC30" s="367">
        <v>0</v>
      </c>
      <c r="BD30" s="367">
        <v>0</v>
      </c>
      <c r="BE30" s="367">
        <v>0</v>
      </c>
      <c r="BF30" s="367">
        <v>0</v>
      </c>
      <c r="BG30" s="367">
        <v>0</v>
      </c>
      <c r="BH30" s="367">
        <v>0</v>
      </c>
      <c r="BI30" s="367">
        <v>0</v>
      </c>
      <c r="BJ30" s="367">
        <v>0</v>
      </c>
      <c r="BK30" s="367">
        <v>0</v>
      </c>
      <c r="BL30" s="367">
        <v>0</v>
      </c>
      <c r="BM30" s="367">
        <v>0</v>
      </c>
      <c r="BN30" s="367">
        <v>0</v>
      </c>
      <c r="BO30" s="366">
        <v>0</v>
      </c>
      <c r="BP30" s="367">
        <v>0</v>
      </c>
      <c r="BQ30" s="367">
        <v>0</v>
      </c>
      <c r="BR30" s="368">
        <v>0</v>
      </c>
      <c r="BS30" s="368">
        <v>0</v>
      </c>
      <c r="BT30" s="366">
        <v>0</v>
      </c>
    </row>
    <row r="31" spans="1:72">
      <c r="A31" s="362" t="s">
        <v>549</v>
      </c>
      <c r="B31" s="363" t="s">
        <v>605</v>
      </c>
      <c r="C31" s="363"/>
      <c r="D31" s="363"/>
      <c r="E31" s="363"/>
      <c r="F31" s="364" t="s">
        <v>606</v>
      </c>
      <c r="G31" s="364"/>
      <c r="H31" s="365">
        <v>608.54000000000008</v>
      </c>
      <c r="I31" s="366">
        <v>0</v>
      </c>
      <c r="J31" s="367">
        <v>0</v>
      </c>
      <c r="K31" s="367">
        <v>0</v>
      </c>
      <c r="L31" s="367">
        <v>0</v>
      </c>
      <c r="M31" s="367">
        <v>0</v>
      </c>
      <c r="N31" s="367">
        <v>0</v>
      </c>
      <c r="O31" s="367">
        <v>0</v>
      </c>
      <c r="P31" s="367">
        <v>0</v>
      </c>
      <c r="Q31" s="367">
        <v>0</v>
      </c>
      <c r="R31" s="367">
        <v>0</v>
      </c>
      <c r="S31" s="367">
        <v>0</v>
      </c>
      <c r="T31" s="367">
        <v>0</v>
      </c>
      <c r="U31" s="367">
        <v>0</v>
      </c>
      <c r="V31" s="367">
        <v>0</v>
      </c>
      <c r="W31" s="366">
        <v>608.54000000000008</v>
      </c>
      <c r="X31" s="367">
        <v>538.79899999999998</v>
      </c>
      <c r="Y31" s="367">
        <v>0</v>
      </c>
      <c r="Z31" s="367">
        <v>64.846000000000004</v>
      </c>
      <c r="AA31" s="367">
        <v>4.8940000000000001</v>
      </c>
      <c r="AB31" s="367">
        <v>0</v>
      </c>
      <c r="AC31" s="367">
        <v>0</v>
      </c>
      <c r="AD31" s="367">
        <v>0</v>
      </c>
      <c r="AE31" s="367">
        <v>0</v>
      </c>
      <c r="AF31" s="367">
        <v>0</v>
      </c>
      <c r="AG31" s="367">
        <v>0</v>
      </c>
      <c r="AH31" s="367">
        <v>0</v>
      </c>
      <c r="AI31" s="367">
        <v>0</v>
      </c>
      <c r="AJ31" s="367">
        <v>0</v>
      </c>
      <c r="AK31" s="367">
        <v>0</v>
      </c>
      <c r="AL31" s="367">
        <v>0</v>
      </c>
      <c r="AM31" s="367">
        <v>0</v>
      </c>
      <c r="AN31" s="367">
        <v>0</v>
      </c>
      <c r="AO31" s="367">
        <v>0</v>
      </c>
      <c r="AP31" s="367">
        <v>0</v>
      </c>
      <c r="AQ31" s="367">
        <v>0</v>
      </c>
      <c r="AR31" s="367">
        <v>0</v>
      </c>
      <c r="AS31" s="367">
        <v>0</v>
      </c>
      <c r="AT31" s="366">
        <v>0</v>
      </c>
      <c r="AU31" s="367">
        <v>0</v>
      </c>
      <c r="AV31" s="367">
        <v>0</v>
      </c>
      <c r="AW31" s="367">
        <v>0</v>
      </c>
      <c r="AX31" s="367">
        <v>0</v>
      </c>
      <c r="AY31" s="367">
        <v>0</v>
      </c>
      <c r="AZ31" s="366">
        <v>0</v>
      </c>
      <c r="BA31" s="367">
        <v>0</v>
      </c>
      <c r="BB31" s="367">
        <v>0</v>
      </c>
      <c r="BC31" s="367">
        <v>0</v>
      </c>
      <c r="BD31" s="367">
        <v>0</v>
      </c>
      <c r="BE31" s="367">
        <v>0</v>
      </c>
      <c r="BF31" s="367">
        <v>0</v>
      </c>
      <c r="BG31" s="367">
        <v>0</v>
      </c>
      <c r="BH31" s="367">
        <v>0</v>
      </c>
      <c r="BI31" s="367">
        <v>0</v>
      </c>
      <c r="BJ31" s="367">
        <v>0</v>
      </c>
      <c r="BK31" s="367">
        <v>0</v>
      </c>
      <c r="BL31" s="367">
        <v>0</v>
      </c>
      <c r="BM31" s="367">
        <v>0</v>
      </c>
      <c r="BN31" s="367">
        <v>0</v>
      </c>
      <c r="BO31" s="366">
        <v>0</v>
      </c>
      <c r="BP31" s="367">
        <v>0</v>
      </c>
      <c r="BQ31" s="367">
        <v>0</v>
      </c>
      <c r="BR31" s="368">
        <v>0</v>
      </c>
      <c r="BS31" s="368">
        <v>0</v>
      </c>
      <c r="BT31" s="366">
        <v>0</v>
      </c>
    </row>
    <row r="32" spans="1:72">
      <c r="A32" s="362" t="s">
        <v>549</v>
      </c>
      <c r="B32" s="363" t="s">
        <v>607</v>
      </c>
      <c r="C32" s="363"/>
      <c r="D32" s="363"/>
      <c r="E32" s="363"/>
      <c r="F32" s="364" t="s">
        <v>608</v>
      </c>
      <c r="G32" s="364"/>
      <c r="H32" s="365">
        <v>15.035000000000002</v>
      </c>
      <c r="I32" s="366">
        <v>0</v>
      </c>
      <c r="J32" s="367">
        <v>0</v>
      </c>
      <c r="K32" s="367">
        <v>0</v>
      </c>
      <c r="L32" s="367">
        <v>0</v>
      </c>
      <c r="M32" s="367">
        <v>0</v>
      </c>
      <c r="N32" s="367">
        <v>0</v>
      </c>
      <c r="O32" s="367">
        <v>0</v>
      </c>
      <c r="P32" s="367">
        <v>0</v>
      </c>
      <c r="Q32" s="367">
        <v>0</v>
      </c>
      <c r="R32" s="367">
        <v>0</v>
      </c>
      <c r="S32" s="367">
        <v>0</v>
      </c>
      <c r="T32" s="367">
        <v>0</v>
      </c>
      <c r="U32" s="367">
        <v>0</v>
      </c>
      <c r="V32" s="367">
        <v>0</v>
      </c>
      <c r="W32" s="366">
        <v>3.3420000000000001</v>
      </c>
      <c r="X32" s="367">
        <v>0</v>
      </c>
      <c r="Y32" s="367">
        <v>0</v>
      </c>
      <c r="Z32" s="367">
        <v>0</v>
      </c>
      <c r="AA32" s="367">
        <v>0</v>
      </c>
      <c r="AB32" s="367">
        <v>0</v>
      </c>
      <c r="AC32" s="367">
        <v>0</v>
      </c>
      <c r="AD32" s="367">
        <v>0</v>
      </c>
      <c r="AE32" s="367">
        <v>0.55299999999999994</v>
      </c>
      <c r="AF32" s="367">
        <v>0</v>
      </c>
      <c r="AG32" s="367">
        <v>0</v>
      </c>
      <c r="AH32" s="367">
        <v>0</v>
      </c>
      <c r="AI32" s="367">
        <v>0</v>
      </c>
      <c r="AJ32" s="367">
        <v>0</v>
      </c>
      <c r="AK32" s="367">
        <v>0</v>
      </c>
      <c r="AL32" s="367">
        <v>2.7880000000000003</v>
      </c>
      <c r="AM32" s="367">
        <v>0</v>
      </c>
      <c r="AN32" s="367">
        <v>0</v>
      </c>
      <c r="AO32" s="367">
        <v>0</v>
      </c>
      <c r="AP32" s="367">
        <v>0</v>
      </c>
      <c r="AQ32" s="367">
        <v>0</v>
      </c>
      <c r="AR32" s="367">
        <v>0</v>
      </c>
      <c r="AS32" s="367">
        <v>0</v>
      </c>
      <c r="AT32" s="366">
        <v>0.70000000000000007</v>
      </c>
      <c r="AU32" s="367">
        <v>0.67699999999999994</v>
      </c>
      <c r="AV32" s="367">
        <v>0</v>
      </c>
      <c r="AW32" s="367">
        <v>2.3E-2</v>
      </c>
      <c r="AX32" s="367">
        <v>0</v>
      </c>
      <c r="AY32" s="367">
        <v>0</v>
      </c>
      <c r="AZ32" s="366">
        <v>6.452</v>
      </c>
      <c r="BA32" s="367">
        <v>0</v>
      </c>
      <c r="BB32" s="367">
        <v>0</v>
      </c>
      <c r="BC32" s="367">
        <v>0</v>
      </c>
      <c r="BD32" s="367">
        <v>0</v>
      </c>
      <c r="BE32" s="367">
        <v>0</v>
      </c>
      <c r="BF32" s="367">
        <v>4.7549999999999999</v>
      </c>
      <c r="BG32" s="367">
        <v>0</v>
      </c>
      <c r="BH32" s="367">
        <v>7.6999999999999999E-2</v>
      </c>
      <c r="BI32" s="367">
        <v>1.62</v>
      </c>
      <c r="BJ32" s="367">
        <v>0</v>
      </c>
      <c r="BK32" s="367">
        <v>0</v>
      </c>
      <c r="BL32" s="367">
        <v>0</v>
      </c>
      <c r="BM32" s="367">
        <v>0</v>
      </c>
      <c r="BN32" s="367">
        <v>0</v>
      </c>
      <c r="BO32" s="366">
        <v>1.4959999999999998</v>
      </c>
      <c r="BP32" s="367">
        <v>0</v>
      </c>
      <c r="BQ32" s="367">
        <v>1.4959999999999998</v>
      </c>
      <c r="BR32" s="368">
        <v>0</v>
      </c>
      <c r="BS32" s="368">
        <v>0</v>
      </c>
      <c r="BT32" s="366">
        <v>3.0460000000000003</v>
      </c>
    </row>
    <row r="33" spans="1:72">
      <c r="A33" s="369"/>
      <c r="B33" s="362" t="s">
        <v>549</v>
      </c>
      <c r="C33" s="363" t="s">
        <v>609</v>
      </c>
      <c r="D33" s="363"/>
      <c r="E33" s="363"/>
      <c r="F33" s="364" t="s">
        <v>610</v>
      </c>
      <c r="G33" s="364"/>
      <c r="H33" s="365">
        <v>11.99</v>
      </c>
      <c r="I33" s="366">
        <v>0</v>
      </c>
      <c r="J33" s="367">
        <v>0</v>
      </c>
      <c r="K33" s="367">
        <v>0</v>
      </c>
      <c r="L33" s="367">
        <v>0</v>
      </c>
      <c r="M33" s="367">
        <v>0</v>
      </c>
      <c r="N33" s="367">
        <v>0</v>
      </c>
      <c r="O33" s="367">
        <v>0</v>
      </c>
      <c r="P33" s="367">
        <v>0</v>
      </c>
      <c r="Q33" s="367">
        <v>0</v>
      </c>
      <c r="R33" s="367">
        <v>0</v>
      </c>
      <c r="S33" s="367">
        <v>0</v>
      </c>
      <c r="T33" s="367">
        <v>0</v>
      </c>
      <c r="U33" s="367">
        <v>0</v>
      </c>
      <c r="V33" s="367">
        <v>0</v>
      </c>
      <c r="W33" s="366">
        <v>3.3420000000000001</v>
      </c>
      <c r="X33" s="367">
        <v>0</v>
      </c>
      <c r="Y33" s="367">
        <v>0</v>
      </c>
      <c r="Z33" s="367">
        <v>0</v>
      </c>
      <c r="AA33" s="367">
        <v>0</v>
      </c>
      <c r="AB33" s="367">
        <v>0</v>
      </c>
      <c r="AC33" s="367">
        <v>0</v>
      </c>
      <c r="AD33" s="367">
        <v>0</v>
      </c>
      <c r="AE33" s="367">
        <v>0.55299999999999994</v>
      </c>
      <c r="AF33" s="367">
        <v>0</v>
      </c>
      <c r="AG33" s="367">
        <v>0</v>
      </c>
      <c r="AH33" s="367">
        <v>0</v>
      </c>
      <c r="AI33" s="367">
        <v>0</v>
      </c>
      <c r="AJ33" s="367">
        <v>0</v>
      </c>
      <c r="AK33" s="367">
        <v>0</v>
      </c>
      <c r="AL33" s="367">
        <v>2.7880000000000003</v>
      </c>
      <c r="AM33" s="367">
        <v>0</v>
      </c>
      <c r="AN33" s="367">
        <v>0</v>
      </c>
      <c r="AO33" s="367">
        <v>0</v>
      </c>
      <c r="AP33" s="367">
        <v>0</v>
      </c>
      <c r="AQ33" s="367">
        <v>0</v>
      </c>
      <c r="AR33" s="367">
        <v>0</v>
      </c>
      <c r="AS33" s="367">
        <v>0</v>
      </c>
      <c r="AT33" s="366">
        <v>0.70000000000000007</v>
      </c>
      <c r="AU33" s="367">
        <v>0.67699999999999994</v>
      </c>
      <c r="AV33" s="367">
        <v>0</v>
      </c>
      <c r="AW33" s="367">
        <v>2.3E-2</v>
      </c>
      <c r="AX33" s="367">
        <v>0</v>
      </c>
      <c r="AY33" s="367">
        <v>0</v>
      </c>
      <c r="AZ33" s="366">
        <v>6.452</v>
      </c>
      <c r="BA33" s="367">
        <v>0</v>
      </c>
      <c r="BB33" s="367">
        <v>0</v>
      </c>
      <c r="BC33" s="367">
        <v>0</v>
      </c>
      <c r="BD33" s="367">
        <v>0</v>
      </c>
      <c r="BE33" s="367">
        <v>0</v>
      </c>
      <c r="BF33" s="367">
        <v>4.7549999999999999</v>
      </c>
      <c r="BG33" s="367">
        <v>0</v>
      </c>
      <c r="BH33" s="367">
        <v>7.6999999999999999E-2</v>
      </c>
      <c r="BI33" s="367">
        <v>1.62</v>
      </c>
      <c r="BJ33" s="367">
        <v>0</v>
      </c>
      <c r="BK33" s="367">
        <v>0</v>
      </c>
      <c r="BL33" s="367">
        <v>0</v>
      </c>
      <c r="BM33" s="367">
        <v>0</v>
      </c>
      <c r="BN33" s="367">
        <v>0</v>
      </c>
      <c r="BO33" s="366">
        <v>1.4959999999999998</v>
      </c>
      <c r="BP33" s="367">
        <v>0</v>
      </c>
      <c r="BQ33" s="367">
        <v>1.4959999999999998</v>
      </c>
      <c r="BR33" s="368">
        <v>0</v>
      </c>
      <c r="BS33" s="368">
        <v>0</v>
      </c>
      <c r="BT33" s="366">
        <v>0</v>
      </c>
    </row>
    <row r="34" spans="1:72">
      <c r="A34" s="369"/>
      <c r="B34" s="362" t="s">
        <v>549</v>
      </c>
      <c r="C34" s="363" t="s">
        <v>611</v>
      </c>
      <c r="D34" s="363"/>
      <c r="E34" s="363"/>
      <c r="F34" s="364" t="s">
        <v>612</v>
      </c>
      <c r="G34" s="364"/>
      <c r="H34" s="365">
        <v>0</v>
      </c>
      <c r="I34" s="366">
        <v>0</v>
      </c>
      <c r="J34" s="367">
        <v>0</v>
      </c>
      <c r="K34" s="367">
        <v>0</v>
      </c>
      <c r="L34" s="367">
        <v>0</v>
      </c>
      <c r="M34" s="367">
        <v>0</v>
      </c>
      <c r="N34" s="367">
        <v>0</v>
      </c>
      <c r="O34" s="367">
        <v>0</v>
      </c>
      <c r="P34" s="367">
        <v>0</v>
      </c>
      <c r="Q34" s="367">
        <v>0</v>
      </c>
      <c r="R34" s="367">
        <v>0</v>
      </c>
      <c r="S34" s="367">
        <v>0</v>
      </c>
      <c r="T34" s="367">
        <v>0</v>
      </c>
      <c r="U34" s="367">
        <v>0</v>
      </c>
      <c r="V34" s="367">
        <v>0</v>
      </c>
      <c r="W34" s="366">
        <v>0</v>
      </c>
      <c r="X34" s="367">
        <v>0</v>
      </c>
      <c r="Y34" s="367">
        <v>0</v>
      </c>
      <c r="Z34" s="367">
        <v>0</v>
      </c>
      <c r="AA34" s="367">
        <v>0</v>
      </c>
      <c r="AB34" s="367">
        <v>0</v>
      </c>
      <c r="AC34" s="367">
        <v>0</v>
      </c>
      <c r="AD34" s="367">
        <v>0</v>
      </c>
      <c r="AE34" s="367">
        <v>0</v>
      </c>
      <c r="AF34" s="367">
        <v>0</v>
      </c>
      <c r="AG34" s="367">
        <v>0</v>
      </c>
      <c r="AH34" s="367">
        <v>0</v>
      </c>
      <c r="AI34" s="367">
        <v>0</v>
      </c>
      <c r="AJ34" s="367">
        <v>0</v>
      </c>
      <c r="AK34" s="367">
        <v>0</v>
      </c>
      <c r="AL34" s="367">
        <v>0</v>
      </c>
      <c r="AM34" s="367">
        <v>0</v>
      </c>
      <c r="AN34" s="367">
        <v>0</v>
      </c>
      <c r="AO34" s="367">
        <v>0</v>
      </c>
      <c r="AP34" s="367">
        <v>0</v>
      </c>
      <c r="AQ34" s="367">
        <v>0</v>
      </c>
      <c r="AR34" s="367">
        <v>0</v>
      </c>
      <c r="AS34" s="367">
        <v>0</v>
      </c>
      <c r="AT34" s="366">
        <v>0</v>
      </c>
      <c r="AU34" s="367">
        <v>0</v>
      </c>
      <c r="AV34" s="367">
        <v>0</v>
      </c>
      <c r="AW34" s="367">
        <v>0</v>
      </c>
      <c r="AX34" s="367">
        <v>0</v>
      </c>
      <c r="AY34" s="367">
        <v>0</v>
      </c>
      <c r="AZ34" s="366">
        <v>0</v>
      </c>
      <c r="BA34" s="367">
        <v>0</v>
      </c>
      <c r="BB34" s="367">
        <v>0</v>
      </c>
      <c r="BC34" s="367">
        <v>0</v>
      </c>
      <c r="BD34" s="367">
        <v>0</v>
      </c>
      <c r="BE34" s="367">
        <v>0</v>
      </c>
      <c r="BF34" s="367">
        <v>0</v>
      </c>
      <c r="BG34" s="367">
        <v>0</v>
      </c>
      <c r="BH34" s="367">
        <v>0</v>
      </c>
      <c r="BI34" s="367">
        <v>0</v>
      </c>
      <c r="BJ34" s="367">
        <v>0</v>
      </c>
      <c r="BK34" s="367">
        <v>0</v>
      </c>
      <c r="BL34" s="367">
        <v>0</v>
      </c>
      <c r="BM34" s="367">
        <v>0</v>
      </c>
      <c r="BN34" s="367">
        <v>0</v>
      </c>
      <c r="BO34" s="366">
        <v>0</v>
      </c>
      <c r="BP34" s="367">
        <v>0</v>
      </c>
      <c r="BQ34" s="367">
        <v>0</v>
      </c>
      <c r="BR34" s="368">
        <v>0</v>
      </c>
      <c r="BS34" s="368">
        <v>0</v>
      </c>
      <c r="BT34" s="366">
        <v>0</v>
      </c>
    </row>
    <row r="35" spans="1:72">
      <c r="A35" s="369"/>
      <c r="B35" s="362" t="s">
        <v>549</v>
      </c>
      <c r="C35" s="363" t="s">
        <v>613</v>
      </c>
      <c r="D35" s="363"/>
      <c r="E35" s="363"/>
      <c r="F35" s="364" t="s">
        <v>614</v>
      </c>
      <c r="G35" s="364"/>
      <c r="H35" s="365">
        <v>0.64100000000000001</v>
      </c>
      <c r="I35" s="366">
        <v>0</v>
      </c>
      <c r="J35" s="367">
        <v>0</v>
      </c>
      <c r="K35" s="367">
        <v>0</v>
      </c>
      <c r="L35" s="367">
        <v>0</v>
      </c>
      <c r="M35" s="367">
        <v>0</v>
      </c>
      <c r="N35" s="367">
        <v>0</v>
      </c>
      <c r="O35" s="367">
        <v>0</v>
      </c>
      <c r="P35" s="367">
        <v>0</v>
      </c>
      <c r="Q35" s="367">
        <v>0</v>
      </c>
      <c r="R35" s="367">
        <v>0</v>
      </c>
      <c r="S35" s="367">
        <v>0</v>
      </c>
      <c r="T35" s="367">
        <v>0</v>
      </c>
      <c r="U35" s="367">
        <v>0</v>
      </c>
      <c r="V35" s="367">
        <v>0</v>
      </c>
      <c r="W35" s="366">
        <v>0</v>
      </c>
      <c r="X35" s="367">
        <v>0</v>
      </c>
      <c r="Y35" s="367">
        <v>0</v>
      </c>
      <c r="Z35" s="367">
        <v>0</v>
      </c>
      <c r="AA35" s="367">
        <v>0</v>
      </c>
      <c r="AB35" s="367">
        <v>0</v>
      </c>
      <c r="AC35" s="367">
        <v>0</v>
      </c>
      <c r="AD35" s="367">
        <v>0</v>
      </c>
      <c r="AE35" s="367">
        <v>0</v>
      </c>
      <c r="AF35" s="367">
        <v>0</v>
      </c>
      <c r="AG35" s="367">
        <v>0</v>
      </c>
      <c r="AH35" s="367">
        <v>0</v>
      </c>
      <c r="AI35" s="367">
        <v>0</v>
      </c>
      <c r="AJ35" s="367">
        <v>0</v>
      </c>
      <c r="AK35" s="367">
        <v>0</v>
      </c>
      <c r="AL35" s="367">
        <v>0</v>
      </c>
      <c r="AM35" s="367">
        <v>0</v>
      </c>
      <c r="AN35" s="367">
        <v>0</v>
      </c>
      <c r="AO35" s="367">
        <v>0</v>
      </c>
      <c r="AP35" s="367">
        <v>0</v>
      </c>
      <c r="AQ35" s="367">
        <v>0</v>
      </c>
      <c r="AR35" s="367">
        <v>0</v>
      </c>
      <c r="AS35" s="367">
        <v>0</v>
      </c>
      <c r="AT35" s="366">
        <v>0</v>
      </c>
      <c r="AU35" s="367">
        <v>0</v>
      </c>
      <c r="AV35" s="367">
        <v>0</v>
      </c>
      <c r="AW35" s="367">
        <v>0</v>
      </c>
      <c r="AX35" s="367">
        <v>0</v>
      </c>
      <c r="AY35" s="367">
        <v>0</v>
      </c>
      <c r="AZ35" s="366">
        <v>0</v>
      </c>
      <c r="BA35" s="367">
        <v>0</v>
      </c>
      <c r="BB35" s="367">
        <v>0</v>
      </c>
      <c r="BC35" s="367">
        <v>0</v>
      </c>
      <c r="BD35" s="367">
        <v>0</v>
      </c>
      <c r="BE35" s="367">
        <v>0</v>
      </c>
      <c r="BF35" s="367">
        <v>0</v>
      </c>
      <c r="BG35" s="367">
        <v>0</v>
      </c>
      <c r="BH35" s="367">
        <v>0</v>
      </c>
      <c r="BI35" s="367">
        <v>0</v>
      </c>
      <c r="BJ35" s="367">
        <v>0</v>
      </c>
      <c r="BK35" s="367">
        <v>0</v>
      </c>
      <c r="BL35" s="367">
        <v>0</v>
      </c>
      <c r="BM35" s="367">
        <v>0</v>
      </c>
      <c r="BN35" s="367">
        <v>0</v>
      </c>
      <c r="BO35" s="366">
        <v>0</v>
      </c>
      <c r="BP35" s="367">
        <v>0</v>
      </c>
      <c r="BQ35" s="367">
        <v>0</v>
      </c>
      <c r="BR35" s="368">
        <v>0</v>
      </c>
      <c r="BS35" s="368">
        <v>0</v>
      </c>
      <c r="BT35" s="366">
        <v>0.64100000000000001</v>
      </c>
    </row>
    <row r="36" spans="1:72">
      <c r="A36" s="369"/>
      <c r="B36" s="362" t="s">
        <v>549</v>
      </c>
      <c r="C36" s="363" t="s">
        <v>615</v>
      </c>
      <c r="D36" s="363"/>
      <c r="E36" s="363"/>
      <c r="F36" s="364" t="s">
        <v>616</v>
      </c>
      <c r="G36" s="364"/>
      <c r="H36" s="365">
        <v>2.4049999999999998</v>
      </c>
      <c r="I36" s="366">
        <v>0</v>
      </c>
      <c r="J36" s="367">
        <v>0</v>
      </c>
      <c r="K36" s="367">
        <v>0</v>
      </c>
      <c r="L36" s="367">
        <v>0</v>
      </c>
      <c r="M36" s="367">
        <v>0</v>
      </c>
      <c r="N36" s="367">
        <v>0</v>
      </c>
      <c r="O36" s="367">
        <v>0</v>
      </c>
      <c r="P36" s="367">
        <v>0</v>
      </c>
      <c r="Q36" s="367">
        <v>0</v>
      </c>
      <c r="R36" s="367">
        <v>0</v>
      </c>
      <c r="S36" s="367">
        <v>0</v>
      </c>
      <c r="T36" s="367">
        <v>0</v>
      </c>
      <c r="U36" s="367">
        <v>0</v>
      </c>
      <c r="V36" s="367">
        <v>0</v>
      </c>
      <c r="W36" s="366">
        <v>0</v>
      </c>
      <c r="X36" s="367">
        <v>0</v>
      </c>
      <c r="Y36" s="367">
        <v>0</v>
      </c>
      <c r="Z36" s="367">
        <v>0</v>
      </c>
      <c r="AA36" s="367">
        <v>0</v>
      </c>
      <c r="AB36" s="367">
        <v>0</v>
      </c>
      <c r="AC36" s="367">
        <v>0</v>
      </c>
      <c r="AD36" s="367">
        <v>0</v>
      </c>
      <c r="AE36" s="367">
        <v>0</v>
      </c>
      <c r="AF36" s="367">
        <v>0</v>
      </c>
      <c r="AG36" s="367">
        <v>0</v>
      </c>
      <c r="AH36" s="367">
        <v>0</v>
      </c>
      <c r="AI36" s="367">
        <v>0</v>
      </c>
      <c r="AJ36" s="367">
        <v>0</v>
      </c>
      <c r="AK36" s="367">
        <v>0</v>
      </c>
      <c r="AL36" s="367">
        <v>0</v>
      </c>
      <c r="AM36" s="367">
        <v>0</v>
      </c>
      <c r="AN36" s="367">
        <v>0</v>
      </c>
      <c r="AO36" s="367">
        <v>0</v>
      </c>
      <c r="AP36" s="367">
        <v>0</v>
      </c>
      <c r="AQ36" s="367">
        <v>0</v>
      </c>
      <c r="AR36" s="367">
        <v>0</v>
      </c>
      <c r="AS36" s="367">
        <v>0</v>
      </c>
      <c r="AT36" s="366">
        <v>0</v>
      </c>
      <c r="AU36" s="367">
        <v>0</v>
      </c>
      <c r="AV36" s="367">
        <v>0</v>
      </c>
      <c r="AW36" s="367">
        <v>0</v>
      </c>
      <c r="AX36" s="367">
        <v>0</v>
      </c>
      <c r="AY36" s="367">
        <v>0</v>
      </c>
      <c r="AZ36" s="366">
        <v>0</v>
      </c>
      <c r="BA36" s="367">
        <v>0</v>
      </c>
      <c r="BB36" s="367">
        <v>0</v>
      </c>
      <c r="BC36" s="367">
        <v>0</v>
      </c>
      <c r="BD36" s="367">
        <v>0</v>
      </c>
      <c r="BE36" s="367">
        <v>0</v>
      </c>
      <c r="BF36" s="367">
        <v>0</v>
      </c>
      <c r="BG36" s="367">
        <v>0</v>
      </c>
      <c r="BH36" s="367">
        <v>0</v>
      </c>
      <c r="BI36" s="367">
        <v>0</v>
      </c>
      <c r="BJ36" s="367">
        <v>0</v>
      </c>
      <c r="BK36" s="367">
        <v>0</v>
      </c>
      <c r="BL36" s="367">
        <v>0</v>
      </c>
      <c r="BM36" s="367">
        <v>0</v>
      </c>
      <c r="BN36" s="367">
        <v>0</v>
      </c>
      <c r="BO36" s="366">
        <v>0</v>
      </c>
      <c r="BP36" s="367">
        <v>0</v>
      </c>
      <c r="BQ36" s="367">
        <v>0</v>
      </c>
      <c r="BR36" s="368">
        <v>0</v>
      </c>
      <c r="BS36" s="368">
        <v>0</v>
      </c>
      <c r="BT36" s="366">
        <v>2.4049999999999998</v>
      </c>
    </row>
    <row r="37" spans="1:72">
      <c r="A37" s="362" t="s">
        <v>549</v>
      </c>
      <c r="B37" s="363" t="s">
        <v>617</v>
      </c>
      <c r="C37" s="363"/>
      <c r="D37" s="363"/>
      <c r="E37" s="363"/>
      <c r="F37" s="364" t="s">
        <v>618</v>
      </c>
      <c r="G37" s="364"/>
      <c r="H37" s="365">
        <v>0</v>
      </c>
      <c r="I37" s="366">
        <v>0</v>
      </c>
      <c r="J37" s="367">
        <v>0</v>
      </c>
      <c r="K37" s="367">
        <v>0</v>
      </c>
      <c r="L37" s="367">
        <v>0</v>
      </c>
      <c r="M37" s="367">
        <v>0</v>
      </c>
      <c r="N37" s="367">
        <v>0</v>
      </c>
      <c r="O37" s="367">
        <v>0</v>
      </c>
      <c r="P37" s="367">
        <v>0</v>
      </c>
      <c r="Q37" s="367">
        <v>0</v>
      </c>
      <c r="R37" s="367">
        <v>0</v>
      </c>
      <c r="S37" s="367">
        <v>0</v>
      </c>
      <c r="T37" s="367">
        <v>0</v>
      </c>
      <c r="U37" s="367">
        <v>0</v>
      </c>
      <c r="V37" s="367">
        <v>0</v>
      </c>
      <c r="W37" s="366">
        <v>0</v>
      </c>
      <c r="X37" s="367">
        <v>0</v>
      </c>
      <c r="Y37" s="367">
        <v>0</v>
      </c>
      <c r="Z37" s="367">
        <v>0</v>
      </c>
      <c r="AA37" s="367">
        <v>0</v>
      </c>
      <c r="AB37" s="367">
        <v>0</v>
      </c>
      <c r="AC37" s="367">
        <v>0</v>
      </c>
      <c r="AD37" s="367">
        <v>0</v>
      </c>
      <c r="AE37" s="367">
        <v>0</v>
      </c>
      <c r="AF37" s="367">
        <v>0</v>
      </c>
      <c r="AG37" s="367">
        <v>0</v>
      </c>
      <c r="AH37" s="367">
        <v>0</v>
      </c>
      <c r="AI37" s="367">
        <v>0</v>
      </c>
      <c r="AJ37" s="367">
        <v>0</v>
      </c>
      <c r="AK37" s="367">
        <v>0</v>
      </c>
      <c r="AL37" s="367">
        <v>0</v>
      </c>
      <c r="AM37" s="367">
        <v>0</v>
      </c>
      <c r="AN37" s="367">
        <v>0</v>
      </c>
      <c r="AO37" s="367">
        <v>0</v>
      </c>
      <c r="AP37" s="367">
        <v>0</v>
      </c>
      <c r="AQ37" s="367">
        <v>0</v>
      </c>
      <c r="AR37" s="367">
        <v>0</v>
      </c>
      <c r="AS37" s="367">
        <v>0</v>
      </c>
      <c r="AT37" s="366">
        <v>0</v>
      </c>
      <c r="AU37" s="367">
        <v>0</v>
      </c>
      <c r="AV37" s="367">
        <v>0</v>
      </c>
      <c r="AW37" s="367">
        <v>0</v>
      </c>
      <c r="AX37" s="367">
        <v>0</v>
      </c>
      <c r="AY37" s="367">
        <v>0</v>
      </c>
      <c r="AZ37" s="366">
        <v>0</v>
      </c>
      <c r="BA37" s="367">
        <v>0</v>
      </c>
      <c r="BB37" s="367">
        <v>0</v>
      </c>
      <c r="BC37" s="367">
        <v>0</v>
      </c>
      <c r="BD37" s="367">
        <v>0</v>
      </c>
      <c r="BE37" s="367">
        <v>0</v>
      </c>
      <c r="BF37" s="367">
        <v>0</v>
      </c>
      <c r="BG37" s="367">
        <v>0</v>
      </c>
      <c r="BH37" s="367">
        <v>0</v>
      </c>
      <c r="BI37" s="367">
        <v>0</v>
      </c>
      <c r="BJ37" s="367">
        <v>0</v>
      </c>
      <c r="BK37" s="367">
        <v>0</v>
      </c>
      <c r="BL37" s="367">
        <v>0</v>
      </c>
      <c r="BM37" s="367">
        <v>0</v>
      </c>
      <c r="BN37" s="367">
        <v>0</v>
      </c>
      <c r="BO37" s="366">
        <v>0</v>
      </c>
      <c r="BP37" s="367">
        <v>0</v>
      </c>
      <c r="BQ37" s="367">
        <v>0</v>
      </c>
      <c r="BR37" s="368">
        <v>0</v>
      </c>
      <c r="BS37" s="368">
        <v>0</v>
      </c>
      <c r="BT37" s="366">
        <v>0</v>
      </c>
    </row>
    <row r="38" spans="1:72">
      <c r="A38" s="362" t="s">
        <v>549</v>
      </c>
      <c r="B38" s="363" t="s">
        <v>619</v>
      </c>
      <c r="C38" s="363"/>
      <c r="D38" s="363"/>
      <c r="E38" s="363"/>
      <c r="F38" s="364" t="s">
        <v>620</v>
      </c>
      <c r="G38" s="364"/>
      <c r="H38" s="365">
        <v>0</v>
      </c>
      <c r="I38" s="366">
        <v>0</v>
      </c>
      <c r="J38" s="367">
        <v>0</v>
      </c>
      <c r="K38" s="367">
        <v>0</v>
      </c>
      <c r="L38" s="367">
        <v>0</v>
      </c>
      <c r="M38" s="367">
        <v>0</v>
      </c>
      <c r="N38" s="367">
        <v>0</v>
      </c>
      <c r="O38" s="367">
        <v>0</v>
      </c>
      <c r="P38" s="367">
        <v>0</v>
      </c>
      <c r="Q38" s="367">
        <v>0</v>
      </c>
      <c r="R38" s="367">
        <v>0</v>
      </c>
      <c r="S38" s="367">
        <v>0</v>
      </c>
      <c r="T38" s="367">
        <v>0</v>
      </c>
      <c r="U38" s="367">
        <v>0</v>
      </c>
      <c r="V38" s="367">
        <v>0</v>
      </c>
      <c r="W38" s="366">
        <v>0</v>
      </c>
      <c r="X38" s="367">
        <v>0</v>
      </c>
      <c r="Y38" s="367">
        <v>0</v>
      </c>
      <c r="Z38" s="367">
        <v>0</v>
      </c>
      <c r="AA38" s="367">
        <v>0</v>
      </c>
      <c r="AB38" s="367">
        <v>0</v>
      </c>
      <c r="AC38" s="367">
        <v>0</v>
      </c>
      <c r="AD38" s="367">
        <v>0</v>
      </c>
      <c r="AE38" s="367">
        <v>0</v>
      </c>
      <c r="AF38" s="367">
        <v>0</v>
      </c>
      <c r="AG38" s="367">
        <v>0</v>
      </c>
      <c r="AH38" s="367">
        <v>0</v>
      </c>
      <c r="AI38" s="367">
        <v>0</v>
      </c>
      <c r="AJ38" s="367">
        <v>0</v>
      </c>
      <c r="AK38" s="367">
        <v>0</v>
      </c>
      <c r="AL38" s="367">
        <v>0</v>
      </c>
      <c r="AM38" s="367">
        <v>0</v>
      </c>
      <c r="AN38" s="367">
        <v>0</v>
      </c>
      <c r="AO38" s="367">
        <v>0</v>
      </c>
      <c r="AP38" s="367">
        <v>0</v>
      </c>
      <c r="AQ38" s="367">
        <v>0</v>
      </c>
      <c r="AR38" s="367">
        <v>0</v>
      </c>
      <c r="AS38" s="367">
        <v>0</v>
      </c>
      <c r="AT38" s="366">
        <v>0</v>
      </c>
      <c r="AU38" s="367">
        <v>0</v>
      </c>
      <c r="AV38" s="367">
        <v>0</v>
      </c>
      <c r="AW38" s="367">
        <v>0</v>
      </c>
      <c r="AX38" s="367">
        <v>0</v>
      </c>
      <c r="AY38" s="367">
        <v>0</v>
      </c>
      <c r="AZ38" s="366">
        <v>0</v>
      </c>
      <c r="BA38" s="367">
        <v>0</v>
      </c>
      <c r="BB38" s="367">
        <v>0</v>
      </c>
      <c r="BC38" s="367">
        <v>0</v>
      </c>
      <c r="BD38" s="367">
        <v>0</v>
      </c>
      <c r="BE38" s="367">
        <v>0</v>
      </c>
      <c r="BF38" s="367">
        <v>0</v>
      </c>
      <c r="BG38" s="367">
        <v>0</v>
      </c>
      <c r="BH38" s="367">
        <v>0</v>
      </c>
      <c r="BI38" s="367">
        <v>0</v>
      </c>
      <c r="BJ38" s="367">
        <v>0</v>
      </c>
      <c r="BK38" s="367">
        <v>0</v>
      </c>
      <c r="BL38" s="367">
        <v>0</v>
      </c>
      <c r="BM38" s="367">
        <v>0</v>
      </c>
      <c r="BN38" s="367">
        <v>0</v>
      </c>
      <c r="BO38" s="366">
        <v>0</v>
      </c>
      <c r="BP38" s="367">
        <v>0</v>
      </c>
      <c r="BQ38" s="367">
        <v>0</v>
      </c>
      <c r="BR38" s="368">
        <v>0</v>
      </c>
      <c r="BS38" s="368">
        <v>0</v>
      </c>
      <c r="BT38" s="366">
        <v>0</v>
      </c>
    </row>
    <row r="39" spans="1:72">
      <c r="A39" s="362" t="s">
        <v>549</v>
      </c>
      <c r="B39" s="363" t="s">
        <v>621</v>
      </c>
      <c r="C39" s="363"/>
      <c r="D39" s="363"/>
      <c r="E39" s="363"/>
      <c r="F39" s="364" t="s">
        <v>622</v>
      </c>
      <c r="G39" s="364"/>
      <c r="H39" s="365">
        <v>0</v>
      </c>
      <c r="I39" s="366">
        <v>0</v>
      </c>
      <c r="J39" s="367">
        <v>0</v>
      </c>
      <c r="K39" s="367">
        <v>0</v>
      </c>
      <c r="L39" s="367">
        <v>0</v>
      </c>
      <c r="M39" s="367">
        <v>0</v>
      </c>
      <c r="N39" s="367">
        <v>0</v>
      </c>
      <c r="O39" s="367">
        <v>0</v>
      </c>
      <c r="P39" s="367">
        <v>0</v>
      </c>
      <c r="Q39" s="367">
        <v>0</v>
      </c>
      <c r="R39" s="367">
        <v>0</v>
      </c>
      <c r="S39" s="367">
        <v>0</v>
      </c>
      <c r="T39" s="367">
        <v>0</v>
      </c>
      <c r="U39" s="367">
        <v>0</v>
      </c>
      <c r="V39" s="367">
        <v>0</v>
      </c>
      <c r="W39" s="366">
        <v>0</v>
      </c>
      <c r="X39" s="367">
        <v>0</v>
      </c>
      <c r="Y39" s="367">
        <v>0</v>
      </c>
      <c r="Z39" s="367">
        <v>0</v>
      </c>
      <c r="AA39" s="367">
        <v>0</v>
      </c>
      <c r="AB39" s="367">
        <v>0</v>
      </c>
      <c r="AC39" s="367">
        <v>0</v>
      </c>
      <c r="AD39" s="367">
        <v>0</v>
      </c>
      <c r="AE39" s="367">
        <v>0</v>
      </c>
      <c r="AF39" s="367">
        <v>0</v>
      </c>
      <c r="AG39" s="367">
        <v>0</v>
      </c>
      <c r="AH39" s="367">
        <v>0</v>
      </c>
      <c r="AI39" s="367">
        <v>0</v>
      </c>
      <c r="AJ39" s="367">
        <v>0</v>
      </c>
      <c r="AK39" s="367">
        <v>0</v>
      </c>
      <c r="AL39" s="367">
        <v>0</v>
      </c>
      <c r="AM39" s="367">
        <v>0</v>
      </c>
      <c r="AN39" s="367">
        <v>0</v>
      </c>
      <c r="AO39" s="367">
        <v>0</v>
      </c>
      <c r="AP39" s="367">
        <v>0</v>
      </c>
      <c r="AQ39" s="367">
        <v>0</v>
      </c>
      <c r="AR39" s="367">
        <v>0</v>
      </c>
      <c r="AS39" s="367">
        <v>0</v>
      </c>
      <c r="AT39" s="366">
        <v>0</v>
      </c>
      <c r="AU39" s="367">
        <v>0</v>
      </c>
      <c r="AV39" s="367">
        <v>0</v>
      </c>
      <c r="AW39" s="367">
        <v>0</v>
      </c>
      <c r="AX39" s="367">
        <v>0</v>
      </c>
      <c r="AY39" s="367">
        <v>0</v>
      </c>
      <c r="AZ39" s="366">
        <v>0</v>
      </c>
      <c r="BA39" s="367">
        <v>0</v>
      </c>
      <c r="BB39" s="367">
        <v>0</v>
      </c>
      <c r="BC39" s="367">
        <v>0</v>
      </c>
      <c r="BD39" s="367">
        <v>0</v>
      </c>
      <c r="BE39" s="367">
        <v>0</v>
      </c>
      <c r="BF39" s="367">
        <v>0</v>
      </c>
      <c r="BG39" s="367">
        <v>0</v>
      </c>
      <c r="BH39" s="367">
        <v>0</v>
      </c>
      <c r="BI39" s="367">
        <v>0</v>
      </c>
      <c r="BJ39" s="367">
        <v>0</v>
      </c>
      <c r="BK39" s="367">
        <v>0</v>
      </c>
      <c r="BL39" s="367">
        <v>0</v>
      </c>
      <c r="BM39" s="367">
        <v>0</v>
      </c>
      <c r="BN39" s="367">
        <v>0</v>
      </c>
      <c r="BO39" s="366">
        <v>0</v>
      </c>
      <c r="BP39" s="367">
        <v>0</v>
      </c>
      <c r="BQ39" s="367">
        <v>0</v>
      </c>
      <c r="BR39" s="368">
        <v>0</v>
      </c>
      <c r="BS39" s="368">
        <v>0</v>
      </c>
      <c r="BT39" s="366">
        <v>0</v>
      </c>
    </row>
    <row r="40" spans="1:72">
      <c r="A40" s="362" t="s">
        <v>549</v>
      </c>
      <c r="B40" s="363" t="s">
        <v>623</v>
      </c>
      <c r="C40" s="363"/>
      <c r="D40" s="363"/>
      <c r="E40" s="363"/>
      <c r="F40" s="364" t="s">
        <v>624</v>
      </c>
      <c r="G40" s="364"/>
      <c r="H40" s="365">
        <v>0</v>
      </c>
      <c r="I40" s="366">
        <v>0</v>
      </c>
      <c r="J40" s="367">
        <v>0</v>
      </c>
      <c r="K40" s="367">
        <v>0</v>
      </c>
      <c r="L40" s="367">
        <v>0</v>
      </c>
      <c r="M40" s="367">
        <v>0</v>
      </c>
      <c r="N40" s="367">
        <v>0</v>
      </c>
      <c r="O40" s="367">
        <v>0</v>
      </c>
      <c r="P40" s="367">
        <v>0</v>
      </c>
      <c r="Q40" s="367">
        <v>0</v>
      </c>
      <c r="R40" s="367">
        <v>0</v>
      </c>
      <c r="S40" s="367">
        <v>0</v>
      </c>
      <c r="T40" s="367">
        <v>0</v>
      </c>
      <c r="U40" s="367">
        <v>0</v>
      </c>
      <c r="V40" s="367">
        <v>0</v>
      </c>
      <c r="W40" s="366">
        <v>0</v>
      </c>
      <c r="X40" s="367">
        <v>0</v>
      </c>
      <c r="Y40" s="367">
        <v>0</v>
      </c>
      <c r="Z40" s="367">
        <v>0</v>
      </c>
      <c r="AA40" s="367">
        <v>0</v>
      </c>
      <c r="AB40" s="367">
        <v>0</v>
      </c>
      <c r="AC40" s="367">
        <v>0</v>
      </c>
      <c r="AD40" s="367">
        <v>0</v>
      </c>
      <c r="AE40" s="367">
        <v>0</v>
      </c>
      <c r="AF40" s="367">
        <v>0</v>
      </c>
      <c r="AG40" s="367">
        <v>0</v>
      </c>
      <c r="AH40" s="367">
        <v>0</v>
      </c>
      <c r="AI40" s="367">
        <v>0</v>
      </c>
      <c r="AJ40" s="367">
        <v>0</v>
      </c>
      <c r="AK40" s="367">
        <v>0</v>
      </c>
      <c r="AL40" s="367">
        <v>0</v>
      </c>
      <c r="AM40" s="367">
        <v>0</v>
      </c>
      <c r="AN40" s="367">
        <v>0</v>
      </c>
      <c r="AO40" s="367">
        <v>0</v>
      </c>
      <c r="AP40" s="367">
        <v>0</v>
      </c>
      <c r="AQ40" s="367">
        <v>0</v>
      </c>
      <c r="AR40" s="367">
        <v>0</v>
      </c>
      <c r="AS40" s="367">
        <v>0</v>
      </c>
      <c r="AT40" s="366">
        <v>0</v>
      </c>
      <c r="AU40" s="367">
        <v>0</v>
      </c>
      <c r="AV40" s="367">
        <v>0</v>
      </c>
      <c r="AW40" s="367">
        <v>0</v>
      </c>
      <c r="AX40" s="367">
        <v>0</v>
      </c>
      <c r="AY40" s="367">
        <v>0</v>
      </c>
      <c r="AZ40" s="366">
        <v>0</v>
      </c>
      <c r="BA40" s="367">
        <v>0</v>
      </c>
      <c r="BB40" s="367">
        <v>0</v>
      </c>
      <c r="BC40" s="367">
        <v>0</v>
      </c>
      <c r="BD40" s="367">
        <v>0</v>
      </c>
      <c r="BE40" s="367">
        <v>0</v>
      </c>
      <c r="BF40" s="367">
        <v>0</v>
      </c>
      <c r="BG40" s="367">
        <v>0</v>
      </c>
      <c r="BH40" s="367">
        <v>0</v>
      </c>
      <c r="BI40" s="367">
        <v>0</v>
      </c>
      <c r="BJ40" s="367">
        <v>0</v>
      </c>
      <c r="BK40" s="367">
        <v>0</v>
      </c>
      <c r="BL40" s="367">
        <v>0</v>
      </c>
      <c r="BM40" s="367">
        <v>0</v>
      </c>
      <c r="BN40" s="367">
        <v>0</v>
      </c>
      <c r="BO40" s="366">
        <v>0</v>
      </c>
      <c r="BP40" s="367">
        <v>0</v>
      </c>
      <c r="BQ40" s="367">
        <v>0</v>
      </c>
      <c r="BR40" s="368">
        <v>0</v>
      </c>
      <c r="BS40" s="368">
        <v>0</v>
      </c>
      <c r="BT40" s="366">
        <v>0</v>
      </c>
    </row>
    <row r="41" spans="1:72">
      <c r="A41" s="362" t="s">
        <v>549</v>
      </c>
      <c r="B41" s="363" t="s">
        <v>625</v>
      </c>
      <c r="C41" s="363"/>
      <c r="D41" s="363"/>
      <c r="E41" s="363"/>
      <c r="F41" s="364" t="s">
        <v>626</v>
      </c>
      <c r="G41" s="364"/>
      <c r="H41" s="365">
        <v>0</v>
      </c>
      <c r="I41" s="366">
        <v>0</v>
      </c>
      <c r="J41" s="367">
        <v>0</v>
      </c>
      <c r="K41" s="367">
        <v>0</v>
      </c>
      <c r="L41" s="367">
        <v>0</v>
      </c>
      <c r="M41" s="367">
        <v>0</v>
      </c>
      <c r="N41" s="367">
        <v>0</v>
      </c>
      <c r="O41" s="367">
        <v>0</v>
      </c>
      <c r="P41" s="367">
        <v>0</v>
      </c>
      <c r="Q41" s="367">
        <v>0</v>
      </c>
      <c r="R41" s="367">
        <v>0</v>
      </c>
      <c r="S41" s="367">
        <v>0</v>
      </c>
      <c r="T41" s="367">
        <v>0</v>
      </c>
      <c r="U41" s="367">
        <v>0</v>
      </c>
      <c r="V41" s="367">
        <v>0</v>
      </c>
      <c r="W41" s="366">
        <v>0</v>
      </c>
      <c r="X41" s="367">
        <v>0</v>
      </c>
      <c r="Y41" s="367">
        <v>0</v>
      </c>
      <c r="Z41" s="367">
        <v>0</v>
      </c>
      <c r="AA41" s="367">
        <v>0</v>
      </c>
      <c r="AB41" s="367">
        <v>0</v>
      </c>
      <c r="AC41" s="367">
        <v>0</v>
      </c>
      <c r="AD41" s="367">
        <v>0</v>
      </c>
      <c r="AE41" s="367">
        <v>0</v>
      </c>
      <c r="AF41" s="367">
        <v>0</v>
      </c>
      <c r="AG41" s="367">
        <v>0</v>
      </c>
      <c r="AH41" s="367">
        <v>0</v>
      </c>
      <c r="AI41" s="367">
        <v>0</v>
      </c>
      <c r="AJ41" s="367">
        <v>0</v>
      </c>
      <c r="AK41" s="367">
        <v>0</v>
      </c>
      <c r="AL41" s="367">
        <v>0</v>
      </c>
      <c r="AM41" s="367">
        <v>0</v>
      </c>
      <c r="AN41" s="367">
        <v>0</v>
      </c>
      <c r="AO41" s="367">
        <v>0</v>
      </c>
      <c r="AP41" s="367">
        <v>0</v>
      </c>
      <c r="AQ41" s="367">
        <v>0</v>
      </c>
      <c r="AR41" s="367">
        <v>0</v>
      </c>
      <c r="AS41" s="367">
        <v>0</v>
      </c>
      <c r="AT41" s="366">
        <v>0</v>
      </c>
      <c r="AU41" s="367">
        <v>0</v>
      </c>
      <c r="AV41" s="367">
        <v>0</v>
      </c>
      <c r="AW41" s="367">
        <v>0</v>
      </c>
      <c r="AX41" s="367">
        <v>0</v>
      </c>
      <c r="AY41" s="367">
        <v>0</v>
      </c>
      <c r="AZ41" s="366">
        <v>0</v>
      </c>
      <c r="BA41" s="367">
        <v>0</v>
      </c>
      <c r="BB41" s="367">
        <v>0</v>
      </c>
      <c r="BC41" s="367">
        <v>0</v>
      </c>
      <c r="BD41" s="367">
        <v>0</v>
      </c>
      <c r="BE41" s="367">
        <v>0</v>
      </c>
      <c r="BF41" s="367">
        <v>0</v>
      </c>
      <c r="BG41" s="367">
        <v>0</v>
      </c>
      <c r="BH41" s="367">
        <v>0</v>
      </c>
      <c r="BI41" s="367">
        <v>0</v>
      </c>
      <c r="BJ41" s="367">
        <v>0</v>
      </c>
      <c r="BK41" s="367">
        <v>0</v>
      </c>
      <c r="BL41" s="367">
        <v>0</v>
      </c>
      <c r="BM41" s="367">
        <v>0</v>
      </c>
      <c r="BN41" s="367">
        <v>0</v>
      </c>
      <c r="BO41" s="366">
        <v>0</v>
      </c>
      <c r="BP41" s="367">
        <v>0</v>
      </c>
      <c r="BQ41" s="367">
        <v>0</v>
      </c>
      <c r="BR41" s="368">
        <v>0</v>
      </c>
      <c r="BS41" s="368">
        <v>0</v>
      </c>
      <c r="BT41" s="366">
        <v>0</v>
      </c>
    </row>
    <row r="42" spans="1:72">
      <c r="A42" s="362" t="s">
        <v>549</v>
      </c>
      <c r="B42" s="363" t="s">
        <v>627</v>
      </c>
      <c r="C42" s="363"/>
      <c r="D42" s="363"/>
      <c r="E42" s="363"/>
      <c r="F42" s="364" t="s">
        <v>628</v>
      </c>
      <c r="G42" s="364"/>
      <c r="H42" s="365">
        <v>0</v>
      </c>
      <c r="I42" s="366">
        <v>0</v>
      </c>
      <c r="J42" s="367">
        <v>0</v>
      </c>
      <c r="K42" s="367">
        <v>0</v>
      </c>
      <c r="L42" s="367">
        <v>0</v>
      </c>
      <c r="M42" s="367">
        <v>0</v>
      </c>
      <c r="N42" s="367">
        <v>0</v>
      </c>
      <c r="O42" s="367">
        <v>0</v>
      </c>
      <c r="P42" s="367">
        <v>0</v>
      </c>
      <c r="Q42" s="367">
        <v>0</v>
      </c>
      <c r="R42" s="367">
        <v>0</v>
      </c>
      <c r="S42" s="367">
        <v>0</v>
      </c>
      <c r="T42" s="367">
        <v>0</v>
      </c>
      <c r="U42" s="367">
        <v>0</v>
      </c>
      <c r="V42" s="367">
        <v>0</v>
      </c>
      <c r="W42" s="366">
        <v>0</v>
      </c>
      <c r="X42" s="367">
        <v>0</v>
      </c>
      <c r="Y42" s="367">
        <v>0</v>
      </c>
      <c r="Z42" s="367">
        <v>0</v>
      </c>
      <c r="AA42" s="367">
        <v>0</v>
      </c>
      <c r="AB42" s="367">
        <v>0</v>
      </c>
      <c r="AC42" s="367">
        <v>0</v>
      </c>
      <c r="AD42" s="367">
        <v>0</v>
      </c>
      <c r="AE42" s="367">
        <v>0</v>
      </c>
      <c r="AF42" s="367">
        <v>0</v>
      </c>
      <c r="AG42" s="367">
        <v>0</v>
      </c>
      <c r="AH42" s="367">
        <v>0</v>
      </c>
      <c r="AI42" s="367">
        <v>0</v>
      </c>
      <c r="AJ42" s="367">
        <v>0</v>
      </c>
      <c r="AK42" s="367">
        <v>0</v>
      </c>
      <c r="AL42" s="367">
        <v>0</v>
      </c>
      <c r="AM42" s="367">
        <v>0</v>
      </c>
      <c r="AN42" s="367">
        <v>0</v>
      </c>
      <c r="AO42" s="367">
        <v>0</v>
      </c>
      <c r="AP42" s="367">
        <v>0</v>
      </c>
      <c r="AQ42" s="367">
        <v>0</v>
      </c>
      <c r="AR42" s="367">
        <v>0</v>
      </c>
      <c r="AS42" s="367">
        <v>0</v>
      </c>
      <c r="AT42" s="366">
        <v>0</v>
      </c>
      <c r="AU42" s="367">
        <v>0</v>
      </c>
      <c r="AV42" s="367">
        <v>0</v>
      </c>
      <c r="AW42" s="367">
        <v>0</v>
      </c>
      <c r="AX42" s="367">
        <v>0</v>
      </c>
      <c r="AY42" s="367">
        <v>0</v>
      </c>
      <c r="AZ42" s="366">
        <v>0</v>
      </c>
      <c r="BA42" s="367">
        <v>0</v>
      </c>
      <c r="BB42" s="367">
        <v>0</v>
      </c>
      <c r="BC42" s="367">
        <v>0</v>
      </c>
      <c r="BD42" s="367">
        <v>0</v>
      </c>
      <c r="BE42" s="367">
        <v>0</v>
      </c>
      <c r="BF42" s="367">
        <v>0</v>
      </c>
      <c r="BG42" s="367">
        <v>0</v>
      </c>
      <c r="BH42" s="367">
        <v>0</v>
      </c>
      <c r="BI42" s="367">
        <v>0</v>
      </c>
      <c r="BJ42" s="367">
        <v>0</v>
      </c>
      <c r="BK42" s="367">
        <v>0</v>
      </c>
      <c r="BL42" s="367">
        <v>0</v>
      </c>
      <c r="BM42" s="367">
        <v>0</v>
      </c>
      <c r="BN42" s="367">
        <v>0</v>
      </c>
      <c r="BO42" s="366">
        <v>0</v>
      </c>
      <c r="BP42" s="367">
        <v>0</v>
      </c>
      <c r="BQ42" s="367">
        <v>0</v>
      </c>
      <c r="BR42" s="368">
        <v>0</v>
      </c>
      <c r="BS42" s="368">
        <v>0</v>
      </c>
      <c r="BT42" s="366">
        <v>0</v>
      </c>
    </row>
    <row r="43" spans="1:72">
      <c r="A43" s="370" t="s">
        <v>549</v>
      </c>
      <c r="B43" s="371" t="s">
        <v>629</v>
      </c>
      <c r="C43" s="371"/>
      <c r="D43" s="371"/>
      <c r="E43" s="371"/>
      <c r="F43" s="372" t="s">
        <v>630</v>
      </c>
      <c r="G43" s="372"/>
      <c r="H43" s="373">
        <v>0</v>
      </c>
      <c r="I43" s="374">
        <v>0</v>
      </c>
      <c r="J43" s="375">
        <v>0</v>
      </c>
      <c r="K43" s="375">
        <v>0</v>
      </c>
      <c r="L43" s="375">
        <v>0</v>
      </c>
      <c r="M43" s="375">
        <v>0</v>
      </c>
      <c r="N43" s="375">
        <v>0</v>
      </c>
      <c r="O43" s="375">
        <v>0</v>
      </c>
      <c r="P43" s="375">
        <v>0</v>
      </c>
      <c r="Q43" s="375">
        <v>0</v>
      </c>
      <c r="R43" s="375">
        <v>0</v>
      </c>
      <c r="S43" s="375">
        <v>0</v>
      </c>
      <c r="T43" s="375">
        <v>0</v>
      </c>
      <c r="U43" s="375">
        <v>0</v>
      </c>
      <c r="V43" s="375">
        <v>0</v>
      </c>
      <c r="W43" s="374">
        <v>0</v>
      </c>
      <c r="X43" s="375">
        <v>0</v>
      </c>
      <c r="Y43" s="375">
        <v>0</v>
      </c>
      <c r="Z43" s="375">
        <v>0</v>
      </c>
      <c r="AA43" s="375">
        <v>0</v>
      </c>
      <c r="AB43" s="375">
        <v>0</v>
      </c>
      <c r="AC43" s="375">
        <v>0</v>
      </c>
      <c r="AD43" s="375">
        <v>0</v>
      </c>
      <c r="AE43" s="375">
        <v>0</v>
      </c>
      <c r="AF43" s="375">
        <v>0</v>
      </c>
      <c r="AG43" s="375">
        <v>0</v>
      </c>
      <c r="AH43" s="375">
        <v>0</v>
      </c>
      <c r="AI43" s="375">
        <v>0</v>
      </c>
      <c r="AJ43" s="375">
        <v>0</v>
      </c>
      <c r="AK43" s="375">
        <v>0</v>
      </c>
      <c r="AL43" s="375">
        <v>0</v>
      </c>
      <c r="AM43" s="375">
        <v>0</v>
      </c>
      <c r="AN43" s="375">
        <v>0</v>
      </c>
      <c r="AO43" s="375">
        <v>0</v>
      </c>
      <c r="AP43" s="375">
        <v>0</v>
      </c>
      <c r="AQ43" s="375">
        <v>0</v>
      </c>
      <c r="AR43" s="375">
        <v>0</v>
      </c>
      <c r="AS43" s="375">
        <v>0</v>
      </c>
      <c r="AT43" s="374">
        <v>0</v>
      </c>
      <c r="AU43" s="375">
        <v>0</v>
      </c>
      <c r="AV43" s="375">
        <v>0</v>
      </c>
      <c r="AW43" s="375">
        <v>0</v>
      </c>
      <c r="AX43" s="375">
        <v>0</v>
      </c>
      <c r="AY43" s="375">
        <v>0</v>
      </c>
      <c r="AZ43" s="374">
        <v>0</v>
      </c>
      <c r="BA43" s="375">
        <v>0</v>
      </c>
      <c r="BB43" s="375">
        <v>0</v>
      </c>
      <c r="BC43" s="375">
        <v>0</v>
      </c>
      <c r="BD43" s="375">
        <v>0</v>
      </c>
      <c r="BE43" s="375">
        <v>0</v>
      </c>
      <c r="BF43" s="375">
        <v>0</v>
      </c>
      <c r="BG43" s="375">
        <v>0</v>
      </c>
      <c r="BH43" s="375">
        <v>0</v>
      </c>
      <c r="BI43" s="375">
        <v>0</v>
      </c>
      <c r="BJ43" s="375">
        <v>0</v>
      </c>
      <c r="BK43" s="375">
        <v>0</v>
      </c>
      <c r="BL43" s="375">
        <v>0</v>
      </c>
      <c r="BM43" s="375">
        <v>0</v>
      </c>
      <c r="BN43" s="375">
        <v>0</v>
      </c>
      <c r="BO43" s="374">
        <v>0</v>
      </c>
      <c r="BP43" s="375">
        <v>0</v>
      </c>
      <c r="BQ43" s="375">
        <v>0</v>
      </c>
      <c r="BR43" s="376">
        <v>0</v>
      </c>
      <c r="BS43" s="376">
        <v>0</v>
      </c>
      <c r="BT43" s="374">
        <v>0</v>
      </c>
    </row>
    <row r="44" spans="1:72">
      <c r="A44" s="389" t="s">
        <v>631</v>
      </c>
      <c r="B44" s="389"/>
      <c r="C44" s="389"/>
      <c r="D44" s="389"/>
      <c r="E44" s="389"/>
      <c r="F44" s="390" t="s">
        <v>632</v>
      </c>
      <c r="G44" s="390"/>
      <c r="H44" s="391">
        <v>652.69799999999998</v>
      </c>
      <c r="I44" s="392">
        <v>0</v>
      </c>
      <c r="J44" s="393">
        <v>0</v>
      </c>
      <c r="K44" s="393">
        <v>0</v>
      </c>
      <c r="L44" s="393">
        <v>0</v>
      </c>
      <c r="M44" s="393">
        <v>0</v>
      </c>
      <c r="N44" s="393">
        <v>0</v>
      </c>
      <c r="O44" s="393">
        <v>0</v>
      </c>
      <c r="P44" s="393">
        <v>0</v>
      </c>
      <c r="Q44" s="393">
        <v>0</v>
      </c>
      <c r="R44" s="393">
        <v>0</v>
      </c>
      <c r="S44" s="393">
        <v>0</v>
      </c>
      <c r="T44" s="393">
        <v>0</v>
      </c>
      <c r="U44" s="393">
        <v>0</v>
      </c>
      <c r="V44" s="393">
        <v>0</v>
      </c>
      <c r="W44" s="392">
        <v>607.76300000000003</v>
      </c>
      <c r="X44" s="393">
        <v>0</v>
      </c>
      <c r="Y44" s="393">
        <v>0</v>
      </c>
      <c r="Z44" s="393">
        <v>0</v>
      </c>
      <c r="AA44" s="393">
        <v>0</v>
      </c>
      <c r="AB44" s="393">
        <v>0</v>
      </c>
      <c r="AC44" s="393">
        <v>18.614000000000001</v>
      </c>
      <c r="AD44" s="393">
        <v>0</v>
      </c>
      <c r="AE44" s="393">
        <v>18.21</v>
      </c>
      <c r="AF44" s="393">
        <v>149.292</v>
      </c>
      <c r="AG44" s="393">
        <v>0</v>
      </c>
      <c r="AH44" s="393">
        <v>0</v>
      </c>
      <c r="AI44" s="393">
        <v>20.510999999999999</v>
      </c>
      <c r="AJ44" s="393">
        <v>7.8869999999999996</v>
      </c>
      <c r="AK44" s="393">
        <v>67.561999999999998</v>
      </c>
      <c r="AL44" s="393">
        <v>245.21600000000001</v>
      </c>
      <c r="AM44" s="393">
        <v>74.8</v>
      </c>
      <c r="AN44" s="393">
        <v>0</v>
      </c>
      <c r="AO44" s="393">
        <v>0</v>
      </c>
      <c r="AP44" s="393">
        <v>0</v>
      </c>
      <c r="AQ44" s="393">
        <v>5.67</v>
      </c>
      <c r="AR44" s="393">
        <v>0</v>
      </c>
      <c r="AS44" s="393">
        <v>0</v>
      </c>
      <c r="AT44" s="392">
        <v>2.4870000000000001</v>
      </c>
      <c r="AU44" s="393">
        <v>0</v>
      </c>
      <c r="AV44" s="393">
        <v>0</v>
      </c>
      <c r="AW44" s="393">
        <v>2.4870000000000001</v>
      </c>
      <c r="AX44" s="393">
        <v>0</v>
      </c>
      <c r="AY44" s="393">
        <v>0</v>
      </c>
      <c r="AZ44" s="392">
        <v>0</v>
      </c>
      <c r="BA44" s="393">
        <v>0</v>
      </c>
      <c r="BB44" s="393">
        <v>0</v>
      </c>
      <c r="BC44" s="393">
        <v>0</v>
      </c>
      <c r="BD44" s="393">
        <v>0</v>
      </c>
      <c r="BE44" s="393">
        <v>0</v>
      </c>
      <c r="BF44" s="393">
        <v>0</v>
      </c>
      <c r="BG44" s="393">
        <v>0</v>
      </c>
      <c r="BH44" s="393">
        <v>0</v>
      </c>
      <c r="BI44" s="393">
        <v>0</v>
      </c>
      <c r="BJ44" s="393">
        <v>0</v>
      </c>
      <c r="BK44" s="393">
        <v>0</v>
      </c>
      <c r="BL44" s="393">
        <v>0</v>
      </c>
      <c r="BM44" s="393">
        <v>0</v>
      </c>
      <c r="BN44" s="393">
        <v>0</v>
      </c>
      <c r="BO44" s="392">
        <v>0</v>
      </c>
      <c r="BP44" s="393">
        <v>0</v>
      </c>
      <c r="BQ44" s="393">
        <v>0</v>
      </c>
      <c r="BR44" s="394">
        <v>0</v>
      </c>
      <c r="BS44" s="394">
        <v>22.256000000000004</v>
      </c>
      <c r="BT44" s="392">
        <v>20.192</v>
      </c>
    </row>
    <row r="45" spans="1:72">
      <c r="A45" s="382" t="s">
        <v>549</v>
      </c>
      <c r="B45" s="383" t="s">
        <v>581</v>
      </c>
      <c r="C45" s="383"/>
      <c r="D45" s="383"/>
      <c r="E45" s="383"/>
      <c r="F45" s="384" t="s">
        <v>633</v>
      </c>
      <c r="G45" s="384"/>
      <c r="H45" s="385">
        <v>26.035</v>
      </c>
      <c r="I45" s="386">
        <v>0</v>
      </c>
      <c r="J45" s="387">
        <v>0</v>
      </c>
      <c r="K45" s="387">
        <v>0</v>
      </c>
      <c r="L45" s="387">
        <v>0</v>
      </c>
      <c r="M45" s="387">
        <v>0</v>
      </c>
      <c r="N45" s="387">
        <v>0</v>
      </c>
      <c r="O45" s="387">
        <v>0</v>
      </c>
      <c r="P45" s="387">
        <v>0</v>
      </c>
      <c r="Q45" s="387">
        <v>0</v>
      </c>
      <c r="R45" s="387">
        <v>0</v>
      </c>
      <c r="S45" s="387">
        <v>0</v>
      </c>
      <c r="T45" s="387">
        <v>0</v>
      </c>
      <c r="U45" s="387">
        <v>0</v>
      </c>
      <c r="V45" s="387">
        <v>0</v>
      </c>
      <c r="W45" s="386">
        <v>0</v>
      </c>
      <c r="X45" s="387">
        <v>0</v>
      </c>
      <c r="Y45" s="387">
        <v>0</v>
      </c>
      <c r="Z45" s="387">
        <v>0</v>
      </c>
      <c r="AA45" s="387">
        <v>0</v>
      </c>
      <c r="AB45" s="387">
        <v>0</v>
      </c>
      <c r="AC45" s="387">
        <v>0</v>
      </c>
      <c r="AD45" s="387">
        <v>0</v>
      </c>
      <c r="AE45" s="387">
        <v>0</v>
      </c>
      <c r="AF45" s="387">
        <v>0</v>
      </c>
      <c r="AG45" s="387">
        <v>0</v>
      </c>
      <c r="AH45" s="387">
        <v>0</v>
      </c>
      <c r="AI45" s="387">
        <v>0</v>
      </c>
      <c r="AJ45" s="387">
        <v>0</v>
      </c>
      <c r="AK45" s="387">
        <v>0</v>
      </c>
      <c r="AL45" s="387">
        <v>0</v>
      </c>
      <c r="AM45" s="387">
        <v>0</v>
      </c>
      <c r="AN45" s="387">
        <v>0</v>
      </c>
      <c r="AO45" s="387">
        <v>0</v>
      </c>
      <c r="AP45" s="387">
        <v>0</v>
      </c>
      <c r="AQ45" s="387">
        <v>0</v>
      </c>
      <c r="AR45" s="387">
        <v>0</v>
      </c>
      <c r="AS45" s="387">
        <v>0</v>
      </c>
      <c r="AT45" s="386">
        <v>0</v>
      </c>
      <c r="AU45" s="387">
        <v>0</v>
      </c>
      <c r="AV45" s="387">
        <v>0</v>
      </c>
      <c r="AW45" s="387">
        <v>0</v>
      </c>
      <c r="AX45" s="387">
        <v>0</v>
      </c>
      <c r="AY45" s="387">
        <v>0</v>
      </c>
      <c r="AZ45" s="386">
        <v>0</v>
      </c>
      <c r="BA45" s="387">
        <v>0</v>
      </c>
      <c r="BB45" s="387">
        <v>0</v>
      </c>
      <c r="BC45" s="387">
        <v>0</v>
      </c>
      <c r="BD45" s="387">
        <v>0</v>
      </c>
      <c r="BE45" s="387">
        <v>0</v>
      </c>
      <c r="BF45" s="387">
        <v>0</v>
      </c>
      <c r="BG45" s="387">
        <v>0</v>
      </c>
      <c r="BH45" s="387">
        <v>0</v>
      </c>
      <c r="BI45" s="387">
        <v>0</v>
      </c>
      <c r="BJ45" s="387">
        <v>0</v>
      </c>
      <c r="BK45" s="387">
        <v>0</v>
      </c>
      <c r="BL45" s="387">
        <v>0</v>
      </c>
      <c r="BM45" s="387">
        <v>0</v>
      </c>
      <c r="BN45" s="387">
        <v>0</v>
      </c>
      <c r="BO45" s="386">
        <v>0</v>
      </c>
      <c r="BP45" s="387">
        <v>0</v>
      </c>
      <c r="BQ45" s="387">
        <v>0</v>
      </c>
      <c r="BR45" s="388">
        <v>0</v>
      </c>
      <c r="BS45" s="388">
        <v>5.843</v>
      </c>
      <c r="BT45" s="386">
        <v>20.192</v>
      </c>
    </row>
    <row r="46" spans="1:72">
      <c r="A46" s="369"/>
      <c r="B46" s="362" t="s">
        <v>549</v>
      </c>
      <c r="C46" s="363" t="s">
        <v>583</v>
      </c>
      <c r="D46" s="363"/>
      <c r="E46" s="363"/>
      <c r="F46" s="364" t="s">
        <v>634</v>
      </c>
      <c r="G46" s="364"/>
      <c r="H46" s="365">
        <v>7.0380000000000003</v>
      </c>
      <c r="I46" s="366">
        <v>0</v>
      </c>
      <c r="J46" s="367">
        <v>0</v>
      </c>
      <c r="K46" s="367">
        <v>0</v>
      </c>
      <c r="L46" s="367">
        <v>0</v>
      </c>
      <c r="M46" s="367">
        <v>0</v>
      </c>
      <c r="N46" s="367">
        <v>0</v>
      </c>
      <c r="O46" s="367">
        <v>0</v>
      </c>
      <c r="P46" s="367">
        <v>0</v>
      </c>
      <c r="Q46" s="367">
        <v>0</v>
      </c>
      <c r="R46" s="367">
        <v>0</v>
      </c>
      <c r="S46" s="367">
        <v>0</v>
      </c>
      <c r="T46" s="367">
        <v>0</v>
      </c>
      <c r="U46" s="367">
        <v>0</v>
      </c>
      <c r="V46" s="367">
        <v>0</v>
      </c>
      <c r="W46" s="366">
        <v>0</v>
      </c>
      <c r="X46" s="367">
        <v>0</v>
      </c>
      <c r="Y46" s="367">
        <v>0</v>
      </c>
      <c r="Z46" s="367">
        <v>0</v>
      </c>
      <c r="AA46" s="367">
        <v>0</v>
      </c>
      <c r="AB46" s="367">
        <v>0</v>
      </c>
      <c r="AC46" s="367">
        <v>0</v>
      </c>
      <c r="AD46" s="367">
        <v>0</v>
      </c>
      <c r="AE46" s="367">
        <v>0</v>
      </c>
      <c r="AF46" s="367">
        <v>0</v>
      </c>
      <c r="AG46" s="367">
        <v>0</v>
      </c>
      <c r="AH46" s="367">
        <v>0</v>
      </c>
      <c r="AI46" s="367">
        <v>0</v>
      </c>
      <c r="AJ46" s="367">
        <v>0</v>
      </c>
      <c r="AK46" s="367">
        <v>0</v>
      </c>
      <c r="AL46" s="367">
        <v>0</v>
      </c>
      <c r="AM46" s="367">
        <v>0</v>
      </c>
      <c r="AN46" s="367">
        <v>0</v>
      </c>
      <c r="AO46" s="367">
        <v>0</v>
      </c>
      <c r="AP46" s="367">
        <v>0</v>
      </c>
      <c r="AQ46" s="367">
        <v>0</v>
      </c>
      <c r="AR46" s="367">
        <v>0</v>
      </c>
      <c r="AS46" s="367">
        <v>0</v>
      </c>
      <c r="AT46" s="366">
        <v>0</v>
      </c>
      <c r="AU46" s="367">
        <v>0</v>
      </c>
      <c r="AV46" s="367">
        <v>0</v>
      </c>
      <c r="AW46" s="367">
        <v>0</v>
      </c>
      <c r="AX46" s="367">
        <v>0</v>
      </c>
      <c r="AY46" s="367">
        <v>0</v>
      </c>
      <c r="AZ46" s="366">
        <v>0</v>
      </c>
      <c r="BA46" s="367">
        <v>0</v>
      </c>
      <c r="BB46" s="367">
        <v>0</v>
      </c>
      <c r="BC46" s="367">
        <v>0</v>
      </c>
      <c r="BD46" s="367">
        <v>0</v>
      </c>
      <c r="BE46" s="367">
        <v>0</v>
      </c>
      <c r="BF46" s="367">
        <v>0</v>
      </c>
      <c r="BG46" s="367">
        <v>0</v>
      </c>
      <c r="BH46" s="367">
        <v>0</v>
      </c>
      <c r="BI46" s="367">
        <v>0</v>
      </c>
      <c r="BJ46" s="367">
        <v>0</v>
      </c>
      <c r="BK46" s="367">
        <v>0</v>
      </c>
      <c r="BL46" s="367">
        <v>0</v>
      </c>
      <c r="BM46" s="367">
        <v>0</v>
      </c>
      <c r="BN46" s="367">
        <v>0</v>
      </c>
      <c r="BO46" s="366">
        <v>0</v>
      </c>
      <c r="BP46" s="367">
        <v>0</v>
      </c>
      <c r="BQ46" s="367">
        <v>0</v>
      </c>
      <c r="BR46" s="368">
        <v>0</v>
      </c>
      <c r="BS46" s="368">
        <v>5.843</v>
      </c>
      <c r="BT46" s="366">
        <v>1.1950000000000001</v>
      </c>
    </row>
    <row r="47" spans="1:72">
      <c r="A47" s="369"/>
      <c r="B47" s="363"/>
      <c r="C47" s="362" t="s">
        <v>549</v>
      </c>
      <c r="D47" s="363" t="s">
        <v>635</v>
      </c>
      <c r="E47" s="363"/>
      <c r="F47" s="364" t="s">
        <v>636</v>
      </c>
      <c r="G47" s="364"/>
      <c r="H47" s="365">
        <v>0</v>
      </c>
      <c r="I47" s="366">
        <v>0</v>
      </c>
      <c r="J47" s="367">
        <v>0</v>
      </c>
      <c r="K47" s="367">
        <v>0</v>
      </c>
      <c r="L47" s="367">
        <v>0</v>
      </c>
      <c r="M47" s="367">
        <v>0</v>
      </c>
      <c r="N47" s="367">
        <v>0</v>
      </c>
      <c r="O47" s="367">
        <v>0</v>
      </c>
      <c r="P47" s="367">
        <v>0</v>
      </c>
      <c r="Q47" s="367">
        <v>0</v>
      </c>
      <c r="R47" s="367">
        <v>0</v>
      </c>
      <c r="S47" s="367">
        <v>0</v>
      </c>
      <c r="T47" s="367">
        <v>0</v>
      </c>
      <c r="U47" s="367">
        <v>0</v>
      </c>
      <c r="V47" s="367">
        <v>0</v>
      </c>
      <c r="W47" s="366">
        <v>0</v>
      </c>
      <c r="X47" s="367">
        <v>0</v>
      </c>
      <c r="Y47" s="367">
        <v>0</v>
      </c>
      <c r="Z47" s="367">
        <v>0</v>
      </c>
      <c r="AA47" s="367">
        <v>0</v>
      </c>
      <c r="AB47" s="367">
        <v>0</v>
      </c>
      <c r="AC47" s="367">
        <v>0</v>
      </c>
      <c r="AD47" s="367">
        <v>0</v>
      </c>
      <c r="AE47" s="367">
        <v>0</v>
      </c>
      <c r="AF47" s="367">
        <v>0</v>
      </c>
      <c r="AG47" s="367">
        <v>0</v>
      </c>
      <c r="AH47" s="367">
        <v>0</v>
      </c>
      <c r="AI47" s="367">
        <v>0</v>
      </c>
      <c r="AJ47" s="367">
        <v>0</v>
      </c>
      <c r="AK47" s="367">
        <v>0</v>
      </c>
      <c r="AL47" s="367">
        <v>0</v>
      </c>
      <c r="AM47" s="367">
        <v>0</v>
      </c>
      <c r="AN47" s="367">
        <v>0</v>
      </c>
      <c r="AO47" s="367">
        <v>0</v>
      </c>
      <c r="AP47" s="367">
        <v>0</v>
      </c>
      <c r="AQ47" s="367">
        <v>0</v>
      </c>
      <c r="AR47" s="367">
        <v>0</v>
      </c>
      <c r="AS47" s="367">
        <v>0</v>
      </c>
      <c r="AT47" s="366">
        <v>0</v>
      </c>
      <c r="AU47" s="367">
        <v>0</v>
      </c>
      <c r="AV47" s="367">
        <v>0</v>
      </c>
      <c r="AW47" s="367">
        <v>0</v>
      </c>
      <c r="AX47" s="367">
        <v>0</v>
      </c>
      <c r="AY47" s="367">
        <v>0</v>
      </c>
      <c r="AZ47" s="366">
        <v>0</v>
      </c>
      <c r="BA47" s="367">
        <v>0</v>
      </c>
      <c r="BB47" s="367">
        <v>0</v>
      </c>
      <c r="BC47" s="367">
        <v>0</v>
      </c>
      <c r="BD47" s="367">
        <v>0</v>
      </c>
      <c r="BE47" s="367">
        <v>0</v>
      </c>
      <c r="BF47" s="367">
        <v>0</v>
      </c>
      <c r="BG47" s="367">
        <v>0</v>
      </c>
      <c r="BH47" s="367">
        <v>0</v>
      </c>
      <c r="BI47" s="367">
        <v>0</v>
      </c>
      <c r="BJ47" s="367">
        <v>0</v>
      </c>
      <c r="BK47" s="367">
        <v>0</v>
      </c>
      <c r="BL47" s="367">
        <v>0</v>
      </c>
      <c r="BM47" s="367">
        <v>0</v>
      </c>
      <c r="BN47" s="367">
        <v>0</v>
      </c>
      <c r="BO47" s="366">
        <v>0</v>
      </c>
      <c r="BP47" s="367">
        <v>0</v>
      </c>
      <c r="BQ47" s="367">
        <v>0</v>
      </c>
      <c r="BR47" s="368">
        <v>0</v>
      </c>
      <c r="BS47" s="368">
        <v>0</v>
      </c>
      <c r="BT47" s="366">
        <v>0</v>
      </c>
    </row>
    <row r="48" spans="1:72">
      <c r="A48" s="369"/>
      <c r="B48" s="363"/>
      <c r="C48" s="362" t="s">
        <v>549</v>
      </c>
      <c r="D48" s="363" t="s">
        <v>637</v>
      </c>
      <c r="E48" s="363"/>
      <c r="F48" s="364" t="s">
        <v>638</v>
      </c>
      <c r="G48" s="364"/>
      <c r="H48" s="365">
        <v>0.25600000000000001</v>
      </c>
      <c r="I48" s="366">
        <v>0</v>
      </c>
      <c r="J48" s="367">
        <v>0</v>
      </c>
      <c r="K48" s="367">
        <v>0</v>
      </c>
      <c r="L48" s="367">
        <v>0</v>
      </c>
      <c r="M48" s="367">
        <v>0</v>
      </c>
      <c r="N48" s="367">
        <v>0</v>
      </c>
      <c r="O48" s="367">
        <v>0</v>
      </c>
      <c r="P48" s="367">
        <v>0</v>
      </c>
      <c r="Q48" s="367">
        <v>0</v>
      </c>
      <c r="R48" s="367">
        <v>0</v>
      </c>
      <c r="S48" s="367">
        <v>0</v>
      </c>
      <c r="T48" s="367">
        <v>0</v>
      </c>
      <c r="U48" s="367">
        <v>0</v>
      </c>
      <c r="V48" s="367">
        <v>0</v>
      </c>
      <c r="W48" s="366">
        <v>0</v>
      </c>
      <c r="X48" s="367">
        <v>0</v>
      </c>
      <c r="Y48" s="367">
        <v>0</v>
      </c>
      <c r="Z48" s="367">
        <v>0</v>
      </c>
      <c r="AA48" s="367">
        <v>0</v>
      </c>
      <c r="AB48" s="367">
        <v>0</v>
      </c>
      <c r="AC48" s="367">
        <v>0</v>
      </c>
      <c r="AD48" s="367">
        <v>0</v>
      </c>
      <c r="AE48" s="367">
        <v>0</v>
      </c>
      <c r="AF48" s="367">
        <v>0</v>
      </c>
      <c r="AG48" s="367">
        <v>0</v>
      </c>
      <c r="AH48" s="367">
        <v>0</v>
      </c>
      <c r="AI48" s="367">
        <v>0</v>
      </c>
      <c r="AJ48" s="367">
        <v>0</v>
      </c>
      <c r="AK48" s="367">
        <v>0</v>
      </c>
      <c r="AL48" s="367">
        <v>0</v>
      </c>
      <c r="AM48" s="367">
        <v>0</v>
      </c>
      <c r="AN48" s="367">
        <v>0</v>
      </c>
      <c r="AO48" s="367">
        <v>0</v>
      </c>
      <c r="AP48" s="367">
        <v>0</v>
      </c>
      <c r="AQ48" s="367">
        <v>0</v>
      </c>
      <c r="AR48" s="367">
        <v>0</v>
      </c>
      <c r="AS48" s="367">
        <v>0</v>
      </c>
      <c r="AT48" s="366">
        <v>0</v>
      </c>
      <c r="AU48" s="367">
        <v>0</v>
      </c>
      <c r="AV48" s="367">
        <v>0</v>
      </c>
      <c r="AW48" s="367">
        <v>0</v>
      </c>
      <c r="AX48" s="367">
        <v>0</v>
      </c>
      <c r="AY48" s="367">
        <v>0</v>
      </c>
      <c r="AZ48" s="366">
        <v>0</v>
      </c>
      <c r="BA48" s="367">
        <v>0</v>
      </c>
      <c r="BB48" s="367">
        <v>0</v>
      </c>
      <c r="BC48" s="367">
        <v>0</v>
      </c>
      <c r="BD48" s="367">
        <v>0</v>
      </c>
      <c r="BE48" s="367">
        <v>0</v>
      </c>
      <c r="BF48" s="367">
        <v>0</v>
      </c>
      <c r="BG48" s="367">
        <v>0</v>
      </c>
      <c r="BH48" s="367">
        <v>0</v>
      </c>
      <c r="BI48" s="367">
        <v>0</v>
      </c>
      <c r="BJ48" s="367">
        <v>0</v>
      </c>
      <c r="BK48" s="367">
        <v>0</v>
      </c>
      <c r="BL48" s="367">
        <v>0</v>
      </c>
      <c r="BM48" s="367">
        <v>0</v>
      </c>
      <c r="BN48" s="367">
        <v>0</v>
      </c>
      <c r="BO48" s="366">
        <v>0</v>
      </c>
      <c r="BP48" s="367">
        <v>0</v>
      </c>
      <c r="BQ48" s="367">
        <v>0</v>
      </c>
      <c r="BR48" s="368">
        <v>0</v>
      </c>
      <c r="BS48" s="368">
        <v>0</v>
      </c>
      <c r="BT48" s="366">
        <v>0.25600000000000001</v>
      </c>
    </row>
    <row r="49" spans="1:72">
      <c r="A49" s="369"/>
      <c r="B49" s="363"/>
      <c r="C49" s="362" t="s">
        <v>549</v>
      </c>
      <c r="D49" s="363" t="s">
        <v>639</v>
      </c>
      <c r="E49" s="363"/>
      <c r="F49" s="364" t="s">
        <v>640</v>
      </c>
      <c r="G49" s="364"/>
      <c r="H49" s="365">
        <v>0.10400000000000001</v>
      </c>
      <c r="I49" s="366">
        <v>0</v>
      </c>
      <c r="J49" s="367">
        <v>0</v>
      </c>
      <c r="K49" s="367">
        <v>0</v>
      </c>
      <c r="L49" s="367">
        <v>0</v>
      </c>
      <c r="M49" s="367">
        <v>0</v>
      </c>
      <c r="N49" s="367">
        <v>0</v>
      </c>
      <c r="O49" s="367">
        <v>0</v>
      </c>
      <c r="P49" s="367">
        <v>0</v>
      </c>
      <c r="Q49" s="367">
        <v>0</v>
      </c>
      <c r="R49" s="367">
        <v>0</v>
      </c>
      <c r="S49" s="367">
        <v>0</v>
      </c>
      <c r="T49" s="367">
        <v>0</v>
      </c>
      <c r="U49" s="367">
        <v>0</v>
      </c>
      <c r="V49" s="367">
        <v>0</v>
      </c>
      <c r="W49" s="366">
        <v>0</v>
      </c>
      <c r="X49" s="367">
        <v>0</v>
      </c>
      <c r="Y49" s="367">
        <v>0</v>
      </c>
      <c r="Z49" s="367">
        <v>0</v>
      </c>
      <c r="AA49" s="367">
        <v>0</v>
      </c>
      <c r="AB49" s="367">
        <v>0</v>
      </c>
      <c r="AC49" s="367">
        <v>0</v>
      </c>
      <c r="AD49" s="367">
        <v>0</v>
      </c>
      <c r="AE49" s="367">
        <v>0</v>
      </c>
      <c r="AF49" s="367">
        <v>0</v>
      </c>
      <c r="AG49" s="367">
        <v>0</v>
      </c>
      <c r="AH49" s="367">
        <v>0</v>
      </c>
      <c r="AI49" s="367">
        <v>0</v>
      </c>
      <c r="AJ49" s="367">
        <v>0</v>
      </c>
      <c r="AK49" s="367">
        <v>0</v>
      </c>
      <c r="AL49" s="367">
        <v>0</v>
      </c>
      <c r="AM49" s="367">
        <v>0</v>
      </c>
      <c r="AN49" s="367">
        <v>0</v>
      </c>
      <c r="AO49" s="367">
        <v>0</v>
      </c>
      <c r="AP49" s="367">
        <v>0</v>
      </c>
      <c r="AQ49" s="367">
        <v>0</v>
      </c>
      <c r="AR49" s="367">
        <v>0</v>
      </c>
      <c r="AS49" s="367">
        <v>0</v>
      </c>
      <c r="AT49" s="366">
        <v>0</v>
      </c>
      <c r="AU49" s="367">
        <v>0</v>
      </c>
      <c r="AV49" s="367">
        <v>0</v>
      </c>
      <c r="AW49" s="367">
        <v>0</v>
      </c>
      <c r="AX49" s="367">
        <v>0</v>
      </c>
      <c r="AY49" s="367">
        <v>0</v>
      </c>
      <c r="AZ49" s="366">
        <v>0</v>
      </c>
      <c r="BA49" s="367">
        <v>0</v>
      </c>
      <c r="BB49" s="367">
        <v>0</v>
      </c>
      <c r="BC49" s="367">
        <v>0</v>
      </c>
      <c r="BD49" s="367">
        <v>0</v>
      </c>
      <c r="BE49" s="367">
        <v>0</v>
      </c>
      <c r="BF49" s="367">
        <v>0</v>
      </c>
      <c r="BG49" s="367">
        <v>0</v>
      </c>
      <c r="BH49" s="367">
        <v>0</v>
      </c>
      <c r="BI49" s="367">
        <v>0</v>
      </c>
      <c r="BJ49" s="367">
        <v>0</v>
      </c>
      <c r="BK49" s="367">
        <v>0</v>
      </c>
      <c r="BL49" s="367">
        <v>0</v>
      </c>
      <c r="BM49" s="367">
        <v>0</v>
      </c>
      <c r="BN49" s="367">
        <v>0</v>
      </c>
      <c r="BO49" s="366">
        <v>0</v>
      </c>
      <c r="BP49" s="367">
        <v>0</v>
      </c>
      <c r="BQ49" s="367">
        <v>0</v>
      </c>
      <c r="BR49" s="368">
        <v>0</v>
      </c>
      <c r="BS49" s="368">
        <v>0</v>
      </c>
      <c r="BT49" s="366">
        <v>0.10400000000000001</v>
      </c>
    </row>
    <row r="50" spans="1:72">
      <c r="A50" s="369"/>
      <c r="B50" s="363"/>
      <c r="C50" s="362" t="s">
        <v>549</v>
      </c>
      <c r="D50" s="363" t="s">
        <v>641</v>
      </c>
      <c r="E50" s="363"/>
      <c r="F50" s="364" t="s">
        <v>642</v>
      </c>
      <c r="G50" s="364"/>
      <c r="H50" s="365">
        <v>0</v>
      </c>
      <c r="I50" s="366">
        <v>0</v>
      </c>
      <c r="J50" s="367">
        <v>0</v>
      </c>
      <c r="K50" s="367">
        <v>0</v>
      </c>
      <c r="L50" s="367">
        <v>0</v>
      </c>
      <c r="M50" s="367">
        <v>0</v>
      </c>
      <c r="N50" s="367">
        <v>0</v>
      </c>
      <c r="O50" s="367">
        <v>0</v>
      </c>
      <c r="P50" s="367">
        <v>0</v>
      </c>
      <c r="Q50" s="367">
        <v>0</v>
      </c>
      <c r="R50" s="367">
        <v>0</v>
      </c>
      <c r="S50" s="367">
        <v>0</v>
      </c>
      <c r="T50" s="367">
        <v>0</v>
      </c>
      <c r="U50" s="367">
        <v>0</v>
      </c>
      <c r="V50" s="367">
        <v>0</v>
      </c>
      <c r="W50" s="366">
        <v>0</v>
      </c>
      <c r="X50" s="367">
        <v>0</v>
      </c>
      <c r="Y50" s="367">
        <v>0</v>
      </c>
      <c r="Z50" s="367">
        <v>0</v>
      </c>
      <c r="AA50" s="367">
        <v>0</v>
      </c>
      <c r="AB50" s="367">
        <v>0</v>
      </c>
      <c r="AC50" s="367">
        <v>0</v>
      </c>
      <c r="AD50" s="367">
        <v>0</v>
      </c>
      <c r="AE50" s="367">
        <v>0</v>
      </c>
      <c r="AF50" s="367">
        <v>0</v>
      </c>
      <c r="AG50" s="367">
        <v>0</v>
      </c>
      <c r="AH50" s="367">
        <v>0</v>
      </c>
      <c r="AI50" s="367">
        <v>0</v>
      </c>
      <c r="AJ50" s="367">
        <v>0</v>
      </c>
      <c r="AK50" s="367">
        <v>0</v>
      </c>
      <c r="AL50" s="367">
        <v>0</v>
      </c>
      <c r="AM50" s="367">
        <v>0</v>
      </c>
      <c r="AN50" s="367">
        <v>0</v>
      </c>
      <c r="AO50" s="367">
        <v>0</v>
      </c>
      <c r="AP50" s="367">
        <v>0</v>
      </c>
      <c r="AQ50" s="367">
        <v>0</v>
      </c>
      <c r="AR50" s="367">
        <v>0</v>
      </c>
      <c r="AS50" s="367">
        <v>0</v>
      </c>
      <c r="AT50" s="366">
        <v>0</v>
      </c>
      <c r="AU50" s="367">
        <v>0</v>
      </c>
      <c r="AV50" s="367">
        <v>0</v>
      </c>
      <c r="AW50" s="367">
        <v>0</v>
      </c>
      <c r="AX50" s="367">
        <v>0</v>
      </c>
      <c r="AY50" s="367">
        <v>0</v>
      </c>
      <c r="AZ50" s="366">
        <v>0</v>
      </c>
      <c r="BA50" s="367">
        <v>0</v>
      </c>
      <c r="BB50" s="367">
        <v>0</v>
      </c>
      <c r="BC50" s="367">
        <v>0</v>
      </c>
      <c r="BD50" s="367">
        <v>0</v>
      </c>
      <c r="BE50" s="367">
        <v>0</v>
      </c>
      <c r="BF50" s="367">
        <v>0</v>
      </c>
      <c r="BG50" s="367">
        <v>0</v>
      </c>
      <c r="BH50" s="367">
        <v>0</v>
      </c>
      <c r="BI50" s="367">
        <v>0</v>
      </c>
      <c r="BJ50" s="367">
        <v>0</v>
      </c>
      <c r="BK50" s="367">
        <v>0</v>
      </c>
      <c r="BL50" s="367">
        <v>0</v>
      </c>
      <c r="BM50" s="367">
        <v>0</v>
      </c>
      <c r="BN50" s="367">
        <v>0</v>
      </c>
      <c r="BO50" s="366">
        <v>0</v>
      </c>
      <c r="BP50" s="367">
        <v>0</v>
      </c>
      <c r="BQ50" s="367">
        <v>0</v>
      </c>
      <c r="BR50" s="368">
        <v>0</v>
      </c>
      <c r="BS50" s="368">
        <v>0</v>
      </c>
      <c r="BT50" s="366">
        <v>0</v>
      </c>
    </row>
    <row r="51" spans="1:72">
      <c r="A51" s="369"/>
      <c r="B51" s="363"/>
      <c r="C51" s="362" t="s">
        <v>549</v>
      </c>
      <c r="D51" s="363" t="s">
        <v>643</v>
      </c>
      <c r="E51" s="363"/>
      <c r="F51" s="364" t="s">
        <v>644</v>
      </c>
      <c r="G51" s="364"/>
      <c r="H51" s="365">
        <v>0</v>
      </c>
      <c r="I51" s="366">
        <v>0</v>
      </c>
      <c r="J51" s="367">
        <v>0</v>
      </c>
      <c r="K51" s="367">
        <v>0</v>
      </c>
      <c r="L51" s="367">
        <v>0</v>
      </c>
      <c r="M51" s="367">
        <v>0</v>
      </c>
      <c r="N51" s="367">
        <v>0</v>
      </c>
      <c r="O51" s="367">
        <v>0</v>
      </c>
      <c r="P51" s="367">
        <v>0</v>
      </c>
      <c r="Q51" s="367">
        <v>0</v>
      </c>
      <c r="R51" s="367">
        <v>0</v>
      </c>
      <c r="S51" s="367">
        <v>0</v>
      </c>
      <c r="T51" s="367">
        <v>0</v>
      </c>
      <c r="U51" s="367">
        <v>0</v>
      </c>
      <c r="V51" s="367">
        <v>0</v>
      </c>
      <c r="W51" s="366">
        <v>0</v>
      </c>
      <c r="X51" s="367">
        <v>0</v>
      </c>
      <c r="Y51" s="367">
        <v>0</v>
      </c>
      <c r="Z51" s="367">
        <v>0</v>
      </c>
      <c r="AA51" s="367">
        <v>0</v>
      </c>
      <c r="AB51" s="367">
        <v>0</v>
      </c>
      <c r="AC51" s="367">
        <v>0</v>
      </c>
      <c r="AD51" s="367">
        <v>0</v>
      </c>
      <c r="AE51" s="367">
        <v>0</v>
      </c>
      <c r="AF51" s="367">
        <v>0</v>
      </c>
      <c r="AG51" s="367">
        <v>0</v>
      </c>
      <c r="AH51" s="367">
        <v>0</v>
      </c>
      <c r="AI51" s="367">
        <v>0</v>
      </c>
      <c r="AJ51" s="367">
        <v>0</v>
      </c>
      <c r="AK51" s="367">
        <v>0</v>
      </c>
      <c r="AL51" s="367">
        <v>0</v>
      </c>
      <c r="AM51" s="367">
        <v>0</v>
      </c>
      <c r="AN51" s="367">
        <v>0</v>
      </c>
      <c r="AO51" s="367">
        <v>0</v>
      </c>
      <c r="AP51" s="367">
        <v>0</v>
      </c>
      <c r="AQ51" s="367">
        <v>0</v>
      </c>
      <c r="AR51" s="367">
        <v>0</v>
      </c>
      <c r="AS51" s="367">
        <v>0</v>
      </c>
      <c r="AT51" s="366">
        <v>0</v>
      </c>
      <c r="AU51" s="367">
        <v>0</v>
      </c>
      <c r="AV51" s="367">
        <v>0</v>
      </c>
      <c r="AW51" s="367">
        <v>0</v>
      </c>
      <c r="AX51" s="367">
        <v>0</v>
      </c>
      <c r="AY51" s="367">
        <v>0</v>
      </c>
      <c r="AZ51" s="366">
        <v>0</v>
      </c>
      <c r="BA51" s="367">
        <v>0</v>
      </c>
      <c r="BB51" s="367">
        <v>0</v>
      </c>
      <c r="BC51" s="367">
        <v>0</v>
      </c>
      <c r="BD51" s="367">
        <v>0</v>
      </c>
      <c r="BE51" s="367">
        <v>0</v>
      </c>
      <c r="BF51" s="367">
        <v>0</v>
      </c>
      <c r="BG51" s="367">
        <v>0</v>
      </c>
      <c r="BH51" s="367">
        <v>0</v>
      </c>
      <c r="BI51" s="367">
        <v>0</v>
      </c>
      <c r="BJ51" s="367">
        <v>0</v>
      </c>
      <c r="BK51" s="367">
        <v>0</v>
      </c>
      <c r="BL51" s="367">
        <v>0</v>
      </c>
      <c r="BM51" s="367">
        <v>0</v>
      </c>
      <c r="BN51" s="367">
        <v>0</v>
      </c>
      <c r="BO51" s="366">
        <v>0</v>
      </c>
      <c r="BP51" s="367">
        <v>0</v>
      </c>
      <c r="BQ51" s="367">
        <v>0</v>
      </c>
      <c r="BR51" s="368">
        <v>0</v>
      </c>
      <c r="BS51" s="368">
        <v>0</v>
      </c>
      <c r="BT51" s="366">
        <v>0</v>
      </c>
    </row>
    <row r="52" spans="1:72">
      <c r="A52" s="369"/>
      <c r="B52" s="363"/>
      <c r="C52" s="362" t="s">
        <v>549</v>
      </c>
      <c r="D52" s="363" t="s">
        <v>645</v>
      </c>
      <c r="E52" s="363"/>
      <c r="F52" s="364" t="s">
        <v>646</v>
      </c>
      <c r="G52" s="364"/>
      <c r="H52" s="365">
        <v>0.83499999999999996</v>
      </c>
      <c r="I52" s="366">
        <v>0</v>
      </c>
      <c r="J52" s="367">
        <v>0</v>
      </c>
      <c r="K52" s="367">
        <v>0</v>
      </c>
      <c r="L52" s="367">
        <v>0</v>
      </c>
      <c r="M52" s="367">
        <v>0</v>
      </c>
      <c r="N52" s="367">
        <v>0</v>
      </c>
      <c r="O52" s="367">
        <v>0</v>
      </c>
      <c r="P52" s="367">
        <v>0</v>
      </c>
      <c r="Q52" s="367">
        <v>0</v>
      </c>
      <c r="R52" s="367">
        <v>0</v>
      </c>
      <c r="S52" s="367">
        <v>0</v>
      </c>
      <c r="T52" s="367">
        <v>0</v>
      </c>
      <c r="U52" s="367">
        <v>0</v>
      </c>
      <c r="V52" s="367">
        <v>0</v>
      </c>
      <c r="W52" s="366">
        <v>0</v>
      </c>
      <c r="X52" s="367">
        <v>0</v>
      </c>
      <c r="Y52" s="367">
        <v>0</v>
      </c>
      <c r="Z52" s="367">
        <v>0</v>
      </c>
      <c r="AA52" s="367">
        <v>0</v>
      </c>
      <c r="AB52" s="367">
        <v>0</v>
      </c>
      <c r="AC52" s="367">
        <v>0</v>
      </c>
      <c r="AD52" s="367">
        <v>0</v>
      </c>
      <c r="AE52" s="367">
        <v>0</v>
      </c>
      <c r="AF52" s="367">
        <v>0</v>
      </c>
      <c r="AG52" s="367">
        <v>0</v>
      </c>
      <c r="AH52" s="367">
        <v>0</v>
      </c>
      <c r="AI52" s="367">
        <v>0</v>
      </c>
      <c r="AJ52" s="367">
        <v>0</v>
      </c>
      <c r="AK52" s="367">
        <v>0</v>
      </c>
      <c r="AL52" s="367">
        <v>0</v>
      </c>
      <c r="AM52" s="367">
        <v>0</v>
      </c>
      <c r="AN52" s="367">
        <v>0</v>
      </c>
      <c r="AO52" s="367">
        <v>0</v>
      </c>
      <c r="AP52" s="367">
        <v>0</v>
      </c>
      <c r="AQ52" s="367">
        <v>0</v>
      </c>
      <c r="AR52" s="367">
        <v>0</v>
      </c>
      <c r="AS52" s="367">
        <v>0</v>
      </c>
      <c r="AT52" s="366">
        <v>0</v>
      </c>
      <c r="AU52" s="367">
        <v>0</v>
      </c>
      <c r="AV52" s="367">
        <v>0</v>
      </c>
      <c r="AW52" s="367">
        <v>0</v>
      </c>
      <c r="AX52" s="367">
        <v>0</v>
      </c>
      <c r="AY52" s="367">
        <v>0</v>
      </c>
      <c r="AZ52" s="366">
        <v>0</v>
      </c>
      <c r="BA52" s="367">
        <v>0</v>
      </c>
      <c r="BB52" s="367">
        <v>0</v>
      </c>
      <c r="BC52" s="367">
        <v>0</v>
      </c>
      <c r="BD52" s="367">
        <v>0</v>
      </c>
      <c r="BE52" s="367">
        <v>0</v>
      </c>
      <c r="BF52" s="367">
        <v>0</v>
      </c>
      <c r="BG52" s="367">
        <v>0</v>
      </c>
      <c r="BH52" s="367">
        <v>0</v>
      </c>
      <c r="BI52" s="367">
        <v>0</v>
      </c>
      <c r="BJ52" s="367">
        <v>0</v>
      </c>
      <c r="BK52" s="367">
        <v>0</v>
      </c>
      <c r="BL52" s="367">
        <v>0</v>
      </c>
      <c r="BM52" s="367">
        <v>0</v>
      </c>
      <c r="BN52" s="367">
        <v>0</v>
      </c>
      <c r="BO52" s="366">
        <v>0</v>
      </c>
      <c r="BP52" s="367">
        <v>0</v>
      </c>
      <c r="BQ52" s="367">
        <v>0</v>
      </c>
      <c r="BR52" s="368">
        <v>0</v>
      </c>
      <c r="BS52" s="368">
        <v>0</v>
      </c>
      <c r="BT52" s="366">
        <v>0.83499999999999996</v>
      </c>
    </row>
    <row r="53" spans="1:72">
      <c r="A53" s="369"/>
      <c r="B53" s="363"/>
      <c r="C53" s="362" t="s">
        <v>549</v>
      </c>
      <c r="D53" s="363" t="s">
        <v>647</v>
      </c>
      <c r="E53" s="363"/>
      <c r="F53" s="364" t="s">
        <v>648</v>
      </c>
      <c r="G53" s="364"/>
      <c r="H53" s="365">
        <v>0</v>
      </c>
      <c r="I53" s="366">
        <v>0</v>
      </c>
      <c r="J53" s="367">
        <v>0</v>
      </c>
      <c r="K53" s="367">
        <v>0</v>
      </c>
      <c r="L53" s="367">
        <v>0</v>
      </c>
      <c r="M53" s="367">
        <v>0</v>
      </c>
      <c r="N53" s="367">
        <v>0</v>
      </c>
      <c r="O53" s="367">
        <v>0</v>
      </c>
      <c r="P53" s="367">
        <v>0</v>
      </c>
      <c r="Q53" s="367">
        <v>0</v>
      </c>
      <c r="R53" s="367">
        <v>0</v>
      </c>
      <c r="S53" s="367">
        <v>0</v>
      </c>
      <c r="T53" s="367">
        <v>0</v>
      </c>
      <c r="U53" s="367">
        <v>0</v>
      </c>
      <c r="V53" s="367">
        <v>0</v>
      </c>
      <c r="W53" s="366">
        <v>0</v>
      </c>
      <c r="X53" s="367">
        <v>0</v>
      </c>
      <c r="Y53" s="367">
        <v>0</v>
      </c>
      <c r="Z53" s="367">
        <v>0</v>
      </c>
      <c r="AA53" s="367">
        <v>0</v>
      </c>
      <c r="AB53" s="367">
        <v>0</v>
      </c>
      <c r="AC53" s="367">
        <v>0</v>
      </c>
      <c r="AD53" s="367">
        <v>0</v>
      </c>
      <c r="AE53" s="367">
        <v>0</v>
      </c>
      <c r="AF53" s="367">
        <v>0</v>
      </c>
      <c r="AG53" s="367">
        <v>0</v>
      </c>
      <c r="AH53" s="367">
        <v>0</v>
      </c>
      <c r="AI53" s="367">
        <v>0</v>
      </c>
      <c r="AJ53" s="367">
        <v>0</v>
      </c>
      <c r="AK53" s="367">
        <v>0</v>
      </c>
      <c r="AL53" s="367">
        <v>0</v>
      </c>
      <c r="AM53" s="367">
        <v>0</v>
      </c>
      <c r="AN53" s="367">
        <v>0</v>
      </c>
      <c r="AO53" s="367">
        <v>0</v>
      </c>
      <c r="AP53" s="367">
        <v>0</v>
      </c>
      <c r="AQ53" s="367">
        <v>0</v>
      </c>
      <c r="AR53" s="367">
        <v>0</v>
      </c>
      <c r="AS53" s="367">
        <v>0</v>
      </c>
      <c r="AT53" s="366">
        <v>0</v>
      </c>
      <c r="AU53" s="367">
        <v>0</v>
      </c>
      <c r="AV53" s="367">
        <v>0</v>
      </c>
      <c r="AW53" s="367">
        <v>0</v>
      </c>
      <c r="AX53" s="367">
        <v>0</v>
      </c>
      <c r="AY53" s="367">
        <v>0</v>
      </c>
      <c r="AZ53" s="366">
        <v>0</v>
      </c>
      <c r="BA53" s="367">
        <v>0</v>
      </c>
      <c r="BB53" s="367">
        <v>0</v>
      </c>
      <c r="BC53" s="367">
        <v>0</v>
      </c>
      <c r="BD53" s="367">
        <v>0</v>
      </c>
      <c r="BE53" s="367">
        <v>0</v>
      </c>
      <c r="BF53" s="367">
        <v>0</v>
      </c>
      <c r="BG53" s="367">
        <v>0</v>
      </c>
      <c r="BH53" s="367">
        <v>0</v>
      </c>
      <c r="BI53" s="367">
        <v>0</v>
      </c>
      <c r="BJ53" s="367">
        <v>0</v>
      </c>
      <c r="BK53" s="367">
        <v>0</v>
      </c>
      <c r="BL53" s="367">
        <v>0</v>
      </c>
      <c r="BM53" s="367">
        <v>0</v>
      </c>
      <c r="BN53" s="367">
        <v>0</v>
      </c>
      <c r="BO53" s="366">
        <v>0</v>
      </c>
      <c r="BP53" s="367">
        <v>0</v>
      </c>
      <c r="BQ53" s="367">
        <v>0</v>
      </c>
      <c r="BR53" s="368">
        <v>0</v>
      </c>
      <c r="BS53" s="368">
        <v>0</v>
      </c>
      <c r="BT53" s="366">
        <v>0</v>
      </c>
    </row>
    <row r="54" spans="1:72">
      <c r="A54" s="369"/>
      <c r="B54" s="363"/>
      <c r="C54" s="362" t="s">
        <v>549</v>
      </c>
      <c r="D54" s="363" t="s">
        <v>649</v>
      </c>
      <c r="E54" s="363"/>
      <c r="F54" s="364" t="s">
        <v>650</v>
      </c>
      <c r="G54" s="364"/>
      <c r="H54" s="365">
        <v>0</v>
      </c>
      <c r="I54" s="366">
        <v>0</v>
      </c>
      <c r="J54" s="367">
        <v>0</v>
      </c>
      <c r="K54" s="367">
        <v>0</v>
      </c>
      <c r="L54" s="367">
        <v>0</v>
      </c>
      <c r="M54" s="367">
        <v>0</v>
      </c>
      <c r="N54" s="367">
        <v>0</v>
      </c>
      <c r="O54" s="367">
        <v>0</v>
      </c>
      <c r="P54" s="367">
        <v>0</v>
      </c>
      <c r="Q54" s="367">
        <v>0</v>
      </c>
      <c r="R54" s="367">
        <v>0</v>
      </c>
      <c r="S54" s="367">
        <v>0</v>
      </c>
      <c r="T54" s="367">
        <v>0</v>
      </c>
      <c r="U54" s="367">
        <v>0</v>
      </c>
      <c r="V54" s="367">
        <v>0</v>
      </c>
      <c r="W54" s="366">
        <v>0</v>
      </c>
      <c r="X54" s="367">
        <v>0</v>
      </c>
      <c r="Y54" s="367">
        <v>0</v>
      </c>
      <c r="Z54" s="367">
        <v>0</v>
      </c>
      <c r="AA54" s="367">
        <v>0</v>
      </c>
      <c r="AB54" s="367">
        <v>0</v>
      </c>
      <c r="AC54" s="367">
        <v>0</v>
      </c>
      <c r="AD54" s="367">
        <v>0</v>
      </c>
      <c r="AE54" s="367">
        <v>0</v>
      </c>
      <c r="AF54" s="367">
        <v>0</v>
      </c>
      <c r="AG54" s="367">
        <v>0</v>
      </c>
      <c r="AH54" s="367">
        <v>0</v>
      </c>
      <c r="AI54" s="367">
        <v>0</v>
      </c>
      <c r="AJ54" s="367">
        <v>0</v>
      </c>
      <c r="AK54" s="367">
        <v>0</v>
      </c>
      <c r="AL54" s="367">
        <v>0</v>
      </c>
      <c r="AM54" s="367">
        <v>0</v>
      </c>
      <c r="AN54" s="367">
        <v>0</v>
      </c>
      <c r="AO54" s="367">
        <v>0</v>
      </c>
      <c r="AP54" s="367">
        <v>0</v>
      </c>
      <c r="AQ54" s="367">
        <v>0</v>
      </c>
      <c r="AR54" s="367">
        <v>0</v>
      </c>
      <c r="AS54" s="367">
        <v>0</v>
      </c>
      <c r="AT54" s="366">
        <v>0</v>
      </c>
      <c r="AU54" s="367">
        <v>0</v>
      </c>
      <c r="AV54" s="367">
        <v>0</v>
      </c>
      <c r="AW54" s="367">
        <v>0</v>
      </c>
      <c r="AX54" s="367">
        <v>0</v>
      </c>
      <c r="AY54" s="367">
        <v>0</v>
      </c>
      <c r="AZ54" s="366">
        <v>0</v>
      </c>
      <c r="BA54" s="367">
        <v>0</v>
      </c>
      <c r="BB54" s="367">
        <v>0</v>
      </c>
      <c r="BC54" s="367">
        <v>0</v>
      </c>
      <c r="BD54" s="367">
        <v>0</v>
      </c>
      <c r="BE54" s="367">
        <v>0</v>
      </c>
      <c r="BF54" s="367">
        <v>0</v>
      </c>
      <c r="BG54" s="367">
        <v>0</v>
      </c>
      <c r="BH54" s="367">
        <v>0</v>
      </c>
      <c r="BI54" s="367">
        <v>0</v>
      </c>
      <c r="BJ54" s="367">
        <v>0</v>
      </c>
      <c r="BK54" s="367">
        <v>0</v>
      </c>
      <c r="BL54" s="367">
        <v>0</v>
      </c>
      <c r="BM54" s="367">
        <v>0</v>
      </c>
      <c r="BN54" s="367">
        <v>0</v>
      </c>
      <c r="BO54" s="366">
        <v>0</v>
      </c>
      <c r="BP54" s="367">
        <v>0</v>
      </c>
      <c r="BQ54" s="367">
        <v>0</v>
      </c>
      <c r="BR54" s="368">
        <v>0</v>
      </c>
      <c r="BS54" s="368">
        <v>0</v>
      </c>
      <c r="BT54" s="366">
        <v>0</v>
      </c>
    </row>
    <row r="55" spans="1:72">
      <c r="A55" s="369"/>
      <c r="B55" s="363"/>
      <c r="C55" s="362" t="s">
        <v>549</v>
      </c>
      <c r="D55" s="363" t="s">
        <v>651</v>
      </c>
      <c r="E55" s="363"/>
      <c r="F55" s="364" t="s">
        <v>652</v>
      </c>
      <c r="G55" s="364"/>
      <c r="H55" s="365">
        <v>0</v>
      </c>
      <c r="I55" s="366">
        <v>0</v>
      </c>
      <c r="J55" s="367">
        <v>0</v>
      </c>
      <c r="K55" s="367">
        <v>0</v>
      </c>
      <c r="L55" s="367">
        <v>0</v>
      </c>
      <c r="M55" s="367">
        <v>0</v>
      </c>
      <c r="N55" s="367">
        <v>0</v>
      </c>
      <c r="O55" s="367">
        <v>0</v>
      </c>
      <c r="P55" s="367">
        <v>0</v>
      </c>
      <c r="Q55" s="367">
        <v>0</v>
      </c>
      <c r="R55" s="367">
        <v>0</v>
      </c>
      <c r="S55" s="367">
        <v>0</v>
      </c>
      <c r="T55" s="367">
        <v>0</v>
      </c>
      <c r="U55" s="367">
        <v>0</v>
      </c>
      <c r="V55" s="367">
        <v>0</v>
      </c>
      <c r="W55" s="366">
        <v>0</v>
      </c>
      <c r="X55" s="367">
        <v>0</v>
      </c>
      <c r="Y55" s="367">
        <v>0</v>
      </c>
      <c r="Z55" s="367">
        <v>0</v>
      </c>
      <c r="AA55" s="367">
        <v>0</v>
      </c>
      <c r="AB55" s="367">
        <v>0</v>
      </c>
      <c r="AC55" s="367">
        <v>0</v>
      </c>
      <c r="AD55" s="367">
        <v>0</v>
      </c>
      <c r="AE55" s="367">
        <v>0</v>
      </c>
      <c r="AF55" s="367">
        <v>0</v>
      </c>
      <c r="AG55" s="367">
        <v>0</v>
      </c>
      <c r="AH55" s="367">
        <v>0</v>
      </c>
      <c r="AI55" s="367">
        <v>0</v>
      </c>
      <c r="AJ55" s="367">
        <v>0</v>
      </c>
      <c r="AK55" s="367">
        <v>0</v>
      </c>
      <c r="AL55" s="367">
        <v>0</v>
      </c>
      <c r="AM55" s="367">
        <v>0</v>
      </c>
      <c r="AN55" s="367">
        <v>0</v>
      </c>
      <c r="AO55" s="367">
        <v>0</v>
      </c>
      <c r="AP55" s="367">
        <v>0</v>
      </c>
      <c r="AQ55" s="367">
        <v>0</v>
      </c>
      <c r="AR55" s="367">
        <v>0</v>
      </c>
      <c r="AS55" s="367">
        <v>0</v>
      </c>
      <c r="AT55" s="366">
        <v>0</v>
      </c>
      <c r="AU55" s="367">
        <v>0</v>
      </c>
      <c r="AV55" s="367">
        <v>0</v>
      </c>
      <c r="AW55" s="367">
        <v>0</v>
      </c>
      <c r="AX55" s="367">
        <v>0</v>
      </c>
      <c r="AY55" s="367">
        <v>0</v>
      </c>
      <c r="AZ55" s="366">
        <v>0</v>
      </c>
      <c r="BA55" s="367">
        <v>0</v>
      </c>
      <c r="BB55" s="367">
        <v>0</v>
      </c>
      <c r="BC55" s="367">
        <v>0</v>
      </c>
      <c r="BD55" s="367">
        <v>0</v>
      </c>
      <c r="BE55" s="367">
        <v>0</v>
      </c>
      <c r="BF55" s="367">
        <v>0</v>
      </c>
      <c r="BG55" s="367">
        <v>0</v>
      </c>
      <c r="BH55" s="367">
        <v>0</v>
      </c>
      <c r="BI55" s="367">
        <v>0</v>
      </c>
      <c r="BJ55" s="367">
        <v>0</v>
      </c>
      <c r="BK55" s="367">
        <v>0</v>
      </c>
      <c r="BL55" s="367">
        <v>0</v>
      </c>
      <c r="BM55" s="367">
        <v>0</v>
      </c>
      <c r="BN55" s="367">
        <v>0</v>
      </c>
      <c r="BO55" s="366">
        <v>0</v>
      </c>
      <c r="BP55" s="367">
        <v>0</v>
      </c>
      <c r="BQ55" s="367">
        <v>0</v>
      </c>
      <c r="BR55" s="368">
        <v>0</v>
      </c>
      <c r="BS55" s="368">
        <v>0</v>
      </c>
      <c r="BT55" s="366">
        <v>0</v>
      </c>
    </row>
    <row r="56" spans="1:72">
      <c r="A56" s="369"/>
      <c r="B56" s="363"/>
      <c r="C56" s="362" t="s">
        <v>549</v>
      </c>
      <c r="D56" s="363" t="s">
        <v>653</v>
      </c>
      <c r="E56" s="363"/>
      <c r="F56" s="364" t="s">
        <v>654</v>
      </c>
      <c r="G56" s="364"/>
      <c r="H56" s="365">
        <v>5.7900000000000009</v>
      </c>
      <c r="I56" s="366">
        <v>0</v>
      </c>
      <c r="J56" s="367">
        <v>0</v>
      </c>
      <c r="K56" s="367">
        <v>0</v>
      </c>
      <c r="L56" s="367">
        <v>0</v>
      </c>
      <c r="M56" s="367">
        <v>0</v>
      </c>
      <c r="N56" s="367">
        <v>0</v>
      </c>
      <c r="O56" s="367">
        <v>0</v>
      </c>
      <c r="P56" s="367">
        <v>0</v>
      </c>
      <c r="Q56" s="367">
        <v>0</v>
      </c>
      <c r="R56" s="367">
        <v>0</v>
      </c>
      <c r="S56" s="367">
        <v>0</v>
      </c>
      <c r="T56" s="367">
        <v>0</v>
      </c>
      <c r="U56" s="367">
        <v>0</v>
      </c>
      <c r="V56" s="367">
        <v>0</v>
      </c>
      <c r="W56" s="366">
        <v>0</v>
      </c>
      <c r="X56" s="367">
        <v>0</v>
      </c>
      <c r="Y56" s="367">
        <v>0</v>
      </c>
      <c r="Z56" s="367">
        <v>0</v>
      </c>
      <c r="AA56" s="367">
        <v>0</v>
      </c>
      <c r="AB56" s="367">
        <v>0</v>
      </c>
      <c r="AC56" s="367">
        <v>0</v>
      </c>
      <c r="AD56" s="367">
        <v>0</v>
      </c>
      <c r="AE56" s="367">
        <v>0</v>
      </c>
      <c r="AF56" s="367">
        <v>0</v>
      </c>
      <c r="AG56" s="367">
        <v>0</v>
      </c>
      <c r="AH56" s="367">
        <v>0</v>
      </c>
      <c r="AI56" s="367">
        <v>0</v>
      </c>
      <c r="AJ56" s="367">
        <v>0</v>
      </c>
      <c r="AK56" s="367">
        <v>0</v>
      </c>
      <c r="AL56" s="367">
        <v>0</v>
      </c>
      <c r="AM56" s="367">
        <v>0</v>
      </c>
      <c r="AN56" s="367">
        <v>0</v>
      </c>
      <c r="AO56" s="367">
        <v>0</v>
      </c>
      <c r="AP56" s="367">
        <v>0</v>
      </c>
      <c r="AQ56" s="367">
        <v>0</v>
      </c>
      <c r="AR56" s="367">
        <v>0</v>
      </c>
      <c r="AS56" s="367">
        <v>0</v>
      </c>
      <c r="AT56" s="366">
        <v>0</v>
      </c>
      <c r="AU56" s="367">
        <v>0</v>
      </c>
      <c r="AV56" s="367">
        <v>0</v>
      </c>
      <c r="AW56" s="367">
        <v>0</v>
      </c>
      <c r="AX56" s="367">
        <v>0</v>
      </c>
      <c r="AY56" s="367">
        <v>0</v>
      </c>
      <c r="AZ56" s="366">
        <v>0</v>
      </c>
      <c r="BA56" s="367">
        <v>0</v>
      </c>
      <c r="BB56" s="367">
        <v>0</v>
      </c>
      <c r="BC56" s="367">
        <v>0</v>
      </c>
      <c r="BD56" s="367">
        <v>0</v>
      </c>
      <c r="BE56" s="367">
        <v>0</v>
      </c>
      <c r="BF56" s="367">
        <v>0</v>
      </c>
      <c r="BG56" s="367">
        <v>0</v>
      </c>
      <c r="BH56" s="367">
        <v>0</v>
      </c>
      <c r="BI56" s="367">
        <v>0</v>
      </c>
      <c r="BJ56" s="367">
        <v>0</v>
      </c>
      <c r="BK56" s="367">
        <v>0</v>
      </c>
      <c r="BL56" s="367">
        <v>0</v>
      </c>
      <c r="BM56" s="367">
        <v>0</v>
      </c>
      <c r="BN56" s="367">
        <v>0</v>
      </c>
      <c r="BO56" s="366">
        <v>0</v>
      </c>
      <c r="BP56" s="367">
        <v>0</v>
      </c>
      <c r="BQ56" s="367">
        <v>0</v>
      </c>
      <c r="BR56" s="368">
        <v>0</v>
      </c>
      <c r="BS56" s="368">
        <v>5.7900000000000009</v>
      </c>
      <c r="BT56" s="366">
        <v>0</v>
      </c>
    </row>
    <row r="57" spans="1:72">
      <c r="A57" s="369"/>
      <c r="B57" s="363"/>
      <c r="C57" s="362" t="s">
        <v>549</v>
      </c>
      <c r="D57" s="363" t="s">
        <v>655</v>
      </c>
      <c r="E57" s="363"/>
      <c r="F57" s="364" t="s">
        <v>656</v>
      </c>
      <c r="G57" s="364"/>
      <c r="H57" s="365">
        <v>3.5999999999999997E-2</v>
      </c>
      <c r="I57" s="366">
        <v>0</v>
      </c>
      <c r="J57" s="367">
        <v>0</v>
      </c>
      <c r="K57" s="367">
        <v>0</v>
      </c>
      <c r="L57" s="367">
        <v>0</v>
      </c>
      <c r="M57" s="367">
        <v>0</v>
      </c>
      <c r="N57" s="367">
        <v>0</v>
      </c>
      <c r="O57" s="367">
        <v>0</v>
      </c>
      <c r="P57" s="367">
        <v>0</v>
      </c>
      <c r="Q57" s="367">
        <v>0</v>
      </c>
      <c r="R57" s="367">
        <v>0</v>
      </c>
      <c r="S57" s="367">
        <v>0</v>
      </c>
      <c r="T57" s="367">
        <v>0</v>
      </c>
      <c r="U57" s="367">
        <v>0</v>
      </c>
      <c r="V57" s="367">
        <v>0</v>
      </c>
      <c r="W57" s="366">
        <v>0</v>
      </c>
      <c r="X57" s="367">
        <v>0</v>
      </c>
      <c r="Y57" s="367">
        <v>0</v>
      </c>
      <c r="Z57" s="367">
        <v>0</v>
      </c>
      <c r="AA57" s="367">
        <v>0</v>
      </c>
      <c r="AB57" s="367">
        <v>0</v>
      </c>
      <c r="AC57" s="367">
        <v>0</v>
      </c>
      <c r="AD57" s="367">
        <v>0</v>
      </c>
      <c r="AE57" s="367">
        <v>0</v>
      </c>
      <c r="AF57" s="367">
        <v>0</v>
      </c>
      <c r="AG57" s="367">
        <v>0</v>
      </c>
      <c r="AH57" s="367">
        <v>0</v>
      </c>
      <c r="AI57" s="367">
        <v>0</v>
      </c>
      <c r="AJ57" s="367">
        <v>0</v>
      </c>
      <c r="AK57" s="367">
        <v>0</v>
      </c>
      <c r="AL57" s="367">
        <v>0</v>
      </c>
      <c r="AM57" s="367">
        <v>0</v>
      </c>
      <c r="AN57" s="367">
        <v>0</v>
      </c>
      <c r="AO57" s="367">
        <v>0</v>
      </c>
      <c r="AP57" s="367">
        <v>0</v>
      </c>
      <c r="AQ57" s="367">
        <v>0</v>
      </c>
      <c r="AR57" s="367">
        <v>0</v>
      </c>
      <c r="AS57" s="367">
        <v>0</v>
      </c>
      <c r="AT57" s="366">
        <v>0</v>
      </c>
      <c r="AU57" s="367">
        <v>0</v>
      </c>
      <c r="AV57" s="367">
        <v>0</v>
      </c>
      <c r="AW57" s="367">
        <v>0</v>
      </c>
      <c r="AX57" s="367">
        <v>0</v>
      </c>
      <c r="AY57" s="367">
        <v>0</v>
      </c>
      <c r="AZ57" s="366">
        <v>0</v>
      </c>
      <c r="BA57" s="367">
        <v>0</v>
      </c>
      <c r="BB57" s="367">
        <v>0</v>
      </c>
      <c r="BC57" s="367">
        <v>0</v>
      </c>
      <c r="BD57" s="367">
        <v>0</v>
      </c>
      <c r="BE57" s="367">
        <v>0</v>
      </c>
      <c r="BF57" s="367">
        <v>0</v>
      </c>
      <c r="BG57" s="367">
        <v>0</v>
      </c>
      <c r="BH57" s="367">
        <v>0</v>
      </c>
      <c r="BI57" s="367">
        <v>0</v>
      </c>
      <c r="BJ57" s="367">
        <v>0</v>
      </c>
      <c r="BK57" s="367">
        <v>0</v>
      </c>
      <c r="BL57" s="367">
        <v>0</v>
      </c>
      <c r="BM57" s="367">
        <v>0</v>
      </c>
      <c r="BN57" s="367">
        <v>0</v>
      </c>
      <c r="BO57" s="366">
        <v>0</v>
      </c>
      <c r="BP57" s="367">
        <v>0</v>
      </c>
      <c r="BQ57" s="367">
        <v>0</v>
      </c>
      <c r="BR57" s="368">
        <v>0</v>
      </c>
      <c r="BS57" s="368">
        <v>3.5999999999999997E-2</v>
      </c>
      <c r="BT57" s="366">
        <v>0</v>
      </c>
    </row>
    <row r="58" spans="1:72">
      <c r="A58" s="369"/>
      <c r="B58" s="363"/>
      <c r="C58" s="362" t="s">
        <v>549</v>
      </c>
      <c r="D58" s="363" t="s">
        <v>657</v>
      </c>
      <c r="E58" s="363"/>
      <c r="F58" s="364" t="s">
        <v>658</v>
      </c>
      <c r="G58" s="364"/>
      <c r="H58" s="365">
        <v>1.7000000000000001E-2</v>
      </c>
      <c r="I58" s="366">
        <v>0</v>
      </c>
      <c r="J58" s="367">
        <v>0</v>
      </c>
      <c r="K58" s="367">
        <v>0</v>
      </c>
      <c r="L58" s="367">
        <v>0</v>
      </c>
      <c r="M58" s="367">
        <v>0</v>
      </c>
      <c r="N58" s="367">
        <v>0</v>
      </c>
      <c r="O58" s="367">
        <v>0</v>
      </c>
      <c r="P58" s="367">
        <v>0</v>
      </c>
      <c r="Q58" s="367">
        <v>0</v>
      </c>
      <c r="R58" s="367">
        <v>0</v>
      </c>
      <c r="S58" s="367">
        <v>0</v>
      </c>
      <c r="T58" s="367">
        <v>0</v>
      </c>
      <c r="U58" s="367">
        <v>0</v>
      </c>
      <c r="V58" s="367">
        <v>0</v>
      </c>
      <c r="W58" s="366">
        <v>0</v>
      </c>
      <c r="X58" s="367">
        <v>0</v>
      </c>
      <c r="Y58" s="367">
        <v>0</v>
      </c>
      <c r="Z58" s="367">
        <v>0</v>
      </c>
      <c r="AA58" s="367">
        <v>0</v>
      </c>
      <c r="AB58" s="367">
        <v>0</v>
      </c>
      <c r="AC58" s="367">
        <v>0</v>
      </c>
      <c r="AD58" s="367">
        <v>0</v>
      </c>
      <c r="AE58" s="367">
        <v>0</v>
      </c>
      <c r="AF58" s="367">
        <v>0</v>
      </c>
      <c r="AG58" s="367">
        <v>0</v>
      </c>
      <c r="AH58" s="367">
        <v>0</v>
      </c>
      <c r="AI58" s="367">
        <v>0</v>
      </c>
      <c r="AJ58" s="367">
        <v>0</v>
      </c>
      <c r="AK58" s="367">
        <v>0</v>
      </c>
      <c r="AL58" s="367">
        <v>0</v>
      </c>
      <c r="AM58" s="367">
        <v>0</v>
      </c>
      <c r="AN58" s="367">
        <v>0</v>
      </c>
      <c r="AO58" s="367">
        <v>0</v>
      </c>
      <c r="AP58" s="367">
        <v>0</v>
      </c>
      <c r="AQ58" s="367">
        <v>0</v>
      </c>
      <c r="AR58" s="367">
        <v>0</v>
      </c>
      <c r="AS58" s="367">
        <v>0</v>
      </c>
      <c r="AT58" s="366">
        <v>0</v>
      </c>
      <c r="AU58" s="367">
        <v>0</v>
      </c>
      <c r="AV58" s="367">
        <v>0</v>
      </c>
      <c r="AW58" s="367">
        <v>0</v>
      </c>
      <c r="AX58" s="367">
        <v>0</v>
      </c>
      <c r="AY58" s="367">
        <v>0</v>
      </c>
      <c r="AZ58" s="366">
        <v>0</v>
      </c>
      <c r="BA58" s="367">
        <v>0</v>
      </c>
      <c r="BB58" s="367">
        <v>0</v>
      </c>
      <c r="BC58" s="367">
        <v>0</v>
      </c>
      <c r="BD58" s="367">
        <v>0</v>
      </c>
      <c r="BE58" s="367">
        <v>0</v>
      </c>
      <c r="BF58" s="367">
        <v>0</v>
      </c>
      <c r="BG58" s="367">
        <v>0</v>
      </c>
      <c r="BH58" s="367">
        <v>0</v>
      </c>
      <c r="BI58" s="367">
        <v>0</v>
      </c>
      <c r="BJ58" s="367">
        <v>0</v>
      </c>
      <c r="BK58" s="367">
        <v>0</v>
      </c>
      <c r="BL58" s="367">
        <v>0</v>
      </c>
      <c r="BM58" s="367">
        <v>0</v>
      </c>
      <c r="BN58" s="367">
        <v>0</v>
      </c>
      <c r="BO58" s="366">
        <v>0</v>
      </c>
      <c r="BP58" s="367">
        <v>0</v>
      </c>
      <c r="BQ58" s="367">
        <v>0</v>
      </c>
      <c r="BR58" s="368">
        <v>0</v>
      </c>
      <c r="BS58" s="368">
        <v>1.7000000000000001E-2</v>
      </c>
      <c r="BT58" s="366">
        <v>0</v>
      </c>
    </row>
    <row r="59" spans="1:72">
      <c r="A59" s="369"/>
      <c r="B59" s="363"/>
      <c r="C59" s="362" t="s">
        <v>549</v>
      </c>
      <c r="D59" s="363" t="s">
        <v>659</v>
      </c>
      <c r="E59" s="363"/>
      <c r="F59" s="364" t="s">
        <v>660</v>
      </c>
      <c r="G59" s="364"/>
      <c r="H59" s="365">
        <v>0</v>
      </c>
      <c r="I59" s="366">
        <v>0</v>
      </c>
      <c r="J59" s="367">
        <v>0</v>
      </c>
      <c r="K59" s="367">
        <v>0</v>
      </c>
      <c r="L59" s="367">
        <v>0</v>
      </c>
      <c r="M59" s="367">
        <v>0</v>
      </c>
      <c r="N59" s="367">
        <v>0</v>
      </c>
      <c r="O59" s="367">
        <v>0</v>
      </c>
      <c r="P59" s="367">
        <v>0</v>
      </c>
      <c r="Q59" s="367">
        <v>0</v>
      </c>
      <c r="R59" s="367">
        <v>0</v>
      </c>
      <c r="S59" s="367">
        <v>0</v>
      </c>
      <c r="T59" s="367">
        <v>0</v>
      </c>
      <c r="U59" s="367">
        <v>0</v>
      </c>
      <c r="V59" s="367">
        <v>0</v>
      </c>
      <c r="W59" s="366">
        <v>0</v>
      </c>
      <c r="X59" s="367">
        <v>0</v>
      </c>
      <c r="Y59" s="367">
        <v>0</v>
      </c>
      <c r="Z59" s="367">
        <v>0</v>
      </c>
      <c r="AA59" s="367">
        <v>0</v>
      </c>
      <c r="AB59" s="367">
        <v>0</v>
      </c>
      <c r="AC59" s="367">
        <v>0</v>
      </c>
      <c r="AD59" s="367">
        <v>0</v>
      </c>
      <c r="AE59" s="367">
        <v>0</v>
      </c>
      <c r="AF59" s="367">
        <v>0</v>
      </c>
      <c r="AG59" s="367">
        <v>0</v>
      </c>
      <c r="AH59" s="367">
        <v>0</v>
      </c>
      <c r="AI59" s="367">
        <v>0</v>
      </c>
      <c r="AJ59" s="367">
        <v>0</v>
      </c>
      <c r="AK59" s="367">
        <v>0</v>
      </c>
      <c r="AL59" s="367">
        <v>0</v>
      </c>
      <c r="AM59" s="367">
        <v>0</v>
      </c>
      <c r="AN59" s="367">
        <v>0</v>
      </c>
      <c r="AO59" s="367">
        <v>0</v>
      </c>
      <c r="AP59" s="367">
        <v>0</v>
      </c>
      <c r="AQ59" s="367">
        <v>0</v>
      </c>
      <c r="AR59" s="367">
        <v>0</v>
      </c>
      <c r="AS59" s="367">
        <v>0</v>
      </c>
      <c r="AT59" s="366">
        <v>0</v>
      </c>
      <c r="AU59" s="367">
        <v>0</v>
      </c>
      <c r="AV59" s="367">
        <v>0</v>
      </c>
      <c r="AW59" s="367">
        <v>0</v>
      </c>
      <c r="AX59" s="367">
        <v>0</v>
      </c>
      <c r="AY59" s="367">
        <v>0</v>
      </c>
      <c r="AZ59" s="366">
        <v>0</v>
      </c>
      <c r="BA59" s="367">
        <v>0</v>
      </c>
      <c r="BB59" s="367">
        <v>0</v>
      </c>
      <c r="BC59" s="367">
        <v>0</v>
      </c>
      <c r="BD59" s="367">
        <v>0</v>
      </c>
      <c r="BE59" s="367">
        <v>0</v>
      </c>
      <c r="BF59" s="367">
        <v>0</v>
      </c>
      <c r="BG59" s="367">
        <v>0</v>
      </c>
      <c r="BH59" s="367">
        <v>0</v>
      </c>
      <c r="BI59" s="367">
        <v>0</v>
      </c>
      <c r="BJ59" s="367">
        <v>0</v>
      </c>
      <c r="BK59" s="367">
        <v>0</v>
      </c>
      <c r="BL59" s="367">
        <v>0</v>
      </c>
      <c r="BM59" s="367">
        <v>0</v>
      </c>
      <c r="BN59" s="367">
        <v>0</v>
      </c>
      <c r="BO59" s="366">
        <v>0</v>
      </c>
      <c r="BP59" s="367">
        <v>0</v>
      </c>
      <c r="BQ59" s="367">
        <v>0</v>
      </c>
      <c r="BR59" s="368">
        <v>0</v>
      </c>
      <c r="BS59" s="368">
        <v>0</v>
      </c>
      <c r="BT59" s="366">
        <v>0</v>
      </c>
    </row>
    <row r="60" spans="1:72">
      <c r="A60" s="369"/>
      <c r="B60" s="363"/>
      <c r="C60" s="362" t="s">
        <v>549</v>
      </c>
      <c r="D60" s="363" t="s">
        <v>661</v>
      </c>
      <c r="E60" s="363"/>
      <c r="F60" s="364" t="s">
        <v>662</v>
      </c>
      <c r="G60" s="364"/>
      <c r="H60" s="365">
        <v>0</v>
      </c>
      <c r="I60" s="366">
        <v>0</v>
      </c>
      <c r="J60" s="367">
        <v>0</v>
      </c>
      <c r="K60" s="367">
        <v>0</v>
      </c>
      <c r="L60" s="367">
        <v>0</v>
      </c>
      <c r="M60" s="367">
        <v>0</v>
      </c>
      <c r="N60" s="367">
        <v>0</v>
      </c>
      <c r="O60" s="367">
        <v>0</v>
      </c>
      <c r="P60" s="367">
        <v>0</v>
      </c>
      <c r="Q60" s="367">
        <v>0</v>
      </c>
      <c r="R60" s="367">
        <v>0</v>
      </c>
      <c r="S60" s="367">
        <v>0</v>
      </c>
      <c r="T60" s="367">
        <v>0</v>
      </c>
      <c r="U60" s="367">
        <v>0</v>
      </c>
      <c r="V60" s="367">
        <v>0</v>
      </c>
      <c r="W60" s="366">
        <v>0</v>
      </c>
      <c r="X60" s="367">
        <v>0</v>
      </c>
      <c r="Y60" s="367">
        <v>0</v>
      </c>
      <c r="Z60" s="367">
        <v>0</v>
      </c>
      <c r="AA60" s="367">
        <v>0</v>
      </c>
      <c r="AB60" s="367">
        <v>0</v>
      </c>
      <c r="AC60" s="367">
        <v>0</v>
      </c>
      <c r="AD60" s="367">
        <v>0</v>
      </c>
      <c r="AE60" s="367">
        <v>0</v>
      </c>
      <c r="AF60" s="367">
        <v>0</v>
      </c>
      <c r="AG60" s="367">
        <v>0</v>
      </c>
      <c r="AH60" s="367">
        <v>0</v>
      </c>
      <c r="AI60" s="367">
        <v>0</v>
      </c>
      <c r="AJ60" s="367">
        <v>0</v>
      </c>
      <c r="AK60" s="367">
        <v>0</v>
      </c>
      <c r="AL60" s="367">
        <v>0</v>
      </c>
      <c r="AM60" s="367">
        <v>0</v>
      </c>
      <c r="AN60" s="367">
        <v>0</v>
      </c>
      <c r="AO60" s="367">
        <v>0</v>
      </c>
      <c r="AP60" s="367">
        <v>0</v>
      </c>
      <c r="AQ60" s="367">
        <v>0</v>
      </c>
      <c r="AR60" s="367">
        <v>0</v>
      </c>
      <c r="AS60" s="367">
        <v>0</v>
      </c>
      <c r="AT60" s="366">
        <v>0</v>
      </c>
      <c r="AU60" s="367">
        <v>0</v>
      </c>
      <c r="AV60" s="367">
        <v>0</v>
      </c>
      <c r="AW60" s="367">
        <v>0</v>
      </c>
      <c r="AX60" s="367">
        <v>0</v>
      </c>
      <c r="AY60" s="367">
        <v>0</v>
      </c>
      <c r="AZ60" s="366">
        <v>0</v>
      </c>
      <c r="BA60" s="367">
        <v>0</v>
      </c>
      <c r="BB60" s="367">
        <v>0</v>
      </c>
      <c r="BC60" s="367">
        <v>0</v>
      </c>
      <c r="BD60" s="367">
        <v>0</v>
      </c>
      <c r="BE60" s="367">
        <v>0</v>
      </c>
      <c r="BF60" s="367">
        <v>0</v>
      </c>
      <c r="BG60" s="367">
        <v>0</v>
      </c>
      <c r="BH60" s="367">
        <v>0</v>
      </c>
      <c r="BI60" s="367">
        <v>0</v>
      </c>
      <c r="BJ60" s="367">
        <v>0</v>
      </c>
      <c r="BK60" s="367">
        <v>0</v>
      </c>
      <c r="BL60" s="367">
        <v>0</v>
      </c>
      <c r="BM60" s="367">
        <v>0</v>
      </c>
      <c r="BN60" s="367">
        <v>0</v>
      </c>
      <c r="BO60" s="366">
        <v>0</v>
      </c>
      <c r="BP60" s="367">
        <v>0</v>
      </c>
      <c r="BQ60" s="367">
        <v>0</v>
      </c>
      <c r="BR60" s="368">
        <v>0</v>
      </c>
      <c r="BS60" s="368">
        <v>0</v>
      </c>
      <c r="BT60" s="366">
        <v>0</v>
      </c>
    </row>
    <row r="61" spans="1:72">
      <c r="A61" s="369"/>
      <c r="B61" s="362" t="s">
        <v>549</v>
      </c>
      <c r="C61" s="363" t="s">
        <v>589</v>
      </c>
      <c r="D61" s="363"/>
      <c r="E61" s="363"/>
      <c r="F61" s="364" t="s">
        <v>663</v>
      </c>
      <c r="G61" s="364"/>
      <c r="H61" s="365">
        <v>18.997</v>
      </c>
      <c r="I61" s="366">
        <v>0</v>
      </c>
      <c r="J61" s="367">
        <v>0</v>
      </c>
      <c r="K61" s="367">
        <v>0</v>
      </c>
      <c r="L61" s="367">
        <v>0</v>
      </c>
      <c r="M61" s="367">
        <v>0</v>
      </c>
      <c r="N61" s="367">
        <v>0</v>
      </c>
      <c r="O61" s="367">
        <v>0</v>
      </c>
      <c r="P61" s="367">
        <v>0</v>
      </c>
      <c r="Q61" s="367">
        <v>0</v>
      </c>
      <c r="R61" s="367">
        <v>0</v>
      </c>
      <c r="S61" s="367">
        <v>0</v>
      </c>
      <c r="T61" s="367">
        <v>0</v>
      </c>
      <c r="U61" s="367">
        <v>0</v>
      </c>
      <c r="V61" s="367">
        <v>0</v>
      </c>
      <c r="W61" s="366">
        <v>0</v>
      </c>
      <c r="X61" s="367">
        <v>0</v>
      </c>
      <c r="Y61" s="367">
        <v>0</v>
      </c>
      <c r="Z61" s="367">
        <v>0</v>
      </c>
      <c r="AA61" s="367">
        <v>0</v>
      </c>
      <c r="AB61" s="367">
        <v>0</v>
      </c>
      <c r="AC61" s="367">
        <v>0</v>
      </c>
      <c r="AD61" s="367">
        <v>0</v>
      </c>
      <c r="AE61" s="367">
        <v>0</v>
      </c>
      <c r="AF61" s="367">
        <v>0</v>
      </c>
      <c r="AG61" s="367">
        <v>0</v>
      </c>
      <c r="AH61" s="367">
        <v>0</v>
      </c>
      <c r="AI61" s="367">
        <v>0</v>
      </c>
      <c r="AJ61" s="367">
        <v>0</v>
      </c>
      <c r="AK61" s="367">
        <v>0</v>
      </c>
      <c r="AL61" s="367">
        <v>0</v>
      </c>
      <c r="AM61" s="367">
        <v>0</v>
      </c>
      <c r="AN61" s="367">
        <v>0</v>
      </c>
      <c r="AO61" s="367">
        <v>0</v>
      </c>
      <c r="AP61" s="367">
        <v>0</v>
      </c>
      <c r="AQ61" s="367">
        <v>0</v>
      </c>
      <c r="AR61" s="367">
        <v>0</v>
      </c>
      <c r="AS61" s="367">
        <v>0</v>
      </c>
      <c r="AT61" s="366">
        <v>0</v>
      </c>
      <c r="AU61" s="367">
        <v>0</v>
      </c>
      <c r="AV61" s="367">
        <v>0</v>
      </c>
      <c r="AW61" s="367">
        <v>0</v>
      </c>
      <c r="AX61" s="367">
        <v>0</v>
      </c>
      <c r="AY61" s="367">
        <v>0</v>
      </c>
      <c r="AZ61" s="366">
        <v>0</v>
      </c>
      <c r="BA61" s="367">
        <v>0</v>
      </c>
      <c r="BB61" s="367">
        <v>0</v>
      </c>
      <c r="BC61" s="367">
        <v>0</v>
      </c>
      <c r="BD61" s="367">
        <v>0</v>
      </c>
      <c r="BE61" s="367">
        <v>0</v>
      </c>
      <c r="BF61" s="367">
        <v>0</v>
      </c>
      <c r="BG61" s="367">
        <v>0</v>
      </c>
      <c r="BH61" s="367">
        <v>0</v>
      </c>
      <c r="BI61" s="367">
        <v>0</v>
      </c>
      <c r="BJ61" s="367">
        <v>0</v>
      </c>
      <c r="BK61" s="367">
        <v>0</v>
      </c>
      <c r="BL61" s="367">
        <v>0</v>
      </c>
      <c r="BM61" s="367">
        <v>0</v>
      </c>
      <c r="BN61" s="367">
        <v>0</v>
      </c>
      <c r="BO61" s="366">
        <v>0</v>
      </c>
      <c r="BP61" s="367">
        <v>0</v>
      </c>
      <c r="BQ61" s="367">
        <v>0</v>
      </c>
      <c r="BR61" s="368">
        <v>0</v>
      </c>
      <c r="BS61" s="368">
        <v>0</v>
      </c>
      <c r="BT61" s="366">
        <v>18.997</v>
      </c>
    </row>
    <row r="62" spans="1:72">
      <c r="A62" s="369"/>
      <c r="B62" s="363"/>
      <c r="C62" s="362" t="s">
        <v>549</v>
      </c>
      <c r="D62" s="363" t="s">
        <v>664</v>
      </c>
      <c r="E62" s="363"/>
      <c r="F62" s="364" t="s">
        <v>665</v>
      </c>
      <c r="G62" s="364"/>
      <c r="H62" s="365">
        <v>0</v>
      </c>
      <c r="I62" s="366">
        <v>0</v>
      </c>
      <c r="J62" s="367">
        <v>0</v>
      </c>
      <c r="K62" s="367">
        <v>0</v>
      </c>
      <c r="L62" s="367">
        <v>0</v>
      </c>
      <c r="M62" s="367">
        <v>0</v>
      </c>
      <c r="N62" s="367">
        <v>0</v>
      </c>
      <c r="O62" s="367">
        <v>0</v>
      </c>
      <c r="P62" s="367">
        <v>0</v>
      </c>
      <c r="Q62" s="367">
        <v>0</v>
      </c>
      <c r="R62" s="367">
        <v>0</v>
      </c>
      <c r="S62" s="367">
        <v>0</v>
      </c>
      <c r="T62" s="367">
        <v>0</v>
      </c>
      <c r="U62" s="367">
        <v>0</v>
      </c>
      <c r="V62" s="367">
        <v>0</v>
      </c>
      <c r="W62" s="366">
        <v>0</v>
      </c>
      <c r="X62" s="367">
        <v>0</v>
      </c>
      <c r="Y62" s="367">
        <v>0</v>
      </c>
      <c r="Z62" s="367">
        <v>0</v>
      </c>
      <c r="AA62" s="367">
        <v>0</v>
      </c>
      <c r="AB62" s="367">
        <v>0</v>
      </c>
      <c r="AC62" s="367">
        <v>0</v>
      </c>
      <c r="AD62" s="367">
        <v>0</v>
      </c>
      <c r="AE62" s="367">
        <v>0</v>
      </c>
      <c r="AF62" s="367">
        <v>0</v>
      </c>
      <c r="AG62" s="367">
        <v>0</v>
      </c>
      <c r="AH62" s="367">
        <v>0</v>
      </c>
      <c r="AI62" s="367">
        <v>0</v>
      </c>
      <c r="AJ62" s="367">
        <v>0</v>
      </c>
      <c r="AK62" s="367">
        <v>0</v>
      </c>
      <c r="AL62" s="367">
        <v>0</v>
      </c>
      <c r="AM62" s="367">
        <v>0</v>
      </c>
      <c r="AN62" s="367">
        <v>0</v>
      </c>
      <c r="AO62" s="367">
        <v>0</v>
      </c>
      <c r="AP62" s="367">
        <v>0</v>
      </c>
      <c r="AQ62" s="367">
        <v>0</v>
      </c>
      <c r="AR62" s="367">
        <v>0</v>
      </c>
      <c r="AS62" s="367">
        <v>0</v>
      </c>
      <c r="AT62" s="366">
        <v>0</v>
      </c>
      <c r="AU62" s="367">
        <v>0</v>
      </c>
      <c r="AV62" s="367">
        <v>0</v>
      </c>
      <c r="AW62" s="367">
        <v>0</v>
      </c>
      <c r="AX62" s="367">
        <v>0</v>
      </c>
      <c r="AY62" s="367">
        <v>0</v>
      </c>
      <c r="AZ62" s="366">
        <v>0</v>
      </c>
      <c r="BA62" s="367">
        <v>0</v>
      </c>
      <c r="BB62" s="367">
        <v>0</v>
      </c>
      <c r="BC62" s="367">
        <v>0</v>
      </c>
      <c r="BD62" s="367">
        <v>0</v>
      </c>
      <c r="BE62" s="367">
        <v>0</v>
      </c>
      <c r="BF62" s="367">
        <v>0</v>
      </c>
      <c r="BG62" s="367">
        <v>0</v>
      </c>
      <c r="BH62" s="367">
        <v>0</v>
      </c>
      <c r="BI62" s="367">
        <v>0</v>
      </c>
      <c r="BJ62" s="367">
        <v>0</v>
      </c>
      <c r="BK62" s="367">
        <v>0</v>
      </c>
      <c r="BL62" s="367">
        <v>0</v>
      </c>
      <c r="BM62" s="367">
        <v>0</v>
      </c>
      <c r="BN62" s="367">
        <v>0</v>
      </c>
      <c r="BO62" s="366">
        <v>0</v>
      </c>
      <c r="BP62" s="367">
        <v>0</v>
      </c>
      <c r="BQ62" s="367">
        <v>0</v>
      </c>
      <c r="BR62" s="368">
        <v>0</v>
      </c>
      <c r="BS62" s="368">
        <v>0</v>
      </c>
      <c r="BT62" s="366">
        <v>0</v>
      </c>
    </row>
    <row r="63" spans="1:72">
      <c r="A63" s="369"/>
      <c r="B63" s="363"/>
      <c r="C63" s="362" t="s">
        <v>549</v>
      </c>
      <c r="D63" s="363" t="s">
        <v>666</v>
      </c>
      <c r="E63" s="363"/>
      <c r="F63" s="364" t="s">
        <v>667</v>
      </c>
      <c r="G63" s="364"/>
      <c r="H63" s="365">
        <v>18.544</v>
      </c>
      <c r="I63" s="366">
        <v>0</v>
      </c>
      <c r="J63" s="367">
        <v>0</v>
      </c>
      <c r="K63" s="367">
        <v>0</v>
      </c>
      <c r="L63" s="367">
        <v>0</v>
      </c>
      <c r="M63" s="367">
        <v>0</v>
      </c>
      <c r="N63" s="367">
        <v>0</v>
      </c>
      <c r="O63" s="367">
        <v>0</v>
      </c>
      <c r="P63" s="367">
        <v>0</v>
      </c>
      <c r="Q63" s="367">
        <v>0</v>
      </c>
      <c r="R63" s="367">
        <v>0</v>
      </c>
      <c r="S63" s="367">
        <v>0</v>
      </c>
      <c r="T63" s="367">
        <v>0</v>
      </c>
      <c r="U63" s="367">
        <v>0</v>
      </c>
      <c r="V63" s="367">
        <v>0</v>
      </c>
      <c r="W63" s="366">
        <v>0</v>
      </c>
      <c r="X63" s="367">
        <v>0</v>
      </c>
      <c r="Y63" s="367">
        <v>0</v>
      </c>
      <c r="Z63" s="367">
        <v>0</v>
      </c>
      <c r="AA63" s="367">
        <v>0</v>
      </c>
      <c r="AB63" s="367">
        <v>0</v>
      </c>
      <c r="AC63" s="367">
        <v>0</v>
      </c>
      <c r="AD63" s="367">
        <v>0</v>
      </c>
      <c r="AE63" s="367">
        <v>0</v>
      </c>
      <c r="AF63" s="367">
        <v>0</v>
      </c>
      <c r="AG63" s="367">
        <v>0</v>
      </c>
      <c r="AH63" s="367">
        <v>0</v>
      </c>
      <c r="AI63" s="367">
        <v>0</v>
      </c>
      <c r="AJ63" s="367">
        <v>0</v>
      </c>
      <c r="AK63" s="367">
        <v>0</v>
      </c>
      <c r="AL63" s="367">
        <v>0</v>
      </c>
      <c r="AM63" s="367">
        <v>0</v>
      </c>
      <c r="AN63" s="367">
        <v>0</v>
      </c>
      <c r="AO63" s="367">
        <v>0</v>
      </c>
      <c r="AP63" s="367">
        <v>0</v>
      </c>
      <c r="AQ63" s="367">
        <v>0</v>
      </c>
      <c r="AR63" s="367">
        <v>0</v>
      </c>
      <c r="AS63" s="367">
        <v>0</v>
      </c>
      <c r="AT63" s="366">
        <v>0</v>
      </c>
      <c r="AU63" s="367">
        <v>0</v>
      </c>
      <c r="AV63" s="367">
        <v>0</v>
      </c>
      <c r="AW63" s="367">
        <v>0</v>
      </c>
      <c r="AX63" s="367">
        <v>0</v>
      </c>
      <c r="AY63" s="367">
        <v>0</v>
      </c>
      <c r="AZ63" s="366">
        <v>0</v>
      </c>
      <c r="BA63" s="367">
        <v>0</v>
      </c>
      <c r="BB63" s="367">
        <v>0</v>
      </c>
      <c r="BC63" s="367">
        <v>0</v>
      </c>
      <c r="BD63" s="367">
        <v>0</v>
      </c>
      <c r="BE63" s="367">
        <v>0</v>
      </c>
      <c r="BF63" s="367">
        <v>0</v>
      </c>
      <c r="BG63" s="367">
        <v>0</v>
      </c>
      <c r="BH63" s="367">
        <v>0</v>
      </c>
      <c r="BI63" s="367">
        <v>0</v>
      </c>
      <c r="BJ63" s="367">
        <v>0</v>
      </c>
      <c r="BK63" s="367">
        <v>0</v>
      </c>
      <c r="BL63" s="367">
        <v>0</v>
      </c>
      <c r="BM63" s="367">
        <v>0</v>
      </c>
      <c r="BN63" s="367">
        <v>0</v>
      </c>
      <c r="BO63" s="366">
        <v>0</v>
      </c>
      <c r="BP63" s="367">
        <v>0</v>
      </c>
      <c r="BQ63" s="367">
        <v>0</v>
      </c>
      <c r="BR63" s="368">
        <v>0</v>
      </c>
      <c r="BS63" s="368">
        <v>0</v>
      </c>
      <c r="BT63" s="366">
        <v>18.544</v>
      </c>
    </row>
    <row r="64" spans="1:72">
      <c r="A64" s="369"/>
      <c r="B64" s="363"/>
      <c r="C64" s="362" t="s">
        <v>549</v>
      </c>
      <c r="D64" s="363" t="s">
        <v>668</v>
      </c>
      <c r="E64" s="363"/>
      <c r="F64" s="364" t="s">
        <v>669</v>
      </c>
      <c r="G64" s="364"/>
      <c r="H64" s="365">
        <v>0.45400000000000001</v>
      </c>
      <c r="I64" s="366">
        <v>0</v>
      </c>
      <c r="J64" s="367">
        <v>0</v>
      </c>
      <c r="K64" s="367">
        <v>0</v>
      </c>
      <c r="L64" s="367">
        <v>0</v>
      </c>
      <c r="M64" s="367">
        <v>0</v>
      </c>
      <c r="N64" s="367">
        <v>0</v>
      </c>
      <c r="O64" s="367">
        <v>0</v>
      </c>
      <c r="P64" s="367">
        <v>0</v>
      </c>
      <c r="Q64" s="367">
        <v>0</v>
      </c>
      <c r="R64" s="367">
        <v>0</v>
      </c>
      <c r="S64" s="367">
        <v>0</v>
      </c>
      <c r="T64" s="367">
        <v>0</v>
      </c>
      <c r="U64" s="367">
        <v>0</v>
      </c>
      <c r="V64" s="367">
        <v>0</v>
      </c>
      <c r="W64" s="366">
        <v>0</v>
      </c>
      <c r="X64" s="367">
        <v>0</v>
      </c>
      <c r="Y64" s="367">
        <v>0</v>
      </c>
      <c r="Z64" s="367">
        <v>0</v>
      </c>
      <c r="AA64" s="367">
        <v>0</v>
      </c>
      <c r="AB64" s="367">
        <v>0</v>
      </c>
      <c r="AC64" s="367">
        <v>0</v>
      </c>
      <c r="AD64" s="367">
        <v>0</v>
      </c>
      <c r="AE64" s="367">
        <v>0</v>
      </c>
      <c r="AF64" s="367">
        <v>0</v>
      </c>
      <c r="AG64" s="367">
        <v>0</v>
      </c>
      <c r="AH64" s="367">
        <v>0</v>
      </c>
      <c r="AI64" s="367">
        <v>0</v>
      </c>
      <c r="AJ64" s="367">
        <v>0</v>
      </c>
      <c r="AK64" s="367">
        <v>0</v>
      </c>
      <c r="AL64" s="367">
        <v>0</v>
      </c>
      <c r="AM64" s="367">
        <v>0</v>
      </c>
      <c r="AN64" s="367">
        <v>0</v>
      </c>
      <c r="AO64" s="367">
        <v>0</v>
      </c>
      <c r="AP64" s="367">
        <v>0</v>
      </c>
      <c r="AQ64" s="367">
        <v>0</v>
      </c>
      <c r="AR64" s="367">
        <v>0</v>
      </c>
      <c r="AS64" s="367">
        <v>0</v>
      </c>
      <c r="AT64" s="366">
        <v>0</v>
      </c>
      <c r="AU64" s="367">
        <v>0</v>
      </c>
      <c r="AV64" s="367">
        <v>0</v>
      </c>
      <c r="AW64" s="367">
        <v>0</v>
      </c>
      <c r="AX64" s="367">
        <v>0</v>
      </c>
      <c r="AY64" s="367">
        <v>0</v>
      </c>
      <c r="AZ64" s="366">
        <v>0</v>
      </c>
      <c r="BA64" s="367">
        <v>0</v>
      </c>
      <c r="BB64" s="367">
        <v>0</v>
      </c>
      <c r="BC64" s="367">
        <v>0</v>
      </c>
      <c r="BD64" s="367">
        <v>0</v>
      </c>
      <c r="BE64" s="367">
        <v>0</v>
      </c>
      <c r="BF64" s="367">
        <v>0</v>
      </c>
      <c r="BG64" s="367">
        <v>0</v>
      </c>
      <c r="BH64" s="367">
        <v>0</v>
      </c>
      <c r="BI64" s="367">
        <v>0</v>
      </c>
      <c r="BJ64" s="367">
        <v>0</v>
      </c>
      <c r="BK64" s="367">
        <v>0</v>
      </c>
      <c r="BL64" s="367">
        <v>0</v>
      </c>
      <c r="BM64" s="367">
        <v>0</v>
      </c>
      <c r="BN64" s="367">
        <v>0</v>
      </c>
      <c r="BO64" s="366">
        <v>0</v>
      </c>
      <c r="BP64" s="367">
        <v>0</v>
      </c>
      <c r="BQ64" s="367">
        <v>0</v>
      </c>
      <c r="BR64" s="368">
        <v>0</v>
      </c>
      <c r="BS64" s="368">
        <v>0</v>
      </c>
      <c r="BT64" s="366">
        <v>0.45400000000000001</v>
      </c>
    </row>
    <row r="65" spans="1:72">
      <c r="A65" s="369"/>
      <c r="B65" s="363"/>
      <c r="C65" s="362" t="s">
        <v>549</v>
      </c>
      <c r="D65" s="363" t="s">
        <v>670</v>
      </c>
      <c r="E65" s="363"/>
      <c r="F65" s="364" t="s">
        <v>671</v>
      </c>
      <c r="G65" s="364"/>
      <c r="H65" s="365">
        <v>0</v>
      </c>
      <c r="I65" s="366">
        <v>0</v>
      </c>
      <c r="J65" s="367">
        <v>0</v>
      </c>
      <c r="K65" s="367">
        <v>0</v>
      </c>
      <c r="L65" s="367">
        <v>0</v>
      </c>
      <c r="M65" s="367">
        <v>0</v>
      </c>
      <c r="N65" s="367">
        <v>0</v>
      </c>
      <c r="O65" s="367">
        <v>0</v>
      </c>
      <c r="P65" s="367">
        <v>0</v>
      </c>
      <c r="Q65" s="367">
        <v>0</v>
      </c>
      <c r="R65" s="367">
        <v>0</v>
      </c>
      <c r="S65" s="367">
        <v>0</v>
      </c>
      <c r="T65" s="367">
        <v>0</v>
      </c>
      <c r="U65" s="367">
        <v>0</v>
      </c>
      <c r="V65" s="367">
        <v>0</v>
      </c>
      <c r="W65" s="366">
        <v>0</v>
      </c>
      <c r="X65" s="367">
        <v>0</v>
      </c>
      <c r="Y65" s="367">
        <v>0</v>
      </c>
      <c r="Z65" s="367">
        <v>0</v>
      </c>
      <c r="AA65" s="367">
        <v>0</v>
      </c>
      <c r="AB65" s="367">
        <v>0</v>
      </c>
      <c r="AC65" s="367">
        <v>0</v>
      </c>
      <c r="AD65" s="367">
        <v>0</v>
      </c>
      <c r="AE65" s="367">
        <v>0</v>
      </c>
      <c r="AF65" s="367">
        <v>0</v>
      </c>
      <c r="AG65" s="367">
        <v>0</v>
      </c>
      <c r="AH65" s="367">
        <v>0</v>
      </c>
      <c r="AI65" s="367">
        <v>0</v>
      </c>
      <c r="AJ65" s="367">
        <v>0</v>
      </c>
      <c r="AK65" s="367">
        <v>0</v>
      </c>
      <c r="AL65" s="367">
        <v>0</v>
      </c>
      <c r="AM65" s="367">
        <v>0</v>
      </c>
      <c r="AN65" s="367">
        <v>0</v>
      </c>
      <c r="AO65" s="367">
        <v>0</v>
      </c>
      <c r="AP65" s="367">
        <v>0</v>
      </c>
      <c r="AQ65" s="367">
        <v>0</v>
      </c>
      <c r="AR65" s="367">
        <v>0</v>
      </c>
      <c r="AS65" s="367">
        <v>0</v>
      </c>
      <c r="AT65" s="366">
        <v>0</v>
      </c>
      <c r="AU65" s="367">
        <v>0</v>
      </c>
      <c r="AV65" s="367">
        <v>0</v>
      </c>
      <c r="AW65" s="367">
        <v>0</v>
      </c>
      <c r="AX65" s="367">
        <v>0</v>
      </c>
      <c r="AY65" s="367">
        <v>0</v>
      </c>
      <c r="AZ65" s="366">
        <v>0</v>
      </c>
      <c r="BA65" s="367">
        <v>0</v>
      </c>
      <c r="BB65" s="367">
        <v>0</v>
      </c>
      <c r="BC65" s="367">
        <v>0</v>
      </c>
      <c r="BD65" s="367">
        <v>0</v>
      </c>
      <c r="BE65" s="367">
        <v>0</v>
      </c>
      <c r="BF65" s="367">
        <v>0</v>
      </c>
      <c r="BG65" s="367">
        <v>0</v>
      </c>
      <c r="BH65" s="367">
        <v>0</v>
      </c>
      <c r="BI65" s="367">
        <v>0</v>
      </c>
      <c r="BJ65" s="367">
        <v>0</v>
      </c>
      <c r="BK65" s="367">
        <v>0</v>
      </c>
      <c r="BL65" s="367">
        <v>0</v>
      </c>
      <c r="BM65" s="367">
        <v>0</v>
      </c>
      <c r="BN65" s="367">
        <v>0</v>
      </c>
      <c r="BO65" s="366">
        <v>0</v>
      </c>
      <c r="BP65" s="367">
        <v>0</v>
      </c>
      <c r="BQ65" s="367">
        <v>0</v>
      </c>
      <c r="BR65" s="368">
        <v>0</v>
      </c>
      <c r="BS65" s="368">
        <v>0</v>
      </c>
      <c r="BT65" s="366">
        <v>0</v>
      </c>
    </row>
    <row r="66" spans="1:72">
      <c r="A66" s="369"/>
      <c r="B66" s="363"/>
      <c r="C66" s="362" t="s">
        <v>549</v>
      </c>
      <c r="D66" s="363" t="s">
        <v>672</v>
      </c>
      <c r="E66" s="363"/>
      <c r="F66" s="364" t="s">
        <v>673</v>
      </c>
      <c r="G66" s="364"/>
      <c r="H66" s="365">
        <v>0</v>
      </c>
      <c r="I66" s="366">
        <v>0</v>
      </c>
      <c r="J66" s="367">
        <v>0</v>
      </c>
      <c r="K66" s="367">
        <v>0</v>
      </c>
      <c r="L66" s="367">
        <v>0</v>
      </c>
      <c r="M66" s="367">
        <v>0</v>
      </c>
      <c r="N66" s="367">
        <v>0</v>
      </c>
      <c r="O66" s="367">
        <v>0</v>
      </c>
      <c r="P66" s="367">
        <v>0</v>
      </c>
      <c r="Q66" s="367">
        <v>0</v>
      </c>
      <c r="R66" s="367">
        <v>0</v>
      </c>
      <c r="S66" s="367">
        <v>0</v>
      </c>
      <c r="T66" s="367">
        <v>0</v>
      </c>
      <c r="U66" s="367">
        <v>0</v>
      </c>
      <c r="V66" s="367">
        <v>0</v>
      </c>
      <c r="W66" s="366">
        <v>0</v>
      </c>
      <c r="X66" s="367">
        <v>0</v>
      </c>
      <c r="Y66" s="367">
        <v>0</v>
      </c>
      <c r="Z66" s="367">
        <v>0</v>
      </c>
      <c r="AA66" s="367">
        <v>0</v>
      </c>
      <c r="AB66" s="367">
        <v>0</v>
      </c>
      <c r="AC66" s="367">
        <v>0</v>
      </c>
      <c r="AD66" s="367">
        <v>0</v>
      </c>
      <c r="AE66" s="367">
        <v>0</v>
      </c>
      <c r="AF66" s="367">
        <v>0</v>
      </c>
      <c r="AG66" s="367">
        <v>0</v>
      </c>
      <c r="AH66" s="367">
        <v>0</v>
      </c>
      <c r="AI66" s="367">
        <v>0</v>
      </c>
      <c r="AJ66" s="367">
        <v>0</v>
      </c>
      <c r="AK66" s="367">
        <v>0</v>
      </c>
      <c r="AL66" s="367">
        <v>0</v>
      </c>
      <c r="AM66" s="367">
        <v>0</v>
      </c>
      <c r="AN66" s="367">
        <v>0</v>
      </c>
      <c r="AO66" s="367">
        <v>0</v>
      </c>
      <c r="AP66" s="367">
        <v>0</v>
      </c>
      <c r="AQ66" s="367">
        <v>0</v>
      </c>
      <c r="AR66" s="367">
        <v>0</v>
      </c>
      <c r="AS66" s="367">
        <v>0</v>
      </c>
      <c r="AT66" s="366">
        <v>0</v>
      </c>
      <c r="AU66" s="367">
        <v>0</v>
      </c>
      <c r="AV66" s="367">
        <v>0</v>
      </c>
      <c r="AW66" s="367">
        <v>0</v>
      </c>
      <c r="AX66" s="367">
        <v>0</v>
      </c>
      <c r="AY66" s="367">
        <v>0</v>
      </c>
      <c r="AZ66" s="366">
        <v>0</v>
      </c>
      <c r="BA66" s="367">
        <v>0</v>
      </c>
      <c r="BB66" s="367">
        <v>0</v>
      </c>
      <c r="BC66" s="367">
        <v>0</v>
      </c>
      <c r="BD66" s="367">
        <v>0</v>
      </c>
      <c r="BE66" s="367">
        <v>0</v>
      </c>
      <c r="BF66" s="367">
        <v>0</v>
      </c>
      <c r="BG66" s="367">
        <v>0</v>
      </c>
      <c r="BH66" s="367">
        <v>0</v>
      </c>
      <c r="BI66" s="367">
        <v>0</v>
      </c>
      <c r="BJ66" s="367">
        <v>0</v>
      </c>
      <c r="BK66" s="367">
        <v>0</v>
      </c>
      <c r="BL66" s="367">
        <v>0</v>
      </c>
      <c r="BM66" s="367">
        <v>0</v>
      </c>
      <c r="BN66" s="367">
        <v>0</v>
      </c>
      <c r="BO66" s="366">
        <v>0</v>
      </c>
      <c r="BP66" s="367">
        <v>0</v>
      </c>
      <c r="BQ66" s="367">
        <v>0</v>
      </c>
      <c r="BR66" s="368">
        <v>0</v>
      </c>
      <c r="BS66" s="368">
        <v>0</v>
      </c>
      <c r="BT66" s="366">
        <v>0</v>
      </c>
    </row>
    <row r="67" spans="1:72">
      <c r="A67" s="369"/>
      <c r="B67" s="363"/>
      <c r="C67" s="362" t="s">
        <v>549</v>
      </c>
      <c r="D67" s="363" t="s">
        <v>674</v>
      </c>
      <c r="E67" s="363"/>
      <c r="F67" s="364" t="s">
        <v>675</v>
      </c>
      <c r="G67" s="364"/>
      <c r="H67" s="365">
        <v>0</v>
      </c>
      <c r="I67" s="366">
        <v>0</v>
      </c>
      <c r="J67" s="367">
        <v>0</v>
      </c>
      <c r="K67" s="367">
        <v>0</v>
      </c>
      <c r="L67" s="367">
        <v>0</v>
      </c>
      <c r="M67" s="367">
        <v>0</v>
      </c>
      <c r="N67" s="367">
        <v>0</v>
      </c>
      <c r="O67" s="367">
        <v>0</v>
      </c>
      <c r="P67" s="367">
        <v>0</v>
      </c>
      <c r="Q67" s="367">
        <v>0</v>
      </c>
      <c r="R67" s="367">
        <v>0</v>
      </c>
      <c r="S67" s="367">
        <v>0</v>
      </c>
      <c r="T67" s="367">
        <v>0</v>
      </c>
      <c r="U67" s="367">
        <v>0</v>
      </c>
      <c r="V67" s="367">
        <v>0</v>
      </c>
      <c r="W67" s="366">
        <v>0</v>
      </c>
      <c r="X67" s="367">
        <v>0</v>
      </c>
      <c r="Y67" s="367">
        <v>0</v>
      </c>
      <c r="Z67" s="367">
        <v>0</v>
      </c>
      <c r="AA67" s="367">
        <v>0</v>
      </c>
      <c r="AB67" s="367">
        <v>0</v>
      </c>
      <c r="AC67" s="367">
        <v>0</v>
      </c>
      <c r="AD67" s="367">
        <v>0</v>
      </c>
      <c r="AE67" s="367">
        <v>0</v>
      </c>
      <c r="AF67" s="367">
        <v>0</v>
      </c>
      <c r="AG67" s="367">
        <v>0</v>
      </c>
      <c r="AH67" s="367">
        <v>0</v>
      </c>
      <c r="AI67" s="367">
        <v>0</v>
      </c>
      <c r="AJ67" s="367">
        <v>0</v>
      </c>
      <c r="AK67" s="367">
        <v>0</v>
      </c>
      <c r="AL67" s="367">
        <v>0</v>
      </c>
      <c r="AM67" s="367">
        <v>0</v>
      </c>
      <c r="AN67" s="367">
        <v>0</v>
      </c>
      <c r="AO67" s="367">
        <v>0</v>
      </c>
      <c r="AP67" s="367">
        <v>0</v>
      </c>
      <c r="AQ67" s="367">
        <v>0</v>
      </c>
      <c r="AR67" s="367">
        <v>0</v>
      </c>
      <c r="AS67" s="367">
        <v>0</v>
      </c>
      <c r="AT67" s="366">
        <v>0</v>
      </c>
      <c r="AU67" s="367">
        <v>0</v>
      </c>
      <c r="AV67" s="367">
        <v>0</v>
      </c>
      <c r="AW67" s="367">
        <v>0</v>
      </c>
      <c r="AX67" s="367">
        <v>0</v>
      </c>
      <c r="AY67" s="367">
        <v>0</v>
      </c>
      <c r="AZ67" s="366">
        <v>0</v>
      </c>
      <c r="BA67" s="367">
        <v>0</v>
      </c>
      <c r="BB67" s="367">
        <v>0</v>
      </c>
      <c r="BC67" s="367">
        <v>0</v>
      </c>
      <c r="BD67" s="367">
        <v>0</v>
      </c>
      <c r="BE67" s="367">
        <v>0</v>
      </c>
      <c r="BF67" s="367">
        <v>0</v>
      </c>
      <c r="BG67" s="367">
        <v>0</v>
      </c>
      <c r="BH67" s="367">
        <v>0</v>
      </c>
      <c r="BI67" s="367">
        <v>0</v>
      </c>
      <c r="BJ67" s="367">
        <v>0</v>
      </c>
      <c r="BK67" s="367">
        <v>0</v>
      </c>
      <c r="BL67" s="367">
        <v>0</v>
      </c>
      <c r="BM67" s="367">
        <v>0</v>
      </c>
      <c r="BN67" s="367">
        <v>0</v>
      </c>
      <c r="BO67" s="366">
        <v>0</v>
      </c>
      <c r="BP67" s="367">
        <v>0</v>
      </c>
      <c r="BQ67" s="367">
        <v>0</v>
      </c>
      <c r="BR67" s="368">
        <v>0</v>
      </c>
      <c r="BS67" s="368">
        <v>0</v>
      </c>
      <c r="BT67" s="366">
        <v>0</v>
      </c>
    </row>
    <row r="68" spans="1:72">
      <c r="A68" s="369"/>
      <c r="B68" s="363"/>
      <c r="C68" s="362" t="s">
        <v>549</v>
      </c>
      <c r="D68" s="363" t="s">
        <v>676</v>
      </c>
      <c r="E68" s="363"/>
      <c r="F68" s="364" t="s">
        <v>677</v>
      </c>
      <c r="G68" s="364"/>
      <c r="H68" s="365">
        <v>0</v>
      </c>
      <c r="I68" s="366">
        <v>0</v>
      </c>
      <c r="J68" s="367">
        <v>0</v>
      </c>
      <c r="K68" s="367">
        <v>0</v>
      </c>
      <c r="L68" s="367">
        <v>0</v>
      </c>
      <c r="M68" s="367">
        <v>0</v>
      </c>
      <c r="N68" s="367">
        <v>0</v>
      </c>
      <c r="O68" s="367">
        <v>0</v>
      </c>
      <c r="P68" s="367">
        <v>0</v>
      </c>
      <c r="Q68" s="367">
        <v>0</v>
      </c>
      <c r="R68" s="367">
        <v>0</v>
      </c>
      <c r="S68" s="367">
        <v>0</v>
      </c>
      <c r="T68" s="367">
        <v>0</v>
      </c>
      <c r="U68" s="367">
        <v>0</v>
      </c>
      <c r="V68" s="367">
        <v>0</v>
      </c>
      <c r="W68" s="366">
        <v>0</v>
      </c>
      <c r="X68" s="367">
        <v>0</v>
      </c>
      <c r="Y68" s="367">
        <v>0</v>
      </c>
      <c r="Z68" s="367">
        <v>0</v>
      </c>
      <c r="AA68" s="367">
        <v>0</v>
      </c>
      <c r="AB68" s="367">
        <v>0</v>
      </c>
      <c r="AC68" s="367">
        <v>0</v>
      </c>
      <c r="AD68" s="367">
        <v>0</v>
      </c>
      <c r="AE68" s="367">
        <v>0</v>
      </c>
      <c r="AF68" s="367">
        <v>0</v>
      </c>
      <c r="AG68" s="367">
        <v>0</v>
      </c>
      <c r="AH68" s="367">
        <v>0</v>
      </c>
      <c r="AI68" s="367">
        <v>0</v>
      </c>
      <c r="AJ68" s="367">
        <v>0</v>
      </c>
      <c r="AK68" s="367">
        <v>0</v>
      </c>
      <c r="AL68" s="367">
        <v>0</v>
      </c>
      <c r="AM68" s="367">
        <v>0</v>
      </c>
      <c r="AN68" s="367">
        <v>0</v>
      </c>
      <c r="AO68" s="367">
        <v>0</v>
      </c>
      <c r="AP68" s="367">
        <v>0</v>
      </c>
      <c r="AQ68" s="367">
        <v>0</v>
      </c>
      <c r="AR68" s="367">
        <v>0</v>
      </c>
      <c r="AS68" s="367">
        <v>0</v>
      </c>
      <c r="AT68" s="366">
        <v>0</v>
      </c>
      <c r="AU68" s="367">
        <v>0</v>
      </c>
      <c r="AV68" s="367">
        <v>0</v>
      </c>
      <c r="AW68" s="367">
        <v>0</v>
      </c>
      <c r="AX68" s="367">
        <v>0</v>
      </c>
      <c r="AY68" s="367">
        <v>0</v>
      </c>
      <c r="AZ68" s="366">
        <v>0</v>
      </c>
      <c r="BA68" s="367">
        <v>0</v>
      </c>
      <c r="BB68" s="367">
        <v>0</v>
      </c>
      <c r="BC68" s="367">
        <v>0</v>
      </c>
      <c r="BD68" s="367">
        <v>0</v>
      </c>
      <c r="BE68" s="367">
        <v>0</v>
      </c>
      <c r="BF68" s="367">
        <v>0</v>
      </c>
      <c r="BG68" s="367">
        <v>0</v>
      </c>
      <c r="BH68" s="367">
        <v>0</v>
      </c>
      <c r="BI68" s="367">
        <v>0</v>
      </c>
      <c r="BJ68" s="367">
        <v>0</v>
      </c>
      <c r="BK68" s="367">
        <v>0</v>
      </c>
      <c r="BL68" s="367">
        <v>0</v>
      </c>
      <c r="BM68" s="367">
        <v>0</v>
      </c>
      <c r="BN68" s="367">
        <v>0</v>
      </c>
      <c r="BO68" s="366">
        <v>0</v>
      </c>
      <c r="BP68" s="367">
        <v>0</v>
      </c>
      <c r="BQ68" s="367">
        <v>0</v>
      </c>
      <c r="BR68" s="368">
        <v>0</v>
      </c>
      <c r="BS68" s="368">
        <v>0</v>
      </c>
      <c r="BT68" s="366">
        <v>0</v>
      </c>
    </row>
    <row r="69" spans="1:72">
      <c r="A69" s="369"/>
      <c r="B69" s="363"/>
      <c r="C69" s="362" t="s">
        <v>549</v>
      </c>
      <c r="D69" s="363" t="s">
        <v>678</v>
      </c>
      <c r="E69" s="363"/>
      <c r="F69" s="364" t="s">
        <v>679</v>
      </c>
      <c r="G69" s="364"/>
      <c r="H69" s="365">
        <v>0</v>
      </c>
      <c r="I69" s="366">
        <v>0</v>
      </c>
      <c r="J69" s="367">
        <v>0</v>
      </c>
      <c r="K69" s="367">
        <v>0</v>
      </c>
      <c r="L69" s="367">
        <v>0</v>
      </c>
      <c r="M69" s="367">
        <v>0</v>
      </c>
      <c r="N69" s="367">
        <v>0</v>
      </c>
      <c r="O69" s="367">
        <v>0</v>
      </c>
      <c r="P69" s="367">
        <v>0</v>
      </c>
      <c r="Q69" s="367">
        <v>0</v>
      </c>
      <c r="R69" s="367">
        <v>0</v>
      </c>
      <c r="S69" s="367">
        <v>0</v>
      </c>
      <c r="T69" s="367">
        <v>0</v>
      </c>
      <c r="U69" s="367">
        <v>0</v>
      </c>
      <c r="V69" s="367">
        <v>0</v>
      </c>
      <c r="W69" s="366">
        <v>0</v>
      </c>
      <c r="X69" s="367">
        <v>0</v>
      </c>
      <c r="Y69" s="367">
        <v>0</v>
      </c>
      <c r="Z69" s="367">
        <v>0</v>
      </c>
      <c r="AA69" s="367">
        <v>0</v>
      </c>
      <c r="AB69" s="367">
        <v>0</v>
      </c>
      <c r="AC69" s="367">
        <v>0</v>
      </c>
      <c r="AD69" s="367">
        <v>0</v>
      </c>
      <c r="AE69" s="367">
        <v>0</v>
      </c>
      <c r="AF69" s="367">
        <v>0</v>
      </c>
      <c r="AG69" s="367">
        <v>0</v>
      </c>
      <c r="AH69" s="367">
        <v>0</v>
      </c>
      <c r="AI69" s="367">
        <v>0</v>
      </c>
      <c r="AJ69" s="367">
        <v>0</v>
      </c>
      <c r="AK69" s="367">
        <v>0</v>
      </c>
      <c r="AL69" s="367">
        <v>0</v>
      </c>
      <c r="AM69" s="367">
        <v>0</v>
      </c>
      <c r="AN69" s="367">
        <v>0</v>
      </c>
      <c r="AO69" s="367">
        <v>0</v>
      </c>
      <c r="AP69" s="367">
        <v>0</v>
      </c>
      <c r="AQ69" s="367">
        <v>0</v>
      </c>
      <c r="AR69" s="367">
        <v>0</v>
      </c>
      <c r="AS69" s="367">
        <v>0</v>
      </c>
      <c r="AT69" s="366">
        <v>0</v>
      </c>
      <c r="AU69" s="367">
        <v>0</v>
      </c>
      <c r="AV69" s="367">
        <v>0</v>
      </c>
      <c r="AW69" s="367">
        <v>0</v>
      </c>
      <c r="AX69" s="367">
        <v>0</v>
      </c>
      <c r="AY69" s="367">
        <v>0</v>
      </c>
      <c r="AZ69" s="366">
        <v>0</v>
      </c>
      <c r="BA69" s="367">
        <v>0</v>
      </c>
      <c r="BB69" s="367">
        <v>0</v>
      </c>
      <c r="BC69" s="367">
        <v>0</v>
      </c>
      <c r="BD69" s="367">
        <v>0</v>
      </c>
      <c r="BE69" s="367">
        <v>0</v>
      </c>
      <c r="BF69" s="367">
        <v>0</v>
      </c>
      <c r="BG69" s="367">
        <v>0</v>
      </c>
      <c r="BH69" s="367">
        <v>0</v>
      </c>
      <c r="BI69" s="367">
        <v>0</v>
      </c>
      <c r="BJ69" s="367">
        <v>0</v>
      </c>
      <c r="BK69" s="367">
        <v>0</v>
      </c>
      <c r="BL69" s="367">
        <v>0</v>
      </c>
      <c r="BM69" s="367">
        <v>0</v>
      </c>
      <c r="BN69" s="367">
        <v>0</v>
      </c>
      <c r="BO69" s="366">
        <v>0</v>
      </c>
      <c r="BP69" s="367">
        <v>0</v>
      </c>
      <c r="BQ69" s="367">
        <v>0</v>
      </c>
      <c r="BR69" s="368">
        <v>0</v>
      </c>
      <c r="BS69" s="368">
        <v>0</v>
      </c>
      <c r="BT69" s="366">
        <v>0</v>
      </c>
    </row>
    <row r="70" spans="1:72">
      <c r="A70" s="369"/>
      <c r="B70" s="363"/>
      <c r="C70" s="362" t="s">
        <v>549</v>
      </c>
      <c r="D70" s="363" t="s">
        <v>680</v>
      </c>
      <c r="E70" s="363"/>
      <c r="F70" s="364" t="s">
        <v>681</v>
      </c>
      <c r="G70" s="364"/>
      <c r="H70" s="365">
        <v>0</v>
      </c>
      <c r="I70" s="366">
        <v>0</v>
      </c>
      <c r="J70" s="367">
        <v>0</v>
      </c>
      <c r="K70" s="367">
        <v>0</v>
      </c>
      <c r="L70" s="367">
        <v>0</v>
      </c>
      <c r="M70" s="367">
        <v>0</v>
      </c>
      <c r="N70" s="367">
        <v>0</v>
      </c>
      <c r="O70" s="367">
        <v>0</v>
      </c>
      <c r="P70" s="367">
        <v>0</v>
      </c>
      <c r="Q70" s="367">
        <v>0</v>
      </c>
      <c r="R70" s="367">
        <v>0</v>
      </c>
      <c r="S70" s="367">
        <v>0</v>
      </c>
      <c r="T70" s="367">
        <v>0</v>
      </c>
      <c r="U70" s="367">
        <v>0</v>
      </c>
      <c r="V70" s="367">
        <v>0</v>
      </c>
      <c r="W70" s="366">
        <v>0</v>
      </c>
      <c r="X70" s="367">
        <v>0</v>
      </c>
      <c r="Y70" s="367">
        <v>0</v>
      </c>
      <c r="Z70" s="367">
        <v>0</v>
      </c>
      <c r="AA70" s="367">
        <v>0</v>
      </c>
      <c r="AB70" s="367">
        <v>0</v>
      </c>
      <c r="AC70" s="367">
        <v>0</v>
      </c>
      <c r="AD70" s="367">
        <v>0</v>
      </c>
      <c r="AE70" s="367">
        <v>0</v>
      </c>
      <c r="AF70" s="367">
        <v>0</v>
      </c>
      <c r="AG70" s="367">
        <v>0</v>
      </c>
      <c r="AH70" s="367">
        <v>0</v>
      </c>
      <c r="AI70" s="367">
        <v>0</v>
      </c>
      <c r="AJ70" s="367">
        <v>0</v>
      </c>
      <c r="AK70" s="367">
        <v>0</v>
      </c>
      <c r="AL70" s="367">
        <v>0</v>
      </c>
      <c r="AM70" s="367">
        <v>0</v>
      </c>
      <c r="AN70" s="367">
        <v>0</v>
      </c>
      <c r="AO70" s="367">
        <v>0</v>
      </c>
      <c r="AP70" s="367">
        <v>0</v>
      </c>
      <c r="AQ70" s="367">
        <v>0</v>
      </c>
      <c r="AR70" s="367">
        <v>0</v>
      </c>
      <c r="AS70" s="367">
        <v>0</v>
      </c>
      <c r="AT70" s="366">
        <v>0</v>
      </c>
      <c r="AU70" s="367">
        <v>0</v>
      </c>
      <c r="AV70" s="367">
        <v>0</v>
      </c>
      <c r="AW70" s="367">
        <v>0</v>
      </c>
      <c r="AX70" s="367">
        <v>0</v>
      </c>
      <c r="AY70" s="367">
        <v>0</v>
      </c>
      <c r="AZ70" s="366">
        <v>0</v>
      </c>
      <c r="BA70" s="367">
        <v>0</v>
      </c>
      <c r="BB70" s="367">
        <v>0</v>
      </c>
      <c r="BC70" s="367">
        <v>0</v>
      </c>
      <c r="BD70" s="367">
        <v>0</v>
      </c>
      <c r="BE70" s="367">
        <v>0</v>
      </c>
      <c r="BF70" s="367">
        <v>0</v>
      </c>
      <c r="BG70" s="367">
        <v>0</v>
      </c>
      <c r="BH70" s="367">
        <v>0</v>
      </c>
      <c r="BI70" s="367">
        <v>0</v>
      </c>
      <c r="BJ70" s="367">
        <v>0</v>
      </c>
      <c r="BK70" s="367">
        <v>0</v>
      </c>
      <c r="BL70" s="367">
        <v>0</v>
      </c>
      <c r="BM70" s="367">
        <v>0</v>
      </c>
      <c r="BN70" s="367">
        <v>0</v>
      </c>
      <c r="BO70" s="366">
        <v>0</v>
      </c>
      <c r="BP70" s="367">
        <v>0</v>
      </c>
      <c r="BQ70" s="367">
        <v>0</v>
      </c>
      <c r="BR70" s="368">
        <v>0</v>
      </c>
      <c r="BS70" s="368">
        <v>0</v>
      </c>
      <c r="BT70" s="366">
        <v>0</v>
      </c>
    </row>
    <row r="71" spans="1:72">
      <c r="A71" s="369"/>
      <c r="B71" s="363"/>
      <c r="C71" s="362" t="s">
        <v>549</v>
      </c>
      <c r="D71" s="363" t="s">
        <v>682</v>
      </c>
      <c r="E71" s="363"/>
      <c r="F71" s="364" t="s">
        <v>683</v>
      </c>
      <c r="G71" s="364"/>
      <c r="H71" s="365">
        <v>0</v>
      </c>
      <c r="I71" s="366">
        <v>0</v>
      </c>
      <c r="J71" s="367">
        <v>0</v>
      </c>
      <c r="K71" s="367">
        <v>0</v>
      </c>
      <c r="L71" s="367">
        <v>0</v>
      </c>
      <c r="M71" s="367">
        <v>0</v>
      </c>
      <c r="N71" s="367">
        <v>0</v>
      </c>
      <c r="O71" s="367">
        <v>0</v>
      </c>
      <c r="P71" s="367">
        <v>0</v>
      </c>
      <c r="Q71" s="367">
        <v>0</v>
      </c>
      <c r="R71" s="367">
        <v>0</v>
      </c>
      <c r="S71" s="367">
        <v>0</v>
      </c>
      <c r="T71" s="367">
        <v>0</v>
      </c>
      <c r="U71" s="367">
        <v>0</v>
      </c>
      <c r="V71" s="367">
        <v>0</v>
      </c>
      <c r="W71" s="366">
        <v>0</v>
      </c>
      <c r="X71" s="367">
        <v>0</v>
      </c>
      <c r="Y71" s="367">
        <v>0</v>
      </c>
      <c r="Z71" s="367">
        <v>0</v>
      </c>
      <c r="AA71" s="367">
        <v>0</v>
      </c>
      <c r="AB71" s="367">
        <v>0</v>
      </c>
      <c r="AC71" s="367">
        <v>0</v>
      </c>
      <c r="AD71" s="367">
        <v>0</v>
      </c>
      <c r="AE71" s="367">
        <v>0</v>
      </c>
      <c r="AF71" s="367">
        <v>0</v>
      </c>
      <c r="AG71" s="367">
        <v>0</v>
      </c>
      <c r="AH71" s="367">
        <v>0</v>
      </c>
      <c r="AI71" s="367">
        <v>0</v>
      </c>
      <c r="AJ71" s="367">
        <v>0</v>
      </c>
      <c r="AK71" s="367">
        <v>0</v>
      </c>
      <c r="AL71" s="367">
        <v>0</v>
      </c>
      <c r="AM71" s="367">
        <v>0</v>
      </c>
      <c r="AN71" s="367">
        <v>0</v>
      </c>
      <c r="AO71" s="367">
        <v>0</v>
      </c>
      <c r="AP71" s="367">
        <v>0</v>
      </c>
      <c r="AQ71" s="367">
        <v>0</v>
      </c>
      <c r="AR71" s="367">
        <v>0</v>
      </c>
      <c r="AS71" s="367">
        <v>0</v>
      </c>
      <c r="AT71" s="366">
        <v>0</v>
      </c>
      <c r="AU71" s="367">
        <v>0</v>
      </c>
      <c r="AV71" s="367">
        <v>0</v>
      </c>
      <c r="AW71" s="367">
        <v>0</v>
      </c>
      <c r="AX71" s="367">
        <v>0</v>
      </c>
      <c r="AY71" s="367">
        <v>0</v>
      </c>
      <c r="AZ71" s="366">
        <v>0</v>
      </c>
      <c r="BA71" s="367">
        <v>0</v>
      </c>
      <c r="BB71" s="367">
        <v>0</v>
      </c>
      <c r="BC71" s="367">
        <v>0</v>
      </c>
      <c r="BD71" s="367">
        <v>0</v>
      </c>
      <c r="BE71" s="367">
        <v>0</v>
      </c>
      <c r="BF71" s="367">
        <v>0</v>
      </c>
      <c r="BG71" s="367">
        <v>0</v>
      </c>
      <c r="BH71" s="367">
        <v>0</v>
      </c>
      <c r="BI71" s="367">
        <v>0</v>
      </c>
      <c r="BJ71" s="367">
        <v>0</v>
      </c>
      <c r="BK71" s="367">
        <v>0</v>
      </c>
      <c r="BL71" s="367">
        <v>0</v>
      </c>
      <c r="BM71" s="367">
        <v>0</v>
      </c>
      <c r="BN71" s="367">
        <v>0</v>
      </c>
      <c r="BO71" s="366">
        <v>0</v>
      </c>
      <c r="BP71" s="367">
        <v>0</v>
      </c>
      <c r="BQ71" s="367">
        <v>0</v>
      </c>
      <c r="BR71" s="368">
        <v>0</v>
      </c>
      <c r="BS71" s="368">
        <v>0</v>
      </c>
      <c r="BT71" s="366">
        <v>0</v>
      </c>
    </row>
    <row r="72" spans="1:72">
      <c r="A72" s="369"/>
      <c r="B72" s="363"/>
      <c r="C72" s="362" t="s">
        <v>549</v>
      </c>
      <c r="D72" s="363" t="s">
        <v>684</v>
      </c>
      <c r="E72" s="363"/>
      <c r="F72" s="364" t="s">
        <v>685</v>
      </c>
      <c r="G72" s="364"/>
      <c r="H72" s="365">
        <v>0</v>
      </c>
      <c r="I72" s="366">
        <v>0</v>
      </c>
      <c r="J72" s="367">
        <v>0</v>
      </c>
      <c r="K72" s="367">
        <v>0</v>
      </c>
      <c r="L72" s="367">
        <v>0</v>
      </c>
      <c r="M72" s="367">
        <v>0</v>
      </c>
      <c r="N72" s="367">
        <v>0</v>
      </c>
      <c r="O72" s="367">
        <v>0</v>
      </c>
      <c r="P72" s="367">
        <v>0</v>
      </c>
      <c r="Q72" s="367">
        <v>0</v>
      </c>
      <c r="R72" s="367">
        <v>0</v>
      </c>
      <c r="S72" s="367">
        <v>0</v>
      </c>
      <c r="T72" s="367">
        <v>0</v>
      </c>
      <c r="U72" s="367">
        <v>0</v>
      </c>
      <c r="V72" s="367">
        <v>0</v>
      </c>
      <c r="W72" s="366">
        <v>0</v>
      </c>
      <c r="X72" s="367">
        <v>0</v>
      </c>
      <c r="Y72" s="367">
        <v>0</v>
      </c>
      <c r="Z72" s="367">
        <v>0</v>
      </c>
      <c r="AA72" s="367">
        <v>0</v>
      </c>
      <c r="AB72" s="367">
        <v>0</v>
      </c>
      <c r="AC72" s="367">
        <v>0</v>
      </c>
      <c r="AD72" s="367">
        <v>0</v>
      </c>
      <c r="AE72" s="367">
        <v>0</v>
      </c>
      <c r="AF72" s="367">
        <v>0</v>
      </c>
      <c r="AG72" s="367">
        <v>0</v>
      </c>
      <c r="AH72" s="367">
        <v>0</v>
      </c>
      <c r="AI72" s="367">
        <v>0</v>
      </c>
      <c r="AJ72" s="367">
        <v>0</v>
      </c>
      <c r="AK72" s="367">
        <v>0</v>
      </c>
      <c r="AL72" s="367">
        <v>0</v>
      </c>
      <c r="AM72" s="367">
        <v>0</v>
      </c>
      <c r="AN72" s="367">
        <v>0</v>
      </c>
      <c r="AO72" s="367">
        <v>0</v>
      </c>
      <c r="AP72" s="367">
        <v>0</v>
      </c>
      <c r="AQ72" s="367">
        <v>0</v>
      </c>
      <c r="AR72" s="367">
        <v>0</v>
      </c>
      <c r="AS72" s="367">
        <v>0</v>
      </c>
      <c r="AT72" s="366">
        <v>0</v>
      </c>
      <c r="AU72" s="367">
        <v>0</v>
      </c>
      <c r="AV72" s="367">
        <v>0</v>
      </c>
      <c r="AW72" s="367">
        <v>0</v>
      </c>
      <c r="AX72" s="367">
        <v>0</v>
      </c>
      <c r="AY72" s="367">
        <v>0</v>
      </c>
      <c r="AZ72" s="366">
        <v>0</v>
      </c>
      <c r="BA72" s="367">
        <v>0</v>
      </c>
      <c r="BB72" s="367">
        <v>0</v>
      </c>
      <c r="BC72" s="367">
        <v>0</v>
      </c>
      <c r="BD72" s="367">
        <v>0</v>
      </c>
      <c r="BE72" s="367">
        <v>0</v>
      </c>
      <c r="BF72" s="367">
        <v>0</v>
      </c>
      <c r="BG72" s="367">
        <v>0</v>
      </c>
      <c r="BH72" s="367">
        <v>0</v>
      </c>
      <c r="BI72" s="367">
        <v>0</v>
      </c>
      <c r="BJ72" s="367">
        <v>0</v>
      </c>
      <c r="BK72" s="367">
        <v>0</v>
      </c>
      <c r="BL72" s="367">
        <v>0</v>
      </c>
      <c r="BM72" s="367">
        <v>0</v>
      </c>
      <c r="BN72" s="367">
        <v>0</v>
      </c>
      <c r="BO72" s="366">
        <v>0</v>
      </c>
      <c r="BP72" s="367">
        <v>0</v>
      </c>
      <c r="BQ72" s="367">
        <v>0</v>
      </c>
      <c r="BR72" s="368">
        <v>0</v>
      </c>
      <c r="BS72" s="368">
        <v>0</v>
      </c>
      <c r="BT72" s="366">
        <v>0</v>
      </c>
    </row>
    <row r="73" spans="1:72">
      <c r="A73" s="369"/>
      <c r="B73" s="363"/>
      <c r="C73" s="362" t="s">
        <v>549</v>
      </c>
      <c r="D73" s="363" t="s">
        <v>686</v>
      </c>
      <c r="E73" s="363"/>
      <c r="F73" s="364" t="s">
        <v>687</v>
      </c>
      <c r="G73" s="364"/>
      <c r="H73" s="365">
        <v>0</v>
      </c>
      <c r="I73" s="366">
        <v>0</v>
      </c>
      <c r="J73" s="367">
        <v>0</v>
      </c>
      <c r="K73" s="367">
        <v>0</v>
      </c>
      <c r="L73" s="367">
        <v>0</v>
      </c>
      <c r="M73" s="367">
        <v>0</v>
      </c>
      <c r="N73" s="367">
        <v>0</v>
      </c>
      <c r="O73" s="367">
        <v>0</v>
      </c>
      <c r="P73" s="367">
        <v>0</v>
      </c>
      <c r="Q73" s="367">
        <v>0</v>
      </c>
      <c r="R73" s="367">
        <v>0</v>
      </c>
      <c r="S73" s="367">
        <v>0</v>
      </c>
      <c r="T73" s="367">
        <v>0</v>
      </c>
      <c r="U73" s="367">
        <v>0</v>
      </c>
      <c r="V73" s="367">
        <v>0</v>
      </c>
      <c r="W73" s="366">
        <v>0</v>
      </c>
      <c r="X73" s="367">
        <v>0</v>
      </c>
      <c r="Y73" s="367">
        <v>0</v>
      </c>
      <c r="Z73" s="367">
        <v>0</v>
      </c>
      <c r="AA73" s="367">
        <v>0</v>
      </c>
      <c r="AB73" s="367">
        <v>0</v>
      </c>
      <c r="AC73" s="367">
        <v>0</v>
      </c>
      <c r="AD73" s="367">
        <v>0</v>
      </c>
      <c r="AE73" s="367">
        <v>0</v>
      </c>
      <c r="AF73" s="367">
        <v>0</v>
      </c>
      <c r="AG73" s="367">
        <v>0</v>
      </c>
      <c r="AH73" s="367">
        <v>0</v>
      </c>
      <c r="AI73" s="367">
        <v>0</v>
      </c>
      <c r="AJ73" s="367">
        <v>0</v>
      </c>
      <c r="AK73" s="367">
        <v>0</v>
      </c>
      <c r="AL73" s="367">
        <v>0</v>
      </c>
      <c r="AM73" s="367">
        <v>0</v>
      </c>
      <c r="AN73" s="367">
        <v>0</v>
      </c>
      <c r="AO73" s="367">
        <v>0</v>
      </c>
      <c r="AP73" s="367">
        <v>0</v>
      </c>
      <c r="AQ73" s="367">
        <v>0</v>
      </c>
      <c r="AR73" s="367">
        <v>0</v>
      </c>
      <c r="AS73" s="367">
        <v>0</v>
      </c>
      <c r="AT73" s="366">
        <v>0</v>
      </c>
      <c r="AU73" s="367">
        <v>0</v>
      </c>
      <c r="AV73" s="367">
        <v>0</v>
      </c>
      <c r="AW73" s="367">
        <v>0</v>
      </c>
      <c r="AX73" s="367">
        <v>0</v>
      </c>
      <c r="AY73" s="367">
        <v>0</v>
      </c>
      <c r="AZ73" s="366">
        <v>0</v>
      </c>
      <c r="BA73" s="367">
        <v>0</v>
      </c>
      <c r="BB73" s="367">
        <v>0</v>
      </c>
      <c r="BC73" s="367">
        <v>0</v>
      </c>
      <c r="BD73" s="367">
        <v>0</v>
      </c>
      <c r="BE73" s="367">
        <v>0</v>
      </c>
      <c r="BF73" s="367">
        <v>0</v>
      </c>
      <c r="BG73" s="367">
        <v>0</v>
      </c>
      <c r="BH73" s="367">
        <v>0</v>
      </c>
      <c r="BI73" s="367">
        <v>0</v>
      </c>
      <c r="BJ73" s="367">
        <v>0</v>
      </c>
      <c r="BK73" s="367">
        <v>0</v>
      </c>
      <c r="BL73" s="367">
        <v>0</v>
      </c>
      <c r="BM73" s="367">
        <v>0</v>
      </c>
      <c r="BN73" s="367">
        <v>0</v>
      </c>
      <c r="BO73" s="366">
        <v>0</v>
      </c>
      <c r="BP73" s="367">
        <v>0</v>
      </c>
      <c r="BQ73" s="367">
        <v>0</v>
      </c>
      <c r="BR73" s="368">
        <v>0</v>
      </c>
      <c r="BS73" s="368">
        <v>0</v>
      </c>
      <c r="BT73" s="366">
        <v>0</v>
      </c>
    </row>
    <row r="74" spans="1:72">
      <c r="A74" s="369"/>
      <c r="B74" s="363"/>
      <c r="C74" s="362" t="s">
        <v>549</v>
      </c>
      <c r="D74" s="363" t="s">
        <v>688</v>
      </c>
      <c r="E74" s="363"/>
      <c r="F74" s="364" t="s">
        <v>689</v>
      </c>
      <c r="G74" s="364"/>
      <c r="H74" s="365">
        <v>0</v>
      </c>
      <c r="I74" s="366">
        <v>0</v>
      </c>
      <c r="J74" s="367">
        <v>0</v>
      </c>
      <c r="K74" s="367">
        <v>0</v>
      </c>
      <c r="L74" s="367">
        <v>0</v>
      </c>
      <c r="M74" s="367">
        <v>0</v>
      </c>
      <c r="N74" s="367">
        <v>0</v>
      </c>
      <c r="O74" s="367">
        <v>0</v>
      </c>
      <c r="P74" s="367">
        <v>0</v>
      </c>
      <c r="Q74" s="367">
        <v>0</v>
      </c>
      <c r="R74" s="367">
        <v>0</v>
      </c>
      <c r="S74" s="367">
        <v>0</v>
      </c>
      <c r="T74" s="367">
        <v>0</v>
      </c>
      <c r="U74" s="367">
        <v>0</v>
      </c>
      <c r="V74" s="367">
        <v>0</v>
      </c>
      <c r="W74" s="366">
        <v>0</v>
      </c>
      <c r="X74" s="367">
        <v>0</v>
      </c>
      <c r="Y74" s="367">
        <v>0</v>
      </c>
      <c r="Z74" s="367">
        <v>0</v>
      </c>
      <c r="AA74" s="367">
        <v>0</v>
      </c>
      <c r="AB74" s="367">
        <v>0</v>
      </c>
      <c r="AC74" s="367">
        <v>0</v>
      </c>
      <c r="AD74" s="367">
        <v>0</v>
      </c>
      <c r="AE74" s="367">
        <v>0</v>
      </c>
      <c r="AF74" s="367">
        <v>0</v>
      </c>
      <c r="AG74" s="367">
        <v>0</v>
      </c>
      <c r="AH74" s="367">
        <v>0</v>
      </c>
      <c r="AI74" s="367">
        <v>0</v>
      </c>
      <c r="AJ74" s="367">
        <v>0</v>
      </c>
      <c r="AK74" s="367">
        <v>0</v>
      </c>
      <c r="AL74" s="367">
        <v>0</v>
      </c>
      <c r="AM74" s="367">
        <v>0</v>
      </c>
      <c r="AN74" s="367">
        <v>0</v>
      </c>
      <c r="AO74" s="367">
        <v>0</v>
      </c>
      <c r="AP74" s="367">
        <v>0</v>
      </c>
      <c r="AQ74" s="367">
        <v>0</v>
      </c>
      <c r="AR74" s="367">
        <v>0</v>
      </c>
      <c r="AS74" s="367">
        <v>0</v>
      </c>
      <c r="AT74" s="366">
        <v>0</v>
      </c>
      <c r="AU74" s="367">
        <v>0</v>
      </c>
      <c r="AV74" s="367">
        <v>0</v>
      </c>
      <c r="AW74" s="367">
        <v>0</v>
      </c>
      <c r="AX74" s="367">
        <v>0</v>
      </c>
      <c r="AY74" s="367">
        <v>0</v>
      </c>
      <c r="AZ74" s="366">
        <v>0</v>
      </c>
      <c r="BA74" s="367">
        <v>0</v>
      </c>
      <c r="BB74" s="367">
        <v>0</v>
      </c>
      <c r="BC74" s="367">
        <v>0</v>
      </c>
      <c r="BD74" s="367">
        <v>0</v>
      </c>
      <c r="BE74" s="367">
        <v>0</v>
      </c>
      <c r="BF74" s="367">
        <v>0</v>
      </c>
      <c r="BG74" s="367">
        <v>0</v>
      </c>
      <c r="BH74" s="367">
        <v>0</v>
      </c>
      <c r="BI74" s="367">
        <v>0</v>
      </c>
      <c r="BJ74" s="367">
        <v>0</v>
      </c>
      <c r="BK74" s="367">
        <v>0</v>
      </c>
      <c r="BL74" s="367">
        <v>0</v>
      </c>
      <c r="BM74" s="367">
        <v>0</v>
      </c>
      <c r="BN74" s="367">
        <v>0</v>
      </c>
      <c r="BO74" s="366">
        <v>0</v>
      </c>
      <c r="BP74" s="367">
        <v>0</v>
      </c>
      <c r="BQ74" s="367">
        <v>0</v>
      </c>
      <c r="BR74" s="368">
        <v>0</v>
      </c>
      <c r="BS74" s="368">
        <v>0</v>
      </c>
      <c r="BT74" s="366">
        <v>0</v>
      </c>
    </row>
    <row r="75" spans="1:72">
      <c r="A75" s="369"/>
      <c r="B75" s="363"/>
      <c r="C75" s="362" t="s">
        <v>549</v>
      </c>
      <c r="D75" s="363" t="s">
        <v>690</v>
      </c>
      <c r="E75" s="363"/>
      <c r="F75" s="364" t="s">
        <v>691</v>
      </c>
      <c r="G75" s="364"/>
      <c r="H75" s="365">
        <v>0</v>
      </c>
      <c r="I75" s="366">
        <v>0</v>
      </c>
      <c r="J75" s="367">
        <v>0</v>
      </c>
      <c r="K75" s="367">
        <v>0</v>
      </c>
      <c r="L75" s="367">
        <v>0</v>
      </c>
      <c r="M75" s="367">
        <v>0</v>
      </c>
      <c r="N75" s="367">
        <v>0</v>
      </c>
      <c r="O75" s="367">
        <v>0</v>
      </c>
      <c r="P75" s="367">
        <v>0</v>
      </c>
      <c r="Q75" s="367">
        <v>0</v>
      </c>
      <c r="R75" s="367">
        <v>0</v>
      </c>
      <c r="S75" s="367">
        <v>0</v>
      </c>
      <c r="T75" s="367">
        <v>0</v>
      </c>
      <c r="U75" s="367">
        <v>0</v>
      </c>
      <c r="V75" s="367">
        <v>0</v>
      </c>
      <c r="W75" s="366">
        <v>0</v>
      </c>
      <c r="X75" s="367">
        <v>0</v>
      </c>
      <c r="Y75" s="367">
        <v>0</v>
      </c>
      <c r="Z75" s="367">
        <v>0</v>
      </c>
      <c r="AA75" s="367">
        <v>0</v>
      </c>
      <c r="AB75" s="367">
        <v>0</v>
      </c>
      <c r="AC75" s="367">
        <v>0</v>
      </c>
      <c r="AD75" s="367">
        <v>0</v>
      </c>
      <c r="AE75" s="367">
        <v>0</v>
      </c>
      <c r="AF75" s="367">
        <v>0</v>
      </c>
      <c r="AG75" s="367">
        <v>0</v>
      </c>
      <c r="AH75" s="367">
        <v>0</v>
      </c>
      <c r="AI75" s="367">
        <v>0</v>
      </c>
      <c r="AJ75" s="367">
        <v>0</v>
      </c>
      <c r="AK75" s="367">
        <v>0</v>
      </c>
      <c r="AL75" s="367">
        <v>0</v>
      </c>
      <c r="AM75" s="367">
        <v>0</v>
      </c>
      <c r="AN75" s="367">
        <v>0</v>
      </c>
      <c r="AO75" s="367">
        <v>0</v>
      </c>
      <c r="AP75" s="367">
        <v>0</v>
      </c>
      <c r="AQ75" s="367">
        <v>0</v>
      </c>
      <c r="AR75" s="367">
        <v>0</v>
      </c>
      <c r="AS75" s="367">
        <v>0</v>
      </c>
      <c r="AT75" s="366">
        <v>0</v>
      </c>
      <c r="AU75" s="367">
        <v>0</v>
      </c>
      <c r="AV75" s="367">
        <v>0</v>
      </c>
      <c r="AW75" s="367">
        <v>0</v>
      </c>
      <c r="AX75" s="367">
        <v>0</v>
      </c>
      <c r="AY75" s="367">
        <v>0</v>
      </c>
      <c r="AZ75" s="366">
        <v>0</v>
      </c>
      <c r="BA75" s="367">
        <v>0</v>
      </c>
      <c r="BB75" s="367">
        <v>0</v>
      </c>
      <c r="BC75" s="367">
        <v>0</v>
      </c>
      <c r="BD75" s="367">
        <v>0</v>
      </c>
      <c r="BE75" s="367">
        <v>0</v>
      </c>
      <c r="BF75" s="367">
        <v>0</v>
      </c>
      <c r="BG75" s="367">
        <v>0</v>
      </c>
      <c r="BH75" s="367">
        <v>0</v>
      </c>
      <c r="BI75" s="367">
        <v>0</v>
      </c>
      <c r="BJ75" s="367">
        <v>0</v>
      </c>
      <c r="BK75" s="367">
        <v>0</v>
      </c>
      <c r="BL75" s="367">
        <v>0</v>
      </c>
      <c r="BM75" s="367">
        <v>0</v>
      </c>
      <c r="BN75" s="367">
        <v>0</v>
      </c>
      <c r="BO75" s="366">
        <v>0</v>
      </c>
      <c r="BP75" s="367">
        <v>0</v>
      </c>
      <c r="BQ75" s="367">
        <v>0</v>
      </c>
      <c r="BR75" s="368">
        <v>0</v>
      </c>
      <c r="BS75" s="368">
        <v>0</v>
      </c>
      <c r="BT75" s="366">
        <v>0</v>
      </c>
    </row>
    <row r="76" spans="1:72">
      <c r="A76" s="369"/>
      <c r="B76" s="363"/>
      <c r="C76" s="362" t="s">
        <v>549</v>
      </c>
      <c r="D76" s="363" t="s">
        <v>692</v>
      </c>
      <c r="E76" s="363"/>
      <c r="F76" s="364" t="s">
        <v>693</v>
      </c>
      <c r="G76" s="364"/>
      <c r="H76" s="365">
        <v>0</v>
      </c>
      <c r="I76" s="366">
        <v>0</v>
      </c>
      <c r="J76" s="367">
        <v>0</v>
      </c>
      <c r="K76" s="367">
        <v>0</v>
      </c>
      <c r="L76" s="367">
        <v>0</v>
      </c>
      <c r="M76" s="367">
        <v>0</v>
      </c>
      <c r="N76" s="367">
        <v>0</v>
      </c>
      <c r="O76" s="367">
        <v>0</v>
      </c>
      <c r="P76" s="367">
        <v>0</v>
      </c>
      <c r="Q76" s="367">
        <v>0</v>
      </c>
      <c r="R76" s="367">
        <v>0</v>
      </c>
      <c r="S76" s="367">
        <v>0</v>
      </c>
      <c r="T76" s="367">
        <v>0</v>
      </c>
      <c r="U76" s="367">
        <v>0</v>
      </c>
      <c r="V76" s="367">
        <v>0</v>
      </c>
      <c r="W76" s="366">
        <v>0</v>
      </c>
      <c r="X76" s="367">
        <v>0</v>
      </c>
      <c r="Y76" s="367">
        <v>0</v>
      </c>
      <c r="Z76" s="367">
        <v>0</v>
      </c>
      <c r="AA76" s="367">
        <v>0</v>
      </c>
      <c r="AB76" s="367">
        <v>0</v>
      </c>
      <c r="AC76" s="367">
        <v>0</v>
      </c>
      <c r="AD76" s="367">
        <v>0</v>
      </c>
      <c r="AE76" s="367">
        <v>0</v>
      </c>
      <c r="AF76" s="367">
        <v>0</v>
      </c>
      <c r="AG76" s="367">
        <v>0</v>
      </c>
      <c r="AH76" s="367">
        <v>0</v>
      </c>
      <c r="AI76" s="367">
        <v>0</v>
      </c>
      <c r="AJ76" s="367">
        <v>0</v>
      </c>
      <c r="AK76" s="367">
        <v>0</v>
      </c>
      <c r="AL76" s="367">
        <v>0</v>
      </c>
      <c r="AM76" s="367">
        <v>0</v>
      </c>
      <c r="AN76" s="367">
        <v>0</v>
      </c>
      <c r="AO76" s="367">
        <v>0</v>
      </c>
      <c r="AP76" s="367">
        <v>0</v>
      </c>
      <c r="AQ76" s="367">
        <v>0</v>
      </c>
      <c r="AR76" s="367">
        <v>0</v>
      </c>
      <c r="AS76" s="367">
        <v>0</v>
      </c>
      <c r="AT76" s="366">
        <v>0</v>
      </c>
      <c r="AU76" s="367">
        <v>0</v>
      </c>
      <c r="AV76" s="367">
        <v>0</v>
      </c>
      <c r="AW76" s="367">
        <v>0</v>
      </c>
      <c r="AX76" s="367">
        <v>0</v>
      </c>
      <c r="AY76" s="367">
        <v>0</v>
      </c>
      <c r="AZ76" s="366">
        <v>0</v>
      </c>
      <c r="BA76" s="367">
        <v>0</v>
      </c>
      <c r="BB76" s="367">
        <v>0</v>
      </c>
      <c r="BC76" s="367">
        <v>0</v>
      </c>
      <c r="BD76" s="367">
        <v>0</v>
      </c>
      <c r="BE76" s="367">
        <v>0</v>
      </c>
      <c r="BF76" s="367">
        <v>0</v>
      </c>
      <c r="BG76" s="367">
        <v>0</v>
      </c>
      <c r="BH76" s="367">
        <v>0</v>
      </c>
      <c r="BI76" s="367">
        <v>0</v>
      </c>
      <c r="BJ76" s="367">
        <v>0</v>
      </c>
      <c r="BK76" s="367">
        <v>0</v>
      </c>
      <c r="BL76" s="367">
        <v>0</v>
      </c>
      <c r="BM76" s="367">
        <v>0</v>
      </c>
      <c r="BN76" s="367">
        <v>0</v>
      </c>
      <c r="BO76" s="366">
        <v>0</v>
      </c>
      <c r="BP76" s="367">
        <v>0</v>
      </c>
      <c r="BQ76" s="367">
        <v>0</v>
      </c>
      <c r="BR76" s="368">
        <v>0</v>
      </c>
      <c r="BS76" s="368">
        <v>0</v>
      </c>
      <c r="BT76" s="366">
        <v>0</v>
      </c>
    </row>
    <row r="77" spans="1:72">
      <c r="A77" s="369"/>
      <c r="B77" s="363"/>
      <c r="C77" s="362" t="s">
        <v>549</v>
      </c>
      <c r="D77" s="363" t="s">
        <v>694</v>
      </c>
      <c r="E77" s="363"/>
      <c r="F77" s="364" t="s">
        <v>695</v>
      </c>
      <c r="G77" s="364"/>
      <c r="H77" s="365">
        <v>0</v>
      </c>
      <c r="I77" s="366">
        <v>0</v>
      </c>
      <c r="J77" s="367">
        <v>0</v>
      </c>
      <c r="K77" s="367">
        <v>0</v>
      </c>
      <c r="L77" s="367">
        <v>0</v>
      </c>
      <c r="M77" s="367">
        <v>0</v>
      </c>
      <c r="N77" s="367">
        <v>0</v>
      </c>
      <c r="O77" s="367">
        <v>0</v>
      </c>
      <c r="P77" s="367">
        <v>0</v>
      </c>
      <c r="Q77" s="367">
        <v>0</v>
      </c>
      <c r="R77" s="367">
        <v>0</v>
      </c>
      <c r="S77" s="367">
        <v>0</v>
      </c>
      <c r="T77" s="367">
        <v>0</v>
      </c>
      <c r="U77" s="367">
        <v>0</v>
      </c>
      <c r="V77" s="367">
        <v>0</v>
      </c>
      <c r="W77" s="366">
        <v>0</v>
      </c>
      <c r="X77" s="367">
        <v>0</v>
      </c>
      <c r="Y77" s="367">
        <v>0</v>
      </c>
      <c r="Z77" s="367">
        <v>0</v>
      </c>
      <c r="AA77" s="367">
        <v>0</v>
      </c>
      <c r="AB77" s="367">
        <v>0</v>
      </c>
      <c r="AC77" s="367">
        <v>0</v>
      </c>
      <c r="AD77" s="367">
        <v>0</v>
      </c>
      <c r="AE77" s="367">
        <v>0</v>
      </c>
      <c r="AF77" s="367">
        <v>0</v>
      </c>
      <c r="AG77" s="367">
        <v>0</v>
      </c>
      <c r="AH77" s="367">
        <v>0</v>
      </c>
      <c r="AI77" s="367">
        <v>0</v>
      </c>
      <c r="AJ77" s="367">
        <v>0</v>
      </c>
      <c r="AK77" s="367">
        <v>0</v>
      </c>
      <c r="AL77" s="367">
        <v>0</v>
      </c>
      <c r="AM77" s="367">
        <v>0</v>
      </c>
      <c r="AN77" s="367">
        <v>0</v>
      </c>
      <c r="AO77" s="367">
        <v>0</v>
      </c>
      <c r="AP77" s="367">
        <v>0</v>
      </c>
      <c r="AQ77" s="367">
        <v>0</v>
      </c>
      <c r="AR77" s="367">
        <v>0</v>
      </c>
      <c r="AS77" s="367">
        <v>0</v>
      </c>
      <c r="AT77" s="366">
        <v>0</v>
      </c>
      <c r="AU77" s="367">
        <v>0</v>
      </c>
      <c r="AV77" s="367">
        <v>0</v>
      </c>
      <c r="AW77" s="367">
        <v>0</v>
      </c>
      <c r="AX77" s="367">
        <v>0</v>
      </c>
      <c r="AY77" s="367">
        <v>0</v>
      </c>
      <c r="AZ77" s="366">
        <v>0</v>
      </c>
      <c r="BA77" s="367">
        <v>0</v>
      </c>
      <c r="BB77" s="367">
        <v>0</v>
      </c>
      <c r="BC77" s="367">
        <v>0</v>
      </c>
      <c r="BD77" s="367">
        <v>0</v>
      </c>
      <c r="BE77" s="367">
        <v>0</v>
      </c>
      <c r="BF77" s="367">
        <v>0</v>
      </c>
      <c r="BG77" s="367">
        <v>0</v>
      </c>
      <c r="BH77" s="367">
        <v>0</v>
      </c>
      <c r="BI77" s="367">
        <v>0</v>
      </c>
      <c r="BJ77" s="367">
        <v>0</v>
      </c>
      <c r="BK77" s="367">
        <v>0</v>
      </c>
      <c r="BL77" s="367">
        <v>0</v>
      </c>
      <c r="BM77" s="367">
        <v>0</v>
      </c>
      <c r="BN77" s="367">
        <v>0</v>
      </c>
      <c r="BO77" s="366">
        <v>0</v>
      </c>
      <c r="BP77" s="367">
        <v>0</v>
      </c>
      <c r="BQ77" s="367">
        <v>0</v>
      </c>
      <c r="BR77" s="368">
        <v>0</v>
      </c>
      <c r="BS77" s="368">
        <v>0</v>
      </c>
      <c r="BT77" s="366">
        <v>0</v>
      </c>
    </row>
    <row r="78" spans="1:72">
      <c r="A78" s="369"/>
      <c r="B78" s="363"/>
      <c r="C78" s="362" t="s">
        <v>549</v>
      </c>
      <c r="D78" s="363" t="s">
        <v>696</v>
      </c>
      <c r="E78" s="363"/>
      <c r="F78" s="364" t="s">
        <v>697</v>
      </c>
      <c r="G78" s="364"/>
      <c r="H78" s="365">
        <v>0</v>
      </c>
      <c r="I78" s="366">
        <v>0</v>
      </c>
      <c r="J78" s="367">
        <v>0</v>
      </c>
      <c r="K78" s="367">
        <v>0</v>
      </c>
      <c r="L78" s="367">
        <v>0</v>
      </c>
      <c r="M78" s="367">
        <v>0</v>
      </c>
      <c r="N78" s="367">
        <v>0</v>
      </c>
      <c r="O78" s="367">
        <v>0</v>
      </c>
      <c r="P78" s="367">
        <v>0</v>
      </c>
      <c r="Q78" s="367">
        <v>0</v>
      </c>
      <c r="R78" s="367">
        <v>0</v>
      </c>
      <c r="S78" s="367">
        <v>0</v>
      </c>
      <c r="T78" s="367">
        <v>0</v>
      </c>
      <c r="U78" s="367">
        <v>0</v>
      </c>
      <c r="V78" s="367">
        <v>0</v>
      </c>
      <c r="W78" s="366">
        <v>0</v>
      </c>
      <c r="X78" s="367">
        <v>0</v>
      </c>
      <c r="Y78" s="367">
        <v>0</v>
      </c>
      <c r="Z78" s="367">
        <v>0</v>
      </c>
      <c r="AA78" s="367">
        <v>0</v>
      </c>
      <c r="AB78" s="367">
        <v>0</v>
      </c>
      <c r="AC78" s="367">
        <v>0</v>
      </c>
      <c r="AD78" s="367">
        <v>0</v>
      </c>
      <c r="AE78" s="367">
        <v>0</v>
      </c>
      <c r="AF78" s="367">
        <v>0</v>
      </c>
      <c r="AG78" s="367">
        <v>0</v>
      </c>
      <c r="AH78" s="367">
        <v>0</v>
      </c>
      <c r="AI78" s="367">
        <v>0</v>
      </c>
      <c r="AJ78" s="367">
        <v>0</v>
      </c>
      <c r="AK78" s="367">
        <v>0</v>
      </c>
      <c r="AL78" s="367">
        <v>0</v>
      </c>
      <c r="AM78" s="367">
        <v>0</v>
      </c>
      <c r="AN78" s="367">
        <v>0</v>
      </c>
      <c r="AO78" s="367">
        <v>0</v>
      </c>
      <c r="AP78" s="367">
        <v>0</v>
      </c>
      <c r="AQ78" s="367">
        <v>0</v>
      </c>
      <c r="AR78" s="367">
        <v>0</v>
      </c>
      <c r="AS78" s="367">
        <v>0</v>
      </c>
      <c r="AT78" s="366">
        <v>0</v>
      </c>
      <c r="AU78" s="367">
        <v>0</v>
      </c>
      <c r="AV78" s="367">
        <v>0</v>
      </c>
      <c r="AW78" s="367">
        <v>0</v>
      </c>
      <c r="AX78" s="367">
        <v>0</v>
      </c>
      <c r="AY78" s="367">
        <v>0</v>
      </c>
      <c r="AZ78" s="366">
        <v>0</v>
      </c>
      <c r="BA78" s="367">
        <v>0</v>
      </c>
      <c r="BB78" s="367">
        <v>0</v>
      </c>
      <c r="BC78" s="367">
        <v>0</v>
      </c>
      <c r="BD78" s="367">
        <v>0</v>
      </c>
      <c r="BE78" s="367">
        <v>0</v>
      </c>
      <c r="BF78" s="367">
        <v>0</v>
      </c>
      <c r="BG78" s="367">
        <v>0</v>
      </c>
      <c r="BH78" s="367">
        <v>0</v>
      </c>
      <c r="BI78" s="367">
        <v>0</v>
      </c>
      <c r="BJ78" s="367">
        <v>0</v>
      </c>
      <c r="BK78" s="367">
        <v>0</v>
      </c>
      <c r="BL78" s="367">
        <v>0</v>
      </c>
      <c r="BM78" s="367">
        <v>0</v>
      </c>
      <c r="BN78" s="367">
        <v>0</v>
      </c>
      <c r="BO78" s="366">
        <v>0</v>
      </c>
      <c r="BP78" s="367">
        <v>0</v>
      </c>
      <c r="BQ78" s="367">
        <v>0</v>
      </c>
      <c r="BR78" s="368">
        <v>0</v>
      </c>
      <c r="BS78" s="368">
        <v>0</v>
      </c>
      <c r="BT78" s="366">
        <v>0</v>
      </c>
    </row>
    <row r="79" spans="1:72">
      <c r="A79" s="362" t="s">
        <v>549</v>
      </c>
      <c r="B79" s="363" t="s">
        <v>698</v>
      </c>
      <c r="C79" s="363"/>
      <c r="D79" s="363"/>
      <c r="E79" s="363"/>
      <c r="F79" s="364" t="s">
        <v>699</v>
      </c>
      <c r="G79" s="364"/>
      <c r="H79" s="365">
        <v>0</v>
      </c>
      <c r="I79" s="366">
        <v>0</v>
      </c>
      <c r="J79" s="367">
        <v>0</v>
      </c>
      <c r="K79" s="367">
        <v>0</v>
      </c>
      <c r="L79" s="367">
        <v>0</v>
      </c>
      <c r="M79" s="367">
        <v>0</v>
      </c>
      <c r="N79" s="367">
        <v>0</v>
      </c>
      <c r="O79" s="367">
        <v>0</v>
      </c>
      <c r="P79" s="367">
        <v>0</v>
      </c>
      <c r="Q79" s="367">
        <v>0</v>
      </c>
      <c r="R79" s="367">
        <v>0</v>
      </c>
      <c r="S79" s="367">
        <v>0</v>
      </c>
      <c r="T79" s="367">
        <v>0</v>
      </c>
      <c r="U79" s="367">
        <v>0</v>
      </c>
      <c r="V79" s="367">
        <v>0</v>
      </c>
      <c r="W79" s="366">
        <v>0</v>
      </c>
      <c r="X79" s="367">
        <v>0</v>
      </c>
      <c r="Y79" s="367">
        <v>0</v>
      </c>
      <c r="Z79" s="367">
        <v>0</v>
      </c>
      <c r="AA79" s="367">
        <v>0</v>
      </c>
      <c r="AB79" s="367">
        <v>0</v>
      </c>
      <c r="AC79" s="367">
        <v>0</v>
      </c>
      <c r="AD79" s="367">
        <v>0</v>
      </c>
      <c r="AE79" s="367">
        <v>0</v>
      </c>
      <c r="AF79" s="367">
        <v>0</v>
      </c>
      <c r="AG79" s="367">
        <v>0</v>
      </c>
      <c r="AH79" s="367">
        <v>0</v>
      </c>
      <c r="AI79" s="367">
        <v>0</v>
      </c>
      <c r="AJ79" s="367">
        <v>0</v>
      </c>
      <c r="AK79" s="367">
        <v>0</v>
      </c>
      <c r="AL79" s="367">
        <v>0</v>
      </c>
      <c r="AM79" s="367">
        <v>0</v>
      </c>
      <c r="AN79" s="367">
        <v>0</v>
      </c>
      <c r="AO79" s="367">
        <v>0</v>
      </c>
      <c r="AP79" s="367">
        <v>0</v>
      </c>
      <c r="AQ79" s="367">
        <v>0</v>
      </c>
      <c r="AR79" s="367">
        <v>0</v>
      </c>
      <c r="AS79" s="367">
        <v>0</v>
      </c>
      <c r="AT79" s="366">
        <v>0</v>
      </c>
      <c r="AU79" s="367">
        <v>0</v>
      </c>
      <c r="AV79" s="367">
        <v>0</v>
      </c>
      <c r="AW79" s="367">
        <v>0</v>
      </c>
      <c r="AX79" s="367">
        <v>0</v>
      </c>
      <c r="AY79" s="367">
        <v>0</v>
      </c>
      <c r="AZ79" s="366">
        <v>0</v>
      </c>
      <c r="BA79" s="367">
        <v>0</v>
      </c>
      <c r="BB79" s="367">
        <v>0</v>
      </c>
      <c r="BC79" s="367">
        <v>0</v>
      </c>
      <c r="BD79" s="367">
        <v>0</v>
      </c>
      <c r="BE79" s="367">
        <v>0</v>
      </c>
      <c r="BF79" s="367">
        <v>0</v>
      </c>
      <c r="BG79" s="367">
        <v>0</v>
      </c>
      <c r="BH79" s="367">
        <v>0</v>
      </c>
      <c r="BI79" s="367">
        <v>0</v>
      </c>
      <c r="BJ79" s="367">
        <v>0</v>
      </c>
      <c r="BK79" s="367">
        <v>0</v>
      </c>
      <c r="BL79" s="367">
        <v>0</v>
      </c>
      <c r="BM79" s="367">
        <v>0</v>
      </c>
      <c r="BN79" s="367">
        <v>0</v>
      </c>
      <c r="BO79" s="366">
        <v>0</v>
      </c>
      <c r="BP79" s="367">
        <v>0</v>
      </c>
      <c r="BQ79" s="367">
        <v>0</v>
      </c>
      <c r="BR79" s="368">
        <v>0</v>
      </c>
      <c r="BS79" s="368">
        <v>0</v>
      </c>
      <c r="BT79" s="366">
        <v>0</v>
      </c>
    </row>
    <row r="80" spans="1:72">
      <c r="A80" s="362"/>
      <c r="B80" s="362" t="s">
        <v>549</v>
      </c>
      <c r="C80" s="363" t="s">
        <v>700</v>
      </c>
      <c r="D80" s="363"/>
      <c r="E80" s="363"/>
      <c r="F80" s="364" t="s">
        <v>701</v>
      </c>
      <c r="G80" s="364"/>
      <c r="H80" s="365">
        <v>0</v>
      </c>
      <c r="I80" s="366">
        <v>0</v>
      </c>
      <c r="J80" s="367">
        <v>0</v>
      </c>
      <c r="K80" s="367">
        <v>0</v>
      </c>
      <c r="L80" s="367">
        <v>0</v>
      </c>
      <c r="M80" s="367">
        <v>0</v>
      </c>
      <c r="N80" s="367">
        <v>0</v>
      </c>
      <c r="O80" s="367">
        <v>0</v>
      </c>
      <c r="P80" s="367">
        <v>0</v>
      </c>
      <c r="Q80" s="367">
        <v>0</v>
      </c>
      <c r="R80" s="367">
        <v>0</v>
      </c>
      <c r="S80" s="367">
        <v>0</v>
      </c>
      <c r="T80" s="367">
        <v>0</v>
      </c>
      <c r="U80" s="367">
        <v>0</v>
      </c>
      <c r="V80" s="367">
        <v>0</v>
      </c>
      <c r="W80" s="366">
        <v>0</v>
      </c>
      <c r="X80" s="367">
        <v>0</v>
      </c>
      <c r="Y80" s="367">
        <v>0</v>
      </c>
      <c r="Z80" s="367">
        <v>0</v>
      </c>
      <c r="AA80" s="367">
        <v>0</v>
      </c>
      <c r="AB80" s="367">
        <v>0</v>
      </c>
      <c r="AC80" s="367">
        <v>0</v>
      </c>
      <c r="AD80" s="367">
        <v>0</v>
      </c>
      <c r="AE80" s="367">
        <v>0</v>
      </c>
      <c r="AF80" s="367">
        <v>0</v>
      </c>
      <c r="AG80" s="367">
        <v>0</v>
      </c>
      <c r="AH80" s="367">
        <v>0</v>
      </c>
      <c r="AI80" s="367">
        <v>0</v>
      </c>
      <c r="AJ80" s="367">
        <v>0</v>
      </c>
      <c r="AK80" s="367">
        <v>0</v>
      </c>
      <c r="AL80" s="367">
        <v>0</v>
      </c>
      <c r="AM80" s="367">
        <v>0</v>
      </c>
      <c r="AN80" s="367">
        <v>0</v>
      </c>
      <c r="AO80" s="367">
        <v>0</v>
      </c>
      <c r="AP80" s="367">
        <v>0</v>
      </c>
      <c r="AQ80" s="367">
        <v>0</v>
      </c>
      <c r="AR80" s="367">
        <v>0</v>
      </c>
      <c r="AS80" s="367">
        <v>0</v>
      </c>
      <c r="AT80" s="366">
        <v>0</v>
      </c>
      <c r="AU80" s="367">
        <v>0</v>
      </c>
      <c r="AV80" s="367">
        <v>0</v>
      </c>
      <c r="AW80" s="367">
        <v>0</v>
      </c>
      <c r="AX80" s="367">
        <v>0</v>
      </c>
      <c r="AY80" s="367">
        <v>0</v>
      </c>
      <c r="AZ80" s="366">
        <v>0</v>
      </c>
      <c r="BA80" s="367">
        <v>0</v>
      </c>
      <c r="BB80" s="367">
        <v>0</v>
      </c>
      <c r="BC80" s="367">
        <v>0</v>
      </c>
      <c r="BD80" s="367">
        <v>0</v>
      </c>
      <c r="BE80" s="367">
        <v>0</v>
      </c>
      <c r="BF80" s="367">
        <v>0</v>
      </c>
      <c r="BG80" s="367">
        <v>0</v>
      </c>
      <c r="BH80" s="367">
        <v>0</v>
      </c>
      <c r="BI80" s="367">
        <v>0</v>
      </c>
      <c r="BJ80" s="367">
        <v>0</v>
      </c>
      <c r="BK80" s="367">
        <v>0</v>
      </c>
      <c r="BL80" s="367">
        <v>0</v>
      </c>
      <c r="BM80" s="367">
        <v>0</v>
      </c>
      <c r="BN80" s="367">
        <v>0</v>
      </c>
      <c r="BO80" s="366">
        <v>0</v>
      </c>
      <c r="BP80" s="367">
        <v>0</v>
      </c>
      <c r="BQ80" s="367">
        <v>0</v>
      </c>
      <c r="BR80" s="368">
        <v>0</v>
      </c>
      <c r="BS80" s="368">
        <v>0</v>
      </c>
      <c r="BT80" s="366">
        <v>0</v>
      </c>
    </row>
    <row r="81" spans="1:72">
      <c r="A81" s="362"/>
      <c r="B81" s="362" t="s">
        <v>549</v>
      </c>
      <c r="C81" s="363" t="s">
        <v>702</v>
      </c>
      <c r="D81" s="363"/>
      <c r="E81" s="363"/>
      <c r="F81" s="364" t="s">
        <v>703</v>
      </c>
      <c r="G81" s="364"/>
      <c r="H81" s="365">
        <v>0</v>
      </c>
      <c r="I81" s="366">
        <v>0</v>
      </c>
      <c r="J81" s="367">
        <v>0</v>
      </c>
      <c r="K81" s="367">
        <v>0</v>
      </c>
      <c r="L81" s="367">
        <v>0</v>
      </c>
      <c r="M81" s="367">
        <v>0</v>
      </c>
      <c r="N81" s="367">
        <v>0</v>
      </c>
      <c r="O81" s="367">
        <v>0</v>
      </c>
      <c r="P81" s="367">
        <v>0</v>
      </c>
      <c r="Q81" s="367">
        <v>0</v>
      </c>
      <c r="R81" s="367">
        <v>0</v>
      </c>
      <c r="S81" s="367">
        <v>0</v>
      </c>
      <c r="T81" s="367">
        <v>0</v>
      </c>
      <c r="U81" s="367">
        <v>0</v>
      </c>
      <c r="V81" s="367">
        <v>0</v>
      </c>
      <c r="W81" s="366">
        <v>0</v>
      </c>
      <c r="X81" s="367">
        <v>0</v>
      </c>
      <c r="Y81" s="367">
        <v>0</v>
      </c>
      <c r="Z81" s="367">
        <v>0</v>
      </c>
      <c r="AA81" s="367">
        <v>0</v>
      </c>
      <c r="AB81" s="367">
        <v>0</v>
      </c>
      <c r="AC81" s="367">
        <v>0</v>
      </c>
      <c r="AD81" s="367">
        <v>0</v>
      </c>
      <c r="AE81" s="367">
        <v>0</v>
      </c>
      <c r="AF81" s="367">
        <v>0</v>
      </c>
      <c r="AG81" s="367">
        <v>0</v>
      </c>
      <c r="AH81" s="367">
        <v>0</v>
      </c>
      <c r="AI81" s="367">
        <v>0</v>
      </c>
      <c r="AJ81" s="367">
        <v>0</v>
      </c>
      <c r="AK81" s="367">
        <v>0</v>
      </c>
      <c r="AL81" s="367">
        <v>0</v>
      </c>
      <c r="AM81" s="367">
        <v>0</v>
      </c>
      <c r="AN81" s="367">
        <v>0</v>
      </c>
      <c r="AO81" s="367">
        <v>0</v>
      </c>
      <c r="AP81" s="367">
        <v>0</v>
      </c>
      <c r="AQ81" s="367">
        <v>0</v>
      </c>
      <c r="AR81" s="367">
        <v>0</v>
      </c>
      <c r="AS81" s="367">
        <v>0</v>
      </c>
      <c r="AT81" s="366">
        <v>0</v>
      </c>
      <c r="AU81" s="367">
        <v>0</v>
      </c>
      <c r="AV81" s="367">
        <v>0</v>
      </c>
      <c r="AW81" s="367">
        <v>0</v>
      </c>
      <c r="AX81" s="367">
        <v>0</v>
      </c>
      <c r="AY81" s="367">
        <v>0</v>
      </c>
      <c r="AZ81" s="366">
        <v>0</v>
      </c>
      <c r="BA81" s="367">
        <v>0</v>
      </c>
      <c r="BB81" s="367">
        <v>0</v>
      </c>
      <c r="BC81" s="367">
        <v>0</v>
      </c>
      <c r="BD81" s="367">
        <v>0</v>
      </c>
      <c r="BE81" s="367">
        <v>0</v>
      </c>
      <c r="BF81" s="367">
        <v>0</v>
      </c>
      <c r="BG81" s="367">
        <v>0</v>
      </c>
      <c r="BH81" s="367">
        <v>0</v>
      </c>
      <c r="BI81" s="367">
        <v>0</v>
      </c>
      <c r="BJ81" s="367">
        <v>0</v>
      </c>
      <c r="BK81" s="367">
        <v>0</v>
      </c>
      <c r="BL81" s="367">
        <v>0</v>
      </c>
      <c r="BM81" s="367">
        <v>0</v>
      </c>
      <c r="BN81" s="367">
        <v>0</v>
      </c>
      <c r="BO81" s="366">
        <v>0</v>
      </c>
      <c r="BP81" s="367">
        <v>0</v>
      </c>
      <c r="BQ81" s="367">
        <v>0</v>
      </c>
      <c r="BR81" s="368">
        <v>0</v>
      </c>
      <c r="BS81" s="368">
        <v>0</v>
      </c>
      <c r="BT81" s="366">
        <v>0</v>
      </c>
    </row>
    <row r="82" spans="1:72">
      <c r="A82" s="362"/>
      <c r="B82" s="362" t="s">
        <v>549</v>
      </c>
      <c r="C82" s="363" t="s">
        <v>704</v>
      </c>
      <c r="D82" s="363"/>
      <c r="E82" s="363"/>
      <c r="F82" s="364" t="s">
        <v>705</v>
      </c>
      <c r="G82" s="364"/>
      <c r="H82" s="365">
        <v>0</v>
      </c>
      <c r="I82" s="366">
        <v>0</v>
      </c>
      <c r="J82" s="367">
        <v>0</v>
      </c>
      <c r="K82" s="367">
        <v>0</v>
      </c>
      <c r="L82" s="367">
        <v>0</v>
      </c>
      <c r="M82" s="367">
        <v>0</v>
      </c>
      <c r="N82" s="367">
        <v>0</v>
      </c>
      <c r="O82" s="367">
        <v>0</v>
      </c>
      <c r="P82" s="367">
        <v>0</v>
      </c>
      <c r="Q82" s="367">
        <v>0</v>
      </c>
      <c r="R82" s="367">
        <v>0</v>
      </c>
      <c r="S82" s="367">
        <v>0</v>
      </c>
      <c r="T82" s="367">
        <v>0</v>
      </c>
      <c r="U82" s="367">
        <v>0</v>
      </c>
      <c r="V82" s="367">
        <v>0</v>
      </c>
      <c r="W82" s="366">
        <v>0</v>
      </c>
      <c r="X82" s="367">
        <v>0</v>
      </c>
      <c r="Y82" s="367">
        <v>0</v>
      </c>
      <c r="Z82" s="367">
        <v>0</v>
      </c>
      <c r="AA82" s="367">
        <v>0</v>
      </c>
      <c r="AB82" s="367">
        <v>0</v>
      </c>
      <c r="AC82" s="367">
        <v>0</v>
      </c>
      <c r="AD82" s="367">
        <v>0</v>
      </c>
      <c r="AE82" s="367">
        <v>0</v>
      </c>
      <c r="AF82" s="367">
        <v>0</v>
      </c>
      <c r="AG82" s="367">
        <v>0</v>
      </c>
      <c r="AH82" s="367">
        <v>0</v>
      </c>
      <c r="AI82" s="367">
        <v>0</v>
      </c>
      <c r="AJ82" s="367">
        <v>0</v>
      </c>
      <c r="AK82" s="367">
        <v>0</v>
      </c>
      <c r="AL82" s="367">
        <v>0</v>
      </c>
      <c r="AM82" s="367">
        <v>0</v>
      </c>
      <c r="AN82" s="367">
        <v>0</v>
      </c>
      <c r="AO82" s="367">
        <v>0</v>
      </c>
      <c r="AP82" s="367">
        <v>0</v>
      </c>
      <c r="AQ82" s="367">
        <v>0</v>
      </c>
      <c r="AR82" s="367">
        <v>0</v>
      </c>
      <c r="AS82" s="367">
        <v>0</v>
      </c>
      <c r="AT82" s="366">
        <v>0</v>
      </c>
      <c r="AU82" s="367">
        <v>0</v>
      </c>
      <c r="AV82" s="367">
        <v>0</v>
      </c>
      <c r="AW82" s="367">
        <v>0</v>
      </c>
      <c r="AX82" s="367">
        <v>0</v>
      </c>
      <c r="AY82" s="367">
        <v>0</v>
      </c>
      <c r="AZ82" s="366">
        <v>0</v>
      </c>
      <c r="BA82" s="367">
        <v>0</v>
      </c>
      <c r="BB82" s="367">
        <v>0</v>
      </c>
      <c r="BC82" s="367">
        <v>0</v>
      </c>
      <c r="BD82" s="367">
        <v>0</v>
      </c>
      <c r="BE82" s="367">
        <v>0</v>
      </c>
      <c r="BF82" s="367">
        <v>0</v>
      </c>
      <c r="BG82" s="367">
        <v>0</v>
      </c>
      <c r="BH82" s="367">
        <v>0</v>
      </c>
      <c r="BI82" s="367">
        <v>0</v>
      </c>
      <c r="BJ82" s="367">
        <v>0</v>
      </c>
      <c r="BK82" s="367">
        <v>0</v>
      </c>
      <c r="BL82" s="367">
        <v>0</v>
      </c>
      <c r="BM82" s="367">
        <v>0</v>
      </c>
      <c r="BN82" s="367">
        <v>0</v>
      </c>
      <c r="BO82" s="366">
        <v>0</v>
      </c>
      <c r="BP82" s="367">
        <v>0</v>
      </c>
      <c r="BQ82" s="367">
        <v>0</v>
      </c>
      <c r="BR82" s="368">
        <v>0</v>
      </c>
      <c r="BS82" s="368">
        <v>0</v>
      </c>
      <c r="BT82" s="366">
        <v>0</v>
      </c>
    </row>
    <row r="83" spans="1:72">
      <c r="A83" s="362"/>
      <c r="B83" s="362" t="s">
        <v>549</v>
      </c>
      <c r="C83" s="363" t="s">
        <v>706</v>
      </c>
      <c r="D83" s="363"/>
      <c r="E83" s="363"/>
      <c r="F83" s="364" t="s">
        <v>707</v>
      </c>
      <c r="G83" s="364"/>
      <c r="H83" s="365">
        <v>0</v>
      </c>
      <c r="I83" s="366">
        <v>0</v>
      </c>
      <c r="J83" s="367">
        <v>0</v>
      </c>
      <c r="K83" s="367">
        <v>0</v>
      </c>
      <c r="L83" s="367">
        <v>0</v>
      </c>
      <c r="M83" s="367">
        <v>0</v>
      </c>
      <c r="N83" s="367">
        <v>0</v>
      </c>
      <c r="O83" s="367">
        <v>0</v>
      </c>
      <c r="P83" s="367">
        <v>0</v>
      </c>
      <c r="Q83" s="367">
        <v>0</v>
      </c>
      <c r="R83" s="367">
        <v>0</v>
      </c>
      <c r="S83" s="367">
        <v>0</v>
      </c>
      <c r="T83" s="367">
        <v>0</v>
      </c>
      <c r="U83" s="367">
        <v>0</v>
      </c>
      <c r="V83" s="367">
        <v>0</v>
      </c>
      <c r="W83" s="366">
        <v>0</v>
      </c>
      <c r="X83" s="367">
        <v>0</v>
      </c>
      <c r="Y83" s="367">
        <v>0</v>
      </c>
      <c r="Z83" s="367">
        <v>0</v>
      </c>
      <c r="AA83" s="367">
        <v>0</v>
      </c>
      <c r="AB83" s="367">
        <v>0</v>
      </c>
      <c r="AC83" s="367">
        <v>0</v>
      </c>
      <c r="AD83" s="367">
        <v>0</v>
      </c>
      <c r="AE83" s="367">
        <v>0</v>
      </c>
      <c r="AF83" s="367">
        <v>0</v>
      </c>
      <c r="AG83" s="367">
        <v>0</v>
      </c>
      <c r="AH83" s="367">
        <v>0</v>
      </c>
      <c r="AI83" s="367">
        <v>0</v>
      </c>
      <c r="AJ83" s="367">
        <v>0</v>
      </c>
      <c r="AK83" s="367">
        <v>0</v>
      </c>
      <c r="AL83" s="367">
        <v>0</v>
      </c>
      <c r="AM83" s="367">
        <v>0</v>
      </c>
      <c r="AN83" s="367">
        <v>0</v>
      </c>
      <c r="AO83" s="367">
        <v>0</v>
      </c>
      <c r="AP83" s="367">
        <v>0</v>
      </c>
      <c r="AQ83" s="367">
        <v>0</v>
      </c>
      <c r="AR83" s="367">
        <v>0</v>
      </c>
      <c r="AS83" s="367">
        <v>0</v>
      </c>
      <c r="AT83" s="366">
        <v>0</v>
      </c>
      <c r="AU83" s="367">
        <v>0</v>
      </c>
      <c r="AV83" s="367">
        <v>0</v>
      </c>
      <c r="AW83" s="367">
        <v>0</v>
      </c>
      <c r="AX83" s="367">
        <v>0</v>
      </c>
      <c r="AY83" s="367">
        <v>0</v>
      </c>
      <c r="AZ83" s="366">
        <v>0</v>
      </c>
      <c r="BA83" s="367">
        <v>0</v>
      </c>
      <c r="BB83" s="367">
        <v>0</v>
      </c>
      <c r="BC83" s="367">
        <v>0</v>
      </c>
      <c r="BD83" s="367">
        <v>0</v>
      </c>
      <c r="BE83" s="367">
        <v>0</v>
      </c>
      <c r="BF83" s="367">
        <v>0</v>
      </c>
      <c r="BG83" s="367">
        <v>0</v>
      </c>
      <c r="BH83" s="367">
        <v>0</v>
      </c>
      <c r="BI83" s="367">
        <v>0</v>
      </c>
      <c r="BJ83" s="367">
        <v>0</v>
      </c>
      <c r="BK83" s="367">
        <v>0</v>
      </c>
      <c r="BL83" s="367">
        <v>0</v>
      </c>
      <c r="BM83" s="367">
        <v>0</v>
      </c>
      <c r="BN83" s="367">
        <v>0</v>
      </c>
      <c r="BO83" s="366">
        <v>0</v>
      </c>
      <c r="BP83" s="367">
        <v>0</v>
      </c>
      <c r="BQ83" s="367">
        <v>0</v>
      </c>
      <c r="BR83" s="368">
        <v>0</v>
      </c>
      <c r="BS83" s="368">
        <v>0</v>
      </c>
      <c r="BT83" s="366">
        <v>0</v>
      </c>
    </row>
    <row r="84" spans="1:72">
      <c r="A84" s="362"/>
      <c r="B84" s="362" t="s">
        <v>549</v>
      </c>
      <c r="C84" s="363" t="s">
        <v>708</v>
      </c>
      <c r="D84" s="363"/>
      <c r="E84" s="363"/>
      <c r="F84" s="364" t="s">
        <v>709</v>
      </c>
      <c r="G84" s="364"/>
      <c r="H84" s="365">
        <v>0</v>
      </c>
      <c r="I84" s="366">
        <v>0</v>
      </c>
      <c r="J84" s="367">
        <v>0</v>
      </c>
      <c r="K84" s="367">
        <v>0</v>
      </c>
      <c r="L84" s="367">
        <v>0</v>
      </c>
      <c r="M84" s="367">
        <v>0</v>
      </c>
      <c r="N84" s="367">
        <v>0</v>
      </c>
      <c r="O84" s="367">
        <v>0</v>
      </c>
      <c r="P84" s="367">
        <v>0</v>
      </c>
      <c r="Q84" s="367">
        <v>0</v>
      </c>
      <c r="R84" s="367">
        <v>0</v>
      </c>
      <c r="S84" s="367">
        <v>0</v>
      </c>
      <c r="T84" s="367">
        <v>0</v>
      </c>
      <c r="U84" s="367">
        <v>0</v>
      </c>
      <c r="V84" s="367">
        <v>0</v>
      </c>
      <c r="W84" s="366">
        <v>0</v>
      </c>
      <c r="X84" s="367">
        <v>0</v>
      </c>
      <c r="Y84" s="367">
        <v>0</v>
      </c>
      <c r="Z84" s="367">
        <v>0</v>
      </c>
      <c r="AA84" s="367">
        <v>0</v>
      </c>
      <c r="AB84" s="367">
        <v>0</v>
      </c>
      <c r="AC84" s="367">
        <v>0</v>
      </c>
      <c r="AD84" s="367">
        <v>0</v>
      </c>
      <c r="AE84" s="367">
        <v>0</v>
      </c>
      <c r="AF84" s="367">
        <v>0</v>
      </c>
      <c r="AG84" s="367">
        <v>0</v>
      </c>
      <c r="AH84" s="367">
        <v>0</v>
      </c>
      <c r="AI84" s="367">
        <v>0</v>
      </c>
      <c r="AJ84" s="367">
        <v>0</v>
      </c>
      <c r="AK84" s="367">
        <v>0</v>
      </c>
      <c r="AL84" s="367">
        <v>0</v>
      </c>
      <c r="AM84" s="367">
        <v>0</v>
      </c>
      <c r="AN84" s="367">
        <v>0</v>
      </c>
      <c r="AO84" s="367">
        <v>0</v>
      </c>
      <c r="AP84" s="367">
        <v>0</v>
      </c>
      <c r="AQ84" s="367">
        <v>0</v>
      </c>
      <c r="AR84" s="367">
        <v>0</v>
      </c>
      <c r="AS84" s="367">
        <v>0</v>
      </c>
      <c r="AT84" s="366">
        <v>0</v>
      </c>
      <c r="AU84" s="367">
        <v>0</v>
      </c>
      <c r="AV84" s="367">
        <v>0</v>
      </c>
      <c r="AW84" s="367">
        <v>0</v>
      </c>
      <c r="AX84" s="367">
        <v>0</v>
      </c>
      <c r="AY84" s="367">
        <v>0</v>
      </c>
      <c r="AZ84" s="366">
        <v>0</v>
      </c>
      <c r="BA84" s="367">
        <v>0</v>
      </c>
      <c r="BB84" s="367">
        <v>0</v>
      </c>
      <c r="BC84" s="367">
        <v>0</v>
      </c>
      <c r="BD84" s="367">
        <v>0</v>
      </c>
      <c r="BE84" s="367">
        <v>0</v>
      </c>
      <c r="BF84" s="367">
        <v>0</v>
      </c>
      <c r="BG84" s="367">
        <v>0</v>
      </c>
      <c r="BH84" s="367">
        <v>0</v>
      </c>
      <c r="BI84" s="367">
        <v>0</v>
      </c>
      <c r="BJ84" s="367">
        <v>0</v>
      </c>
      <c r="BK84" s="367">
        <v>0</v>
      </c>
      <c r="BL84" s="367">
        <v>0</v>
      </c>
      <c r="BM84" s="367">
        <v>0</v>
      </c>
      <c r="BN84" s="367">
        <v>0</v>
      </c>
      <c r="BO84" s="366">
        <v>0</v>
      </c>
      <c r="BP84" s="367">
        <v>0</v>
      </c>
      <c r="BQ84" s="367">
        <v>0</v>
      </c>
      <c r="BR84" s="368">
        <v>0</v>
      </c>
      <c r="BS84" s="368">
        <v>0</v>
      </c>
      <c r="BT84" s="366">
        <v>0</v>
      </c>
    </row>
    <row r="85" spans="1:72">
      <c r="A85" s="362"/>
      <c r="B85" s="362" t="s">
        <v>549</v>
      </c>
      <c r="C85" s="363" t="s">
        <v>710</v>
      </c>
      <c r="D85" s="363"/>
      <c r="E85" s="363"/>
      <c r="F85" s="364" t="s">
        <v>711</v>
      </c>
      <c r="G85" s="364"/>
      <c r="H85" s="365">
        <v>0</v>
      </c>
      <c r="I85" s="366">
        <v>0</v>
      </c>
      <c r="J85" s="367">
        <v>0</v>
      </c>
      <c r="K85" s="367">
        <v>0</v>
      </c>
      <c r="L85" s="367">
        <v>0</v>
      </c>
      <c r="M85" s="367">
        <v>0</v>
      </c>
      <c r="N85" s="367">
        <v>0</v>
      </c>
      <c r="O85" s="367">
        <v>0</v>
      </c>
      <c r="P85" s="367">
        <v>0</v>
      </c>
      <c r="Q85" s="367">
        <v>0</v>
      </c>
      <c r="R85" s="367">
        <v>0</v>
      </c>
      <c r="S85" s="367">
        <v>0</v>
      </c>
      <c r="T85" s="367">
        <v>0</v>
      </c>
      <c r="U85" s="367">
        <v>0</v>
      </c>
      <c r="V85" s="367">
        <v>0</v>
      </c>
      <c r="W85" s="366">
        <v>0</v>
      </c>
      <c r="X85" s="367">
        <v>0</v>
      </c>
      <c r="Y85" s="367">
        <v>0</v>
      </c>
      <c r="Z85" s="367">
        <v>0</v>
      </c>
      <c r="AA85" s="367">
        <v>0</v>
      </c>
      <c r="AB85" s="367">
        <v>0</v>
      </c>
      <c r="AC85" s="367">
        <v>0</v>
      </c>
      <c r="AD85" s="367">
        <v>0</v>
      </c>
      <c r="AE85" s="367">
        <v>0</v>
      </c>
      <c r="AF85" s="367">
        <v>0</v>
      </c>
      <c r="AG85" s="367">
        <v>0</v>
      </c>
      <c r="AH85" s="367">
        <v>0</v>
      </c>
      <c r="AI85" s="367">
        <v>0</v>
      </c>
      <c r="AJ85" s="367">
        <v>0</v>
      </c>
      <c r="AK85" s="367">
        <v>0</v>
      </c>
      <c r="AL85" s="367">
        <v>0</v>
      </c>
      <c r="AM85" s="367">
        <v>0</v>
      </c>
      <c r="AN85" s="367">
        <v>0</v>
      </c>
      <c r="AO85" s="367">
        <v>0</v>
      </c>
      <c r="AP85" s="367">
        <v>0</v>
      </c>
      <c r="AQ85" s="367">
        <v>0</v>
      </c>
      <c r="AR85" s="367">
        <v>0</v>
      </c>
      <c r="AS85" s="367">
        <v>0</v>
      </c>
      <c r="AT85" s="366">
        <v>0</v>
      </c>
      <c r="AU85" s="367">
        <v>0</v>
      </c>
      <c r="AV85" s="367">
        <v>0</v>
      </c>
      <c r="AW85" s="367">
        <v>0</v>
      </c>
      <c r="AX85" s="367">
        <v>0</v>
      </c>
      <c r="AY85" s="367">
        <v>0</v>
      </c>
      <c r="AZ85" s="366">
        <v>0</v>
      </c>
      <c r="BA85" s="367">
        <v>0</v>
      </c>
      <c r="BB85" s="367">
        <v>0</v>
      </c>
      <c r="BC85" s="367">
        <v>0</v>
      </c>
      <c r="BD85" s="367">
        <v>0</v>
      </c>
      <c r="BE85" s="367">
        <v>0</v>
      </c>
      <c r="BF85" s="367">
        <v>0</v>
      </c>
      <c r="BG85" s="367">
        <v>0</v>
      </c>
      <c r="BH85" s="367">
        <v>0</v>
      </c>
      <c r="BI85" s="367">
        <v>0</v>
      </c>
      <c r="BJ85" s="367">
        <v>0</v>
      </c>
      <c r="BK85" s="367">
        <v>0</v>
      </c>
      <c r="BL85" s="367">
        <v>0</v>
      </c>
      <c r="BM85" s="367">
        <v>0</v>
      </c>
      <c r="BN85" s="367">
        <v>0</v>
      </c>
      <c r="BO85" s="366">
        <v>0</v>
      </c>
      <c r="BP85" s="367">
        <v>0</v>
      </c>
      <c r="BQ85" s="367">
        <v>0</v>
      </c>
      <c r="BR85" s="368">
        <v>0</v>
      </c>
      <c r="BS85" s="368">
        <v>0</v>
      </c>
      <c r="BT85" s="366">
        <v>0</v>
      </c>
    </row>
    <row r="86" spans="1:72">
      <c r="A86" s="362" t="s">
        <v>549</v>
      </c>
      <c r="B86" s="363" t="s">
        <v>599</v>
      </c>
      <c r="C86" s="363"/>
      <c r="D86" s="363"/>
      <c r="E86" s="363"/>
      <c r="F86" s="364" t="s">
        <v>712</v>
      </c>
      <c r="G86" s="364"/>
      <c r="H86" s="365">
        <v>0</v>
      </c>
      <c r="I86" s="366">
        <v>0</v>
      </c>
      <c r="J86" s="367">
        <v>0</v>
      </c>
      <c r="K86" s="367">
        <v>0</v>
      </c>
      <c r="L86" s="367">
        <v>0</v>
      </c>
      <c r="M86" s="367">
        <v>0</v>
      </c>
      <c r="N86" s="367">
        <v>0</v>
      </c>
      <c r="O86" s="367">
        <v>0</v>
      </c>
      <c r="P86" s="367">
        <v>0</v>
      </c>
      <c r="Q86" s="367">
        <v>0</v>
      </c>
      <c r="R86" s="367">
        <v>0</v>
      </c>
      <c r="S86" s="367">
        <v>0</v>
      </c>
      <c r="T86" s="367">
        <v>0</v>
      </c>
      <c r="U86" s="367">
        <v>0</v>
      </c>
      <c r="V86" s="367">
        <v>0</v>
      </c>
      <c r="W86" s="366">
        <v>0</v>
      </c>
      <c r="X86" s="367">
        <v>0</v>
      </c>
      <c r="Y86" s="367">
        <v>0</v>
      </c>
      <c r="Z86" s="367">
        <v>0</v>
      </c>
      <c r="AA86" s="367">
        <v>0</v>
      </c>
      <c r="AB86" s="367">
        <v>0</v>
      </c>
      <c r="AC86" s="367">
        <v>0</v>
      </c>
      <c r="AD86" s="367">
        <v>0</v>
      </c>
      <c r="AE86" s="367">
        <v>0</v>
      </c>
      <c r="AF86" s="367">
        <v>0</v>
      </c>
      <c r="AG86" s="367">
        <v>0</v>
      </c>
      <c r="AH86" s="367">
        <v>0</v>
      </c>
      <c r="AI86" s="367">
        <v>0</v>
      </c>
      <c r="AJ86" s="367">
        <v>0</v>
      </c>
      <c r="AK86" s="367">
        <v>0</v>
      </c>
      <c r="AL86" s="367">
        <v>0</v>
      </c>
      <c r="AM86" s="367">
        <v>0</v>
      </c>
      <c r="AN86" s="367">
        <v>0</v>
      </c>
      <c r="AO86" s="367">
        <v>0</v>
      </c>
      <c r="AP86" s="367">
        <v>0</v>
      </c>
      <c r="AQ86" s="367">
        <v>0</v>
      </c>
      <c r="AR86" s="367">
        <v>0</v>
      </c>
      <c r="AS86" s="367">
        <v>0</v>
      </c>
      <c r="AT86" s="366">
        <v>0</v>
      </c>
      <c r="AU86" s="367">
        <v>0</v>
      </c>
      <c r="AV86" s="367">
        <v>0</v>
      </c>
      <c r="AW86" s="367">
        <v>0</v>
      </c>
      <c r="AX86" s="367">
        <v>0</v>
      </c>
      <c r="AY86" s="367">
        <v>0</v>
      </c>
      <c r="AZ86" s="366">
        <v>0</v>
      </c>
      <c r="BA86" s="367">
        <v>0</v>
      </c>
      <c r="BB86" s="367">
        <v>0</v>
      </c>
      <c r="BC86" s="367">
        <v>0</v>
      </c>
      <c r="BD86" s="367">
        <v>0</v>
      </c>
      <c r="BE86" s="367">
        <v>0</v>
      </c>
      <c r="BF86" s="367">
        <v>0</v>
      </c>
      <c r="BG86" s="367">
        <v>0</v>
      </c>
      <c r="BH86" s="367">
        <v>0</v>
      </c>
      <c r="BI86" s="367">
        <v>0</v>
      </c>
      <c r="BJ86" s="367">
        <v>0</v>
      </c>
      <c r="BK86" s="367">
        <v>0</v>
      </c>
      <c r="BL86" s="367">
        <v>0</v>
      </c>
      <c r="BM86" s="367">
        <v>0</v>
      </c>
      <c r="BN86" s="367">
        <v>0</v>
      </c>
      <c r="BO86" s="366">
        <v>0</v>
      </c>
      <c r="BP86" s="367">
        <v>0</v>
      </c>
      <c r="BQ86" s="367">
        <v>0</v>
      </c>
      <c r="BR86" s="368">
        <v>0</v>
      </c>
      <c r="BS86" s="368">
        <v>0</v>
      </c>
      <c r="BT86" s="366">
        <v>0</v>
      </c>
    </row>
    <row r="87" spans="1:72">
      <c r="A87" s="362" t="s">
        <v>549</v>
      </c>
      <c r="B87" s="363" t="s">
        <v>601</v>
      </c>
      <c r="C87" s="363"/>
      <c r="D87" s="363"/>
      <c r="E87" s="363"/>
      <c r="F87" s="364" t="s">
        <v>713</v>
      </c>
      <c r="G87" s="364"/>
      <c r="H87" s="365">
        <v>2.4870000000000001</v>
      </c>
      <c r="I87" s="366">
        <v>0</v>
      </c>
      <c r="J87" s="367">
        <v>0</v>
      </c>
      <c r="K87" s="367">
        <v>0</v>
      </c>
      <c r="L87" s="367">
        <v>0</v>
      </c>
      <c r="M87" s="367">
        <v>0</v>
      </c>
      <c r="N87" s="367">
        <v>0</v>
      </c>
      <c r="O87" s="367">
        <v>0</v>
      </c>
      <c r="P87" s="367">
        <v>0</v>
      </c>
      <c r="Q87" s="367">
        <v>0</v>
      </c>
      <c r="R87" s="367">
        <v>0</v>
      </c>
      <c r="S87" s="367">
        <v>0</v>
      </c>
      <c r="T87" s="367">
        <v>0</v>
      </c>
      <c r="U87" s="367">
        <v>0</v>
      </c>
      <c r="V87" s="367">
        <v>0</v>
      </c>
      <c r="W87" s="366">
        <v>0</v>
      </c>
      <c r="X87" s="367">
        <v>0</v>
      </c>
      <c r="Y87" s="367">
        <v>0</v>
      </c>
      <c r="Z87" s="367">
        <v>0</v>
      </c>
      <c r="AA87" s="367">
        <v>0</v>
      </c>
      <c r="AB87" s="367">
        <v>0</v>
      </c>
      <c r="AC87" s="367">
        <v>0</v>
      </c>
      <c r="AD87" s="367">
        <v>0</v>
      </c>
      <c r="AE87" s="367">
        <v>0</v>
      </c>
      <c r="AF87" s="367">
        <v>0</v>
      </c>
      <c r="AG87" s="367">
        <v>0</v>
      </c>
      <c r="AH87" s="367">
        <v>0</v>
      </c>
      <c r="AI87" s="367">
        <v>0</v>
      </c>
      <c r="AJ87" s="367">
        <v>0</v>
      </c>
      <c r="AK87" s="367">
        <v>0</v>
      </c>
      <c r="AL87" s="367">
        <v>0</v>
      </c>
      <c r="AM87" s="367">
        <v>0</v>
      </c>
      <c r="AN87" s="367">
        <v>0</v>
      </c>
      <c r="AO87" s="367">
        <v>0</v>
      </c>
      <c r="AP87" s="367">
        <v>0</v>
      </c>
      <c r="AQ87" s="367">
        <v>0</v>
      </c>
      <c r="AR87" s="367">
        <v>0</v>
      </c>
      <c r="AS87" s="367">
        <v>0</v>
      </c>
      <c r="AT87" s="366">
        <v>2.4870000000000001</v>
      </c>
      <c r="AU87" s="367">
        <v>0</v>
      </c>
      <c r="AV87" s="367">
        <v>0</v>
      </c>
      <c r="AW87" s="367">
        <v>2.4870000000000001</v>
      </c>
      <c r="AX87" s="367">
        <v>0</v>
      </c>
      <c r="AY87" s="367">
        <v>0</v>
      </c>
      <c r="AZ87" s="366">
        <v>0</v>
      </c>
      <c r="BA87" s="367">
        <v>0</v>
      </c>
      <c r="BB87" s="367">
        <v>0</v>
      </c>
      <c r="BC87" s="367">
        <v>0</v>
      </c>
      <c r="BD87" s="367">
        <v>0</v>
      </c>
      <c r="BE87" s="367">
        <v>0</v>
      </c>
      <c r="BF87" s="367">
        <v>0</v>
      </c>
      <c r="BG87" s="367">
        <v>0</v>
      </c>
      <c r="BH87" s="367">
        <v>0</v>
      </c>
      <c r="BI87" s="367">
        <v>0</v>
      </c>
      <c r="BJ87" s="367">
        <v>0</v>
      </c>
      <c r="BK87" s="367">
        <v>0</v>
      </c>
      <c r="BL87" s="367">
        <v>0</v>
      </c>
      <c r="BM87" s="367">
        <v>0</v>
      </c>
      <c r="BN87" s="367">
        <v>0</v>
      </c>
      <c r="BO87" s="366">
        <v>0</v>
      </c>
      <c r="BP87" s="367">
        <v>0</v>
      </c>
      <c r="BQ87" s="367">
        <v>0</v>
      </c>
      <c r="BR87" s="368">
        <v>0</v>
      </c>
      <c r="BS87" s="368">
        <v>0</v>
      </c>
      <c r="BT87" s="366">
        <v>0</v>
      </c>
    </row>
    <row r="88" spans="1:72">
      <c r="A88" s="362" t="s">
        <v>549</v>
      </c>
      <c r="B88" s="363" t="s">
        <v>603</v>
      </c>
      <c r="C88" s="363"/>
      <c r="D88" s="363"/>
      <c r="E88" s="363"/>
      <c r="F88" s="364" t="s">
        <v>714</v>
      </c>
      <c r="G88" s="364"/>
      <c r="H88" s="365">
        <v>0</v>
      </c>
      <c r="I88" s="366">
        <v>0</v>
      </c>
      <c r="J88" s="367">
        <v>0</v>
      </c>
      <c r="K88" s="367">
        <v>0</v>
      </c>
      <c r="L88" s="367">
        <v>0</v>
      </c>
      <c r="M88" s="367">
        <v>0</v>
      </c>
      <c r="N88" s="367">
        <v>0</v>
      </c>
      <c r="O88" s="367">
        <v>0</v>
      </c>
      <c r="P88" s="367">
        <v>0</v>
      </c>
      <c r="Q88" s="367">
        <v>0</v>
      </c>
      <c r="R88" s="367">
        <v>0</v>
      </c>
      <c r="S88" s="367">
        <v>0</v>
      </c>
      <c r="T88" s="367">
        <v>0</v>
      </c>
      <c r="U88" s="367">
        <v>0</v>
      </c>
      <c r="V88" s="367">
        <v>0</v>
      </c>
      <c r="W88" s="366">
        <v>0</v>
      </c>
      <c r="X88" s="367">
        <v>0</v>
      </c>
      <c r="Y88" s="367">
        <v>0</v>
      </c>
      <c r="Z88" s="367">
        <v>0</v>
      </c>
      <c r="AA88" s="367">
        <v>0</v>
      </c>
      <c r="AB88" s="367">
        <v>0</v>
      </c>
      <c r="AC88" s="367">
        <v>0</v>
      </c>
      <c r="AD88" s="367">
        <v>0</v>
      </c>
      <c r="AE88" s="367">
        <v>0</v>
      </c>
      <c r="AF88" s="367">
        <v>0</v>
      </c>
      <c r="AG88" s="367">
        <v>0</v>
      </c>
      <c r="AH88" s="367">
        <v>0</v>
      </c>
      <c r="AI88" s="367">
        <v>0</v>
      </c>
      <c r="AJ88" s="367">
        <v>0</v>
      </c>
      <c r="AK88" s="367">
        <v>0</v>
      </c>
      <c r="AL88" s="367">
        <v>0</v>
      </c>
      <c r="AM88" s="367">
        <v>0</v>
      </c>
      <c r="AN88" s="367">
        <v>0</v>
      </c>
      <c r="AO88" s="367">
        <v>0</v>
      </c>
      <c r="AP88" s="367">
        <v>0</v>
      </c>
      <c r="AQ88" s="367">
        <v>0</v>
      </c>
      <c r="AR88" s="367">
        <v>0</v>
      </c>
      <c r="AS88" s="367">
        <v>0</v>
      </c>
      <c r="AT88" s="366">
        <v>0</v>
      </c>
      <c r="AU88" s="367">
        <v>0</v>
      </c>
      <c r="AV88" s="367">
        <v>0</v>
      </c>
      <c r="AW88" s="367">
        <v>0</v>
      </c>
      <c r="AX88" s="367">
        <v>0</v>
      </c>
      <c r="AY88" s="367">
        <v>0</v>
      </c>
      <c r="AZ88" s="366">
        <v>0</v>
      </c>
      <c r="BA88" s="367">
        <v>0</v>
      </c>
      <c r="BB88" s="367">
        <v>0</v>
      </c>
      <c r="BC88" s="367">
        <v>0</v>
      </c>
      <c r="BD88" s="367">
        <v>0</v>
      </c>
      <c r="BE88" s="367">
        <v>0</v>
      </c>
      <c r="BF88" s="367">
        <v>0</v>
      </c>
      <c r="BG88" s="367">
        <v>0</v>
      </c>
      <c r="BH88" s="367">
        <v>0</v>
      </c>
      <c r="BI88" s="367">
        <v>0</v>
      </c>
      <c r="BJ88" s="367">
        <v>0</v>
      </c>
      <c r="BK88" s="367">
        <v>0</v>
      </c>
      <c r="BL88" s="367">
        <v>0</v>
      </c>
      <c r="BM88" s="367">
        <v>0</v>
      </c>
      <c r="BN88" s="367">
        <v>0</v>
      </c>
      <c r="BO88" s="366">
        <v>0</v>
      </c>
      <c r="BP88" s="367">
        <v>0</v>
      </c>
      <c r="BQ88" s="367">
        <v>0</v>
      </c>
      <c r="BR88" s="368">
        <v>0</v>
      </c>
      <c r="BS88" s="368">
        <v>0</v>
      </c>
      <c r="BT88" s="366">
        <v>0</v>
      </c>
    </row>
    <row r="89" spans="1:72">
      <c r="A89" s="362" t="s">
        <v>549</v>
      </c>
      <c r="B89" s="363" t="s">
        <v>605</v>
      </c>
      <c r="C89" s="363"/>
      <c r="D89" s="363"/>
      <c r="E89" s="363"/>
      <c r="F89" s="364" t="s">
        <v>715</v>
      </c>
      <c r="G89" s="364"/>
      <c r="H89" s="365">
        <v>607.76300000000003</v>
      </c>
      <c r="I89" s="366">
        <v>0</v>
      </c>
      <c r="J89" s="367">
        <v>0</v>
      </c>
      <c r="K89" s="367">
        <v>0</v>
      </c>
      <c r="L89" s="367">
        <v>0</v>
      </c>
      <c r="M89" s="367">
        <v>0</v>
      </c>
      <c r="N89" s="367">
        <v>0</v>
      </c>
      <c r="O89" s="367">
        <v>0</v>
      </c>
      <c r="P89" s="367">
        <v>0</v>
      </c>
      <c r="Q89" s="367">
        <v>0</v>
      </c>
      <c r="R89" s="367">
        <v>0</v>
      </c>
      <c r="S89" s="367">
        <v>0</v>
      </c>
      <c r="T89" s="367">
        <v>0</v>
      </c>
      <c r="U89" s="367">
        <v>0</v>
      </c>
      <c r="V89" s="367">
        <v>0</v>
      </c>
      <c r="W89" s="366">
        <v>607.76300000000003</v>
      </c>
      <c r="X89" s="367">
        <v>0</v>
      </c>
      <c r="Y89" s="367">
        <v>0</v>
      </c>
      <c r="Z89" s="367">
        <v>0</v>
      </c>
      <c r="AA89" s="367">
        <v>0</v>
      </c>
      <c r="AB89" s="367">
        <v>0</v>
      </c>
      <c r="AC89" s="367">
        <v>18.614000000000001</v>
      </c>
      <c r="AD89" s="367">
        <v>0</v>
      </c>
      <c r="AE89" s="367">
        <v>18.21</v>
      </c>
      <c r="AF89" s="367">
        <v>149.292</v>
      </c>
      <c r="AG89" s="367">
        <v>0</v>
      </c>
      <c r="AH89" s="367">
        <v>0</v>
      </c>
      <c r="AI89" s="367">
        <v>20.510999999999999</v>
      </c>
      <c r="AJ89" s="367">
        <v>7.8869999999999996</v>
      </c>
      <c r="AK89" s="367">
        <v>67.561999999999998</v>
      </c>
      <c r="AL89" s="367">
        <v>245.21600000000001</v>
      </c>
      <c r="AM89" s="367">
        <v>74.8</v>
      </c>
      <c r="AN89" s="367">
        <v>0</v>
      </c>
      <c r="AO89" s="367">
        <v>0</v>
      </c>
      <c r="AP89" s="367">
        <v>0</v>
      </c>
      <c r="AQ89" s="367">
        <v>5.67</v>
      </c>
      <c r="AR89" s="367">
        <v>0</v>
      </c>
      <c r="AS89" s="367">
        <v>0</v>
      </c>
      <c r="AT89" s="366">
        <v>0</v>
      </c>
      <c r="AU89" s="367">
        <v>0</v>
      </c>
      <c r="AV89" s="367">
        <v>0</v>
      </c>
      <c r="AW89" s="367">
        <v>0</v>
      </c>
      <c r="AX89" s="367">
        <v>0</v>
      </c>
      <c r="AY89" s="367">
        <v>0</v>
      </c>
      <c r="AZ89" s="366">
        <v>0</v>
      </c>
      <c r="BA89" s="367">
        <v>0</v>
      </c>
      <c r="BB89" s="367">
        <v>0</v>
      </c>
      <c r="BC89" s="367">
        <v>0</v>
      </c>
      <c r="BD89" s="367">
        <v>0</v>
      </c>
      <c r="BE89" s="367">
        <v>0</v>
      </c>
      <c r="BF89" s="367">
        <v>0</v>
      </c>
      <c r="BG89" s="367">
        <v>0</v>
      </c>
      <c r="BH89" s="367">
        <v>0</v>
      </c>
      <c r="BI89" s="367">
        <v>0</v>
      </c>
      <c r="BJ89" s="367">
        <v>0</v>
      </c>
      <c r="BK89" s="367">
        <v>0</v>
      </c>
      <c r="BL89" s="367">
        <v>0</v>
      </c>
      <c r="BM89" s="367">
        <v>0</v>
      </c>
      <c r="BN89" s="367">
        <v>0</v>
      </c>
      <c r="BO89" s="366">
        <v>0</v>
      </c>
      <c r="BP89" s="367">
        <v>0</v>
      </c>
      <c r="BQ89" s="367">
        <v>0</v>
      </c>
      <c r="BR89" s="368">
        <v>0</v>
      </c>
      <c r="BS89" s="368">
        <v>0</v>
      </c>
      <c r="BT89" s="366">
        <v>0</v>
      </c>
    </row>
    <row r="90" spans="1:72">
      <c r="A90" s="362" t="s">
        <v>549</v>
      </c>
      <c r="B90" s="363" t="s">
        <v>716</v>
      </c>
      <c r="C90" s="363"/>
      <c r="D90" s="363"/>
      <c r="E90" s="363"/>
      <c r="F90" s="364" t="s">
        <v>717</v>
      </c>
      <c r="G90" s="364"/>
      <c r="H90" s="365">
        <v>0</v>
      </c>
      <c r="I90" s="366">
        <v>0</v>
      </c>
      <c r="J90" s="367">
        <v>0</v>
      </c>
      <c r="K90" s="367">
        <v>0</v>
      </c>
      <c r="L90" s="367">
        <v>0</v>
      </c>
      <c r="M90" s="367">
        <v>0</v>
      </c>
      <c r="N90" s="367">
        <v>0</v>
      </c>
      <c r="O90" s="367">
        <v>0</v>
      </c>
      <c r="P90" s="367">
        <v>0</v>
      </c>
      <c r="Q90" s="367">
        <v>0</v>
      </c>
      <c r="R90" s="367">
        <v>0</v>
      </c>
      <c r="S90" s="367">
        <v>0</v>
      </c>
      <c r="T90" s="367">
        <v>0</v>
      </c>
      <c r="U90" s="367">
        <v>0</v>
      </c>
      <c r="V90" s="367">
        <v>0</v>
      </c>
      <c r="W90" s="366">
        <v>0</v>
      </c>
      <c r="X90" s="367">
        <v>0</v>
      </c>
      <c r="Y90" s="367">
        <v>0</v>
      </c>
      <c r="Z90" s="367">
        <v>0</v>
      </c>
      <c r="AA90" s="367">
        <v>0</v>
      </c>
      <c r="AB90" s="367">
        <v>0</v>
      </c>
      <c r="AC90" s="367">
        <v>0</v>
      </c>
      <c r="AD90" s="367">
        <v>0</v>
      </c>
      <c r="AE90" s="367">
        <v>0</v>
      </c>
      <c r="AF90" s="367">
        <v>0</v>
      </c>
      <c r="AG90" s="367">
        <v>0</v>
      </c>
      <c r="AH90" s="367">
        <v>0</v>
      </c>
      <c r="AI90" s="367">
        <v>0</v>
      </c>
      <c r="AJ90" s="367">
        <v>0</v>
      </c>
      <c r="AK90" s="367">
        <v>0</v>
      </c>
      <c r="AL90" s="367">
        <v>0</v>
      </c>
      <c r="AM90" s="367">
        <v>0</v>
      </c>
      <c r="AN90" s="367">
        <v>0</v>
      </c>
      <c r="AO90" s="367">
        <v>0</v>
      </c>
      <c r="AP90" s="367">
        <v>0</v>
      </c>
      <c r="AQ90" s="367">
        <v>0</v>
      </c>
      <c r="AR90" s="367">
        <v>0</v>
      </c>
      <c r="AS90" s="367">
        <v>0</v>
      </c>
      <c r="AT90" s="366">
        <v>0</v>
      </c>
      <c r="AU90" s="367">
        <v>0</v>
      </c>
      <c r="AV90" s="367">
        <v>0</v>
      </c>
      <c r="AW90" s="367">
        <v>0</v>
      </c>
      <c r="AX90" s="367">
        <v>0</v>
      </c>
      <c r="AY90" s="367">
        <v>0</v>
      </c>
      <c r="AZ90" s="366">
        <v>0</v>
      </c>
      <c r="BA90" s="367">
        <v>0</v>
      </c>
      <c r="BB90" s="367">
        <v>0</v>
      </c>
      <c r="BC90" s="367">
        <v>0</v>
      </c>
      <c r="BD90" s="367">
        <v>0</v>
      </c>
      <c r="BE90" s="367">
        <v>0</v>
      </c>
      <c r="BF90" s="367">
        <v>0</v>
      </c>
      <c r="BG90" s="367">
        <v>0</v>
      </c>
      <c r="BH90" s="367">
        <v>0</v>
      </c>
      <c r="BI90" s="367">
        <v>0</v>
      </c>
      <c r="BJ90" s="367">
        <v>0</v>
      </c>
      <c r="BK90" s="367">
        <v>0</v>
      </c>
      <c r="BL90" s="367">
        <v>0</v>
      </c>
      <c r="BM90" s="367">
        <v>0</v>
      </c>
      <c r="BN90" s="367">
        <v>0</v>
      </c>
      <c r="BO90" s="366">
        <v>0</v>
      </c>
      <c r="BP90" s="367">
        <v>0</v>
      </c>
      <c r="BQ90" s="367">
        <v>0</v>
      </c>
      <c r="BR90" s="368">
        <v>0</v>
      </c>
      <c r="BS90" s="368">
        <v>0</v>
      </c>
      <c r="BT90" s="366">
        <v>0</v>
      </c>
    </row>
    <row r="91" spans="1:72">
      <c r="A91" s="362" t="s">
        <v>549</v>
      </c>
      <c r="B91" s="363" t="s">
        <v>619</v>
      </c>
      <c r="C91" s="363"/>
      <c r="D91" s="363"/>
      <c r="E91" s="363"/>
      <c r="F91" s="364" t="s">
        <v>718</v>
      </c>
      <c r="G91" s="364"/>
      <c r="H91" s="365">
        <v>0</v>
      </c>
      <c r="I91" s="366">
        <v>0</v>
      </c>
      <c r="J91" s="367">
        <v>0</v>
      </c>
      <c r="K91" s="367">
        <v>0</v>
      </c>
      <c r="L91" s="367">
        <v>0</v>
      </c>
      <c r="M91" s="367">
        <v>0</v>
      </c>
      <c r="N91" s="367">
        <v>0</v>
      </c>
      <c r="O91" s="367">
        <v>0</v>
      </c>
      <c r="P91" s="367">
        <v>0</v>
      </c>
      <c r="Q91" s="367">
        <v>0</v>
      </c>
      <c r="R91" s="367">
        <v>0</v>
      </c>
      <c r="S91" s="367">
        <v>0</v>
      </c>
      <c r="T91" s="367">
        <v>0</v>
      </c>
      <c r="U91" s="367">
        <v>0</v>
      </c>
      <c r="V91" s="367">
        <v>0</v>
      </c>
      <c r="W91" s="366">
        <v>0</v>
      </c>
      <c r="X91" s="367">
        <v>0</v>
      </c>
      <c r="Y91" s="367">
        <v>0</v>
      </c>
      <c r="Z91" s="367">
        <v>0</v>
      </c>
      <c r="AA91" s="367">
        <v>0</v>
      </c>
      <c r="AB91" s="367">
        <v>0</v>
      </c>
      <c r="AC91" s="367">
        <v>0</v>
      </c>
      <c r="AD91" s="367">
        <v>0</v>
      </c>
      <c r="AE91" s="367">
        <v>0</v>
      </c>
      <c r="AF91" s="367">
        <v>0</v>
      </c>
      <c r="AG91" s="367">
        <v>0</v>
      </c>
      <c r="AH91" s="367">
        <v>0</v>
      </c>
      <c r="AI91" s="367">
        <v>0</v>
      </c>
      <c r="AJ91" s="367">
        <v>0</v>
      </c>
      <c r="AK91" s="367">
        <v>0</v>
      </c>
      <c r="AL91" s="367">
        <v>0</v>
      </c>
      <c r="AM91" s="367">
        <v>0</v>
      </c>
      <c r="AN91" s="367">
        <v>0</v>
      </c>
      <c r="AO91" s="367">
        <v>0</v>
      </c>
      <c r="AP91" s="367">
        <v>0</v>
      </c>
      <c r="AQ91" s="367">
        <v>0</v>
      </c>
      <c r="AR91" s="367">
        <v>0</v>
      </c>
      <c r="AS91" s="367">
        <v>0</v>
      </c>
      <c r="AT91" s="366">
        <v>0</v>
      </c>
      <c r="AU91" s="367">
        <v>0</v>
      </c>
      <c r="AV91" s="367">
        <v>0</v>
      </c>
      <c r="AW91" s="367">
        <v>0</v>
      </c>
      <c r="AX91" s="367">
        <v>0</v>
      </c>
      <c r="AY91" s="367">
        <v>0</v>
      </c>
      <c r="AZ91" s="366">
        <v>0</v>
      </c>
      <c r="BA91" s="367">
        <v>0</v>
      </c>
      <c r="BB91" s="367">
        <v>0</v>
      </c>
      <c r="BC91" s="367">
        <v>0</v>
      </c>
      <c r="BD91" s="367">
        <v>0</v>
      </c>
      <c r="BE91" s="367">
        <v>0</v>
      </c>
      <c r="BF91" s="367">
        <v>0</v>
      </c>
      <c r="BG91" s="367">
        <v>0</v>
      </c>
      <c r="BH91" s="367">
        <v>0</v>
      </c>
      <c r="BI91" s="367">
        <v>0</v>
      </c>
      <c r="BJ91" s="367">
        <v>0</v>
      </c>
      <c r="BK91" s="367">
        <v>0</v>
      </c>
      <c r="BL91" s="367">
        <v>0</v>
      </c>
      <c r="BM91" s="367">
        <v>0</v>
      </c>
      <c r="BN91" s="367">
        <v>0</v>
      </c>
      <c r="BO91" s="366">
        <v>0</v>
      </c>
      <c r="BP91" s="367">
        <v>0</v>
      </c>
      <c r="BQ91" s="367">
        <v>0</v>
      </c>
      <c r="BR91" s="368">
        <v>0</v>
      </c>
      <c r="BS91" s="368">
        <v>0</v>
      </c>
      <c r="BT91" s="366">
        <v>0</v>
      </c>
    </row>
    <row r="92" spans="1:72">
      <c r="A92" s="362" t="s">
        <v>549</v>
      </c>
      <c r="B92" s="363" t="s">
        <v>719</v>
      </c>
      <c r="C92" s="363"/>
      <c r="D92" s="363"/>
      <c r="E92" s="363"/>
      <c r="F92" s="364" t="s">
        <v>720</v>
      </c>
      <c r="G92" s="364"/>
      <c r="H92" s="365">
        <v>0</v>
      </c>
      <c r="I92" s="366">
        <v>0</v>
      </c>
      <c r="J92" s="367">
        <v>0</v>
      </c>
      <c r="K92" s="367">
        <v>0</v>
      </c>
      <c r="L92" s="367">
        <v>0</v>
      </c>
      <c r="M92" s="367">
        <v>0</v>
      </c>
      <c r="N92" s="367">
        <v>0</v>
      </c>
      <c r="O92" s="367">
        <v>0</v>
      </c>
      <c r="P92" s="367">
        <v>0</v>
      </c>
      <c r="Q92" s="367">
        <v>0</v>
      </c>
      <c r="R92" s="367">
        <v>0</v>
      </c>
      <c r="S92" s="367">
        <v>0</v>
      </c>
      <c r="T92" s="367">
        <v>0</v>
      </c>
      <c r="U92" s="367">
        <v>0</v>
      </c>
      <c r="V92" s="367">
        <v>0</v>
      </c>
      <c r="W92" s="366">
        <v>0</v>
      </c>
      <c r="X92" s="367">
        <v>0</v>
      </c>
      <c r="Y92" s="367">
        <v>0</v>
      </c>
      <c r="Z92" s="367">
        <v>0</v>
      </c>
      <c r="AA92" s="367">
        <v>0</v>
      </c>
      <c r="AB92" s="367">
        <v>0</v>
      </c>
      <c r="AC92" s="367">
        <v>0</v>
      </c>
      <c r="AD92" s="367">
        <v>0</v>
      </c>
      <c r="AE92" s="367">
        <v>0</v>
      </c>
      <c r="AF92" s="367">
        <v>0</v>
      </c>
      <c r="AG92" s="367">
        <v>0</v>
      </c>
      <c r="AH92" s="367">
        <v>0</v>
      </c>
      <c r="AI92" s="367">
        <v>0</v>
      </c>
      <c r="AJ92" s="367">
        <v>0</v>
      </c>
      <c r="AK92" s="367">
        <v>0</v>
      </c>
      <c r="AL92" s="367">
        <v>0</v>
      </c>
      <c r="AM92" s="367">
        <v>0</v>
      </c>
      <c r="AN92" s="367">
        <v>0</v>
      </c>
      <c r="AO92" s="367">
        <v>0</v>
      </c>
      <c r="AP92" s="367">
        <v>0</v>
      </c>
      <c r="AQ92" s="367">
        <v>0</v>
      </c>
      <c r="AR92" s="367">
        <v>0</v>
      </c>
      <c r="AS92" s="367">
        <v>0</v>
      </c>
      <c r="AT92" s="366">
        <v>0</v>
      </c>
      <c r="AU92" s="367">
        <v>0</v>
      </c>
      <c r="AV92" s="367">
        <v>0</v>
      </c>
      <c r="AW92" s="367">
        <v>0</v>
      </c>
      <c r="AX92" s="367">
        <v>0</v>
      </c>
      <c r="AY92" s="367">
        <v>0</v>
      </c>
      <c r="AZ92" s="366">
        <v>0</v>
      </c>
      <c r="BA92" s="367">
        <v>0</v>
      </c>
      <c r="BB92" s="367">
        <v>0</v>
      </c>
      <c r="BC92" s="367">
        <v>0</v>
      </c>
      <c r="BD92" s="367">
        <v>0</v>
      </c>
      <c r="BE92" s="367">
        <v>0</v>
      </c>
      <c r="BF92" s="367">
        <v>0</v>
      </c>
      <c r="BG92" s="367">
        <v>0</v>
      </c>
      <c r="BH92" s="367">
        <v>0</v>
      </c>
      <c r="BI92" s="367">
        <v>0</v>
      </c>
      <c r="BJ92" s="367">
        <v>0</v>
      </c>
      <c r="BK92" s="367">
        <v>0</v>
      </c>
      <c r="BL92" s="367">
        <v>0</v>
      </c>
      <c r="BM92" s="367">
        <v>0</v>
      </c>
      <c r="BN92" s="367">
        <v>0</v>
      </c>
      <c r="BO92" s="366">
        <v>0</v>
      </c>
      <c r="BP92" s="367">
        <v>0</v>
      </c>
      <c r="BQ92" s="367">
        <v>0</v>
      </c>
      <c r="BR92" s="368">
        <v>0</v>
      </c>
      <c r="BS92" s="368">
        <v>0</v>
      </c>
      <c r="BT92" s="366">
        <v>0</v>
      </c>
    </row>
    <row r="93" spans="1:72" s="401" customFormat="1">
      <c r="A93" s="395" t="s">
        <v>549</v>
      </c>
      <c r="B93" s="396" t="s">
        <v>721</v>
      </c>
      <c r="C93" s="396"/>
      <c r="D93" s="396"/>
      <c r="E93" s="396"/>
      <c r="F93" s="397" t="s">
        <v>722</v>
      </c>
      <c r="G93" s="397"/>
      <c r="H93" s="398">
        <v>16.413</v>
      </c>
      <c r="I93" s="399">
        <v>0</v>
      </c>
      <c r="J93" s="398">
        <v>0</v>
      </c>
      <c r="K93" s="398">
        <v>0</v>
      </c>
      <c r="L93" s="398">
        <v>0</v>
      </c>
      <c r="M93" s="398">
        <v>0</v>
      </c>
      <c r="N93" s="398">
        <v>0</v>
      </c>
      <c r="O93" s="398">
        <v>0</v>
      </c>
      <c r="P93" s="398">
        <v>0</v>
      </c>
      <c r="Q93" s="398">
        <v>0</v>
      </c>
      <c r="R93" s="398">
        <v>0</v>
      </c>
      <c r="S93" s="398">
        <v>0</v>
      </c>
      <c r="T93" s="398">
        <v>0</v>
      </c>
      <c r="U93" s="398">
        <v>0</v>
      </c>
      <c r="V93" s="398">
        <v>0</v>
      </c>
      <c r="W93" s="399">
        <v>0</v>
      </c>
      <c r="X93" s="398">
        <v>0</v>
      </c>
      <c r="Y93" s="398">
        <v>0</v>
      </c>
      <c r="Z93" s="398">
        <v>0</v>
      </c>
      <c r="AA93" s="398">
        <v>0</v>
      </c>
      <c r="AB93" s="398">
        <v>0</v>
      </c>
      <c r="AC93" s="398">
        <v>0</v>
      </c>
      <c r="AD93" s="398">
        <v>0</v>
      </c>
      <c r="AE93" s="398">
        <v>0</v>
      </c>
      <c r="AF93" s="398">
        <v>0</v>
      </c>
      <c r="AG93" s="398">
        <v>0</v>
      </c>
      <c r="AH93" s="398">
        <v>0</v>
      </c>
      <c r="AI93" s="398">
        <v>0</v>
      </c>
      <c r="AJ93" s="398">
        <v>0</v>
      </c>
      <c r="AK93" s="398">
        <v>0</v>
      </c>
      <c r="AL93" s="398">
        <v>0</v>
      </c>
      <c r="AM93" s="398">
        <v>0</v>
      </c>
      <c r="AN93" s="398">
        <v>0</v>
      </c>
      <c r="AO93" s="398">
        <v>0</v>
      </c>
      <c r="AP93" s="398">
        <v>0</v>
      </c>
      <c r="AQ93" s="398">
        <v>0</v>
      </c>
      <c r="AR93" s="398">
        <v>0</v>
      </c>
      <c r="AS93" s="398">
        <v>0</v>
      </c>
      <c r="AT93" s="399">
        <v>0</v>
      </c>
      <c r="AU93" s="398">
        <v>0</v>
      </c>
      <c r="AV93" s="398">
        <v>0</v>
      </c>
      <c r="AW93" s="398">
        <v>0</v>
      </c>
      <c r="AX93" s="398">
        <v>0</v>
      </c>
      <c r="AY93" s="398">
        <v>0</v>
      </c>
      <c r="AZ93" s="399">
        <v>0</v>
      </c>
      <c r="BA93" s="398">
        <v>0</v>
      </c>
      <c r="BB93" s="398">
        <v>0</v>
      </c>
      <c r="BC93" s="398">
        <v>0</v>
      </c>
      <c r="BD93" s="398">
        <v>0</v>
      </c>
      <c r="BE93" s="398">
        <v>0</v>
      </c>
      <c r="BF93" s="398">
        <v>0</v>
      </c>
      <c r="BG93" s="398">
        <v>0</v>
      </c>
      <c r="BH93" s="398">
        <v>0</v>
      </c>
      <c r="BI93" s="398">
        <v>0</v>
      </c>
      <c r="BJ93" s="398">
        <v>0</v>
      </c>
      <c r="BK93" s="398">
        <v>0</v>
      </c>
      <c r="BL93" s="398">
        <v>0</v>
      </c>
      <c r="BM93" s="398">
        <v>0</v>
      </c>
      <c r="BN93" s="398">
        <v>0</v>
      </c>
      <c r="BO93" s="399">
        <v>0</v>
      </c>
      <c r="BP93" s="398">
        <v>0</v>
      </c>
      <c r="BQ93" s="398">
        <v>0</v>
      </c>
      <c r="BR93" s="400">
        <v>0</v>
      </c>
      <c r="BS93" s="400">
        <v>16.413</v>
      </c>
      <c r="BT93" s="399">
        <v>0</v>
      </c>
    </row>
    <row r="94" spans="1:72" s="401" customFormat="1">
      <c r="A94" s="402"/>
      <c r="B94" s="395" t="s">
        <v>549</v>
      </c>
      <c r="C94" s="396" t="s">
        <v>723</v>
      </c>
      <c r="D94" s="396"/>
      <c r="E94" s="396"/>
      <c r="F94" s="397" t="s">
        <v>724</v>
      </c>
      <c r="G94" s="397"/>
      <c r="H94" s="398">
        <v>0</v>
      </c>
      <c r="I94" s="399">
        <v>0</v>
      </c>
      <c r="J94" s="398">
        <v>0</v>
      </c>
      <c r="K94" s="398">
        <v>0</v>
      </c>
      <c r="L94" s="398">
        <v>0</v>
      </c>
      <c r="M94" s="398">
        <v>0</v>
      </c>
      <c r="N94" s="398">
        <v>0</v>
      </c>
      <c r="O94" s="398">
        <v>0</v>
      </c>
      <c r="P94" s="398">
        <v>0</v>
      </c>
      <c r="Q94" s="398">
        <v>0</v>
      </c>
      <c r="R94" s="398">
        <v>0</v>
      </c>
      <c r="S94" s="398">
        <v>0</v>
      </c>
      <c r="T94" s="398">
        <v>0</v>
      </c>
      <c r="U94" s="398">
        <v>0</v>
      </c>
      <c r="V94" s="398">
        <v>0</v>
      </c>
      <c r="W94" s="399">
        <v>0</v>
      </c>
      <c r="X94" s="398">
        <v>0</v>
      </c>
      <c r="Y94" s="398">
        <v>0</v>
      </c>
      <c r="Z94" s="398">
        <v>0</v>
      </c>
      <c r="AA94" s="398">
        <v>0</v>
      </c>
      <c r="AB94" s="398">
        <v>0</v>
      </c>
      <c r="AC94" s="398">
        <v>0</v>
      </c>
      <c r="AD94" s="398">
        <v>0</v>
      </c>
      <c r="AE94" s="398">
        <v>0</v>
      </c>
      <c r="AF94" s="398">
        <v>0</v>
      </c>
      <c r="AG94" s="398">
        <v>0</v>
      </c>
      <c r="AH94" s="398">
        <v>0</v>
      </c>
      <c r="AI94" s="398">
        <v>0</v>
      </c>
      <c r="AJ94" s="398">
        <v>0</v>
      </c>
      <c r="AK94" s="398">
        <v>0</v>
      </c>
      <c r="AL94" s="398">
        <v>0</v>
      </c>
      <c r="AM94" s="398">
        <v>0</v>
      </c>
      <c r="AN94" s="398">
        <v>0</v>
      </c>
      <c r="AO94" s="398">
        <v>0</v>
      </c>
      <c r="AP94" s="398">
        <v>0</v>
      </c>
      <c r="AQ94" s="398">
        <v>0</v>
      </c>
      <c r="AR94" s="398">
        <v>0</v>
      </c>
      <c r="AS94" s="398">
        <v>0</v>
      </c>
      <c r="AT94" s="399">
        <v>0</v>
      </c>
      <c r="AU94" s="398">
        <v>0</v>
      </c>
      <c r="AV94" s="398">
        <v>0</v>
      </c>
      <c r="AW94" s="398">
        <v>0</v>
      </c>
      <c r="AX94" s="398">
        <v>0</v>
      </c>
      <c r="AY94" s="398">
        <v>0</v>
      </c>
      <c r="AZ94" s="399">
        <v>0</v>
      </c>
      <c r="BA94" s="398">
        <v>0</v>
      </c>
      <c r="BB94" s="398">
        <v>0</v>
      </c>
      <c r="BC94" s="398">
        <v>0</v>
      </c>
      <c r="BD94" s="398">
        <v>0</v>
      </c>
      <c r="BE94" s="398">
        <v>0</v>
      </c>
      <c r="BF94" s="398">
        <v>0</v>
      </c>
      <c r="BG94" s="398">
        <v>0</v>
      </c>
      <c r="BH94" s="398">
        <v>0</v>
      </c>
      <c r="BI94" s="398">
        <v>0</v>
      </c>
      <c r="BJ94" s="398">
        <v>0</v>
      </c>
      <c r="BK94" s="398">
        <v>0</v>
      </c>
      <c r="BL94" s="398">
        <v>0</v>
      </c>
      <c r="BM94" s="398">
        <v>0</v>
      </c>
      <c r="BN94" s="398">
        <v>0</v>
      </c>
      <c r="BO94" s="399">
        <v>0</v>
      </c>
      <c r="BP94" s="398">
        <v>0</v>
      </c>
      <c r="BQ94" s="398">
        <v>0</v>
      </c>
      <c r="BR94" s="400">
        <v>0</v>
      </c>
      <c r="BS94" s="400">
        <v>0</v>
      </c>
      <c r="BT94" s="399">
        <v>0</v>
      </c>
    </row>
    <row r="95" spans="1:72" s="401" customFormat="1">
      <c r="A95" s="402"/>
      <c r="B95" s="395" t="s">
        <v>549</v>
      </c>
      <c r="C95" s="396" t="s">
        <v>725</v>
      </c>
      <c r="D95" s="396"/>
      <c r="E95" s="396"/>
      <c r="F95" s="397" t="s">
        <v>726</v>
      </c>
      <c r="G95" s="397"/>
      <c r="H95" s="398">
        <v>0</v>
      </c>
      <c r="I95" s="399">
        <v>0</v>
      </c>
      <c r="J95" s="398">
        <v>0</v>
      </c>
      <c r="K95" s="398">
        <v>0</v>
      </c>
      <c r="L95" s="398">
        <v>0</v>
      </c>
      <c r="M95" s="398">
        <v>0</v>
      </c>
      <c r="N95" s="398">
        <v>0</v>
      </c>
      <c r="O95" s="398">
        <v>0</v>
      </c>
      <c r="P95" s="398">
        <v>0</v>
      </c>
      <c r="Q95" s="398">
        <v>0</v>
      </c>
      <c r="R95" s="398">
        <v>0</v>
      </c>
      <c r="S95" s="398">
        <v>0</v>
      </c>
      <c r="T95" s="398">
        <v>0</v>
      </c>
      <c r="U95" s="398">
        <v>0</v>
      </c>
      <c r="V95" s="398">
        <v>0</v>
      </c>
      <c r="W95" s="399">
        <v>0</v>
      </c>
      <c r="X95" s="398">
        <v>0</v>
      </c>
      <c r="Y95" s="398">
        <v>0</v>
      </c>
      <c r="Z95" s="398">
        <v>0</v>
      </c>
      <c r="AA95" s="398">
        <v>0</v>
      </c>
      <c r="AB95" s="398">
        <v>0</v>
      </c>
      <c r="AC95" s="398">
        <v>0</v>
      </c>
      <c r="AD95" s="398">
        <v>0</v>
      </c>
      <c r="AE95" s="398">
        <v>0</v>
      </c>
      <c r="AF95" s="398">
        <v>0</v>
      </c>
      <c r="AG95" s="398">
        <v>0</v>
      </c>
      <c r="AH95" s="398">
        <v>0</v>
      </c>
      <c r="AI95" s="398">
        <v>0</v>
      </c>
      <c r="AJ95" s="398">
        <v>0</v>
      </c>
      <c r="AK95" s="398">
        <v>0</v>
      </c>
      <c r="AL95" s="398">
        <v>0</v>
      </c>
      <c r="AM95" s="398">
        <v>0</v>
      </c>
      <c r="AN95" s="398">
        <v>0</v>
      </c>
      <c r="AO95" s="398">
        <v>0</v>
      </c>
      <c r="AP95" s="398">
        <v>0</v>
      </c>
      <c r="AQ95" s="398">
        <v>0</v>
      </c>
      <c r="AR95" s="398">
        <v>0</v>
      </c>
      <c r="AS95" s="398">
        <v>0</v>
      </c>
      <c r="AT95" s="399">
        <v>0</v>
      </c>
      <c r="AU95" s="398">
        <v>0</v>
      </c>
      <c r="AV95" s="398">
        <v>0</v>
      </c>
      <c r="AW95" s="398">
        <v>0</v>
      </c>
      <c r="AX95" s="398">
        <v>0</v>
      </c>
      <c r="AY95" s="398">
        <v>0</v>
      </c>
      <c r="AZ95" s="399">
        <v>0</v>
      </c>
      <c r="BA95" s="398">
        <v>0</v>
      </c>
      <c r="BB95" s="398">
        <v>0</v>
      </c>
      <c r="BC95" s="398">
        <v>0</v>
      </c>
      <c r="BD95" s="398">
        <v>0</v>
      </c>
      <c r="BE95" s="398">
        <v>0</v>
      </c>
      <c r="BF95" s="398">
        <v>0</v>
      </c>
      <c r="BG95" s="398">
        <v>0</v>
      </c>
      <c r="BH95" s="398">
        <v>0</v>
      </c>
      <c r="BI95" s="398">
        <v>0</v>
      </c>
      <c r="BJ95" s="398">
        <v>0</v>
      </c>
      <c r="BK95" s="398">
        <v>0</v>
      </c>
      <c r="BL95" s="398">
        <v>0</v>
      </c>
      <c r="BM95" s="398">
        <v>0</v>
      </c>
      <c r="BN95" s="398">
        <v>0</v>
      </c>
      <c r="BO95" s="399">
        <v>0</v>
      </c>
      <c r="BP95" s="398">
        <v>0</v>
      </c>
      <c r="BQ95" s="398">
        <v>0</v>
      </c>
      <c r="BR95" s="400">
        <v>0</v>
      </c>
      <c r="BS95" s="400">
        <v>0</v>
      </c>
      <c r="BT95" s="399">
        <v>0</v>
      </c>
    </row>
    <row r="96" spans="1:72" s="401" customFormat="1">
      <c r="A96" s="402"/>
      <c r="B96" s="395" t="s">
        <v>549</v>
      </c>
      <c r="C96" s="396" t="s">
        <v>727</v>
      </c>
      <c r="D96" s="396"/>
      <c r="E96" s="396"/>
      <c r="F96" s="397" t="s">
        <v>728</v>
      </c>
      <c r="G96" s="397"/>
      <c r="H96" s="398">
        <v>9.5649999999999995</v>
      </c>
      <c r="I96" s="399">
        <v>0</v>
      </c>
      <c r="J96" s="398">
        <v>0</v>
      </c>
      <c r="K96" s="398">
        <v>0</v>
      </c>
      <c r="L96" s="398">
        <v>0</v>
      </c>
      <c r="M96" s="398">
        <v>0</v>
      </c>
      <c r="N96" s="398">
        <v>0</v>
      </c>
      <c r="O96" s="398">
        <v>0</v>
      </c>
      <c r="P96" s="398">
        <v>0</v>
      </c>
      <c r="Q96" s="398">
        <v>0</v>
      </c>
      <c r="R96" s="398">
        <v>0</v>
      </c>
      <c r="S96" s="398">
        <v>0</v>
      </c>
      <c r="T96" s="398">
        <v>0</v>
      </c>
      <c r="U96" s="398">
        <v>0</v>
      </c>
      <c r="V96" s="398">
        <v>0</v>
      </c>
      <c r="W96" s="399">
        <v>0</v>
      </c>
      <c r="X96" s="398">
        <v>0</v>
      </c>
      <c r="Y96" s="398">
        <v>0</v>
      </c>
      <c r="Z96" s="398">
        <v>0</v>
      </c>
      <c r="AA96" s="398">
        <v>0</v>
      </c>
      <c r="AB96" s="398">
        <v>0</v>
      </c>
      <c r="AC96" s="398">
        <v>0</v>
      </c>
      <c r="AD96" s="398">
        <v>0</v>
      </c>
      <c r="AE96" s="398">
        <v>0</v>
      </c>
      <c r="AF96" s="398">
        <v>0</v>
      </c>
      <c r="AG96" s="398">
        <v>0</v>
      </c>
      <c r="AH96" s="398">
        <v>0</v>
      </c>
      <c r="AI96" s="398">
        <v>0</v>
      </c>
      <c r="AJ96" s="398">
        <v>0</v>
      </c>
      <c r="AK96" s="398">
        <v>0</v>
      </c>
      <c r="AL96" s="398">
        <v>0</v>
      </c>
      <c r="AM96" s="398">
        <v>0</v>
      </c>
      <c r="AN96" s="398">
        <v>0</v>
      </c>
      <c r="AO96" s="398">
        <v>0</v>
      </c>
      <c r="AP96" s="398">
        <v>0</v>
      </c>
      <c r="AQ96" s="398">
        <v>0</v>
      </c>
      <c r="AR96" s="398">
        <v>0</v>
      </c>
      <c r="AS96" s="398">
        <v>0</v>
      </c>
      <c r="AT96" s="399">
        <v>0</v>
      </c>
      <c r="AU96" s="398">
        <v>0</v>
      </c>
      <c r="AV96" s="398">
        <v>0</v>
      </c>
      <c r="AW96" s="398">
        <v>0</v>
      </c>
      <c r="AX96" s="398">
        <v>0</v>
      </c>
      <c r="AY96" s="398">
        <v>0</v>
      </c>
      <c r="AZ96" s="399">
        <v>0</v>
      </c>
      <c r="BA96" s="398">
        <v>0</v>
      </c>
      <c r="BB96" s="398">
        <v>0</v>
      </c>
      <c r="BC96" s="398">
        <v>0</v>
      </c>
      <c r="BD96" s="398">
        <v>0</v>
      </c>
      <c r="BE96" s="398">
        <v>0</v>
      </c>
      <c r="BF96" s="398">
        <v>0</v>
      </c>
      <c r="BG96" s="398">
        <v>0</v>
      </c>
      <c r="BH96" s="398">
        <v>0</v>
      </c>
      <c r="BI96" s="398">
        <v>0</v>
      </c>
      <c r="BJ96" s="398">
        <v>0</v>
      </c>
      <c r="BK96" s="398">
        <v>0</v>
      </c>
      <c r="BL96" s="398">
        <v>0</v>
      </c>
      <c r="BM96" s="398">
        <v>0</v>
      </c>
      <c r="BN96" s="398">
        <v>0</v>
      </c>
      <c r="BO96" s="399">
        <v>0</v>
      </c>
      <c r="BP96" s="398">
        <v>0</v>
      </c>
      <c r="BQ96" s="398">
        <v>0</v>
      </c>
      <c r="BR96" s="400">
        <v>0</v>
      </c>
      <c r="BS96" s="400">
        <v>9.5649999999999995</v>
      </c>
      <c r="BT96" s="399">
        <v>0</v>
      </c>
    </row>
    <row r="97" spans="1:72" s="401" customFormat="1">
      <c r="A97" s="402"/>
      <c r="B97" s="395" t="s">
        <v>549</v>
      </c>
      <c r="C97" s="396" t="s">
        <v>729</v>
      </c>
      <c r="D97" s="396"/>
      <c r="E97" s="396"/>
      <c r="F97" s="397" t="s">
        <v>730</v>
      </c>
      <c r="G97" s="397"/>
      <c r="H97" s="398">
        <v>1.841</v>
      </c>
      <c r="I97" s="399">
        <v>0</v>
      </c>
      <c r="J97" s="398">
        <v>0</v>
      </c>
      <c r="K97" s="398">
        <v>0</v>
      </c>
      <c r="L97" s="398">
        <v>0</v>
      </c>
      <c r="M97" s="398">
        <v>0</v>
      </c>
      <c r="N97" s="398">
        <v>0</v>
      </c>
      <c r="O97" s="398">
        <v>0</v>
      </c>
      <c r="P97" s="398">
        <v>0</v>
      </c>
      <c r="Q97" s="398">
        <v>0</v>
      </c>
      <c r="R97" s="398">
        <v>0</v>
      </c>
      <c r="S97" s="398">
        <v>0</v>
      </c>
      <c r="T97" s="398">
        <v>0</v>
      </c>
      <c r="U97" s="398">
        <v>0</v>
      </c>
      <c r="V97" s="398">
        <v>0</v>
      </c>
      <c r="W97" s="399">
        <v>0</v>
      </c>
      <c r="X97" s="398">
        <v>0</v>
      </c>
      <c r="Y97" s="398">
        <v>0</v>
      </c>
      <c r="Z97" s="398">
        <v>0</v>
      </c>
      <c r="AA97" s="398">
        <v>0</v>
      </c>
      <c r="AB97" s="398">
        <v>0</v>
      </c>
      <c r="AC97" s="398">
        <v>0</v>
      </c>
      <c r="AD97" s="398">
        <v>0</v>
      </c>
      <c r="AE97" s="398">
        <v>0</v>
      </c>
      <c r="AF97" s="398">
        <v>0</v>
      </c>
      <c r="AG97" s="398">
        <v>0</v>
      </c>
      <c r="AH97" s="398">
        <v>0</v>
      </c>
      <c r="AI97" s="398">
        <v>0</v>
      </c>
      <c r="AJ97" s="398">
        <v>0</v>
      </c>
      <c r="AK97" s="398">
        <v>0</v>
      </c>
      <c r="AL97" s="398">
        <v>0</v>
      </c>
      <c r="AM97" s="398">
        <v>0</v>
      </c>
      <c r="AN97" s="398">
        <v>0</v>
      </c>
      <c r="AO97" s="398">
        <v>0</v>
      </c>
      <c r="AP97" s="398">
        <v>0</v>
      </c>
      <c r="AQ97" s="398">
        <v>0</v>
      </c>
      <c r="AR97" s="398">
        <v>0</v>
      </c>
      <c r="AS97" s="398">
        <v>0</v>
      </c>
      <c r="AT97" s="399">
        <v>0</v>
      </c>
      <c r="AU97" s="398">
        <v>0</v>
      </c>
      <c r="AV97" s="398">
        <v>0</v>
      </c>
      <c r="AW97" s="398">
        <v>0</v>
      </c>
      <c r="AX97" s="398">
        <v>0</v>
      </c>
      <c r="AY97" s="398">
        <v>0</v>
      </c>
      <c r="AZ97" s="399">
        <v>0</v>
      </c>
      <c r="BA97" s="398">
        <v>0</v>
      </c>
      <c r="BB97" s="398">
        <v>0</v>
      </c>
      <c r="BC97" s="398">
        <v>0</v>
      </c>
      <c r="BD97" s="398">
        <v>0</v>
      </c>
      <c r="BE97" s="398">
        <v>0</v>
      </c>
      <c r="BF97" s="398">
        <v>0</v>
      </c>
      <c r="BG97" s="398">
        <v>0</v>
      </c>
      <c r="BH97" s="398">
        <v>0</v>
      </c>
      <c r="BI97" s="398">
        <v>0</v>
      </c>
      <c r="BJ97" s="398">
        <v>0</v>
      </c>
      <c r="BK97" s="398">
        <v>0</v>
      </c>
      <c r="BL97" s="398">
        <v>0</v>
      </c>
      <c r="BM97" s="398">
        <v>0</v>
      </c>
      <c r="BN97" s="398">
        <v>0</v>
      </c>
      <c r="BO97" s="399">
        <v>0</v>
      </c>
      <c r="BP97" s="398">
        <v>0</v>
      </c>
      <c r="BQ97" s="398">
        <v>0</v>
      </c>
      <c r="BR97" s="400">
        <v>0</v>
      </c>
      <c r="BS97" s="400">
        <v>1.841</v>
      </c>
      <c r="BT97" s="399">
        <v>0</v>
      </c>
    </row>
    <row r="98" spans="1:72" s="401" customFormat="1">
      <c r="A98" s="402"/>
      <c r="B98" s="395" t="s">
        <v>549</v>
      </c>
      <c r="C98" s="396" t="s">
        <v>731</v>
      </c>
      <c r="D98" s="396"/>
      <c r="E98" s="396"/>
      <c r="F98" s="397" t="s">
        <v>732</v>
      </c>
      <c r="G98" s="397"/>
      <c r="H98" s="398">
        <v>2.367</v>
      </c>
      <c r="I98" s="399">
        <v>0</v>
      </c>
      <c r="J98" s="398">
        <v>0</v>
      </c>
      <c r="K98" s="398">
        <v>0</v>
      </c>
      <c r="L98" s="398">
        <v>0</v>
      </c>
      <c r="M98" s="398">
        <v>0</v>
      </c>
      <c r="N98" s="398">
        <v>0</v>
      </c>
      <c r="O98" s="398">
        <v>0</v>
      </c>
      <c r="P98" s="398">
        <v>0</v>
      </c>
      <c r="Q98" s="398">
        <v>0</v>
      </c>
      <c r="R98" s="398">
        <v>0</v>
      </c>
      <c r="S98" s="398">
        <v>0</v>
      </c>
      <c r="T98" s="398">
        <v>0</v>
      </c>
      <c r="U98" s="398">
        <v>0</v>
      </c>
      <c r="V98" s="398">
        <v>0</v>
      </c>
      <c r="W98" s="399">
        <v>0</v>
      </c>
      <c r="X98" s="398">
        <v>0</v>
      </c>
      <c r="Y98" s="398">
        <v>0</v>
      </c>
      <c r="Z98" s="398">
        <v>0</v>
      </c>
      <c r="AA98" s="398">
        <v>0</v>
      </c>
      <c r="AB98" s="398">
        <v>0</v>
      </c>
      <c r="AC98" s="398">
        <v>0</v>
      </c>
      <c r="AD98" s="398">
        <v>0</v>
      </c>
      <c r="AE98" s="398">
        <v>0</v>
      </c>
      <c r="AF98" s="398">
        <v>0</v>
      </c>
      <c r="AG98" s="398">
        <v>0</v>
      </c>
      <c r="AH98" s="398">
        <v>0</v>
      </c>
      <c r="AI98" s="398">
        <v>0</v>
      </c>
      <c r="AJ98" s="398">
        <v>0</v>
      </c>
      <c r="AK98" s="398">
        <v>0</v>
      </c>
      <c r="AL98" s="398">
        <v>0</v>
      </c>
      <c r="AM98" s="398">
        <v>0</v>
      </c>
      <c r="AN98" s="398">
        <v>0</v>
      </c>
      <c r="AO98" s="398">
        <v>0</v>
      </c>
      <c r="AP98" s="398">
        <v>0</v>
      </c>
      <c r="AQ98" s="398">
        <v>0</v>
      </c>
      <c r="AR98" s="398">
        <v>0</v>
      </c>
      <c r="AS98" s="398">
        <v>0</v>
      </c>
      <c r="AT98" s="399">
        <v>0</v>
      </c>
      <c r="AU98" s="398">
        <v>0</v>
      </c>
      <c r="AV98" s="398">
        <v>0</v>
      </c>
      <c r="AW98" s="398">
        <v>0</v>
      </c>
      <c r="AX98" s="398">
        <v>0</v>
      </c>
      <c r="AY98" s="398">
        <v>0</v>
      </c>
      <c r="AZ98" s="399">
        <v>0</v>
      </c>
      <c r="BA98" s="398">
        <v>0</v>
      </c>
      <c r="BB98" s="398">
        <v>0</v>
      </c>
      <c r="BC98" s="398">
        <v>0</v>
      </c>
      <c r="BD98" s="398">
        <v>0</v>
      </c>
      <c r="BE98" s="398">
        <v>0</v>
      </c>
      <c r="BF98" s="398">
        <v>0</v>
      </c>
      <c r="BG98" s="398">
        <v>0</v>
      </c>
      <c r="BH98" s="398">
        <v>0</v>
      </c>
      <c r="BI98" s="398">
        <v>0</v>
      </c>
      <c r="BJ98" s="398">
        <v>0</v>
      </c>
      <c r="BK98" s="398">
        <v>0</v>
      </c>
      <c r="BL98" s="398">
        <v>0</v>
      </c>
      <c r="BM98" s="398">
        <v>0</v>
      </c>
      <c r="BN98" s="398">
        <v>0</v>
      </c>
      <c r="BO98" s="399">
        <v>0</v>
      </c>
      <c r="BP98" s="398">
        <v>0</v>
      </c>
      <c r="BQ98" s="398">
        <v>0</v>
      </c>
      <c r="BR98" s="400">
        <v>0</v>
      </c>
      <c r="BS98" s="400">
        <v>2.367</v>
      </c>
      <c r="BT98" s="399">
        <v>0</v>
      </c>
    </row>
    <row r="99" spans="1:72" s="401" customFormat="1">
      <c r="A99" s="402"/>
      <c r="B99" s="395" t="s">
        <v>549</v>
      </c>
      <c r="C99" s="396" t="s">
        <v>733</v>
      </c>
      <c r="D99" s="396"/>
      <c r="E99" s="396"/>
      <c r="F99" s="397" t="s">
        <v>734</v>
      </c>
      <c r="G99" s="397"/>
      <c r="H99" s="398">
        <v>1.004</v>
      </c>
      <c r="I99" s="399">
        <v>0</v>
      </c>
      <c r="J99" s="398">
        <v>0</v>
      </c>
      <c r="K99" s="398">
        <v>0</v>
      </c>
      <c r="L99" s="398">
        <v>0</v>
      </c>
      <c r="M99" s="398">
        <v>0</v>
      </c>
      <c r="N99" s="398">
        <v>0</v>
      </c>
      <c r="O99" s="398">
        <v>0</v>
      </c>
      <c r="P99" s="398">
        <v>0</v>
      </c>
      <c r="Q99" s="398">
        <v>0</v>
      </c>
      <c r="R99" s="398">
        <v>0</v>
      </c>
      <c r="S99" s="398">
        <v>0</v>
      </c>
      <c r="T99" s="398">
        <v>0</v>
      </c>
      <c r="U99" s="398">
        <v>0</v>
      </c>
      <c r="V99" s="398">
        <v>0</v>
      </c>
      <c r="W99" s="399">
        <v>0</v>
      </c>
      <c r="X99" s="398">
        <v>0</v>
      </c>
      <c r="Y99" s="398">
        <v>0</v>
      </c>
      <c r="Z99" s="398">
        <v>0</v>
      </c>
      <c r="AA99" s="398">
        <v>0</v>
      </c>
      <c r="AB99" s="398">
        <v>0</v>
      </c>
      <c r="AC99" s="398">
        <v>0</v>
      </c>
      <c r="AD99" s="398">
        <v>0</v>
      </c>
      <c r="AE99" s="398">
        <v>0</v>
      </c>
      <c r="AF99" s="398">
        <v>0</v>
      </c>
      <c r="AG99" s="398">
        <v>0</v>
      </c>
      <c r="AH99" s="398">
        <v>0</v>
      </c>
      <c r="AI99" s="398">
        <v>0</v>
      </c>
      <c r="AJ99" s="398">
        <v>0</v>
      </c>
      <c r="AK99" s="398">
        <v>0</v>
      </c>
      <c r="AL99" s="398">
        <v>0</v>
      </c>
      <c r="AM99" s="398">
        <v>0</v>
      </c>
      <c r="AN99" s="398">
        <v>0</v>
      </c>
      <c r="AO99" s="398">
        <v>0</v>
      </c>
      <c r="AP99" s="398">
        <v>0</v>
      </c>
      <c r="AQ99" s="398">
        <v>0</v>
      </c>
      <c r="AR99" s="398">
        <v>0</v>
      </c>
      <c r="AS99" s="398">
        <v>0</v>
      </c>
      <c r="AT99" s="399">
        <v>0</v>
      </c>
      <c r="AU99" s="398">
        <v>0</v>
      </c>
      <c r="AV99" s="398">
        <v>0</v>
      </c>
      <c r="AW99" s="398">
        <v>0</v>
      </c>
      <c r="AX99" s="398">
        <v>0</v>
      </c>
      <c r="AY99" s="398">
        <v>0</v>
      </c>
      <c r="AZ99" s="399">
        <v>0</v>
      </c>
      <c r="BA99" s="398">
        <v>0</v>
      </c>
      <c r="BB99" s="398">
        <v>0</v>
      </c>
      <c r="BC99" s="398">
        <v>0</v>
      </c>
      <c r="BD99" s="398">
        <v>0</v>
      </c>
      <c r="BE99" s="398">
        <v>0</v>
      </c>
      <c r="BF99" s="398">
        <v>0</v>
      </c>
      <c r="BG99" s="398">
        <v>0</v>
      </c>
      <c r="BH99" s="398">
        <v>0</v>
      </c>
      <c r="BI99" s="398">
        <v>0</v>
      </c>
      <c r="BJ99" s="398">
        <v>0</v>
      </c>
      <c r="BK99" s="398">
        <v>0</v>
      </c>
      <c r="BL99" s="398">
        <v>0</v>
      </c>
      <c r="BM99" s="398">
        <v>0</v>
      </c>
      <c r="BN99" s="398">
        <v>0</v>
      </c>
      <c r="BO99" s="399">
        <v>0</v>
      </c>
      <c r="BP99" s="398">
        <v>0</v>
      </c>
      <c r="BQ99" s="398">
        <v>0</v>
      </c>
      <c r="BR99" s="400">
        <v>0</v>
      </c>
      <c r="BS99" s="400">
        <v>1.004</v>
      </c>
      <c r="BT99" s="399">
        <v>0</v>
      </c>
    </row>
    <row r="100" spans="1:72" s="401" customFormat="1">
      <c r="A100" s="402"/>
      <c r="B100" s="395" t="s">
        <v>549</v>
      </c>
      <c r="C100" s="396" t="s">
        <v>735</v>
      </c>
      <c r="D100" s="396"/>
      <c r="E100" s="396"/>
      <c r="F100" s="397" t="s">
        <v>736</v>
      </c>
      <c r="G100" s="397"/>
      <c r="H100" s="398">
        <v>0</v>
      </c>
      <c r="I100" s="399">
        <v>0</v>
      </c>
      <c r="J100" s="398">
        <v>0</v>
      </c>
      <c r="K100" s="398">
        <v>0</v>
      </c>
      <c r="L100" s="398">
        <v>0</v>
      </c>
      <c r="M100" s="398">
        <v>0</v>
      </c>
      <c r="N100" s="398">
        <v>0</v>
      </c>
      <c r="O100" s="398">
        <v>0</v>
      </c>
      <c r="P100" s="398">
        <v>0</v>
      </c>
      <c r="Q100" s="398">
        <v>0</v>
      </c>
      <c r="R100" s="398">
        <v>0</v>
      </c>
      <c r="S100" s="398">
        <v>0</v>
      </c>
      <c r="T100" s="398">
        <v>0</v>
      </c>
      <c r="U100" s="398">
        <v>0</v>
      </c>
      <c r="V100" s="398">
        <v>0</v>
      </c>
      <c r="W100" s="399">
        <v>0</v>
      </c>
      <c r="X100" s="398">
        <v>0</v>
      </c>
      <c r="Y100" s="398">
        <v>0</v>
      </c>
      <c r="Z100" s="398">
        <v>0</v>
      </c>
      <c r="AA100" s="398">
        <v>0</v>
      </c>
      <c r="AB100" s="398">
        <v>0</v>
      </c>
      <c r="AC100" s="398">
        <v>0</v>
      </c>
      <c r="AD100" s="398">
        <v>0</v>
      </c>
      <c r="AE100" s="398">
        <v>0</v>
      </c>
      <c r="AF100" s="398">
        <v>0</v>
      </c>
      <c r="AG100" s="398">
        <v>0</v>
      </c>
      <c r="AH100" s="398">
        <v>0</v>
      </c>
      <c r="AI100" s="398">
        <v>0</v>
      </c>
      <c r="AJ100" s="398">
        <v>0</v>
      </c>
      <c r="AK100" s="398">
        <v>0</v>
      </c>
      <c r="AL100" s="398">
        <v>0</v>
      </c>
      <c r="AM100" s="398">
        <v>0</v>
      </c>
      <c r="AN100" s="398">
        <v>0</v>
      </c>
      <c r="AO100" s="398">
        <v>0</v>
      </c>
      <c r="AP100" s="398">
        <v>0</v>
      </c>
      <c r="AQ100" s="398">
        <v>0</v>
      </c>
      <c r="AR100" s="398">
        <v>0</v>
      </c>
      <c r="AS100" s="398">
        <v>0</v>
      </c>
      <c r="AT100" s="399">
        <v>0</v>
      </c>
      <c r="AU100" s="398">
        <v>0</v>
      </c>
      <c r="AV100" s="398">
        <v>0</v>
      </c>
      <c r="AW100" s="398">
        <v>0</v>
      </c>
      <c r="AX100" s="398">
        <v>0</v>
      </c>
      <c r="AY100" s="398">
        <v>0</v>
      </c>
      <c r="AZ100" s="399">
        <v>0</v>
      </c>
      <c r="BA100" s="398">
        <v>0</v>
      </c>
      <c r="BB100" s="398">
        <v>0</v>
      </c>
      <c r="BC100" s="398">
        <v>0</v>
      </c>
      <c r="BD100" s="398">
        <v>0</v>
      </c>
      <c r="BE100" s="398">
        <v>0</v>
      </c>
      <c r="BF100" s="398">
        <v>0</v>
      </c>
      <c r="BG100" s="398">
        <v>0</v>
      </c>
      <c r="BH100" s="398">
        <v>0</v>
      </c>
      <c r="BI100" s="398">
        <v>0</v>
      </c>
      <c r="BJ100" s="398">
        <v>0</v>
      </c>
      <c r="BK100" s="398">
        <v>0</v>
      </c>
      <c r="BL100" s="398">
        <v>0</v>
      </c>
      <c r="BM100" s="398">
        <v>0</v>
      </c>
      <c r="BN100" s="398">
        <v>0</v>
      </c>
      <c r="BO100" s="399">
        <v>0</v>
      </c>
      <c r="BP100" s="398">
        <v>0</v>
      </c>
      <c r="BQ100" s="398">
        <v>0</v>
      </c>
      <c r="BR100" s="400">
        <v>0</v>
      </c>
      <c r="BS100" s="400">
        <v>0</v>
      </c>
      <c r="BT100" s="399">
        <v>0</v>
      </c>
    </row>
    <row r="101" spans="1:72" s="401" customFormat="1">
      <c r="A101" s="402"/>
      <c r="B101" s="395" t="s">
        <v>549</v>
      </c>
      <c r="C101" s="396" t="s">
        <v>737</v>
      </c>
      <c r="D101" s="396"/>
      <c r="E101" s="396"/>
      <c r="F101" s="397" t="s">
        <v>738</v>
      </c>
      <c r="G101" s="397"/>
      <c r="H101" s="398">
        <v>0</v>
      </c>
      <c r="I101" s="399">
        <v>0</v>
      </c>
      <c r="J101" s="398">
        <v>0</v>
      </c>
      <c r="K101" s="398">
        <v>0</v>
      </c>
      <c r="L101" s="398">
        <v>0</v>
      </c>
      <c r="M101" s="398">
        <v>0</v>
      </c>
      <c r="N101" s="398">
        <v>0</v>
      </c>
      <c r="O101" s="398">
        <v>0</v>
      </c>
      <c r="P101" s="398">
        <v>0</v>
      </c>
      <c r="Q101" s="398">
        <v>0</v>
      </c>
      <c r="R101" s="398">
        <v>0</v>
      </c>
      <c r="S101" s="398">
        <v>0</v>
      </c>
      <c r="T101" s="398">
        <v>0</v>
      </c>
      <c r="U101" s="398">
        <v>0</v>
      </c>
      <c r="V101" s="398">
        <v>0</v>
      </c>
      <c r="W101" s="399">
        <v>0</v>
      </c>
      <c r="X101" s="398">
        <v>0</v>
      </c>
      <c r="Y101" s="398">
        <v>0</v>
      </c>
      <c r="Z101" s="398">
        <v>0</v>
      </c>
      <c r="AA101" s="398">
        <v>0</v>
      </c>
      <c r="AB101" s="398">
        <v>0</v>
      </c>
      <c r="AC101" s="398">
        <v>0</v>
      </c>
      <c r="AD101" s="398">
        <v>0</v>
      </c>
      <c r="AE101" s="398">
        <v>0</v>
      </c>
      <c r="AF101" s="398">
        <v>0</v>
      </c>
      <c r="AG101" s="398">
        <v>0</v>
      </c>
      <c r="AH101" s="398">
        <v>0</v>
      </c>
      <c r="AI101" s="398">
        <v>0</v>
      </c>
      <c r="AJ101" s="398">
        <v>0</v>
      </c>
      <c r="AK101" s="398">
        <v>0</v>
      </c>
      <c r="AL101" s="398">
        <v>0</v>
      </c>
      <c r="AM101" s="398">
        <v>0</v>
      </c>
      <c r="AN101" s="398">
        <v>0</v>
      </c>
      <c r="AO101" s="398">
        <v>0</v>
      </c>
      <c r="AP101" s="398">
        <v>0</v>
      </c>
      <c r="AQ101" s="398">
        <v>0</v>
      </c>
      <c r="AR101" s="398">
        <v>0</v>
      </c>
      <c r="AS101" s="398">
        <v>0</v>
      </c>
      <c r="AT101" s="399">
        <v>0</v>
      </c>
      <c r="AU101" s="398">
        <v>0</v>
      </c>
      <c r="AV101" s="398">
        <v>0</v>
      </c>
      <c r="AW101" s="398">
        <v>0</v>
      </c>
      <c r="AX101" s="398">
        <v>0</v>
      </c>
      <c r="AY101" s="398">
        <v>0</v>
      </c>
      <c r="AZ101" s="399">
        <v>0</v>
      </c>
      <c r="BA101" s="398">
        <v>0</v>
      </c>
      <c r="BB101" s="398">
        <v>0</v>
      </c>
      <c r="BC101" s="398">
        <v>0</v>
      </c>
      <c r="BD101" s="398">
        <v>0</v>
      </c>
      <c r="BE101" s="398">
        <v>0</v>
      </c>
      <c r="BF101" s="398">
        <v>0</v>
      </c>
      <c r="BG101" s="398">
        <v>0</v>
      </c>
      <c r="BH101" s="398">
        <v>0</v>
      </c>
      <c r="BI101" s="398">
        <v>0</v>
      </c>
      <c r="BJ101" s="398">
        <v>0</v>
      </c>
      <c r="BK101" s="398">
        <v>0</v>
      </c>
      <c r="BL101" s="398">
        <v>0</v>
      </c>
      <c r="BM101" s="398">
        <v>0</v>
      </c>
      <c r="BN101" s="398">
        <v>0</v>
      </c>
      <c r="BO101" s="399">
        <v>0</v>
      </c>
      <c r="BP101" s="398">
        <v>0</v>
      </c>
      <c r="BQ101" s="398">
        <v>0</v>
      </c>
      <c r="BR101" s="400">
        <v>0</v>
      </c>
      <c r="BS101" s="400">
        <v>0</v>
      </c>
      <c r="BT101" s="399">
        <v>0</v>
      </c>
    </row>
    <row r="102" spans="1:72" s="401" customFormat="1">
      <c r="A102" s="402"/>
      <c r="B102" s="395" t="s">
        <v>549</v>
      </c>
      <c r="C102" s="396" t="s">
        <v>739</v>
      </c>
      <c r="D102" s="396"/>
      <c r="E102" s="396"/>
      <c r="F102" s="397" t="s">
        <v>740</v>
      </c>
      <c r="G102" s="397"/>
      <c r="H102" s="398">
        <v>0</v>
      </c>
      <c r="I102" s="399">
        <v>0</v>
      </c>
      <c r="J102" s="398">
        <v>0</v>
      </c>
      <c r="K102" s="398">
        <v>0</v>
      </c>
      <c r="L102" s="398">
        <v>0</v>
      </c>
      <c r="M102" s="398">
        <v>0</v>
      </c>
      <c r="N102" s="398">
        <v>0</v>
      </c>
      <c r="O102" s="398">
        <v>0</v>
      </c>
      <c r="P102" s="398">
        <v>0</v>
      </c>
      <c r="Q102" s="398">
        <v>0</v>
      </c>
      <c r="R102" s="398">
        <v>0</v>
      </c>
      <c r="S102" s="398">
        <v>0</v>
      </c>
      <c r="T102" s="398">
        <v>0</v>
      </c>
      <c r="U102" s="398">
        <v>0</v>
      </c>
      <c r="V102" s="398">
        <v>0</v>
      </c>
      <c r="W102" s="399">
        <v>0</v>
      </c>
      <c r="X102" s="398">
        <v>0</v>
      </c>
      <c r="Y102" s="398">
        <v>0</v>
      </c>
      <c r="Z102" s="398">
        <v>0</v>
      </c>
      <c r="AA102" s="398">
        <v>0</v>
      </c>
      <c r="AB102" s="398">
        <v>0</v>
      </c>
      <c r="AC102" s="398">
        <v>0</v>
      </c>
      <c r="AD102" s="398">
        <v>0</v>
      </c>
      <c r="AE102" s="398">
        <v>0</v>
      </c>
      <c r="AF102" s="398">
        <v>0</v>
      </c>
      <c r="AG102" s="398">
        <v>0</v>
      </c>
      <c r="AH102" s="398">
        <v>0</v>
      </c>
      <c r="AI102" s="398">
        <v>0</v>
      </c>
      <c r="AJ102" s="398">
        <v>0</v>
      </c>
      <c r="AK102" s="398">
        <v>0</v>
      </c>
      <c r="AL102" s="398">
        <v>0</v>
      </c>
      <c r="AM102" s="398">
        <v>0</v>
      </c>
      <c r="AN102" s="398">
        <v>0</v>
      </c>
      <c r="AO102" s="398">
        <v>0</v>
      </c>
      <c r="AP102" s="398">
        <v>0</v>
      </c>
      <c r="AQ102" s="398">
        <v>0</v>
      </c>
      <c r="AR102" s="398">
        <v>0</v>
      </c>
      <c r="AS102" s="398">
        <v>0</v>
      </c>
      <c r="AT102" s="399">
        <v>0</v>
      </c>
      <c r="AU102" s="398">
        <v>0</v>
      </c>
      <c r="AV102" s="398">
        <v>0</v>
      </c>
      <c r="AW102" s="398">
        <v>0</v>
      </c>
      <c r="AX102" s="398">
        <v>0</v>
      </c>
      <c r="AY102" s="398">
        <v>0</v>
      </c>
      <c r="AZ102" s="399">
        <v>0</v>
      </c>
      <c r="BA102" s="398">
        <v>0</v>
      </c>
      <c r="BB102" s="398">
        <v>0</v>
      </c>
      <c r="BC102" s="398">
        <v>0</v>
      </c>
      <c r="BD102" s="398">
        <v>0</v>
      </c>
      <c r="BE102" s="398">
        <v>0</v>
      </c>
      <c r="BF102" s="398">
        <v>0</v>
      </c>
      <c r="BG102" s="398">
        <v>0</v>
      </c>
      <c r="BH102" s="398">
        <v>0</v>
      </c>
      <c r="BI102" s="398">
        <v>0</v>
      </c>
      <c r="BJ102" s="398">
        <v>0</v>
      </c>
      <c r="BK102" s="398">
        <v>0</v>
      </c>
      <c r="BL102" s="398">
        <v>0</v>
      </c>
      <c r="BM102" s="398">
        <v>0</v>
      </c>
      <c r="BN102" s="398">
        <v>0</v>
      </c>
      <c r="BO102" s="399">
        <v>0</v>
      </c>
      <c r="BP102" s="398">
        <v>0</v>
      </c>
      <c r="BQ102" s="398">
        <v>0</v>
      </c>
      <c r="BR102" s="400">
        <v>0</v>
      </c>
      <c r="BS102" s="400">
        <v>0</v>
      </c>
      <c r="BT102" s="399">
        <v>0</v>
      </c>
    </row>
    <row r="103" spans="1:72" s="401" customFormat="1">
      <c r="A103" s="402"/>
      <c r="B103" s="395" t="s">
        <v>549</v>
      </c>
      <c r="C103" s="396" t="s">
        <v>741</v>
      </c>
      <c r="D103" s="396"/>
      <c r="E103" s="396"/>
      <c r="F103" s="397" t="s">
        <v>742</v>
      </c>
      <c r="G103" s="397"/>
      <c r="H103" s="398">
        <v>0</v>
      </c>
      <c r="I103" s="399">
        <v>0</v>
      </c>
      <c r="J103" s="398">
        <v>0</v>
      </c>
      <c r="K103" s="398">
        <v>0</v>
      </c>
      <c r="L103" s="398">
        <v>0</v>
      </c>
      <c r="M103" s="398">
        <v>0</v>
      </c>
      <c r="N103" s="398">
        <v>0</v>
      </c>
      <c r="O103" s="398">
        <v>0</v>
      </c>
      <c r="P103" s="398">
        <v>0</v>
      </c>
      <c r="Q103" s="398">
        <v>0</v>
      </c>
      <c r="R103" s="398">
        <v>0</v>
      </c>
      <c r="S103" s="398">
        <v>0</v>
      </c>
      <c r="T103" s="398">
        <v>0</v>
      </c>
      <c r="U103" s="398">
        <v>0</v>
      </c>
      <c r="V103" s="398">
        <v>0</v>
      </c>
      <c r="W103" s="399">
        <v>0</v>
      </c>
      <c r="X103" s="398">
        <v>0</v>
      </c>
      <c r="Y103" s="398">
        <v>0</v>
      </c>
      <c r="Z103" s="398">
        <v>0</v>
      </c>
      <c r="AA103" s="398">
        <v>0</v>
      </c>
      <c r="AB103" s="398">
        <v>0</v>
      </c>
      <c r="AC103" s="398">
        <v>0</v>
      </c>
      <c r="AD103" s="398">
        <v>0</v>
      </c>
      <c r="AE103" s="398">
        <v>0</v>
      </c>
      <c r="AF103" s="398">
        <v>0</v>
      </c>
      <c r="AG103" s="398">
        <v>0</v>
      </c>
      <c r="AH103" s="398">
        <v>0</v>
      </c>
      <c r="AI103" s="398">
        <v>0</v>
      </c>
      <c r="AJ103" s="398">
        <v>0</v>
      </c>
      <c r="AK103" s="398">
        <v>0</v>
      </c>
      <c r="AL103" s="398">
        <v>0</v>
      </c>
      <c r="AM103" s="398">
        <v>0</v>
      </c>
      <c r="AN103" s="398">
        <v>0</v>
      </c>
      <c r="AO103" s="398">
        <v>0</v>
      </c>
      <c r="AP103" s="398">
        <v>0</v>
      </c>
      <c r="AQ103" s="398">
        <v>0</v>
      </c>
      <c r="AR103" s="398">
        <v>0</v>
      </c>
      <c r="AS103" s="398">
        <v>0</v>
      </c>
      <c r="AT103" s="399">
        <v>0</v>
      </c>
      <c r="AU103" s="398">
        <v>0</v>
      </c>
      <c r="AV103" s="398">
        <v>0</v>
      </c>
      <c r="AW103" s="398">
        <v>0</v>
      </c>
      <c r="AX103" s="398">
        <v>0</v>
      </c>
      <c r="AY103" s="398">
        <v>0</v>
      </c>
      <c r="AZ103" s="399">
        <v>0</v>
      </c>
      <c r="BA103" s="398">
        <v>0</v>
      </c>
      <c r="BB103" s="398">
        <v>0</v>
      </c>
      <c r="BC103" s="398">
        <v>0</v>
      </c>
      <c r="BD103" s="398">
        <v>0</v>
      </c>
      <c r="BE103" s="398">
        <v>0</v>
      </c>
      <c r="BF103" s="398">
        <v>0</v>
      </c>
      <c r="BG103" s="398">
        <v>0</v>
      </c>
      <c r="BH103" s="398">
        <v>0</v>
      </c>
      <c r="BI103" s="398">
        <v>0</v>
      </c>
      <c r="BJ103" s="398">
        <v>0</v>
      </c>
      <c r="BK103" s="398">
        <v>0</v>
      </c>
      <c r="BL103" s="398">
        <v>0</v>
      </c>
      <c r="BM103" s="398">
        <v>0</v>
      </c>
      <c r="BN103" s="398">
        <v>0</v>
      </c>
      <c r="BO103" s="399">
        <v>0</v>
      </c>
      <c r="BP103" s="398">
        <v>0</v>
      </c>
      <c r="BQ103" s="398">
        <v>0</v>
      </c>
      <c r="BR103" s="400">
        <v>0</v>
      </c>
      <c r="BS103" s="400">
        <v>0</v>
      </c>
      <c r="BT103" s="399">
        <v>0</v>
      </c>
    </row>
    <row r="104" spans="1:72" s="401" customFormat="1">
      <c r="A104" s="402"/>
      <c r="B104" s="395" t="s">
        <v>549</v>
      </c>
      <c r="C104" s="396" t="s">
        <v>743</v>
      </c>
      <c r="D104" s="396"/>
      <c r="E104" s="396"/>
      <c r="F104" s="397" t="s">
        <v>744</v>
      </c>
      <c r="G104" s="397"/>
      <c r="H104" s="398">
        <v>0</v>
      </c>
      <c r="I104" s="399">
        <v>0</v>
      </c>
      <c r="J104" s="398">
        <v>0</v>
      </c>
      <c r="K104" s="398">
        <v>0</v>
      </c>
      <c r="L104" s="398">
        <v>0</v>
      </c>
      <c r="M104" s="398">
        <v>0</v>
      </c>
      <c r="N104" s="398">
        <v>0</v>
      </c>
      <c r="O104" s="398">
        <v>0</v>
      </c>
      <c r="P104" s="398">
        <v>0</v>
      </c>
      <c r="Q104" s="398">
        <v>0</v>
      </c>
      <c r="R104" s="398">
        <v>0</v>
      </c>
      <c r="S104" s="398">
        <v>0</v>
      </c>
      <c r="T104" s="398">
        <v>0</v>
      </c>
      <c r="U104" s="398">
        <v>0</v>
      </c>
      <c r="V104" s="398">
        <v>0</v>
      </c>
      <c r="W104" s="399">
        <v>0</v>
      </c>
      <c r="X104" s="398">
        <v>0</v>
      </c>
      <c r="Y104" s="398">
        <v>0</v>
      </c>
      <c r="Z104" s="398">
        <v>0</v>
      </c>
      <c r="AA104" s="398">
        <v>0</v>
      </c>
      <c r="AB104" s="398">
        <v>0</v>
      </c>
      <c r="AC104" s="398">
        <v>0</v>
      </c>
      <c r="AD104" s="398">
        <v>0</v>
      </c>
      <c r="AE104" s="398">
        <v>0</v>
      </c>
      <c r="AF104" s="398">
        <v>0</v>
      </c>
      <c r="AG104" s="398">
        <v>0</v>
      </c>
      <c r="AH104" s="398">
        <v>0</v>
      </c>
      <c r="AI104" s="398">
        <v>0</v>
      </c>
      <c r="AJ104" s="398">
        <v>0</v>
      </c>
      <c r="AK104" s="398">
        <v>0</v>
      </c>
      <c r="AL104" s="398">
        <v>0</v>
      </c>
      <c r="AM104" s="398">
        <v>0</v>
      </c>
      <c r="AN104" s="398">
        <v>0</v>
      </c>
      <c r="AO104" s="398">
        <v>0</v>
      </c>
      <c r="AP104" s="398">
        <v>0</v>
      </c>
      <c r="AQ104" s="398">
        <v>0</v>
      </c>
      <c r="AR104" s="398">
        <v>0</v>
      </c>
      <c r="AS104" s="398">
        <v>0</v>
      </c>
      <c r="AT104" s="399">
        <v>0</v>
      </c>
      <c r="AU104" s="398">
        <v>0</v>
      </c>
      <c r="AV104" s="398">
        <v>0</v>
      </c>
      <c r="AW104" s="398">
        <v>0</v>
      </c>
      <c r="AX104" s="398">
        <v>0</v>
      </c>
      <c r="AY104" s="398">
        <v>0</v>
      </c>
      <c r="AZ104" s="399">
        <v>0</v>
      </c>
      <c r="BA104" s="398">
        <v>0</v>
      </c>
      <c r="BB104" s="398">
        <v>0</v>
      </c>
      <c r="BC104" s="398">
        <v>0</v>
      </c>
      <c r="BD104" s="398">
        <v>0</v>
      </c>
      <c r="BE104" s="398">
        <v>0</v>
      </c>
      <c r="BF104" s="398">
        <v>0</v>
      </c>
      <c r="BG104" s="398">
        <v>0</v>
      </c>
      <c r="BH104" s="398">
        <v>0</v>
      </c>
      <c r="BI104" s="398">
        <v>0</v>
      </c>
      <c r="BJ104" s="398">
        <v>0</v>
      </c>
      <c r="BK104" s="398">
        <v>0</v>
      </c>
      <c r="BL104" s="398">
        <v>0</v>
      </c>
      <c r="BM104" s="398">
        <v>0</v>
      </c>
      <c r="BN104" s="398">
        <v>0</v>
      </c>
      <c r="BO104" s="399">
        <v>0</v>
      </c>
      <c r="BP104" s="398">
        <v>0</v>
      </c>
      <c r="BQ104" s="398">
        <v>0</v>
      </c>
      <c r="BR104" s="400">
        <v>0</v>
      </c>
      <c r="BS104" s="400">
        <v>0</v>
      </c>
      <c r="BT104" s="399">
        <v>0</v>
      </c>
    </row>
    <row r="105" spans="1:72" s="401" customFormat="1">
      <c r="A105" s="402"/>
      <c r="B105" s="395" t="s">
        <v>549</v>
      </c>
      <c r="C105" s="396" t="s">
        <v>745</v>
      </c>
      <c r="D105" s="396"/>
      <c r="E105" s="396"/>
      <c r="F105" s="397" t="s">
        <v>746</v>
      </c>
      <c r="G105" s="397"/>
      <c r="H105" s="398">
        <v>0</v>
      </c>
      <c r="I105" s="399">
        <v>0</v>
      </c>
      <c r="J105" s="398">
        <v>0</v>
      </c>
      <c r="K105" s="398">
        <v>0</v>
      </c>
      <c r="L105" s="398">
        <v>0</v>
      </c>
      <c r="M105" s="398">
        <v>0</v>
      </c>
      <c r="N105" s="398">
        <v>0</v>
      </c>
      <c r="O105" s="398">
        <v>0</v>
      </c>
      <c r="P105" s="398">
        <v>0</v>
      </c>
      <c r="Q105" s="398">
        <v>0</v>
      </c>
      <c r="R105" s="398">
        <v>0</v>
      </c>
      <c r="S105" s="398">
        <v>0</v>
      </c>
      <c r="T105" s="398">
        <v>0</v>
      </c>
      <c r="U105" s="398">
        <v>0</v>
      </c>
      <c r="V105" s="398">
        <v>0</v>
      </c>
      <c r="W105" s="399">
        <v>0</v>
      </c>
      <c r="X105" s="398">
        <v>0</v>
      </c>
      <c r="Y105" s="398">
        <v>0</v>
      </c>
      <c r="Z105" s="398">
        <v>0</v>
      </c>
      <c r="AA105" s="398">
        <v>0</v>
      </c>
      <c r="AB105" s="398">
        <v>0</v>
      </c>
      <c r="AC105" s="398">
        <v>0</v>
      </c>
      <c r="AD105" s="398">
        <v>0</v>
      </c>
      <c r="AE105" s="398">
        <v>0</v>
      </c>
      <c r="AF105" s="398">
        <v>0</v>
      </c>
      <c r="AG105" s="398">
        <v>0</v>
      </c>
      <c r="AH105" s="398">
        <v>0</v>
      </c>
      <c r="AI105" s="398">
        <v>0</v>
      </c>
      <c r="AJ105" s="398">
        <v>0</v>
      </c>
      <c r="AK105" s="398">
        <v>0</v>
      </c>
      <c r="AL105" s="398">
        <v>0</v>
      </c>
      <c r="AM105" s="398">
        <v>0</v>
      </c>
      <c r="AN105" s="398">
        <v>0</v>
      </c>
      <c r="AO105" s="398">
        <v>0</v>
      </c>
      <c r="AP105" s="398">
        <v>0</v>
      </c>
      <c r="AQ105" s="398">
        <v>0</v>
      </c>
      <c r="AR105" s="398">
        <v>0</v>
      </c>
      <c r="AS105" s="398">
        <v>0</v>
      </c>
      <c r="AT105" s="399">
        <v>0</v>
      </c>
      <c r="AU105" s="398">
        <v>0</v>
      </c>
      <c r="AV105" s="398">
        <v>0</v>
      </c>
      <c r="AW105" s="398">
        <v>0</v>
      </c>
      <c r="AX105" s="398">
        <v>0</v>
      </c>
      <c r="AY105" s="398">
        <v>0</v>
      </c>
      <c r="AZ105" s="399">
        <v>0</v>
      </c>
      <c r="BA105" s="398">
        <v>0</v>
      </c>
      <c r="BB105" s="398">
        <v>0</v>
      </c>
      <c r="BC105" s="398">
        <v>0</v>
      </c>
      <c r="BD105" s="398">
        <v>0</v>
      </c>
      <c r="BE105" s="398">
        <v>0</v>
      </c>
      <c r="BF105" s="398">
        <v>0</v>
      </c>
      <c r="BG105" s="398">
        <v>0</v>
      </c>
      <c r="BH105" s="398">
        <v>0</v>
      </c>
      <c r="BI105" s="398">
        <v>0</v>
      </c>
      <c r="BJ105" s="398">
        <v>0</v>
      </c>
      <c r="BK105" s="398">
        <v>0</v>
      </c>
      <c r="BL105" s="398">
        <v>0</v>
      </c>
      <c r="BM105" s="398">
        <v>0</v>
      </c>
      <c r="BN105" s="398">
        <v>0</v>
      </c>
      <c r="BO105" s="399">
        <v>0</v>
      </c>
      <c r="BP105" s="398">
        <v>0</v>
      </c>
      <c r="BQ105" s="398">
        <v>0</v>
      </c>
      <c r="BR105" s="400">
        <v>0</v>
      </c>
      <c r="BS105" s="400">
        <v>0</v>
      </c>
      <c r="BT105" s="399">
        <v>0</v>
      </c>
    </row>
    <row r="106" spans="1:72" s="401" customFormat="1">
      <c r="A106" s="402"/>
      <c r="B106" s="395" t="s">
        <v>549</v>
      </c>
      <c r="C106" s="396" t="s">
        <v>747</v>
      </c>
      <c r="D106" s="396"/>
      <c r="E106" s="396"/>
      <c r="F106" s="397" t="s">
        <v>748</v>
      </c>
      <c r="G106" s="397"/>
      <c r="H106" s="398">
        <v>1.3739999999999999</v>
      </c>
      <c r="I106" s="399">
        <v>0</v>
      </c>
      <c r="J106" s="398">
        <v>0</v>
      </c>
      <c r="K106" s="398">
        <v>0</v>
      </c>
      <c r="L106" s="398">
        <v>0</v>
      </c>
      <c r="M106" s="398">
        <v>0</v>
      </c>
      <c r="N106" s="398">
        <v>0</v>
      </c>
      <c r="O106" s="398">
        <v>0</v>
      </c>
      <c r="P106" s="398">
        <v>0</v>
      </c>
      <c r="Q106" s="398">
        <v>0</v>
      </c>
      <c r="R106" s="398">
        <v>0</v>
      </c>
      <c r="S106" s="398">
        <v>0</v>
      </c>
      <c r="T106" s="398">
        <v>0</v>
      </c>
      <c r="U106" s="398">
        <v>0</v>
      </c>
      <c r="V106" s="398">
        <v>0</v>
      </c>
      <c r="W106" s="399">
        <v>0</v>
      </c>
      <c r="X106" s="398">
        <v>0</v>
      </c>
      <c r="Y106" s="398">
        <v>0</v>
      </c>
      <c r="Z106" s="398">
        <v>0</v>
      </c>
      <c r="AA106" s="398">
        <v>0</v>
      </c>
      <c r="AB106" s="398">
        <v>0</v>
      </c>
      <c r="AC106" s="398">
        <v>0</v>
      </c>
      <c r="AD106" s="398">
        <v>0</v>
      </c>
      <c r="AE106" s="398">
        <v>0</v>
      </c>
      <c r="AF106" s="398">
        <v>0</v>
      </c>
      <c r="AG106" s="398">
        <v>0</v>
      </c>
      <c r="AH106" s="398">
        <v>0</v>
      </c>
      <c r="AI106" s="398">
        <v>0</v>
      </c>
      <c r="AJ106" s="398">
        <v>0</v>
      </c>
      <c r="AK106" s="398">
        <v>0</v>
      </c>
      <c r="AL106" s="398">
        <v>0</v>
      </c>
      <c r="AM106" s="398">
        <v>0</v>
      </c>
      <c r="AN106" s="398">
        <v>0</v>
      </c>
      <c r="AO106" s="398">
        <v>0</v>
      </c>
      <c r="AP106" s="398">
        <v>0</v>
      </c>
      <c r="AQ106" s="398">
        <v>0</v>
      </c>
      <c r="AR106" s="398">
        <v>0</v>
      </c>
      <c r="AS106" s="398">
        <v>0</v>
      </c>
      <c r="AT106" s="399">
        <v>0</v>
      </c>
      <c r="AU106" s="398">
        <v>0</v>
      </c>
      <c r="AV106" s="398">
        <v>0</v>
      </c>
      <c r="AW106" s="398">
        <v>0</v>
      </c>
      <c r="AX106" s="398">
        <v>0</v>
      </c>
      <c r="AY106" s="398">
        <v>0</v>
      </c>
      <c r="AZ106" s="399">
        <v>0</v>
      </c>
      <c r="BA106" s="398">
        <v>0</v>
      </c>
      <c r="BB106" s="398">
        <v>0</v>
      </c>
      <c r="BC106" s="398">
        <v>0</v>
      </c>
      <c r="BD106" s="398">
        <v>0</v>
      </c>
      <c r="BE106" s="398">
        <v>0</v>
      </c>
      <c r="BF106" s="398">
        <v>0</v>
      </c>
      <c r="BG106" s="398">
        <v>0</v>
      </c>
      <c r="BH106" s="398">
        <v>0</v>
      </c>
      <c r="BI106" s="398">
        <v>0</v>
      </c>
      <c r="BJ106" s="398">
        <v>0</v>
      </c>
      <c r="BK106" s="398">
        <v>0</v>
      </c>
      <c r="BL106" s="398">
        <v>0</v>
      </c>
      <c r="BM106" s="398">
        <v>0</v>
      </c>
      <c r="BN106" s="398">
        <v>0</v>
      </c>
      <c r="BO106" s="399">
        <v>0</v>
      </c>
      <c r="BP106" s="398">
        <v>0</v>
      </c>
      <c r="BQ106" s="398">
        <v>0</v>
      </c>
      <c r="BR106" s="400">
        <v>0</v>
      </c>
      <c r="BS106" s="400">
        <v>1.3739999999999999</v>
      </c>
      <c r="BT106" s="399">
        <v>0</v>
      </c>
    </row>
    <row r="107" spans="1:72" s="401" customFormat="1">
      <c r="A107" s="402"/>
      <c r="B107" s="395" t="s">
        <v>549</v>
      </c>
      <c r="C107" s="396" t="s">
        <v>749</v>
      </c>
      <c r="D107" s="396"/>
      <c r="E107" s="396"/>
      <c r="F107" s="397" t="s">
        <v>750</v>
      </c>
      <c r="G107" s="397"/>
      <c r="H107" s="398">
        <v>0.26200000000000001</v>
      </c>
      <c r="I107" s="399">
        <v>0</v>
      </c>
      <c r="J107" s="398">
        <v>0</v>
      </c>
      <c r="K107" s="398">
        <v>0</v>
      </c>
      <c r="L107" s="398">
        <v>0</v>
      </c>
      <c r="M107" s="398">
        <v>0</v>
      </c>
      <c r="N107" s="398">
        <v>0</v>
      </c>
      <c r="O107" s="398">
        <v>0</v>
      </c>
      <c r="P107" s="398">
        <v>0</v>
      </c>
      <c r="Q107" s="398">
        <v>0</v>
      </c>
      <c r="R107" s="398">
        <v>0</v>
      </c>
      <c r="S107" s="398">
        <v>0</v>
      </c>
      <c r="T107" s="398">
        <v>0</v>
      </c>
      <c r="U107" s="398">
        <v>0</v>
      </c>
      <c r="V107" s="398">
        <v>0</v>
      </c>
      <c r="W107" s="399">
        <v>0</v>
      </c>
      <c r="X107" s="398">
        <v>0</v>
      </c>
      <c r="Y107" s="398">
        <v>0</v>
      </c>
      <c r="Z107" s="398">
        <v>0</v>
      </c>
      <c r="AA107" s="398">
        <v>0</v>
      </c>
      <c r="AB107" s="398">
        <v>0</v>
      </c>
      <c r="AC107" s="398">
        <v>0</v>
      </c>
      <c r="AD107" s="398">
        <v>0</v>
      </c>
      <c r="AE107" s="398">
        <v>0</v>
      </c>
      <c r="AF107" s="398">
        <v>0</v>
      </c>
      <c r="AG107" s="398">
        <v>0</v>
      </c>
      <c r="AH107" s="398">
        <v>0</v>
      </c>
      <c r="AI107" s="398">
        <v>0</v>
      </c>
      <c r="AJ107" s="398">
        <v>0</v>
      </c>
      <c r="AK107" s="398">
        <v>0</v>
      </c>
      <c r="AL107" s="398">
        <v>0</v>
      </c>
      <c r="AM107" s="398">
        <v>0</v>
      </c>
      <c r="AN107" s="398">
        <v>0</v>
      </c>
      <c r="AO107" s="398">
        <v>0</v>
      </c>
      <c r="AP107" s="398">
        <v>0</v>
      </c>
      <c r="AQ107" s="398">
        <v>0</v>
      </c>
      <c r="AR107" s="398">
        <v>0</v>
      </c>
      <c r="AS107" s="398">
        <v>0</v>
      </c>
      <c r="AT107" s="399">
        <v>0</v>
      </c>
      <c r="AU107" s="398">
        <v>0</v>
      </c>
      <c r="AV107" s="398">
        <v>0</v>
      </c>
      <c r="AW107" s="398">
        <v>0</v>
      </c>
      <c r="AX107" s="398">
        <v>0</v>
      </c>
      <c r="AY107" s="398">
        <v>0</v>
      </c>
      <c r="AZ107" s="399">
        <v>0</v>
      </c>
      <c r="BA107" s="398">
        <v>0</v>
      </c>
      <c r="BB107" s="398">
        <v>0</v>
      </c>
      <c r="BC107" s="398">
        <v>0</v>
      </c>
      <c r="BD107" s="398">
        <v>0</v>
      </c>
      <c r="BE107" s="398">
        <v>0</v>
      </c>
      <c r="BF107" s="398">
        <v>0</v>
      </c>
      <c r="BG107" s="398">
        <v>0</v>
      </c>
      <c r="BH107" s="398">
        <v>0</v>
      </c>
      <c r="BI107" s="398">
        <v>0</v>
      </c>
      <c r="BJ107" s="398">
        <v>0</v>
      </c>
      <c r="BK107" s="398">
        <v>0</v>
      </c>
      <c r="BL107" s="398">
        <v>0</v>
      </c>
      <c r="BM107" s="398">
        <v>0</v>
      </c>
      <c r="BN107" s="398">
        <v>0</v>
      </c>
      <c r="BO107" s="399">
        <v>0</v>
      </c>
      <c r="BP107" s="398">
        <v>0</v>
      </c>
      <c r="BQ107" s="398">
        <v>0</v>
      </c>
      <c r="BR107" s="400">
        <v>0</v>
      </c>
      <c r="BS107" s="400">
        <v>0.26200000000000001</v>
      </c>
      <c r="BT107" s="399">
        <v>0</v>
      </c>
    </row>
    <row r="108" spans="1:72" s="401" customFormat="1">
      <c r="A108" s="403"/>
      <c r="B108" s="404" t="s">
        <v>549</v>
      </c>
      <c r="C108" s="405" t="s">
        <v>751</v>
      </c>
      <c r="D108" s="405"/>
      <c r="E108" s="405"/>
      <c r="F108" s="406" t="s">
        <v>752</v>
      </c>
      <c r="G108" s="406"/>
      <c r="H108" s="407">
        <v>0</v>
      </c>
      <c r="I108" s="408">
        <v>0</v>
      </c>
      <c r="J108" s="407">
        <v>0</v>
      </c>
      <c r="K108" s="407">
        <v>0</v>
      </c>
      <c r="L108" s="407">
        <v>0</v>
      </c>
      <c r="M108" s="407">
        <v>0</v>
      </c>
      <c r="N108" s="407">
        <v>0</v>
      </c>
      <c r="O108" s="407">
        <v>0</v>
      </c>
      <c r="P108" s="407">
        <v>0</v>
      </c>
      <c r="Q108" s="407">
        <v>0</v>
      </c>
      <c r="R108" s="407">
        <v>0</v>
      </c>
      <c r="S108" s="407">
        <v>0</v>
      </c>
      <c r="T108" s="407">
        <v>0</v>
      </c>
      <c r="U108" s="407">
        <v>0</v>
      </c>
      <c r="V108" s="407">
        <v>0</v>
      </c>
      <c r="W108" s="408">
        <v>0</v>
      </c>
      <c r="X108" s="407">
        <v>0</v>
      </c>
      <c r="Y108" s="407">
        <v>0</v>
      </c>
      <c r="Z108" s="407">
        <v>0</v>
      </c>
      <c r="AA108" s="407">
        <v>0</v>
      </c>
      <c r="AB108" s="407">
        <v>0</v>
      </c>
      <c r="AC108" s="407">
        <v>0</v>
      </c>
      <c r="AD108" s="407">
        <v>0</v>
      </c>
      <c r="AE108" s="407">
        <v>0</v>
      </c>
      <c r="AF108" s="407">
        <v>0</v>
      </c>
      <c r="AG108" s="407">
        <v>0</v>
      </c>
      <c r="AH108" s="407">
        <v>0</v>
      </c>
      <c r="AI108" s="407">
        <v>0</v>
      </c>
      <c r="AJ108" s="407">
        <v>0</v>
      </c>
      <c r="AK108" s="407">
        <v>0</v>
      </c>
      <c r="AL108" s="407">
        <v>0</v>
      </c>
      <c r="AM108" s="407">
        <v>0</v>
      </c>
      <c r="AN108" s="407">
        <v>0</v>
      </c>
      <c r="AO108" s="407">
        <v>0</v>
      </c>
      <c r="AP108" s="407">
        <v>0</v>
      </c>
      <c r="AQ108" s="407">
        <v>0</v>
      </c>
      <c r="AR108" s="407">
        <v>0</v>
      </c>
      <c r="AS108" s="407">
        <v>0</v>
      </c>
      <c r="AT108" s="408">
        <v>0</v>
      </c>
      <c r="AU108" s="407">
        <v>0</v>
      </c>
      <c r="AV108" s="407">
        <v>0</v>
      </c>
      <c r="AW108" s="407">
        <v>0</v>
      </c>
      <c r="AX108" s="407">
        <v>0</v>
      </c>
      <c r="AY108" s="407">
        <v>0</v>
      </c>
      <c r="AZ108" s="408">
        <v>0</v>
      </c>
      <c r="BA108" s="407">
        <v>0</v>
      </c>
      <c r="BB108" s="407">
        <v>0</v>
      </c>
      <c r="BC108" s="407">
        <v>0</v>
      </c>
      <c r="BD108" s="407">
        <v>0</v>
      </c>
      <c r="BE108" s="407">
        <v>0</v>
      </c>
      <c r="BF108" s="407">
        <v>0</v>
      </c>
      <c r="BG108" s="407">
        <v>0</v>
      </c>
      <c r="BH108" s="407">
        <v>0</v>
      </c>
      <c r="BI108" s="407">
        <v>0</v>
      </c>
      <c r="BJ108" s="407">
        <v>0</v>
      </c>
      <c r="BK108" s="407">
        <v>0</v>
      </c>
      <c r="BL108" s="407">
        <v>0</v>
      </c>
      <c r="BM108" s="407">
        <v>0</v>
      </c>
      <c r="BN108" s="407">
        <v>0</v>
      </c>
      <c r="BO108" s="408">
        <v>0</v>
      </c>
      <c r="BP108" s="407">
        <v>0</v>
      </c>
      <c r="BQ108" s="407">
        <v>0</v>
      </c>
      <c r="BR108" s="409">
        <v>0</v>
      </c>
      <c r="BS108" s="409">
        <v>0</v>
      </c>
      <c r="BT108" s="408">
        <v>0</v>
      </c>
    </row>
    <row r="109" spans="1:72">
      <c r="A109" s="377" t="s">
        <v>753</v>
      </c>
      <c r="B109" s="377"/>
      <c r="C109" s="377"/>
      <c r="D109" s="377"/>
      <c r="E109" s="377"/>
      <c r="F109" s="332" t="s">
        <v>754</v>
      </c>
      <c r="G109" s="332"/>
      <c r="H109" s="378">
        <v>17.554000000000002</v>
      </c>
      <c r="I109" s="379">
        <v>0</v>
      </c>
      <c r="J109" s="380">
        <v>0</v>
      </c>
      <c r="K109" s="380">
        <v>0</v>
      </c>
      <c r="L109" s="380">
        <v>0</v>
      </c>
      <c r="M109" s="380">
        <v>0</v>
      </c>
      <c r="N109" s="380">
        <v>0</v>
      </c>
      <c r="O109" s="380">
        <v>0</v>
      </c>
      <c r="P109" s="380">
        <v>0</v>
      </c>
      <c r="Q109" s="380">
        <v>0</v>
      </c>
      <c r="R109" s="380">
        <v>0</v>
      </c>
      <c r="S109" s="380">
        <v>0</v>
      </c>
      <c r="T109" s="380">
        <v>0</v>
      </c>
      <c r="U109" s="380">
        <v>0</v>
      </c>
      <c r="V109" s="380">
        <v>0</v>
      </c>
      <c r="W109" s="379">
        <v>17.554000000000002</v>
      </c>
      <c r="X109" s="380">
        <v>0</v>
      </c>
      <c r="Y109" s="380">
        <v>-358.85599999999999</v>
      </c>
      <c r="Z109" s="380">
        <v>67.046000000000006</v>
      </c>
      <c r="AA109" s="380">
        <v>0</v>
      </c>
      <c r="AB109" s="380">
        <v>0</v>
      </c>
      <c r="AC109" s="380">
        <v>0</v>
      </c>
      <c r="AD109" s="380">
        <v>40.106999999999999</v>
      </c>
      <c r="AE109" s="380">
        <v>237.46099999999998</v>
      </c>
      <c r="AF109" s="380">
        <v>0</v>
      </c>
      <c r="AG109" s="380">
        <v>0</v>
      </c>
      <c r="AH109" s="380">
        <v>0</v>
      </c>
      <c r="AI109" s="380">
        <v>0</v>
      </c>
      <c r="AJ109" s="380">
        <v>0</v>
      </c>
      <c r="AK109" s="380">
        <v>93.244</v>
      </c>
      <c r="AL109" s="380">
        <v>-4.2999999999999997E-2</v>
      </c>
      <c r="AM109" s="380">
        <v>-61.36</v>
      </c>
      <c r="AN109" s="380">
        <v>-4.4000000000000004E-2</v>
      </c>
      <c r="AO109" s="380">
        <v>0</v>
      </c>
      <c r="AP109" s="380">
        <v>0</v>
      </c>
      <c r="AQ109" s="380">
        <v>0</v>
      </c>
      <c r="AR109" s="380">
        <v>0</v>
      </c>
      <c r="AS109" s="380">
        <v>0</v>
      </c>
      <c r="AT109" s="379">
        <v>0</v>
      </c>
      <c r="AU109" s="380">
        <v>0</v>
      </c>
      <c r="AV109" s="380">
        <v>0</v>
      </c>
      <c r="AW109" s="380">
        <v>0</v>
      </c>
      <c r="AX109" s="380">
        <v>0</v>
      </c>
      <c r="AY109" s="380">
        <v>0</v>
      </c>
      <c r="AZ109" s="379">
        <v>-423.464</v>
      </c>
      <c r="BA109" s="380">
        <v>-420.3</v>
      </c>
      <c r="BB109" s="380">
        <v>-3.1639999999999997</v>
      </c>
      <c r="BC109" s="380">
        <v>0</v>
      </c>
      <c r="BD109" s="380">
        <v>0</v>
      </c>
      <c r="BE109" s="380">
        <v>0</v>
      </c>
      <c r="BF109" s="380">
        <v>0</v>
      </c>
      <c r="BG109" s="380">
        <v>0</v>
      </c>
      <c r="BH109" s="380">
        <v>0</v>
      </c>
      <c r="BI109" s="380">
        <v>0</v>
      </c>
      <c r="BJ109" s="380">
        <v>0</v>
      </c>
      <c r="BK109" s="380">
        <v>0</v>
      </c>
      <c r="BL109" s="380">
        <v>0</v>
      </c>
      <c r="BM109" s="380">
        <v>0</v>
      </c>
      <c r="BN109" s="380">
        <v>0</v>
      </c>
      <c r="BO109" s="379">
        <v>0</v>
      </c>
      <c r="BP109" s="380">
        <v>0</v>
      </c>
      <c r="BQ109" s="380">
        <v>0</v>
      </c>
      <c r="BR109" s="381">
        <v>0</v>
      </c>
      <c r="BS109" s="381">
        <v>0</v>
      </c>
      <c r="BT109" s="379">
        <v>423.464</v>
      </c>
    </row>
    <row r="110" spans="1:72">
      <c r="A110" s="382" t="s">
        <v>549</v>
      </c>
      <c r="B110" s="383" t="s">
        <v>755</v>
      </c>
      <c r="C110" s="383"/>
      <c r="D110" s="383"/>
      <c r="E110" s="383"/>
      <c r="F110" s="384" t="s">
        <v>756</v>
      </c>
      <c r="G110" s="384"/>
      <c r="H110" s="385">
        <v>14.214</v>
      </c>
      <c r="I110" s="386">
        <v>0</v>
      </c>
      <c r="J110" s="387">
        <v>0</v>
      </c>
      <c r="K110" s="387">
        <v>0</v>
      </c>
      <c r="L110" s="387">
        <v>0</v>
      </c>
      <c r="M110" s="387">
        <v>0</v>
      </c>
      <c r="N110" s="387">
        <v>0</v>
      </c>
      <c r="O110" s="387">
        <v>0</v>
      </c>
      <c r="P110" s="387">
        <v>0</v>
      </c>
      <c r="Q110" s="387">
        <v>0</v>
      </c>
      <c r="R110" s="387">
        <v>0</v>
      </c>
      <c r="S110" s="387">
        <v>0</v>
      </c>
      <c r="T110" s="387">
        <v>0</v>
      </c>
      <c r="U110" s="387">
        <v>0</v>
      </c>
      <c r="V110" s="387">
        <v>0</v>
      </c>
      <c r="W110" s="386">
        <v>14.214</v>
      </c>
      <c r="X110" s="387">
        <v>0</v>
      </c>
      <c r="Y110" s="387">
        <v>-358.85599999999999</v>
      </c>
      <c r="Z110" s="387">
        <v>0</v>
      </c>
      <c r="AA110" s="387">
        <v>0</v>
      </c>
      <c r="AB110" s="387">
        <v>0</v>
      </c>
      <c r="AC110" s="387">
        <v>0</v>
      </c>
      <c r="AD110" s="387">
        <v>40.937000000000005</v>
      </c>
      <c r="AE110" s="387">
        <v>238.89</v>
      </c>
      <c r="AF110" s="387">
        <v>0</v>
      </c>
      <c r="AG110" s="387">
        <v>0</v>
      </c>
      <c r="AH110" s="387">
        <v>0</v>
      </c>
      <c r="AI110" s="387">
        <v>0</v>
      </c>
      <c r="AJ110" s="387">
        <v>0</v>
      </c>
      <c r="AK110" s="387">
        <v>93.244</v>
      </c>
      <c r="AL110" s="387">
        <v>0</v>
      </c>
      <c r="AM110" s="387">
        <v>0</v>
      </c>
      <c r="AN110" s="387">
        <v>0</v>
      </c>
      <c r="AO110" s="387">
        <v>0</v>
      </c>
      <c r="AP110" s="387">
        <v>0</v>
      </c>
      <c r="AQ110" s="387">
        <v>0</v>
      </c>
      <c r="AR110" s="387">
        <v>0</v>
      </c>
      <c r="AS110" s="387">
        <v>0</v>
      </c>
      <c r="AT110" s="386">
        <v>0</v>
      </c>
      <c r="AU110" s="387">
        <v>0</v>
      </c>
      <c r="AV110" s="387">
        <v>0</v>
      </c>
      <c r="AW110" s="387">
        <v>0</v>
      </c>
      <c r="AX110" s="387">
        <v>0</v>
      </c>
      <c r="AY110" s="387">
        <v>0</v>
      </c>
      <c r="AZ110" s="386">
        <v>-423.464</v>
      </c>
      <c r="BA110" s="387">
        <v>-420.3</v>
      </c>
      <c r="BB110" s="387">
        <v>-3.1639999999999997</v>
      </c>
      <c r="BC110" s="387">
        <v>0</v>
      </c>
      <c r="BD110" s="387">
        <v>0</v>
      </c>
      <c r="BE110" s="387">
        <v>0</v>
      </c>
      <c r="BF110" s="387">
        <v>0</v>
      </c>
      <c r="BG110" s="387">
        <v>0</v>
      </c>
      <c r="BH110" s="387">
        <v>0</v>
      </c>
      <c r="BI110" s="387">
        <v>0</v>
      </c>
      <c r="BJ110" s="387">
        <v>0</v>
      </c>
      <c r="BK110" s="387">
        <v>0</v>
      </c>
      <c r="BL110" s="387">
        <v>0</v>
      </c>
      <c r="BM110" s="387">
        <v>0</v>
      </c>
      <c r="BN110" s="387">
        <v>0</v>
      </c>
      <c r="BO110" s="386">
        <v>0</v>
      </c>
      <c r="BP110" s="387">
        <v>0</v>
      </c>
      <c r="BQ110" s="387">
        <v>0</v>
      </c>
      <c r="BR110" s="388">
        <v>0</v>
      </c>
      <c r="BS110" s="388">
        <v>0</v>
      </c>
      <c r="BT110" s="386">
        <v>423.464</v>
      </c>
    </row>
    <row r="111" spans="1:72">
      <c r="A111" s="362" t="s">
        <v>549</v>
      </c>
      <c r="B111" s="363" t="s">
        <v>757</v>
      </c>
      <c r="C111" s="363"/>
      <c r="D111" s="363"/>
      <c r="E111" s="363"/>
      <c r="F111" s="364" t="s">
        <v>758</v>
      </c>
      <c r="G111" s="364"/>
      <c r="H111" s="365">
        <v>3.5260000000000002</v>
      </c>
      <c r="I111" s="366">
        <v>0</v>
      </c>
      <c r="J111" s="367">
        <v>0</v>
      </c>
      <c r="K111" s="367">
        <v>0</v>
      </c>
      <c r="L111" s="367">
        <v>0</v>
      </c>
      <c r="M111" s="367">
        <v>0</v>
      </c>
      <c r="N111" s="367">
        <v>0</v>
      </c>
      <c r="O111" s="367">
        <v>0</v>
      </c>
      <c r="P111" s="367">
        <v>0</v>
      </c>
      <c r="Q111" s="367">
        <v>0</v>
      </c>
      <c r="R111" s="367">
        <v>0</v>
      </c>
      <c r="S111" s="367">
        <v>0</v>
      </c>
      <c r="T111" s="367">
        <v>0</v>
      </c>
      <c r="U111" s="367">
        <v>0</v>
      </c>
      <c r="V111" s="367">
        <v>0</v>
      </c>
      <c r="W111" s="366">
        <v>3.5260000000000002</v>
      </c>
      <c r="X111" s="367">
        <v>0</v>
      </c>
      <c r="Y111" s="367">
        <v>0</v>
      </c>
      <c r="Z111" s="367">
        <v>64.846000000000004</v>
      </c>
      <c r="AA111" s="367">
        <v>0</v>
      </c>
      <c r="AB111" s="367">
        <v>0</v>
      </c>
      <c r="AC111" s="367">
        <v>0</v>
      </c>
      <c r="AD111" s="367">
        <v>0</v>
      </c>
      <c r="AE111" s="367">
        <v>0</v>
      </c>
      <c r="AF111" s="367">
        <v>0</v>
      </c>
      <c r="AG111" s="367">
        <v>0</v>
      </c>
      <c r="AH111" s="367">
        <v>0</v>
      </c>
      <c r="AI111" s="367">
        <v>0</v>
      </c>
      <c r="AJ111" s="367">
        <v>0</v>
      </c>
      <c r="AK111" s="367">
        <v>0</v>
      </c>
      <c r="AL111" s="367">
        <v>0</v>
      </c>
      <c r="AM111" s="367">
        <v>-61.32</v>
      </c>
      <c r="AN111" s="367">
        <v>0</v>
      </c>
      <c r="AO111" s="367">
        <v>0</v>
      </c>
      <c r="AP111" s="367">
        <v>0</v>
      </c>
      <c r="AQ111" s="367">
        <v>0</v>
      </c>
      <c r="AR111" s="367">
        <v>0</v>
      </c>
      <c r="AS111" s="367">
        <v>0</v>
      </c>
      <c r="AT111" s="366">
        <v>0</v>
      </c>
      <c r="AU111" s="367">
        <v>0</v>
      </c>
      <c r="AV111" s="367">
        <v>0</v>
      </c>
      <c r="AW111" s="367">
        <v>0</v>
      </c>
      <c r="AX111" s="367">
        <v>0</v>
      </c>
      <c r="AY111" s="367">
        <v>0</v>
      </c>
      <c r="AZ111" s="366">
        <v>0</v>
      </c>
      <c r="BA111" s="367">
        <v>0</v>
      </c>
      <c r="BB111" s="367">
        <v>0</v>
      </c>
      <c r="BC111" s="367">
        <v>0</v>
      </c>
      <c r="BD111" s="367">
        <v>0</v>
      </c>
      <c r="BE111" s="367">
        <v>0</v>
      </c>
      <c r="BF111" s="367">
        <v>0</v>
      </c>
      <c r="BG111" s="367">
        <v>0</v>
      </c>
      <c r="BH111" s="367">
        <v>0</v>
      </c>
      <c r="BI111" s="367">
        <v>0</v>
      </c>
      <c r="BJ111" s="367">
        <v>0</v>
      </c>
      <c r="BK111" s="367">
        <v>0</v>
      </c>
      <c r="BL111" s="367">
        <v>0</v>
      </c>
      <c r="BM111" s="367">
        <v>0</v>
      </c>
      <c r="BN111" s="367">
        <v>0</v>
      </c>
      <c r="BO111" s="366">
        <v>0</v>
      </c>
      <c r="BP111" s="367">
        <v>0</v>
      </c>
      <c r="BQ111" s="367">
        <v>0</v>
      </c>
      <c r="BR111" s="368">
        <v>0</v>
      </c>
      <c r="BS111" s="368">
        <v>0</v>
      </c>
      <c r="BT111" s="366">
        <v>0</v>
      </c>
    </row>
    <row r="112" spans="1:72">
      <c r="A112" s="370" t="s">
        <v>549</v>
      </c>
      <c r="B112" s="371" t="s">
        <v>759</v>
      </c>
      <c r="C112" s="371"/>
      <c r="D112" s="371"/>
      <c r="E112" s="371"/>
      <c r="F112" s="372" t="s">
        <v>760</v>
      </c>
      <c r="G112" s="372"/>
      <c r="H112" s="373">
        <v>-0.186</v>
      </c>
      <c r="I112" s="374">
        <v>0</v>
      </c>
      <c r="J112" s="375">
        <v>0</v>
      </c>
      <c r="K112" s="375">
        <v>0</v>
      </c>
      <c r="L112" s="375">
        <v>0</v>
      </c>
      <c r="M112" s="375">
        <v>0</v>
      </c>
      <c r="N112" s="375">
        <v>0</v>
      </c>
      <c r="O112" s="375">
        <v>0</v>
      </c>
      <c r="P112" s="375">
        <v>0</v>
      </c>
      <c r="Q112" s="375">
        <v>0</v>
      </c>
      <c r="R112" s="375">
        <v>0</v>
      </c>
      <c r="S112" s="375">
        <v>0</v>
      </c>
      <c r="T112" s="375">
        <v>0</v>
      </c>
      <c r="U112" s="375">
        <v>0</v>
      </c>
      <c r="V112" s="375">
        <v>0</v>
      </c>
      <c r="W112" s="374">
        <v>-0.186</v>
      </c>
      <c r="X112" s="375">
        <v>0</v>
      </c>
      <c r="Y112" s="375">
        <v>0</v>
      </c>
      <c r="Z112" s="375">
        <v>2.1999999999999997</v>
      </c>
      <c r="AA112" s="375">
        <v>0</v>
      </c>
      <c r="AB112" s="375">
        <v>0</v>
      </c>
      <c r="AC112" s="375">
        <v>0</v>
      </c>
      <c r="AD112" s="375">
        <v>-0.83000000000000007</v>
      </c>
      <c r="AE112" s="375">
        <v>-1.429</v>
      </c>
      <c r="AF112" s="375">
        <v>0</v>
      </c>
      <c r="AG112" s="375">
        <v>0</v>
      </c>
      <c r="AH112" s="375">
        <v>0</v>
      </c>
      <c r="AI112" s="375">
        <v>0</v>
      </c>
      <c r="AJ112" s="375">
        <v>0</v>
      </c>
      <c r="AK112" s="375">
        <v>0</v>
      </c>
      <c r="AL112" s="375">
        <v>-4.2999999999999997E-2</v>
      </c>
      <c r="AM112" s="375">
        <v>-0.04</v>
      </c>
      <c r="AN112" s="375">
        <v>-4.4000000000000004E-2</v>
      </c>
      <c r="AO112" s="375">
        <v>0</v>
      </c>
      <c r="AP112" s="375">
        <v>0</v>
      </c>
      <c r="AQ112" s="375">
        <v>0</v>
      </c>
      <c r="AR112" s="375">
        <v>0</v>
      </c>
      <c r="AS112" s="375">
        <v>0</v>
      </c>
      <c r="AT112" s="374">
        <v>0</v>
      </c>
      <c r="AU112" s="375">
        <v>0</v>
      </c>
      <c r="AV112" s="375">
        <v>0</v>
      </c>
      <c r="AW112" s="375">
        <v>0</v>
      </c>
      <c r="AX112" s="375">
        <v>0</v>
      </c>
      <c r="AY112" s="375">
        <v>0</v>
      </c>
      <c r="AZ112" s="374">
        <v>0</v>
      </c>
      <c r="BA112" s="375">
        <v>0</v>
      </c>
      <c r="BB112" s="375">
        <v>0</v>
      </c>
      <c r="BC112" s="375">
        <v>0</v>
      </c>
      <c r="BD112" s="375">
        <v>0</v>
      </c>
      <c r="BE112" s="375">
        <v>0</v>
      </c>
      <c r="BF112" s="375">
        <v>0</v>
      </c>
      <c r="BG112" s="375">
        <v>0</v>
      </c>
      <c r="BH112" s="375">
        <v>0</v>
      </c>
      <c r="BI112" s="375">
        <v>0</v>
      </c>
      <c r="BJ112" s="375">
        <v>0</v>
      </c>
      <c r="BK112" s="375">
        <v>0</v>
      </c>
      <c r="BL112" s="375">
        <v>0</v>
      </c>
      <c r="BM112" s="375">
        <v>0</v>
      </c>
      <c r="BN112" s="375">
        <v>0</v>
      </c>
      <c r="BO112" s="374">
        <v>0</v>
      </c>
      <c r="BP112" s="375">
        <v>0</v>
      </c>
      <c r="BQ112" s="375">
        <v>0</v>
      </c>
      <c r="BR112" s="376">
        <v>0</v>
      </c>
      <c r="BS112" s="376">
        <v>0</v>
      </c>
      <c r="BT112" s="374">
        <v>0</v>
      </c>
    </row>
    <row r="113" spans="1:72">
      <c r="A113" s="377" t="s">
        <v>761</v>
      </c>
      <c r="B113" s="377"/>
      <c r="C113" s="377"/>
      <c r="D113" s="377"/>
      <c r="E113" s="377"/>
      <c r="F113" s="332" t="s">
        <v>762</v>
      </c>
      <c r="G113" s="332"/>
      <c r="H113" s="378">
        <v>213.70600000000002</v>
      </c>
      <c r="I113" s="379">
        <v>0</v>
      </c>
      <c r="J113" s="380">
        <v>0</v>
      </c>
      <c r="K113" s="380">
        <v>0</v>
      </c>
      <c r="L113" s="380">
        <v>0</v>
      </c>
      <c r="M113" s="380">
        <v>0</v>
      </c>
      <c r="N113" s="380">
        <v>0</v>
      </c>
      <c r="O113" s="380">
        <v>0</v>
      </c>
      <c r="P113" s="380">
        <v>0</v>
      </c>
      <c r="Q113" s="380">
        <v>0</v>
      </c>
      <c r="R113" s="380">
        <v>0</v>
      </c>
      <c r="S113" s="380">
        <v>0</v>
      </c>
      <c r="T113" s="380">
        <v>0</v>
      </c>
      <c r="U113" s="380">
        <v>0</v>
      </c>
      <c r="V113" s="380">
        <v>0</v>
      </c>
      <c r="W113" s="379">
        <v>35.191000000000003</v>
      </c>
      <c r="X113" s="380">
        <v>0</v>
      </c>
      <c r="Y113" s="380">
        <v>0</v>
      </c>
      <c r="Z113" s="380">
        <v>0</v>
      </c>
      <c r="AA113" s="380">
        <v>0</v>
      </c>
      <c r="AB113" s="380">
        <v>0</v>
      </c>
      <c r="AC113" s="380">
        <v>16.669999999999998</v>
      </c>
      <c r="AD113" s="380">
        <v>0</v>
      </c>
      <c r="AE113" s="380">
        <v>0</v>
      </c>
      <c r="AF113" s="380">
        <v>0</v>
      </c>
      <c r="AG113" s="380">
        <v>0</v>
      </c>
      <c r="AH113" s="380">
        <v>0</v>
      </c>
      <c r="AI113" s="380">
        <v>0</v>
      </c>
      <c r="AJ113" s="380">
        <v>0</v>
      </c>
      <c r="AK113" s="380">
        <v>0</v>
      </c>
      <c r="AL113" s="380">
        <v>8.9659999999999993</v>
      </c>
      <c r="AM113" s="380">
        <v>0</v>
      </c>
      <c r="AN113" s="380">
        <v>0</v>
      </c>
      <c r="AO113" s="380">
        <v>0</v>
      </c>
      <c r="AP113" s="380">
        <v>0</v>
      </c>
      <c r="AQ113" s="380">
        <v>9.5549999999999997</v>
      </c>
      <c r="AR113" s="380">
        <v>0</v>
      </c>
      <c r="AS113" s="380">
        <v>0</v>
      </c>
      <c r="AT113" s="379">
        <v>153.07</v>
      </c>
      <c r="AU113" s="380">
        <v>153.07</v>
      </c>
      <c r="AV113" s="380">
        <v>0</v>
      </c>
      <c r="AW113" s="380">
        <v>0</v>
      </c>
      <c r="AX113" s="380">
        <v>0</v>
      </c>
      <c r="AY113" s="380">
        <v>0</v>
      </c>
      <c r="AZ113" s="379">
        <v>0</v>
      </c>
      <c r="BA113" s="380">
        <v>0</v>
      </c>
      <c r="BB113" s="380">
        <v>0</v>
      </c>
      <c r="BC113" s="380">
        <v>0</v>
      </c>
      <c r="BD113" s="380">
        <v>0</v>
      </c>
      <c r="BE113" s="380">
        <v>0</v>
      </c>
      <c r="BF113" s="380">
        <v>0</v>
      </c>
      <c r="BG113" s="380">
        <v>0</v>
      </c>
      <c r="BH113" s="380">
        <v>0</v>
      </c>
      <c r="BI113" s="380">
        <v>0</v>
      </c>
      <c r="BJ113" s="380">
        <v>0</v>
      </c>
      <c r="BK113" s="380">
        <v>0</v>
      </c>
      <c r="BL113" s="380">
        <v>0</v>
      </c>
      <c r="BM113" s="380">
        <v>0</v>
      </c>
      <c r="BN113" s="380">
        <v>0</v>
      </c>
      <c r="BO113" s="379">
        <v>0</v>
      </c>
      <c r="BP113" s="380">
        <v>0</v>
      </c>
      <c r="BQ113" s="380">
        <v>0</v>
      </c>
      <c r="BR113" s="381">
        <v>0</v>
      </c>
      <c r="BS113" s="381">
        <v>0.24800000000000003</v>
      </c>
      <c r="BT113" s="379">
        <v>25.196000000000002</v>
      </c>
    </row>
    <row r="114" spans="1:72">
      <c r="A114" s="382" t="s">
        <v>549</v>
      </c>
      <c r="B114" s="383" t="s">
        <v>763</v>
      </c>
      <c r="C114" s="383"/>
      <c r="D114" s="383"/>
      <c r="E114" s="383"/>
      <c r="F114" s="384" t="s">
        <v>764</v>
      </c>
      <c r="G114" s="384"/>
      <c r="H114" s="385">
        <v>2.3919999999999999</v>
      </c>
      <c r="I114" s="386">
        <v>0</v>
      </c>
      <c r="J114" s="387">
        <v>0</v>
      </c>
      <c r="K114" s="387">
        <v>0</v>
      </c>
      <c r="L114" s="387">
        <v>0</v>
      </c>
      <c r="M114" s="387">
        <v>0</v>
      </c>
      <c r="N114" s="387">
        <v>0</v>
      </c>
      <c r="O114" s="387">
        <v>0</v>
      </c>
      <c r="P114" s="387">
        <v>0</v>
      </c>
      <c r="Q114" s="387">
        <v>0</v>
      </c>
      <c r="R114" s="387">
        <v>0</v>
      </c>
      <c r="S114" s="387">
        <v>0</v>
      </c>
      <c r="T114" s="387">
        <v>0</v>
      </c>
      <c r="U114" s="387">
        <v>0</v>
      </c>
      <c r="V114" s="387">
        <v>0</v>
      </c>
      <c r="W114" s="386">
        <v>0.34299999999999997</v>
      </c>
      <c r="X114" s="387">
        <v>0</v>
      </c>
      <c r="Y114" s="387">
        <v>0</v>
      </c>
      <c r="Z114" s="387">
        <v>0</v>
      </c>
      <c r="AA114" s="387">
        <v>0</v>
      </c>
      <c r="AB114" s="387">
        <v>0</v>
      </c>
      <c r="AC114" s="387">
        <v>0</v>
      </c>
      <c r="AD114" s="387">
        <v>0</v>
      </c>
      <c r="AE114" s="387">
        <v>0</v>
      </c>
      <c r="AF114" s="387">
        <v>0</v>
      </c>
      <c r="AG114" s="387">
        <v>0</v>
      </c>
      <c r="AH114" s="387">
        <v>0</v>
      </c>
      <c r="AI114" s="387">
        <v>0</v>
      </c>
      <c r="AJ114" s="387">
        <v>0</v>
      </c>
      <c r="AK114" s="387">
        <v>0</v>
      </c>
      <c r="AL114" s="387">
        <v>0.34299999999999997</v>
      </c>
      <c r="AM114" s="387">
        <v>0</v>
      </c>
      <c r="AN114" s="387">
        <v>0</v>
      </c>
      <c r="AO114" s="387">
        <v>0</v>
      </c>
      <c r="AP114" s="387">
        <v>0</v>
      </c>
      <c r="AQ114" s="387">
        <v>0</v>
      </c>
      <c r="AR114" s="387">
        <v>0</v>
      </c>
      <c r="AS114" s="387">
        <v>0</v>
      </c>
      <c r="AT114" s="386">
        <v>0</v>
      </c>
      <c r="AU114" s="387">
        <v>0</v>
      </c>
      <c r="AV114" s="387">
        <v>0</v>
      </c>
      <c r="AW114" s="387">
        <v>0</v>
      </c>
      <c r="AX114" s="387">
        <v>0</v>
      </c>
      <c r="AY114" s="387">
        <v>0</v>
      </c>
      <c r="AZ114" s="386">
        <v>0</v>
      </c>
      <c r="BA114" s="387">
        <v>0</v>
      </c>
      <c r="BB114" s="387">
        <v>0</v>
      </c>
      <c r="BC114" s="387">
        <v>0</v>
      </c>
      <c r="BD114" s="387">
        <v>0</v>
      </c>
      <c r="BE114" s="387">
        <v>0</v>
      </c>
      <c r="BF114" s="387">
        <v>0</v>
      </c>
      <c r="BG114" s="387">
        <v>0</v>
      </c>
      <c r="BH114" s="387">
        <v>0</v>
      </c>
      <c r="BI114" s="387">
        <v>0</v>
      </c>
      <c r="BJ114" s="387">
        <v>0</v>
      </c>
      <c r="BK114" s="387">
        <v>0</v>
      </c>
      <c r="BL114" s="387">
        <v>0</v>
      </c>
      <c r="BM114" s="387">
        <v>0</v>
      </c>
      <c r="BN114" s="387">
        <v>0</v>
      </c>
      <c r="BO114" s="386">
        <v>0</v>
      </c>
      <c r="BP114" s="387">
        <v>0</v>
      </c>
      <c r="BQ114" s="387">
        <v>0</v>
      </c>
      <c r="BR114" s="388">
        <v>0</v>
      </c>
      <c r="BS114" s="388">
        <v>0</v>
      </c>
      <c r="BT114" s="386">
        <v>2.048</v>
      </c>
    </row>
    <row r="115" spans="1:72">
      <c r="A115" s="362" t="s">
        <v>549</v>
      </c>
      <c r="B115" s="363" t="s">
        <v>765</v>
      </c>
      <c r="C115" s="363"/>
      <c r="D115" s="363"/>
      <c r="E115" s="363"/>
      <c r="F115" s="364" t="s">
        <v>766</v>
      </c>
      <c r="G115" s="364"/>
      <c r="H115" s="365">
        <v>0.61899999999999999</v>
      </c>
      <c r="I115" s="366">
        <v>0</v>
      </c>
      <c r="J115" s="367">
        <v>0</v>
      </c>
      <c r="K115" s="367">
        <v>0</v>
      </c>
      <c r="L115" s="367">
        <v>0</v>
      </c>
      <c r="M115" s="367">
        <v>0</v>
      </c>
      <c r="N115" s="367">
        <v>0</v>
      </c>
      <c r="O115" s="367">
        <v>0</v>
      </c>
      <c r="P115" s="367">
        <v>0</v>
      </c>
      <c r="Q115" s="367">
        <v>0</v>
      </c>
      <c r="R115" s="367">
        <v>0</v>
      </c>
      <c r="S115" s="367">
        <v>0</v>
      </c>
      <c r="T115" s="367">
        <v>0</v>
      </c>
      <c r="U115" s="367">
        <v>0</v>
      </c>
      <c r="V115" s="367">
        <v>0</v>
      </c>
      <c r="W115" s="366">
        <v>0</v>
      </c>
      <c r="X115" s="367">
        <v>0</v>
      </c>
      <c r="Y115" s="367">
        <v>0</v>
      </c>
      <c r="Z115" s="367">
        <v>0</v>
      </c>
      <c r="AA115" s="367">
        <v>0</v>
      </c>
      <c r="AB115" s="367">
        <v>0</v>
      </c>
      <c r="AC115" s="367">
        <v>0</v>
      </c>
      <c r="AD115" s="367">
        <v>0</v>
      </c>
      <c r="AE115" s="367">
        <v>0</v>
      </c>
      <c r="AF115" s="367">
        <v>0</v>
      </c>
      <c r="AG115" s="367">
        <v>0</v>
      </c>
      <c r="AH115" s="367">
        <v>0</v>
      </c>
      <c r="AI115" s="367">
        <v>0</v>
      </c>
      <c r="AJ115" s="367">
        <v>0</v>
      </c>
      <c r="AK115" s="367">
        <v>0</v>
      </c>
      <c r="AL115" s="367">
        <v>0</v>
      </c>
      <c r="AM115" s="367">
        <v>0</v>
      </c>
      <c r="AN115" s="367">
        <v>0</v>
      </c>
      <c r="AO115" s="367">
        <v>0</v>
      </c>
      <c r="AP115" s="367">
        <v>0</v>
      </c>
      <c r="AQ115" s="367">
        <v>0</v>
      </c>
      <c r="AR115" s="367">
        <v>0</v>
      </c>
      <c r="AS115" s="367">
        <v>0</v>
      </c>
      <c r="AT115" s="366">
        <v>0</v>
      </c>
      <c r="AU115" s="367">
        <v>0</v>
      </c>
      <c r="AV115" s="367">
        <v>0</v>
      </c>
      <c r="AW115" s="367">
        <v>0</v>
      </c>
      <c r="AX115" s="367">
        <v>0</v>
      </c>
      <c r="AY115" s="367">
        <v>0</v>
      </c>
      <c r="AZ115" s="366">
        <v>0</v>
      </c>
      <c r="BA115" s="367">
        <v>0</v>
      </c>
      <c r="BB115" s="367">
        <v>0</v>
      </c>
      <c r="BC115" s="367">
        <v>0</v>
      </c>
      <c r="BD115" s="367">
        <v>0</v>
      </c>
      <c r="BE115" s="367">
        <v>0</v>
      </c>
      <c r="BF115" s="367">
        <v>0</v>
      </c>
      <c r="BG115" s="367">
        <v>0</v>
      </c>
      <c r="BH115" s="367">
        <v>0</v>
      </c>
      <c r="BI115" s="367">
        <v>0</v>
      </c>
      <c r="BJ115" s="367">
        <v>0</v>
      </c>
      <c r="BK115" s="367">
        <v>0</v>
      </c>
      <c r="BL115" s="367">
        <v>0</v>
      </c>
      <c r="BM115" s="367">
        <v>0</v>
      </c>
      <c r="BN115" s="367">
        <v>0</v>
      </c>
      <c r="BO115" s="366">
        <v>0</v>
      </c>
      <c r="BP115" s="367">
        <v>0</v>
      </c>
      <c r="BQ115" s="367">
        <v>0</v>
      </c>
      <c r="BR115" s="368">
        <v>0</v>
      </c>
      <c r="BS115" s="368">
        <v>0</v>
      </c>
      <c r="BT115" s="366">
        <v>0.61899999999999999</v>
      </c>
    </row>
    <row r="116" spans="1:72">
      <c r="A116" s="362"/>
      <c r="B116" s="362" t="s">
        <v>549</v>
      </c>
      <c r="C116" s="363" t="s">
        <v>767</v>
      </c>
      <c r="D116" s="363"/>
      <c r="E116" s="363"/>
      <c r="F116" s="364" t="s">
        <v>768</v>
      </c>
      <c r="G116" s="364"/>
      <c r="H116" s="365">
        <v>2.0659999999999998</v>
      </c>
      <c r="I116" s="366">
        <v>0</v>
      </c>
      <c r="J116" s="367">
        <v>0</v>
      </c>
      <c r="K116" s="367">
        <v>0</v>
      </c>
      <c r="L116" s="367">
        <v>0</v>
      </c>
      <c r="M116" s="367">
        <v>0</v>
      </c>
      <c r="N116" s="367">
        <v>0</v>
      </c>
      <c r="O116" s="367">
        <v>0</v>
      </c>
      <c r="P116" s="367">
        <v>0</v>
      </c>
      <c r="Q116" s="367">
        <v>0</v>
      </c>
      <c r="R116" s="367">
        <v>0</v>
      </c>
      <c r="S116" s="367">
        <v>0</v>
      </c>
      <c r="T116" s="367">
        <v>0</v>
      </c>
      <c r="U116" s="367">
        <v>0</v>
      </c>
      <c r="V116" s="367">
        <v>0</v>
      </c>
      <c r="W116" s="366">
        <v>0</v>
      </c>
      <c r="X116" s="367">
        <v>0</v>
      </c>
      <c r="Y116" s="367">
        <v>0</v>
      </c>
      <c r="Z116" s="367">
        <v>0</v>
      </c>
      <c r="AA116" s="367">
        <v>0</v>
      </c>
      <c r="AB116" s="367">
        <v>0</v>
      </c>
      <c r="AC116" s="367">
        <v>0</v>
      </c>
      <c r="AD116" s="367">
        <v>0</v>
      </c>
      <c r="AE116" s="367">
        <v>0</v>
      </c>
      <c r="AF116" s="367">
        <v>0</v>
      </c>
      <c r="AG116" s="367">
        <v>0</v>
      </c>
      <c r="AH116" s="367">
        <v>0</v>
      </c>
      <c r="AI116" s="367">
        <v>0</v>
      </c>
      <c r="AJ116" s="367">
        <v>0</v>
      </c>
      <c r="AK116" s="367">
        <v>0</v>
      </c>
      <c r="AL116" s="367">
        <v>0</v>
      </c>
      <c r="AM116" s="367">
        <v>0</v>
      </c>
      <c r="AN116" s="367">
        <v>0</v>
      </c>
      <c r="AO116" s="367">
        <v>0</v>
      </c>
      <c r="AP116" s="367">
        <v>0</v>
      </c>
      <c r="AQ116" s="367">
        <v>0</v>
      </c>
      <c r="AR116" s="367">
        <v>0</v>
      </c>
      <c r="AS116" s="367">
        <v>0</v>
      </c>
      <c r="AT116" s="366">
        <v>0</v>
      </c>
      <c r="AU116" s="367">
        <v>0</v>
      </c>
      <c r="AV116" s="367">
        <v>0</v>
      </c>
      <c r="AW116" s="367">
        <v>0</v>
      </c>
      <c r="AX116" s="367">
        <v>0</v>
      </c>
      <c r="AY116" s="367">
        <v>0</v>
      </c>
      <c r="AZ116" s="366">
        <v>0</v>
      </c>
      <c r="BA116" s="367">
        <v>0</v>
      </c>
      <c r="BB116" s="367">
        <v>0</v>
      </c>
      <c r="BC116" s="367">
        <v>0</v>
      </c>
      <c r="BD116" s="367">
        <v>0</v>
      </c>
      <c r="BE116" s="367">
        <v>0</v>
      </c>
      <c r="BF116" s="367">
        <v>0</v>
      </c>
      <c r="BG116" s="367">
        <v>0</v>
      </c>
      <c r="BH116" s="367">
        <v>0</v>
      </c>
      <c r="BI116" s="367">
        <v>0</v>
      </c>
      <c r="BJ116" s="367">
        <v>0</v>
      </c>
      <c r="BK116" s="367">
        <v>0</v>
      </c>
      <c r="BL116" s="367">
        <v>0</v>
      </c>
      <c r="BM116" s="367">
        <v>0</v>
      </c>
      <c r="BN116" s="367">
        <v>0</v>
      </c>
      <c r="BO116" s="366">
        <v>0</v>
      </c>
      <c r="BP116" s="367">
        <v>0</v>
      </c>
      <c r="BQ116" s="367">
        <v>0</v>
      </c>
      <c r="BR116" s="368">
        <v>0</v>
      </c>
      <c r="BS116" s="368">
        <v>0</v>
      </c>
      <c r="BT116" s="366">
        <v>2.0659999999999998</v>
      </c>
    </row>
    <row r="117" spans="1:72">
      <c r="A117" s="362"/>
      <c r="B117" s="362" t="s">
        <v>570</v>
      </c>
      <c r="C117" s="363" t="s">
        <v>769</v>
      </c>
      <c r="D117" s="363"/>
      <c r="E117" s="363"/>
      <c r="F117" s="364" t="s">
        <v>770</v>
      </c>
      <c r="G117" s="364"/>
      <c r="H117" s="365">
        <v>1.4470000000000001</v>
      </c>
      <c r="I117" s="366">
        <v>0</v>
      </c>
      <c r="J117" s="367">
        <v>0</v>
      </c>
      <c r="K117" s="367">
        <v>0</v>
      </c>
      <c r="L117" s="367">
        <v>0</v>
      </c>
      <c r="M117" s="367">
        <v>0</v>
      </c>
      <c r="N117" s="367">
        <v>0</v>
      </c>
      <c r="O117" s="367">
        <v>0</v>
      </c>
      <c r="P117" s="367">
        <v>0</v>
      </c>
      <c r="Q117" s="367">
        <v>0</v>
      </c>
      <c r="R117" s="367">
        <v>0</v>
      </c>
      <c r="S117" s="367">
        <v>0</v>
      </c>
      <c r="T117" s="367">
        <v>0</v>
      </c>
      <c r="U117" s="367">
        <v>0</v>
      </c>
      <c r="V117" s="367">
        <v>0</v>
      </c>
      <c r="W117" s="366">
        <v>0</v>
      </c>
      <c r="X117" s="367">
        <v>0</v>
      </c>
      <c r="Y117" s="367">
        <v>0</v>
      </c>
      <c r="Z117" s="367">
        <v>0</v>
      </c>
      <c r="AA117" s="367">
        <v>0</v>
      </c>
      <c r="AB117" s="367">
        <v>0</v>
      </c>
      <c r="AC117" s="367">
        <v>0</v>
      </c>
      <c r="AD117" s="367">
        <v>0</v>
      </c>
      <c r="AE117" s="367">
        <v>0</v>
      </c>
      <c r="AF117" s="367">
        <v>0</v>
      </c>
      <c r="AG117" s="367">
        <v>0</v>
      </c>
      <c r="AH117" s="367">
        <v>0</v>
      </c>
      <c r="AI117" s="367">
        <v>0</v>
      </c>
      <c r="AJ117" s="367">
        <v>0</v>
      </c>
      <c r="AK117" s="367">
        <v>0</v>
      </c>
      <c r="AL117" s="367">
        <v>0</v>
      </c>
      <c r="AM117" s="367">
        <v>0</v>
      </c>
      <c r="AN117" s="367">
        <v>0</v>
      </c>
      <c r="AO117" s="367">
        <v>0</v>
      </c>
      <c r="AP117" s="367">
        <v>0</v>
      </c>
      <c r="AQ117" s="367">
        <v>0</v>
      </c>
      <c r="AR117" s="367">
        <v>0</v>
      </c>
      <c r="AS117" s="367">
        <v>0</v>
      </c>
      <c r="AT117" s="366">
        <v>0</v>
      </c>
      <c r="AU117" s="367">
        <v>0</v>
      </c>
      <c r="AV117" s="367">
        <v>0</v>
      </c>
      <c r="AW117" s="367">
        <v>0</v>
      </c>
      <c r="AX117" s="367">
        <v>0</v>
      </c>
      <c r="AY117" s="367">
        <v>0</v>
      </c>
      <c r="AZ117" s="366">
        <v>0</v>
      </c>
      <c r="BA117" s="367">
        <v>0</v>
      </c>
      <c r="BB117" s="367">
        <v>0</v>
      </c>
      <c r="BC117" s="367">
        <v>0</v>
      </c>
      <c r="BD117" s="367">
        <v>0</v>
      </c>
      <c r="BE117" s="367">
        <v>0</v>
      </c>
      <c r="BF117" s="367">
        <v>0</v>
      </c>
      <c r="BG117" s="367">
        <v>0</v>
      </c>
      <c r="BH117" s="367">
        <v>0</v>
      </c>
      <c r="BI117" s="367">
        <v>0</v>
      </c>
      <c r="BJ117" s="367">
        <v>0</v>
      </c>
      <c r="BK117" s="367">
        <v>0</v>
      </c>
      <c r="BL117" s="367">
        <v>0</v>
      </c>
      <c r="BM117" s="367">
        <v>0</v>
      </c>
      <c r="BN117" s="367">
        <v>0</v>
      </c>
      <c r="BO117" s="366">
        <v>0</v>
      </c>
      <c r="BP117" s="367">
        <v>0</v>
      </c>
      <c r="BQ117" s="367">
        <v>0</v>
      </c>
      <c r="BR117" s="368">
        <v>0</v>
      </c>
      <c r="BS117" s="368">
        <v>0</v>
      </c>
      <c r="BT117" s="366">
        <v>1.4470000000000001</v>
      </c>
    </row>
    <row r="118" spans="1:72">
      <c r="A118" s="362"/>
      <c r="B118" s="362"/>
      <c r="C118" s="362" t="s">
        <v>549</v>
      </c>
      <c r="D118" s="363" t="s">
        <v>771</v>
      </c>
      <c r="E118" s="363"/>
      <c r="F118" s="364" t="s">
        <v>772</v>
      </c>
      <c r="G118" s="364"/>
      <c r="H118" s="365">
        <v>1.361</v>
      </c>
      <c r="I118" s="366">
        <v>0</v>
      </c>
      <c r="J118" s="367">
        <v>0</v>
      </c>
      <c r="K118" s="367">
        <v>0</v>
      </c>
      <c r="L118" s="367">
        <v>0</v>
      </c>
      <c r="M118" s="367">
        <v>0</v>
      </c>
      <c r="N118" s="367">
        <v>0</v>
      </c>
      <c r="O118" s="367">
        <v>0</v>
      </c>
      <c r="P118" s="367">
        <v>0</v>
      </c>
      <c r="Q118" s="367">
        <v>0</v>
      </c>
      <c r="R118" s="367">
        <v>0</v>
      </c>
      <c r="S118" s="367">
        <v>0</v>
      </c>
      <c r="T118" s="367">
        <v>0</v>
      </c>
      <c r="U118" s="367">
        <v>0</v>
      </c>
      <c r="V118" s="367">
        <v>0</v>
      </c>
      <c r="W118" s="366">
        <v>0</v>
      </c>
      <c r="X118" s="367">
        <v>0</v>
      </c>
      <c r="Y118" s="367">
        <v>0</v>
      </c>
      <c r="Z118" s="367">
        <v>0</v>
      </c>
      <c r="AA118" s="367">
        <v>0</v>
      </c>
      <c r="AB118" s="367">
        <v>0</v>
      </c>
      <c r="AC118" s="367">
        <v>0</v>
      </c>
      <c r="AD118" s="367">
        <v>0</v>
      </c>
      <c r="AE118" s="367">
        <v>0</v>
      </c>
      <c r="AF118" s="367">
        <v>0</v>
      </c>
      <c r="AG118" s="367">
        <v>0</v>
      </c>
      <c r="AH118" s="367">
        <v>0</v>
      </c>
      <c r="AI118" s="367">
        <v>0</v>
      </c>
      <c r="AJ118" s="367">
        <v>0</v>
      </c>
      <c r="AK118" s="367">
        <v>0</v>
      </c>
      <c r="AL118" s="367">
        <v>0</v>
      </c>
      <c r="AM118" s="367">
        <v>0</v>
      </c>
      <c r="AN118" s="367">
        <v>0</v>
      </c>
      <c r="AO118" s="367">
        <v>0</v>
      </c>
      <c r="AP118" s="367">
        <v>0</v>
      </c>
      <c r="AQ118" s="367">
        <v>0</v>
      </c>
      <c r="AR118" s="367">
        <v>0</v>
      </c>
      <c r="AS118" s="367">
        <v>0</v>
      </c>
      <c r="AT118" s="366">
        <v>0</v>
      </c>
      <c r="AU118" s="367">
        <v>0</v>
      </c>
      <c r="AV118" s="367">
        <v>0</v>
      </c>
      <c r="AW118" s="367">
        <v>0</v>
      </c>
      <c r="AX118" s="367">
        <v>0</v>
      </c>
      <c r="AY118" s="367">
        <v>0</v>
      </c>
      <c r="AZ118" s="366">
        <v>0</v>
      </c>
      <c r="BA118" s="367">
        <v>0</v>
      </c>
      <c r="BB118" s="367">
        <v>0</v>
      </c>
      <c r="BC118" s="367">
        <v>0</v>
      </c>
      <c r="BD118" s="367">
        <v>0</v>
      </c>
      <c r="BE118" s="367">
        <v>0</v>
      </c>
      <c r="BF118" s="367">
        <v>0</v>
      </c>
      <c r="BG118" s="367">
        <v>0</v>
      </c>
      <c r="BH118" s="367">
        <v>0</v>
      </c>
      <c r="BI118" s="367">
        <v>0</v>
      </c>
      <c r="BJ118" s="367">
        <v>0</v>
      </c>
      <c r="BK118" s="367">
        <v>0</v>
      </c>
      <c r="BL118" s="367">
        <v>0</v>
      </c>
      <c r="BM118" s="367">
        <v>0</v>
      </c>
      <c r="BN118" s="367">
        <v>0</v>
      </c>
      <c r="BO118" s="366">
        <v>0</v>
      </c>
      <c r="BP118" s="367">
        <v>0</v>
      </c>
      <c r="BQ118" s="367">
        <v>0</v>
      </c>
      <c r="BR118" s="368">
        <v>0</v>
      </c>
      <c r="BS118" s="368">
        <v>0</v>
      </c>
      <c r="BT118" s="366">
        <v>1.361</v>
      </c>
    </row>
    <row r="119" spans="1:72">
      <c r="A119" s="362"/>
      <c r="B119" s="362"/>
      <c r="C119" s="362" t="s">
        <v>549</v>
      </c>
      <c r="D119" s="363" t="s">
        <v>773</v>
      </c>
      <c r="E119" s="363"/>
      <c r="F119" s="364" t="s">
        <v>774</v>
      </c>
      <c r="G119" s="364"/>
      <c r="H119" s="365">
        <v>8.5999999999999993E-2</v>
      </c>
      <c r="I119" s="366">
        <v>0</v>
      </c>
      <c r="J119" s="367">
        <v>0</v>
      </c>
      <c r="K119" s="367">
        <v>0</v>
      </c>
      <c r="L119" s="367">
        <v>0</v>
      </c>
      <c r="M119" s="367">
        <v>0</v>
      </c>
      <c r="N119" s="367">
        <v>0</v>
      </c>
      <c r="O119" s="367">
        <v>0</v>
      </c>
      <c r="P119" s="367">
        <v>0</v>
      </c>
      <c r="Q119" s="367">
        <v>0</v>
      </c>
      <c r="R119" s="367">
        <v>0</v>
      </c>
      <c r="S119" s="367">
        <v>0</v>
      </c>
      <c r="T119" s="367">
        <v>0</v>
      </c>
      <c r="U119" s="367">
        <v>0</v>
      </c>
      <c r="V119" s="367">
        <v>0</v>
      </c>
      <c r="W119" s="366">
        <v>0</v>
      </c>
      <c r="X119" s="367">
        <v>0</v>
      </c>
      <c r="Y119" s="367">
        <v>0</v>
      </c>
      <c r="Z119" s="367">
        <v>0</v>
      </c>
      <c r="AA119" s="367">
        <v>0</v>
      </c>
      <c r="AB119" s="367">
        <v>0</v>
      </c>
      <c r="AC119" s="367">
        <v>0</v>
      </c>
      <c r="AD119" s="367">
        <v>0</v>
      </c>
      <c r="AE119" s="367">
        <v>0</v>
      </c>
      <c r="AF119" s="367">
        <v>0</v>
      </c>
      <c r="AG119" s="367">
        <v>0</v>
      </c>
      <c r="AH119" s="367">
        <v>0</v>
      </c>
      <c r="AI119" s="367">
        <v>0</v>
      </c>
      <c r="AJ119" s="367">
        <v>0</v>
      </c>
      <c r="AK119" s="367">
        <v>0</v>
      </c>
      <c r="AL119" s="367">
        <v>0</v>
      </c>
      <c r="AM119" s="367">
        <v>0</v>
      </c>
      <c r="AN119" s="367">
        <v>0</v>
      </c>
      <c r="AO119" s="367">
        <v>0</v>
      </c>
      <c r="AP119" s="367">
        <v>0</v>
      </c>
      <c r="AQ119" s="367">
        <v>0</v>
      </c>
      <c r="AR119" s="367">
        <v>0</v>
      </c>
      <c r="AS119" s="367">
        <v>0</v>
      </c>
      <c r="AT119" s="366">
        <v>0</v>
      </c>
      <c r="AU119" s="367">
        <v>0</v>
      </c>
      <c r="AV119" s="367">
        <v>0</v>
      </c>
      <c r="AW119" s="367">
        <v>0</v>
      </c>
      <c r="AX119" s="367">
        <v>0</v>
      </c>
      <c r="AY119" s="367">
        <v>0</v>
      </c>
      <c r="AZ119" s="366">
        <v>0</v>
      </c>
      <c r="BA119" s="367">
        <v>0</v>
      </c>
      <c r="BB119" s="367">
        <v>0</v>
      </c>
      <c r="BC119" s="367">
        <v>0</v>
      </c>
      <c r="BD119" s="367">
        <v>0</v>
      </c>
      <c r="BE119" s="367">
        <v>0</v>
      </c>
      <c r="BF119" s="367">
        <v>0</v>
      </c>
      <c r="BG119" s="367">
        <v>0</v>
      </c>
      <c r="BH119" s="367">
        <v>0</v>
      </c>
      <c r="BI119" s="367">
        <v>0</v>
      </c>
      <c r="BJ119" s="367">
        <v>0</v>
      </c>
      <c r="BK119" s="367">
        <v>0</v>
      </c>
      <c r="BL119" s="367">
        <v>0</v>
      </c>
      <c r="BM119" s="367">
        <v>0</v>
      </c>
      <c r="BN119" s="367">
        <v>0</v>
      </c>
      <c r="BO119" s="366">
        <v>0</v>
      </c>
      <c r="BP119" s="367">
        <v>0</v>
      </c>
      <c r="BQ119" s="367">
        <v>0</v>
      </c>
      <c r="BR119" s="368">
        <v>0</v>
      </c>
      <c r="BS119" s="368">
        <v>0</v>
      </c>
      <c r="BT119" s="366">
        <v>8.5999999999999993E-2</v>
      </c>
    </row>
    <row r="120" spans="1:72">
      <c r="A120" s="362" t="s">
        <v>549</v>
      </c>
      <c r="B120" s="363" t="s">
        <v>775</v>
      </c>
      <c r="C120" s="363"/>
      <c r="D120" s="363"/>
      <c r="E120" s="363"/>
      <c r="F120" s="364" t="s">
        <v>776</v>
      </c>
      <c r="G120" s="364"/>
      <c r="H120" s="365">
        <v>181.14800000000002</v>
      </c>
      <c r="I120" s="366">
        <v>0</v>
      </c>
      <c r="J120" s="367">
        <v>0</v>
      </c>
      <c r="K120" s="367">
        <v>0</v>
      </c>
      <c r="L120" s="367">
        <v>0</v>
      </c>
      <c r="M120" s="367">
        <v>0</v>
      </c>
      <c r="N120" s="367">
        <v>0</v>
      </c>
      <c r="O120" s="367">
        <v>0</v>
      </c>
      <c r="P120" s="367">
        <v>0</v>
      </c>
      <c r="Q120" s="367">
        <v>0</v>
      </c>
      <c r="R120" s="367">
        <v>0</v>
      </c>
      <c r="S120" s="367">
        <v>0</v>
      </c>
      <c r="T120" s="367">
        <v>0</v>
      </c>
      <c r="U120" s="367">
        <v>0</v>
      </c>
      <c r="V120" s="367">
        <v>0</v>
      </c>
      <c r="W120" s="366">
        <v>8.6230000000000011</v>
      </c>
      <c r="X120" s="367">
        <v>0</v>
      </c>
      <c r="Y120" s="367">
        <v>0</v>
      </c>
      <c r="Z120" s="367">
        <v>0</v>
      </c>
      <c r="AA120" s="367">
        <v>0</v>
      </c>
      <c r="AB120" s="367">
        <v>0</v>
      </c>
      <c r="AC120" s="367">
        <v>0</v>
      </c>
      <c r="AD120" s="367">
        <v>0</v>
      </c>
      <c r="AE120" s="367">
        <v>0</v>
      </c>
      <c r="AF120" s="367">
        <v>0</v>
      </c>
      <c r="AG120" s="367">
        <v>0</v>
      </c>
      <c r="AH120" s="367">
        <v>0</v>
      </c>
      <c r="AI120" s="367">
        <v>0</v>
      </c>
      <c r="AJ120" s="367">
        <v>0</v>
      </c>
      <c r="AK120" s="367">
        <v>0</v>
      </c>
      <c r="AL120" s="367">
        <v>8.6230000000000011</v>
      </c>
      <c r="AM120" s="367">
        <v>0</v>
      </c>
      <c r="AN120" s="367">
        <v>0</v>
      </c>
      <c r="AO120" s="367">
        <v>0</v>
      </c>
      <c r="AP120" s="367">
        <v>0</v>
      </c>
      <c r="AQ120" s="367">
        <v>0</v>
      </c>
      <c r="AR120" s="367">
        <v>0</v>
      </c>
      <c r="AS120" s="367">
        <v>0</v>
      </c>
      <c r="AT120" s="366">
        <v>153.07</v>
      </c>
      <c r="AU120" s="367">
        <v>153.07</v>
      </c>
      <c r="AV120" s="367">
        <v>0</v>
      </c>
      <c r="AW120" s="367">
        <v>0</v>
      </c>
      <c r="AX120" s="367">
        <v>0</v>
      </c>
      <c r="AY120" s="367">
        <v>0</v>
      </c>
      <c r="AZ120" s="366">
        <v>0</v>
      </c>
      <c r="BA120" s="367">
        <v>0</v>
      </c>
      <c r="BB120" s="367">
        <v>0</v>
      </c>
      <c r="BC120" s="367">
        <v>0</v>
      </c>
      <c r="BD120" s="367">
        <v>0</v>
      </c>
      <c r="BE120" s="367">
        <v>0</v>
      </c>
      <c r="BF120" s="367">
        <v>0</v>
      </c>
      <c r="BG120" s="367">
        <v>0</v>
      </c>
      <c r="BH120" s="367">
        <v>0</v>
      </c>
      <c r="BI120" s="367">
        <v>0</v>
      </c>
      <c r="BJ120" s="367">
        <v>0</v>
      </c>
      <c r="BK120" s="367">
        <v>0</v>
      </c>
      <c r="BL120" s="367">
        <v>0</v>
      </c>
      <c r="BM120" s="367">
        <v>0</v>
      </c>
      <c r="BN120" s="367">
        <v>0</v>
      </c>
      <c r="BO120" s="366">
        <v>0</v>
      </c>
      <c r="BP120" s="367">
        <v>0</v>
      </c>
      <c r="BQ120" s="367">
        <v>0</v>
      </c>
      <c r="BR120" s="368">
        <v>0</v>
      </c>
      <c r="BS120" s="368">
        <v>0</v>
      </c>
      <c r="BT120" s="366">
        <v>19.454000000000001</v>
      </c>
    </row>
    <row r="121" spans="1:72">
      <c r="A121" s="362" t="s">
        <v>549</v>
      </c>
      <c r="B121" s="363" t="s">
        <v>777</v>
      </c>
      <c r="C121" s="363"/>
      <c r="D121" s="363"/>
      <c r="E121" s="363"/>
      <c r="F121" s="364" t="s">
        <v>778</v>
      </c>
      <c r="G121" s="364"/>
      <c r="H121" s="365">
        <v>29.374000000000002</v>
      </c>
      <c r="I121" s="366">
        <v>0</v>
      </c>
      <c r="J121" s="367">
        <v>0</v>
      </c>
      <c r="K121" s="367">
        <v>0</v>
      </c>
      <c r="L121" s="367">
        <v>0</v>
      </c>
      <c r="M121" s="367">
        <v>0</v>
      </c>
      <c r="N121" s="367">
        <v>0</v>
      </c>
      <c r="O121" s="367">
        <v>0</v>
      </c>
      <c r="P121" s="367">
        <v>0</v>
      </c>
      <c r="Q121" s="367">
        <v>0</v>
      </c>
      <c r="R121" s="367">
        <v>0</v>
      </c>
      <c r="S121" s="367">
        <v>0</v>
      </c>
      <c r="T121" s="367">
        <v>0</v>
      </c>
      <c r="U121" s="367">
        <v>0</v>
      </c>
      <c r="V121" s="367">
        <v>0</v>
      </c>
      <c r="W121" s="366">
        <v>26.224999999999998</v>
      </c>
      <c r="X121" s="367">
        <v>0</v>
      </c>
      <c r="Y121" s="367">
        <v>0</v>
      </c>
      <c r="Z121" s="367">
        <v>0</v>
      </c>
      <c r="AA121" s="367">
        <v>0</v>
      </c>
      <c r="AB121" s="367">
        <v>0</v>
      </c>
      <c r="AC121" s="367">
        <v>16.669999999999998</v>
      </c>
      <c r="AD121" s="367">
        <v>0</v>
      </c>
      <c r="AE121" s="367">
        <v>0</v>
      </c>
      <c r="AF121" s="367">
        <v>0</v>
      </c>
      <c r="AG121" s="367">
        <v>0</v>
      </c>
      <c r="AH121" s="367">
        <v>0</v>
      </c>
      <c r="AI121" s="367">
        <v>0</v>
      </c>
      <c r="AJ121" s="367">
        <v>0</v>
      </c>
      <c r="AK121" s="367">
        <v>0</v>
      </c>
      <c r="AL121" s="367">
        <v>0</v>
      </c>
      <c r="AM121" s="367">
        <v>0</v>
      </c>
      <c r="AN121" s="367">
        <v>0</v>
      </c>
      <c r="AO121" s="367">
        <v>0</v>
      </c>
      <c r="AP121" s="367">
        <v>0</v>
      </c>
      <c r="AQ121" s="367">
        <v>9.5549999999999997</v>
      </c>
      <c r="AR121" s="367">
        <v>0</v>
      </c>
      <c r="AS121" s="367">
        <v>0</v>
      </c>
      <c r="AT121" s="366">
        <v>0</v>
      </c>
      <c r="AU121" s="367">
        <v>0</v>
      </c>
      <c r="AV121" s="367">
        <v>0</v>
      </c>
      <c r="AW121" s="367">
        <v>0</v>
      </c>
      <c r="AX121" s="367">
        <v>0</v>
      </c>
      <c r="AY121" s="367">
        <v>0</v>
      </c>
      <c r="AZ121" s="366">
        <v>0</v>
      </c>
      <c r="BA121" s="367">
        <v>0</v>
      </c>
      <c r="BB121" s="367">
        <v>0</v>
      </c>
      <c r="BC121" s="367">
        <v>0</v>
      </c>
      <c r="BD121" s="367">
        <v>0</v>
      </c>
      <c r="BE121" s="367">
        <v>0</v>
      </c>
      <c r="BF121" s="367">
        <v>0</v>
      </c>
      <c r="BG121" s="367">
        <v>0</v>
      </c>
      <c r="BH121" s="367">
        <v>0</v>
      </c>
      <c r="BI121" s="367">
        <v>0</v>
      </c>
      <c r="BJ121" s="367">
        <v>0</v>
      </c>
      <c r="BK121" s="367">
        <v>0</v>
      </c>
      <c r="BL121" s="367">
        <v>0</v>
      </c>
      <c r="BM121" s="367">
        <v>0</v>
      </c>
      <c r="BN121" s="367">
        <v>0</v>
      </c>
      <c r="BO121" s="366">
        <v>0</v>
      </c>
      <c r="BP121" s="367">
        <v>0</v>
      </c>
      <c r="BQ121" s="367">
        <v>0</v>
      </c>
      <c r="BR121" s="368">
        <v>0</v>
      </c>
      <c r="BS121" s="368">
        <v>0.24800000000000003</v>
      </c>
      <c r="BT121" s="366">
        <v>2.9020000000000001</v>
      </c>
    </row>
    <row r="122" spans="1:72">
      <c r="A122" s="362" t="s">
        <v>549</v>
      </c>
      <c r="B122" s="363" t="s">
        <v>779</v>
      </c>
      <c r="C122" s="363"/>
      <c r="D122" s="363"/>
      <c r="E122" s="363"/>
      <c r="F122" s="364" t="s">
        <v>780</v>
      </c>
      <c r="G122" s="364"/>
      <c r="H122" s="365">
        <v>0</v>
      </c>
      <c r="I122" s="366">
        <v>0</v>
      </c>
      <c r="J122" s="367">
        <v>0</v>
      </c>
      <c r="K122" s="367">
        <v>0</v>
      </c>
      <c r="L122" s="367">
        <v>0</v>
      </c>
      <c r="M122" s="367">
        <v>0</v>
      </c>
      <c r="N122" s="367">
        <v>0</v>
      </c>
      <c r="O122" s="367">
        <v>0</v>
      </c>
      <c r="P122" s="367">
        <v>0</v>
      </c>
      <c r="Q122" s="367">
        <v>0</v>
      </c>
      <c r="R122" s="367">
        <v>0</v>
      </c>
      <c r="S122" s="367">
        <v>0</v>
      </c>
      <c r="T122" s="367">
        <v>0</v>
      </c>
      <c r="U122" s="367">
        <v>0</v>
      </c>
      <c r="V122" s="367">
        <v>0</v>
      </c>
      <c r="W122" s="366">
        <v>0</v>
      </c>
      <c r="X122" s="367">
        <v>0</v>
      </c>
      <c r="Y122" s="367">
        <v>0</v>
      </c>
      <c r="Z122" s="367">
        <v>0</v>
      </c>
      <c r="AA122" s="367">
        <v>0</v>
      </c>
      <c r="AB122" s="367">
        <v>0</v>
      </c>
      <c r="AC122" s="367">
        <v>0</v>
      </c>
      <c r="AD122" s="367">
        <v>0</v>
      </c>
      <c r="AE122" s="367">
        <v>0</v>
      </c>
      <c r="AF122" s="367">
        <v>0</v>
      </c>
      <c r="AG122" s="367">
        <v>0</v>
      </c>
      <c r="AH122" s="367">
        <v>0</v>
      </c>
      <c r="AI122" s="367">
        <v>0</v>
      </c>
      <c r="AJ122" s="367">
        <v>0</v>
      </c>
      <c r="AK122" s="367">
        <v>0</v>
      </c>
      <c r="AL122" s="367">
        <v>0</v>
      </c>
      <c r="AM122" s="367">
        <v>0</v>
      </c>
      <c r="AN122" s="367">
        <v>0</v>
      </c>
      <c r="AO122" s="367">
        <v>0</v>
      </c>
      <c r="AP122" s="367">
        <v>0</v>
      </c>
      <c r="AQ122" s="367">
        <v>0</v>
      </c>
      <c r="AR122" s="367">
        <v>0</v>
      </c>
      <c r="AS122" s="367">
        <v>0</v>
      </c>
      <c r="AT122" s="366">
        <v>0</v>
      </c>
      <c r="AU122" s="367">
        <v>0</v>
      </c>
      <c r="AV122" s="367">
        <v>0</v>
      </c>
      <c r="AW122" s="367">
        <v>0</v>
      </c>
      <c r="AX122" s="367">
        <v>0</v>
      </c>
      <c r="AY122" s="367">
        <v>0</v>
      </c>
      <c r="AZ122" s="366">
        <v>0</v>
      </c>
      <c r="BA122" s="367">
        <v>0</v>
      </c>
      <c r="BB122" s="367">
        <v>0</v>
      </c>
      <c r="BC122" s="367">
        <v>0</v>
      </c>
      <c r="BD122" s="367">
        <v>0</v>
      </c>
      <c r="BE122" s="367">
        <v>0</v>
      </c>
      <c r="BF122" s="367">
        <v>0</v>
      </c>
      <c r="BG122" s="367">
        <v>0</v>
      </c>
      <c r="BH122" s="367">
        <v>0</v>
      </c>
      <c r="BI122" s="367">
        <v>0</v>
      </c>
      <c r="BJ122" s="367">
        <v>0</v>
      </c>
      <c r="BK122" s="367">
        <v>0</v>
      </c>
      <c r="BL122" s="367">
        <v>0</v>
      </c>
      <c r="BM122" s="367">
        <v>0</v>
      </c>
      <c r="BN122" s="367">
        <v>0</v>
      </c>
      <c r="BO122" s="366">
        <v>0</v>
      </c>
      <c r="BP122" s="367">
        <v>0</v>
      </c>
      <c r="BQ122" s="367">
        <v>0</v>
      </c>
      <c r="BR122" s="368">
        <v>0</v>
      </c>
      <c r="BS122" s="368">
        <v>0</v>
      </c>
      <c r="BT122" s="366">
        <v>0</v>
      </c>
    </row>
    <row r="123" spans="1:72">
      <c r="A123" s="362" t="s">
        <v>549</v>
      </c>
      <c r="B123" s="363" t="s">
        <v>781</v>
      </c>
      <c r="C123" s="363"/>
      <c r="D123" s="363"/>
      <c r="E123" s="363"/>
      <c r="F123" s="364" t="s">
        <v>782</v>
      </c>
      <c r="G123" s="364"/>
      <c r="H123" s="365">
        <v>0.122</v>
      </c>
      <c r="I123" s="366">
        <v>0</v>
      </c>
      <c r="J123" s="367">
        <v>0</v>
      </c>
      <c r="K123" s="367">
        <v>0</v>
      </c>
      <c r="L123" s="367">
        <v>0</v>
      </c>
      <c r="M123" s="367">
        <v>0</v>
      </c>
      <c r="N123" s="367">
        <v>0</v>
      </c>
      <c r="O123" s="367">
        <v>0</v>
      </c>
      <c r="P123" s="367">
        <v>0</v>
      </c>
      <c r="Q123" s="367">
        <v>0</v>
      </c>
      <c r="R123" s="367">
        <v>0</v>
      </c>
      <c r="S123" s="367">
        <v>0</v>
      </c>
      <c r="T123" s="367">
        <v>0</v>
      </c>
      <c r="U123" s="367">
        <v>0</v>
      </c>
      <c r="V123" s="367">
        <v>0</v>
      </c>
      <c r="W123" s="366">
        <v>0</v>
      </c>
      <c r="X123" s="367">
        <v>0</v>
      </c>
      <c r="Y123" s="367">
        <v>0</v>
      </c>
      <c r="Z123" s="367">
        <v>0</v>
      </c>
      <c r="AA123" s="367">
        <v>0</v>
      </c>
      <c r="AB123" s="367">
        <v>0</v>
      </c>
      <c r="AC123" s="367">
        <v>0</v>
      </c>
      <c r="AD123" s="367">
        <v>0</v>
      </c>
      <c r="AE123" s="367">
        <v>0</v>
      </c>
      <c r="AF123" s="367">
        <v>0</v>
      </c>
      <c r="AG123" s="367">
        <v>0</v>
      </c>
      <c r="AH123" s="367">
        <v>0</v>
      </c>
      <c r="AI123" s="367">
        <v>0</v>
      </c>
      <c r="AJ123" s="367">
        <v>0</v>
      </c>
      <c r="AK123" s="367">
        <v>0</v>
      </c>
      <c r="AL123" s="367">
        <v>0</v>
      </c>
      <c r="AM123" s="367">
        <v>0</v>
      </c>
      <c r="AN123" s="367">
        <v>0</v>
      </c>
      <c r="AO123" s="367">
        <v>0</v>
      </c>
      <c r="AP123" s="367">
        <v>0</v>
      </c>
      <c r="AQ123" s="367">
        <v>0</v>
      </c>
      <c r="AR123" s="367">
        <v>0</v>
      </c>
      <c r="AS123" s="367">
        <v>0</v>
      </c>
      <c r="AT123" s="366">
        <v>0</v>
      </c>
      <c r="AU123" s="367">
        <v>0</v>
      </c>
      <c r="AV123" s="367">
        <v>0</v>
      </c>
      <c r="AW123" s="367">
        <v>0</v>
      </c>
      <c r="AX123" s="367">
        <v>0</v>
      </c>
      <c r="AY123" s="367">
        <v>0</v>
      </c>
      <c r="AZ123" s="366">
        <v>0</v>
      </c>
      <c r="BA123" s="367">
        <v>0</v>
      </c>
      <c r="BB123" s="367">
        <v>0</v>
      </c>
      <c r="BC123" s="367">
        <v>0</v>
      </c>
      <c r="BD123" s="367">
        <v>0</v>
      </c>
      <c r="BE123" s="367">
        <v>0</v>
      </c>
      <c r="BF123" s="367">
        <v>0</v>
      </c>
      <c r="BG123" s="367">
        <v>0</v>
      </c>
      <c r="BH123" s="367">
        <v>0</v>
      </c>
      <c r="BI123" s="367">
        <v>0</v>
      </c>
      <c r="BJ123" s="367">
        <v>0</v>
      </c>
      <c r="BK123" s="367">
        <v>0</v>
      </c>
      <c r="BL123" s="367">
        <v>0</v>
      </c>
      <c r="BM123" s="367">
        <v>0</v>
      </c>
      <c r="BN123" s="367">
        <v>0</v>
      </c>
      <c r="BO123" s="366">
        <v>0</v>
      </c>
      <c r="BP123" s="367">
        <v>0</v>
      </c>
      <c r="BQ123" s="367">
        <v>0</v>
      </c>
      <c r="BR123" s="368">
        <v>0</v>
      </c>
      <c r="BS123" s="368">
        <v>0</v>
      </c>
      <c r="BT123" s="366">
        <v>0.122</v>
      </c>
    </row>
    <row r="124" spans="1:72">
      <c r="A124" s="362" t="s">
        <v>549</v>
      </c>
      <c r="B124" s="363" t="s">
        <v>617</v>
      </c>
      <c r="C124" s="363"/>
      <c r="D124" s="363"/>
      <c r="E124" s="363"/>
      <c r="F124" s="364" t="s">
        <v>783</v>
      </c>
      <c r="G124" s="364"/>
      <c r="H124" s="365">
        <v>0</v>
      </c>
      <c r="I124" s="366">
        <v>0</v>
      </c>
      <c r="J124" s="367">
        <v>0</v>
      </c>
      <c r="K124" s="367">
        <v>0</v>
      </c>
      <c r="L124" s="367">
        <v>0</v>
      </c>
      <c r="M124" s="367">
        <v>0</v>
      </c>
      <c r="N124" s="367">
        <v>0</v>
      </c>
      <c r="O124" s="367">
        <v>0</v>
      </c>
      <c r="P124" s="367">
        <v>0</v>
      </c>
      <c r="Q124" s="367">
        <v>0</v>
      </c>
      <c r="R124" s="367">
        <v>0</v>
      </c>
      <c r="S124" s="367">
        <v>0</v>
      </c>
      <c r="T124" s="367">
        <v>0</v>
      </c>
      <c r="U124" s="367">
        <v>0</v>
      </c>
      <c r="V124" s="367">
        <v>0</v>
      </c>
      <c r="W124" s="366">
        <v>0</v>
      </c>
      <c r="X124" s="367">
        <v>0</v>
      </c>
      <c r="Y124" s="367">
        <v>0</v>
      </c>
      <c r="Z124" s="367">
        <v>0</v>
      </c>
      <c r="AA124" s="367">
        <v>0</v>
      </c>
      <c r="AB124" s="367">
        <v>0</v>
      </c>
      <c r="AC124" s="367">
        <v>0</v>
      </c>
      <c r="AD124" s="367">
        <v>0</v>
      </c>
      <c r="AE124" s="367">
        <v>0</v>
      </c>
      <c r="AF124" s="367">
        <v>0</v>
      </c>
      <c r="AG124" s="367">
        <v>0</v>
      </c>
      <c r="AH124" s="367">
        <v>0</v>
      </c>
      <c r="AI124" s="367">
        <v>0</v>
      </c>
      <c r="AJ124" s="367">
        <v>0</v>
      </c>
      <c r="AK124" s="367">
        <v>0</v>
      </c>
      <c r="AL124" s="367">
        <v>0</v>
      </c>
      <c r="AM124" s="367">
        <v>0</v>
      </c>
      <c r="AN124" s="367">
        <v>0</v>
      </c>
      <c r="AO124" s="367">
        <v>0</v>
      </c>
      <c r="AP124" s="367">
        <v>0</v>
      </c>
      <c r="AQ124" s="367">
        <v>0</v>
      </c>
      <c r="AR124" s="367">
        <v>0</v>
      </c>
      <c r="AS124" s="367">
        <v>0</v>
      </c>
      <c r="AT124" s="366">
        <v>0</v>
      </c>
      <c r="AU124" s="367">
        <v>0</v>
      </c>
      <c r="AV124" s="367">
        <v>0</v>
      </c>
      <c r="AW124" s="367">
        <v>0</v>
      </c>
      <c r="AX124" s="367">
        <v>0</v>
      </c>
      <c r="AY124" s="367">
        <v>0</v>
      </c>
      <c r="AZ124" s="366">
        <v>0</v>
      </c>
      <c r="BA124" s="367">
        <v>0</v>
      </c>
      <c r="BB124" s="367">
        <v>0</v>
      </c>
      <c r="BC124" s="367">
        <v>0</v>
      </c>
      <c r="BD124" s="367">
        <v>0</v>
      </c>
      <c r="BE124" s="367">
        <v>0</v>
      </c>
      <c r="BF124" s="367">
        <v>0</v>
      </c>
      <c r="BG124" s="367">
        <v>0</v>
      </c>
      <c r="BH124" s="367">
        <v>0</v>
      </c>
      <c r="BI124" s="367">
        <v>0</v>
      </c>
      <c r="BJ124" s="367">
        <v>0</v>
      </c>
      <c r="BK124" s="367">
        <v>0</v>
      </c>
      <c r="BL124" s="367">
        <v>0</v>
      </c>
      <c r="BM124" s="367">
        <v>0</v>
      </c>
      <c r="BN124" s="367">
        <v>0</v>
      </c>
      <c r="BO124" s="366">
        <v>0</v>
      </c>
      <c r="BP124" s="367">
        <v>0</v>
      </c>
      <c r="BQ124" s="367">
        <v>0</v>
      </c>
      <c r="BR124" s="368">
        <v>0</v>
      </c>
      <c r="BS124" s="368">
        <v>0</v>
      </c>
      <c r="BT124" s="366">
        <v>0</v>
      </c>
    </row>
    <row r="125" spans="1:72">
      <c r="A125" s="362" t="s">
        <v>549</v>
      </c>
      <c r="B125" s="363" t="s">
        <v>784</v>
      </c>
      <c r="C125" s="363"/>
      <c r="D125" s="363"/>
      <c r="E125" s="363"/>
      <c r="F125" s="364" t="s">
        <v>785</v>
      </c>
      <c r="G125" s="364"/>
      <c r="H125" s="365">
        <v>0</v>
      </c>
      <c r="I125" s="366">
        <v>0</v>
      </c>
      <c r="J125" s="367">
        <v>0</v>
      </c>
      <c r="K125" s="367">
        <v>0</v>
      </c>
      <c r="L125" s="367">
        <v>0</v>
      </c>
      <c r="M125" s="367">
        <v>0</v>
      </c>
      <c r="N125" s="367">
        <v>0</v>
      </c>
      <c r="O125" s="367">
        <v>0</v>
      </c>
      <c r="P125" s="367">
        <v>0</v>
      </c>
      <c r="Q125" s="367">
        <v>0</v>
      </c>
      <c r="R125" s="367">
        <v>0</v>
      </c>
      <c r="S125" s="367">
        <v>0</v>
      </c>
      <c r="T125" s="367">
        <v>0</v>
      </c>
      <c r="U125" s="367">
        <v>0</v>
      </c>
      <c r="V125" s="367">
        <v>0</v>
      </c>
      <c r="W125" s="366">
        <v>0</v>
      </c>
      <c r="X125" s="367">
        <v>0</v>
      </c>
      <c r="Y125" s="367">
        <v>0</v>
      </c>
      <c r="Z125" s="367">
        <v>0</v>
      </c>
      <c r="AA125" s="367">
        <v>0</v>
      </c>
      <c r="AB125" s="367">
        <v>0</v>
      </c>
      <c r="AC125" s="367">
        <v>0</v>
      </c>
      <c r="AD125" s="367">
        <v>0</v>
      </c>
      <c r="AE125" s="367">
        <v>0</v>
      </c>
      <c r="AF125" s="367">
        <v>0</v>
      </c>
      <c r="AG125" s="367">
        <v>0</v>
      </c>
      <c r="AH125" s="367">
        <v>0</v>
      </c>
      <c r="AI125" s="367">
        <v>0</v>
      </c>
      <c r="AJ125" s="367">
        <v>0</v>
      </c>
      <c r="AK125" s="367">
        <v>0</v>
      </c>
      <c r="AL125" s="367">
        <v>0</v>
      </c>
      <c r="AM125" s="367">
        <v>0</v>
      </c>
      <c r="AN125" s="367">
        <v>0</v>
      </c>
      <c r="AO125" s="367">
        <v>0</v>
      </c>
      <c r="AP125" s="367">
        <v>0</v>
      </c>
      <c r="AQ125" s="367">
        <v>0</v>
      </c>
      <c r="AR125" s="367">
        <v>0</v>
      </c>
      <c r="AS125" s="367">
        <v>0</v>
      </c>
      <c r="AT125" s="366">
        <v>0</v>
      </c>
      <c r="AU125" s="367">
        <v>0</v>
      </c>
      <c r="AV125" s="367">
        <v>0</v>
      </c>
      <c r="AW125" s="367">
        <v>0</v>
      </c>
      <c r="AX125" s="367">
        <v>0</v>
      </c>
      <c r="AY125" s="367">
        <v>0</v>
      </c>
      <c r="AZ125" s="366">
        <v>0</v>
      </c>
      <c r="BA125" s="367">
        <v>0</v>
      </c>
      <c r="BB125" s="367">
        <v>0</v>
      </c>
      <c r="BC125" s="367">
        <v>0</v>
      </c>
      <c r="BD125" s="367">
        <v>0</v>
      </c>
      <c r="BE125" s="367">
        <v>0</v>
      </c>
      <c r="BF125" s="367">
        <v>0</v>
      </c>
      <c r="BG125" s="367">
        <v>0</v>
      </c>
      <c r="BH125" s="367">
        <v>0</v>
      </c>
      <c r="BI125" s="367">
        <v>0</v>
      </c>
      <c r="BJ125" s="367">
        <v>0</v>
      </c>
      <c r="BK125" s="367">
        <v>0</v>
      </c>
      <c r="BL125" s="367">
        <v>0</v>
      </c>
      <c r="BM125" s="367">
        <v>0</v>
      </c>
      <c r="BN125" s="367">
        <v>0</v>
      </c>
      <c r="BO125" s="366">
        <v>0</v>
      </c>
      <c r="BP125" s="367">
        <v>0</v>
      </c>
      <c r="BQ125" s="367">
        <v>0</v>
      </c>
      <c r="BR125" s="368">
        <v>0</v>
      </c>
      <c r="BS125" s="368">
        <v>0</v>
      </c>
      <c r="BT125" s="366">
        <v>0</v>
      </c>
    </row>
    <row r="126" spans="1:72">
      <c r="A126" s="362" t="s">
        <v>549</v>
      </c>
      <c r="B126" s="363" t="s">
        <v>619</v>
      </c>
      <c r="C126" s="363"/>
      <c r="D126" s="363"/>
      <c r="E126" s="363"/>
      <c r="F126" s="364" t="s">
        <v>786</v>
      </c>
      <c r="G126" s="364"/>
      <c r="H126" s="365">
        <v>0</v>
      </c>
      <c r="I126" s="366">
        <v>0</v>
      </c>
      <c r="J126" s="367">
        <v>0</v>
      </c>
      <c r="K126" s="367">
        <v>0</v>
      </c>
      <c r="L126" s="367">
        <v>0</v>
      </c>
      <c r="M126" s="367">
        <v>0</v>
      </c>
      <c r="N126" s="367">
        <v>0</v>
      </c>
      <c r="O126" s="367">
        <v>0</v>
      </c>
      <c r="P126" s="367">
        <v>0</v>
      </c>
      <c r="Q126" s="367">
        <v>0</v>
      </c>
      <c r="R126" s="367">
        <v>0</v>
      </c>
      <c r="S126" s="367">
        <v>0</v>
      </c>
      <c r="T126" s="367">
        <v>0</v>
      </c>
      <c r="U126" s="367">
        <v>0</v>
      </c>
      <c r="V126" s="367">
        <v>0</v>
      </c>
      <c r="W126" s="366">
        <v>0</v>
      </c>
      <c r="X126" s="367">
        <v>0</v>
      </c>
      <c r="Y126" s="367">
        <v>0</v>
      </c>
      <c r="Z126" s="367">
        <v>0</v>
      </c>
      <c r="AA126" s="367">
        <v>0</v>
      </c>
      <c r="AB126" s="367">
        <v>0</v>
      </c>
      <c r="AC126" s="367">
        <v>0</v>
      </c>
      <c r="AD126" s="367">
        <v>0</v>
      </c>
      <c r="AE126" s="367">
        <v>0</v>
      </c>
      <c r="AF126" s="367">
        <v>0</v>
      </c>
      <c r="AG126" s="367">
        <v>0</v>
      </c>
      <c r="AH126" s="367">
        <v>0</v>
      </c>
      <c r="AI126" s="367">
        <v>0</v>
      </c>
      <c r="AJ126" s="367">
        <v>0</v>
      </c>
      <c r="AK126" s="367">
        <v>0</v>
      </c>
      <c r="AL126" s="367">
        <v>0</v>
      </c>
      <c r="AM126" s="367">
        <v>0</v>
      </c>
      <c r="AN126" s="367">
        <v>0</v>
      </c>
      <c r="AO126" s="367">
        <v>0</v>
      </c>
      <c r="AP126" s="367">
        <v>0</v>
      </c>
      <c r="AQ126" s="367">
        <v>0</v>
      </c>
      <c r="AR126" s="367">
        <v>0</v>
      </c>
      <c r="AS126" s="367">
        <v>0</v>
      </c>
      <c r="AT126" s="366">
        <v>0</v>
      </c>
      <c r="AU126" s="367">
        <v>0</v>
      </c>
      <c r="AV126" s="367">
        <v>0</v>
      </c>
      <c r="AW126" s="367">
        <v>0</v>
      </c>
      <c r="AX126" s="367">
        <v>0</v>
      </c>
      <c r="AY126" s="367">
        <v>0</v>
      </c>
      <c r="AZ126" s="366">
        <v>0</v>
      </c>
      <c r="BA126" s="367">
        <v>0</v>
      </c>
      <c r="BB126" s="367">
        <v>0</v>
      </c>
      <c r="BC126" s="367">
        <v>0</v>
      </c>
      <c r="BD126" s="367">
        <v>0</v>
      </c>
      <c r="BE126" s="367">
        <v>0</v>
      </c>
      <c r="BF126" s="367">
        <v>0</v>
      </c>
      <c r="BG126" s="367">
        <v>0</v>
      </c>
      <c r="BH126" s="367">
        <v>0</v>
      </c>
      <c r="BI126" s="367">
        <v>0</v>
      </c>
      <c r="BJ126" s="367">
        <v>0</v>
      </c>
      <c r="BK126" s="367">
        <v>0</v>
      </c>
      <c r="BL126" s="367">
        <v>0</v>
      </c>
      <c r="BM126" s="367">
        <v>0</v>
      </c>
      <c r="BN126" s="367">
        <v>0</v>
      </c>
      <c r="BO126" s="366">
        <v>0</v>
      </c>
      <c r="BP126" s="367">
        <v>0</v>
      </c>
      <c r="BQ126" s="367">
        <v>0</v>
      </c>
      <c r="BR126" s="368">
        <v>0</v>
      </c>
      <c r="BS126" s="368">
        <v>0</v>
      </c>
      <c r="BT126" s="366">
        <v>0</v>
      </c>
    </row>
    <row r="127" spans="1:72">
      <c r="A127" s="362" t="s">
        <v>549</v>
      </c>
      <c r="B127" s="363" t="s">
        <v>603</v>
      </c>
      <c r="C127" s="363"/>
      <c r="D127" s="363"/>
      <c r="E127" s="363"/>
      <c r="F127" s="364" t="s">
        <v>787</v>
      </c>
      <c r="G127" s="364"/>
      <c r="H127" s="365">
        <v>0</v>
      </c>
      <c r="I127" s="366">
        <v>0</v>
      </c>
      <c r="J127" s="367">
        <v>0</v>
      </c>
      <c r="K127" s="367">
        <v>0</v>
      </c>
      <c r="L127" s="367">
        <v>0</v>
      </c>
      <c r="M127" s="367">
        <v>0</v>
      </c>
      <c r="N127" s="367">
        <v>0</v>
      </c>
      <c r="O127" s="367">
        <v>0</v>
      </c>
      <c r="P127" s="367">
        <v>0</v>
      </c>
      <c r="Q127" s="367">
        <v>0</v>
      </c>
      <c r="R127" s="367">
        <v>0</v>
      </c>
      <c r="S127" s="367">
        <v>0</v>
      </c>
      <c r="T127" s="367">
        <v>0</v>
      </c>
      <c r="U127" s="367">
        <v>0</v>
      </c>
      <c r="V127" s="367">
        <v>0</v>
      </c>
      <c r="W127" s="366">
        <v>0</v>
      </c>
      <c r="X127" s="367">
        <v>0</v>
      </c>
      <c r="Y127" s="367">
        <v>0</v>
      </c>
      <c r="Z127" s="367">
        <v>0</v>
      </c>
      <c r="AA127" s="367">
        <v>0</v>
      </c>
      <c r="AB127" s="367">
        <v>0</v>
      </c>
      <c r="AC127" s="367">
        <v>0</v>
      </c>
      <c r="AD127" s="367">
        <v>0</v>
      </c>
      <c r="AE127" s="367">
        <v>0</v>
      </c>
      <c r="AF127" s="367">
        <v>0</v>
      </c>
      <c r="AG127" s="367">
        <v>0</v>
      </c>
      <c r="AH127" s="367">
        <v>0</v>
      </c>
      <c r="AI127" s="367">
        <v>0</v>
      </c>
      <c r="AJ127" s="367">
        <v>0</v>
      </c>
      <c r="AK127" s="367">
        <v>0</v>
      </c>
      <c r="AL127" s="367">
        <v>0</v>
      </c>
      <c r="AM127" s="367">
        <v>0</v>
      </c>
      <c r="AN127" s="367">
        <v>0</v>
      </c>
      <c r="AO127" s="367">
        <v>0</v>
      </c>
      <c r="AP127" s="367">
        <v>0</v>
      </c>
      <c r="AQ127" s="367">
        <v>0</v>
      </c>
      <c r="AR127" s="367">
        <v>0</v>
      </c>
      <c r="AS127" s="367">
        <v>0</v>
      </c>
      <c r="AT127" s="366">
        <v>0</v>
      </c>
      <c r="AU127" s="367">
        <v>0</v>
      </c>
      <c r="AV127" s="367">
        <v>0</v>
      </c>
      <c r="AW127" s="367">
        <v>0</v>
      </c>
      <c r="AX127" s="367">
        <v>0</v>
      </c>
      <c r="AY127" s="367">
        <v>0</v>
      </c>
      <c r="AZ127" s="366">
        <v>0</v>
      </c>
      <c r="BA127" s="367">
        <v>0</v>
      </c>
      <c r="BB127" s="367">
        <v>0</v>
      </c>
      <c r="BC127" s="367">
        <v>0</v>
      </c>
      <c r="BD127" s="367">
        <v>0</v>
      </c>
      <c r="BE127" s="367">
        <v>0</v>
      </c>
      <c r="BF127" s="367">
        <v>0</v>
      </c>
      <c r="BG127" s="367">
        <v>0</v>
      </c>
      <c r="BH127" s="367">
        <v>0</v>
      </c>
      <c r="BI127" s="367">
        <v>0</v>
      </c>
      <c r="BJ127" s="367">
        <v>0</v>
      </c>
      <c r="BK127" s="367">
        <v>0</v>
      </c>
      <c r="BL127" s="367">
        <v>0</v>
      </c>
      <c r="BM127" s="367">
        <v>0</v>
      </c>
      <c r="BN127" s="367">
        <v>0</v>
      </c>
      <c r="BO127" s="366">
        <v>0</v>
      </c>
      <c r="BP127" s="367">
        <v>0</v>
      </c>
      <c r="BQ127" s="367">
        <v>0</v>
      </c>
      <c r="BR127" s="368">
        <v>0</v>
      </c>
      <c r="BS127" s="368">
        <v>0</v>
      </c>
      <c r="BT127" s="366">
        <v>0</v>
      </c>
    </row>
    <row r="128" spans="1:72">
      <c r="A128" s="362" t="s">
        <v>549</v>
      </c>
      <c r="B128" s="363" t="s">
        <v>788</v>
      </c>
      <c r="C128" s="363"/>
      <c r="D128" s="363"/>
      <c r="E128" s="363"/>
      <c r="F128" s="364" t="s">
        <v>789</v>
      </c>
      <c r="G128" s="364"/>
      <c r="H128" s="365">
        <v>0</v>
      </c>
      <c r="I128" s="366">
        <v>0</v>
      </c>
      <c r="J128" s="367">
        <v>0</v>
      </c>
      <c r="K128" s="367">
        <v>0</v>
      </c>
      <c r="L128" s="367">
        <v>0</v>
      </c>
      <c r="M128" s="367">
        <v>0</v>
      </c>
      <c r="N128" s="367">
        <v>0</v>
      </c>
      <c r="O128" s="367">
        <v>0</v>
      </c>
      <c r="P128" s="367">
        <v>0</v>
      </c>
      <c r="Q128" s="367">
        <v>0</v>
      </c>
      <c r="R128" s="367">
        <v>0</v>
      </c>
      <c r="S128" s="367">
        <v>0</v>
      </c>
      <c r="T128" s="367">
        <v>0</v>
      </c>
      <c r="U128" s="367">
        <v>0</v>
      </c>
      <c r="V128" s="367">
        <v>0</v>
      </c>
      <c r="W128" s="366">
        <v>0</v>
      </c>
      <c r="X128" s="367">
        <v>0</v>
      </c>
      <c r="Y128" s="367">
        <v>0</v>
      </c>
      <c r="Z128" s="367">
        <v>0</v>
      </c>
      <c r="AA128" s="367">
        <v>0</v>
      </c>
      <c r="AB128" s="367">
        <v>0</v>
      </c>
      <c r="AC128" s="367">
        <v>0</v>
      </c>
      <c r="AD128" s="367">
        <v>0</v>
      </c>
      <c r="AE128" s="367">
        <v>0</v>
      </c>
      <c r="AF128" s="367">
        <v>0</v>
      </c>
      <c r="AG128" s="367">
        <v>0</v>
      </c>
      <c r="AH128" s="367">
        <v>0</v>
      </c>
      <c r="AI128" s="367">
        <v>0</v>
      </c>
      <c r="AJ128" s="367">
        <v>0</v>
      </c>
      <c r="AK128" s="367">
        <v>0</v>
      </c>
      <c r="AL128" s="367">
        <v>0</v>
      </c>
      <c r="AM128" s="367">
        <v>0</v>
      </c>
      <c r="AN128" s="367">
        <v>0</v>
      </c>
      <c r="AO128" s="367">
        <v>0</v>
      </c>
      <c r="AP128" s="367">
        <v>0</v>
      </c>
      <c r="AQ128" s="367">
        <v>0</v>
      </c>
      <c r="AR128" s="367">
        <v>0</v>
      </c>
      <c r="AS128" s="367">
        <v>0</v>
      </c>
      <c r="AT128" s="366">
        <v>0</v>
      </c>
      <c r="AU128" s="367">
        <v>0</v>
      </c>
      <c r="AV128" s="367">
        <v>0</v>
      </c>
      <c r="AW128" s="367">
        <v>0</v>
      </c>
      <c r="AX128" s="367">
        <v>0</v>
      </c>
      <c r="AY128" s="367">
        <v>0</v>
      </c>
      <c r="AZ128" s="366">
        <v>0</v>
      </c>
      <c r="BA128" s="367">
        <v>0</v>
      </c>
      <c r="BB128" s="367">
        <v>0</v>
      </c>
      <c r="BC128" s="367">
        <v>0</v>
      </c>
      <c r="BD128" s="367">
        <v>0</v>
      </c>
      <c r="BE128" s="367">
        <v>0</v>
      </c>
      <c r="BF128" s="367">
        <v>0</v>
      </c>
      <c r="BG128" s="367">
        <v>0</v>
      </c>
      <c r="BH128" s="367">
        <v>0</v>
      </c>
      <c r="BI128" s="367">
        <v>0</v>
      </c>
      <c r="BJ128" s="367">
        <v>0</v>
      </c>
      <c r="BK128" s="367">
        <v>0</v>
      </c>
      <c r="BL128" s="367">
        <v>0</v>
      </c>
      <c r="BM128" s="367">
        <v>0</v>
      </c>
      <c r="BN128" s="367">
        <v>0</v>
      </c>
      <c r="BO128" s="366">
        <v>0</v>
      </c>
      <c r="BP128" s="367">
        <v>0</v>
      </c>
      <c r="BQ128" s="367">
        <v>0</v>
      </c>
      <c r="BR128" s="368">
        <v>0</v>
      </c>
      <c r="BS128" s="368">
        <v>0</v>
      </c>
      <c r="BT128" s="366">
        <v>0</v>
      </c>
    </row>
    <row r="129" spans="1:72">
      <c r="A129" s="362" t="s">
        <v>549</v>
      </c>
      <c r="B129" s="363" t="s">
        <v>621</v>
      </c>
      <c r="C129" s="363"/>
      <c r="D129" s="363"/>
      <c r="E129" s="363"/>
      <c r="F129" s="364" t="s">
        <v>790</v>
      </c>
      <c r="G129" s="364"/>
      <c r="H129" s="365">
        <v>0</v>
      </c>
      <c r="I129" s="366">
        <v>0</v>
      </c>
      <c r="J129" s="367">
        <v>0</v>
      </c>
      <c r="K129" s="367">
        <v>0</v>
      </c>
      <c r="L129" s="367">
        <v>0</v>
      </c>
      <c r="M129" s="367">
        <v>0</v>
      </c>
      <c r="N129" s="367">
        <v>0</v>
      </c>
      <c r="O129" s="367">
        <v>0</v>
      </c>
      <c r="P129" s="367">
        <v>0</v>
      </c>
      <c r="Q129" s="367">
        <v>0</v>
      </c>
      <c r="R129" s="367">
        <v>0</v>
      </c>
      <c r="S129" s="367">
        <v>0</v>
      </c>
      <c r="T129" s="367">
        <v>0</v>
      </c>
      <c r="U129" s="367">
        <v>0</v>
      </c>
      <c r="V129" s="367">
        <v>0</v>
      </c>
      <c r="W129" s="366">
        <v>0</v>
      </c>
      <c r="X129" s="367">
        <v>0</v>
      </c>
      <c r="Y129" s="367">
        <v>0</v>
      </c>
      <c r="Z129" s="367">
        <v>0</v>
      </c>
      <c r="AA129" s="367">
        <v>0</v>
      </c>
      <c r="AB129" s="367">
        <v>0</v>
      </c>
      <c r="AC129" s="367">
        <v>0</v>
      </c>
      <c r="AD129" s="367">
        <v>0</v>
      </c>
      <c r="AE129" s="367">
        <v>0</v>
      </c>
      <c r="AF129" s="367">
        <v>0</v>
      </c>
      <c r="AG129" s="367">
        <v>0</v>
      </c>
      <c r="AH129" s="367">
        <v>0</v>
      </c>
      <c r="AI129" s="367">
        <v>0</v>
      </c>
      <c r="AJ129" s="367">
        <v>0</v>
      </c>
      <c r="AK129" s="367">
        <v>0</v>
      </c>
      <c r="AL129" s="367">
        <v>0</v>
      </c>
      <c r="AM129" s="367">
        <v>0</v>
      </c>
      <c r="AN129" s="367">
        <v>0</v>
      </c>
      <c r="AO129" s="367">
        <v>0</v>
      </c>
      <c r="AP129" s="367">
        <v>0</v>
      </c>
      <c r="AQ129" s="367">
        <v>0</v>
      </c>
      <c r="AR129" s="367">
        <v>0</v>
      </c>
      <c r="AS129" s="367">
        <v>0</v>
      </c>
      <c r="AT129" s="366">
        <v>0</v>
      </c>
      <c r="AU129" s="367">
        <v>0</v>
      </c>
      <c r="AV129" s="367">
        <v>0</v>
      </c>
      <c r="AW129" s="367">
        <v>0</v>
      </c>
      <c r="AX129" s="367">
        <v>0</v>
      </c>
      <c r="AY129" s="367">
        <v>0</v>
      </c>
      <c r="AZ129" s="366">
        <v>0</v>
      </c>
      <c r="BA129" s="367">
        <v>0</v>
      </c>
      <c r="BB129" s="367">
        <v>0</v>
      </c>
      <c r="BC129" s="367">
        <v>0</v>
      </c>
      <c r="BD129" s="367">
        <v>0</v>
      </c>
      <c r="BE129" s="367">
        <v>0</v>
      </c>
      <c r="BF129" s="367">
        <v>0</v>
      </c>
      <c r="BG129" s="367">
        <v>0</v>
      </c>
      <c r="BH129" s="367">
        <v>0</v>
      </c>
      <c r="BI129" s="367">
        <v>0</v>
      </c>
      <c r="BJ129" s="367">
        <v>0</v>
      </c>
      <c r="BK129" s="367">
        <v>0</v>
      </c>
      <c r="BL129" s="367">
        <v>0</v>
      </c>
      <c r="BM129" s="367">
        <v>0</v>
      </c>
      <c r="BN129" s="367">
        <v>0</v>
      </c>
      <c r="BO129" s="366">
        <v>0</v>
      </c>
      <c r="BP129" s="367">
        <v>0</v>
      </c>
      <c r="BQ129" s="367">
        <v>0</v>
      </c>
      <c r="BR129" s="368">
        <v>0</v>
      </c>
      <c r="BS129" s="368">
        <v>0</v>
      </c>
      <c r="BT129" s="366">
        <v>0</v>
      </c>
    </row>
    <row r="130" spans="1:72">
      <c r="A130" s="362" t="s">
        <v>549</v>
      </c>
      <c r="B130" s="363" t="s">
        <v>791</v>
      </c>
      <c r="C130" s="363"/>
      <c r="D130" s="363"/>
      <c r="E130" s="363"/>
      <c r="F130" s="364" t="s">
        <v>792</v>
      </c>
      <c r="G130" s="364"/>
      <c r="H130" s="365">
        <v>0</v>
      </c>
      <c r="I130" s="366">
        <v>0</v>
      </c>
      <c r="J130" s="367">
        <v>0</v>
      </c>
      <c r="K130" s="367">
        <v>0</v>
      </c>
      <c r="L130" s="367">
        <v>0</v>
      </c>
      <c r="M130" s="367">
        <v>0</v>
      </c>
      <c r="N130" s="367">
        <v>0</v>
      </c>
      <c r="O130" s="367">
        <v>0</v>
      </c>
      <c r="P130" s="367">
        <v>0</v>
      </c>
      <c r="Q130" s="367">
        <v>0</v>
      </c>
      <c r="R130" s="367">
        <v>0</v>
      </c>
      <c r="S130" s="367">
        <v>0</v>
      </c>
      <c r="T130" s="367">
        <v>0</v>
      </c>
      <c r="U130" s="367">
        <v>0</v>
      </c>
      <c r="V130" s="367">
        <v>0</v>
      </c>
      <c r="W130" s="366">
        <v>0</v>
      </c>
      <c r="X130" s="367">
        <v>0</v>
      </c>
      <c r="Y130" s="367">
        <v>0</v>
      </c>
      <c r="Z130" s="367">
        <v>0</v>
      </c>
      <c r="AA130" s="367">
        <v>0</v>
      </c>
      <c r="AB130" s="367">
        <v>0</v>
      </c>
      <c r="AC130" s="367">
        <v>0</v>
      </c>
      <c r="AD130" s="367">
        <v>0</v>
      </c>
      <c r="AE130" s="367">
        <v>0</v>
      </c>
      <c r="AF130" s="367">
        <v>0</v>
      </c>
      <c r="AG130" s="367">
        <v>0</v>
      </c>
      <c r="AH130" s="367">
        <v>0</v>
      </c>
      <c r="AI130" s="367">
        <v>0</v>
      </c>
      <c r="AJ130" s="367">
        <v>0</v>
      </c>
      <c r="AK130" s="367">
        <v>0</v>
      </c>
      <c r="AL130" s="367">
        <v>0</v>
      </c>
      <c r="AM130" s="367">
        <v>0</v>
      </c>
      <c r="AN130" s="367">
        <v>0</v>
      </c>
      <c r="AO130" s="367">
        <v>0</v>
      </c>
      <c r="AP130" s="367">
        <v>0</v>
      </c>
      <c r="AQ130" s="367">
        <v>0</v>
      </c>
      <c r="AR130" s="367">
        <v>0</v>
      </c>
      <c r="AS130" s="367">
        <v>0</v>
      </c>
      <c r="AT130" s="366">
        <v>0</v>
      </c>
      <c r="AU130" s="367">
        <v>0</v>
      </c>
      <c r="AV130" s="367">
        <v>0</v>
      </c>
      <c r="AW130" s="367">
        <v>0</v>
      </c>
      <c r="AX130" s="367">
        <v>0</v>
      </c>
      <c r="AY130" s="367">
        <v>0</v>
      </c>
      <c r="AZ130" s="366">
        <v>0</v>
      </c>
      <c r="BA130" s="367">
        <v>0</v>
      </c>
      <c r="BB130" s="367">
        <v>0</v>
      </c>
      <c r="BC130" s="367">
        <v>0</v>
      </c>
      <c r="BD130" s="367">
        <v>0</v>
      </c>
      <c r="BE130" s="367">
        <v>0</v>
      </c>
      <c r="BF130" s="367">
        <v>0</v>
      </c>
      <c r="BG130" s="367">
        <v>0</v>
      </c>
      <c r="BH130" s="367">
        <v>0</v>
      </c>
      <c r="BI130" s="367">
        <v>0</v>
      </c>
      <c r="BJ130" s="367">
        <v>0</v>
      </c>
      <c r="BK130" s="367">
        <v>0</v>
      </c>
      <c r="BL130" s="367">
        <v>0</v>
      </c>
      <c r="BM130" s="367">
        <v>0</v>
      </c>
      <c r="BN130" s="367">
        <v>0</v>
      </c>
      <c r="BO130" s="366">
        <v>0</v>
      </c>
      <c r="BP130" s="367">
        <v>0</v>
      </c>
      <c r="BQ130" s="367">
        <v>0</v>
      </c>
      <c r="BR130" s="368">
        <v>0</v>
      </c>
      <c r="BS130" s="368">
        <v>0</v>
      </c>
      <c r="BT130" s="366">
        <v>0</v>
      </c>
    </row>
    <row r="131" spans="1:72">
      <c r="A131" s="362" t="s">
        <v>549</v>
      </c>
      <c r="B131" s="363" t="s">
        <v>793</v>
      </c>
      <c r="C131" s="363"/>
      <c r="D131" s="363"/>
      <c r="E131" s="363"/>
      <c r="F131" s="364" t="s">
        <v>794</v>
      </c>
      <c r="G131" s="364"/>
      <c r="H131" s="365">
        <v>0</v>
      </c>
      <c r="I131" s="366">
        <v>0</v>
      </c>
      <c r="J131" s="367">
        <v>0</v>
      </c>
      <c r="K131" s="367">
        <v>0</v>
      </c>
      <c r="L131" s="367">
        <v>0</v>
      </c>
      <c r="M131" s="367">
        <v>0</v>
      </c>
      <c r="N131" s="367">
        <v>0</v>
      </c>
      <c r="O131" s="367">
        <v>0</v>
      </c>
      <c r="P131" s="367">
        <v>0</v>
      </c>
      <c r="Q131" s="367">
        <v>0</v>
      </c>
      <c r="R131" s="367">
        <v>0</v>
      </c>
      <c r="S131" s="367">
        <v>0</v>
      </c>
      <c r="T131" s="367">
        <v>0</v>
      </c>
      <c r="U131" s="367">
        <v>0</v>
      </c>
      <c r="V131" s="367">
        <v>0</v>
      </c>
      <c r="W131" s="366">
        <v>0</v>
      </c>
      <c r="X131" s="367">
        <v>0</v>
      </c>
      <c r="Y131" s="367">
        <v>0</v>
      </c>
      <c r="Z131" s="367">
        <v>0</v>
      </c>
      <c r="AA131" s="367">
        <v>0</v>
      </c>
      <c r="AB131" s="367">
        <v>0</v>
      </c>
      <c r="AC131" s="367">
        <v>0</v>
      </c>
      <c r="AD131" s="367">
        <v>0</v>
      </c>
      <c r="AE131" s="367">
        <v>0</v>
      </c>
      <c r="AF131" s="367">
        <v>0</v>
      </c>
      <c r="AG131" s="367">
        <v>0</v>
      </c>
      <c r="AH131" s="367">
        <v>0</v>
      </c>
      <c r="AI131" s="367">
        <v>0</v>
      </c>
      <c r="AJ131" s="367">
        <v>0</v>
      </c>
      <c r="AK131" s="367">
        <v>0</v>
      </c>
      <c r="AL131" s="367">
        <v>0</v>
      </c>
      <c r="AM131" s="367">
        <v>0</v>
      </c>
      <c r="AN131" s="367">
        <v>0</v>
      </c>
      <c r="AO131" s="367">
        <v>0</v>
      </c>
      <c r="AP131" s="367">
        <v>0</v>
      </c>
      <c r="AQ131" s="367">
        <v>0</v>
      </c>
      <c r="AR131" s="367">
        <v>0</v>
      </c>
      <c r="AS131" s="367">
        <v>0</v>
      </c>
      <c r="AT131" s="366">
        <v>0</v>
      </c>
      <c r="AU131" s="367">
        <v>0</v>
      </c>
      <c r="AV131" s="367">
        <v>0</v>
      </c>
      <c r="AW131" s="367">
        <v>0</v>
      </c>
      <c r="AX131" s="367">
        <v>0</v>
      </c>
      <c r="AY131" s="367">
        <v>0</v>
      </c>
      <c r="AZ131" s="366">
        <v>0</v>
      </c>
      <c r="BA131" s="367">
        <v>0</v>
      </c>
      <c r="BB131" s="367">
        <v>0</v>
      </c>
      <c r="BC131" s="367">
        <v>0</v>
      </c>
      <c r="BD131" s="367">
        <v>0</v>
      </c>
      <c r="BE131" s="367">
        <v>0</v>
      </c>
      <c r="BF131" s="367">
        <v>0</v>
      </c>
      <c r="BG131" s="367">
        <v>0</v>
      </c>
      <c r="BH131" s="367">
        <v>0</v>
      </c>
      <c r="BI131" s="367">
        <v>0</v>
      </c>
      <c r="BJ131" s="367">
        <v>0</v>
      </c>
      <c r="BK131" s="367">
        <v>0</v>
      </c>
      <c r="BL131" s="367">
        <v>0</v>
      </c>
      <c r="BM131" s="367">
        <v>0</v>
      </c>
      <c r="BN131" s="367">
        <v>0</v>
      </c>
      <c r="BO131" s="366">
        <v>0</v>
      </c>
      <c r="BP131" s="367">
        <v>0</v>
      </c>
      <c r="BQ131" s="367">
        <v>0</v>
      </c>
      <c r="BR131" s="368">
        <v>0</v>
      </c>
      <c r="BS131" s="368">
        <v>0</v>
      </c>
      <c r="BT131" s="366">
        <v>0</v>
      </c>
    </row>
    <row r="132" spans="1:72">
      <c r="A132" s="362" t="s">
        <v>549</v>
      </c>
      <c r="B132" s="363" t="s">
        <v>795</v>
      </c>
      <c r="C132" s="363"/>
      <c r="D132" s="363"/>
      <c r="E132" s="363"/>
      <c r="F132" s="364" t="s">
        <v>796</v>
      </c>
      <c r="G132" s="364"/>
      <c r="H132" s="365">
        <v>0</v>
      </c>
      <c r="I132" s="366">
        <v>0</v>
      </c>
      <c r="J132" s="367">
        <v>0</v>
      </c>
      <c r="K132" s="367">
        <v>0</v>
      </c>
      <c r="L132" s="367">
        <v>0</v>
      </c>
      <c r="M132" s="367">
        <v>0</v>
      </c>
      <c r="N132" s="367">
        <v>0</v>
      </c>
      <c r="O132" s="367">
        <v>0</v>
      </c>
      <c r="P132" s="367">
        <v>0</v>
      </c>
      <c r="Q132" s="367">
        <v>0</v>
      </c>
      <c r="R132" s="367">
        <v>0</v>
      </c>
      <c r="S132" s="367">
        <v>0</v>
      </c>
      <c r="T132" s="367">
        <v>0</v>
      </c>
      <c r="U132" s="367">
        <v>0</v>
      </c>
      <c r="V132" s="367">
        <v>0</v>
      </c>
      <c r="W132" s="366">
        <v>0</v>
      </c>
      <c r="X132" s="367">
        <v>0</v>
      </c>
      <c r="Y132" s="367">
        <v>0</v>
      </c>
      <c r="Z132" s="367">
        <v>0</v>
      </c>
      <c r="AA132" s="367">
        <v>0</v>
      </c>
      <c r="AB132" s="367">
        <v>0</v>
      </c>
      <c r="AC132" s="367">
        <v>0</v>
      </c>
      <c r="AD132" s="367">
        <v>0</v>
      </c>
      <c r="AE132" s="367">
        <v>0</v>
      </c>
      <c r="AF132" s="367">
        <v>0</v>
      </c>
      <c r="AG132" s="367">
        <v>0</v>
      </c>
      <c r="AH132" s="367">
        <v>0</v>
      </c>
      <c r="AI132" s="367">
        <v>0</v>
      </c>
      <c r="AJ132" s="367">
        <v>0</v>
      </c>
      <c r="AK132" s="367">
        <v>0</v>
      </c>
      <c r="AL132" s="367">
        <v>0</v>
      </c>
      <c r="AM132" s="367">
        <v>0</v>
      </c>
      <c r="AN132" s="367">
        <v>0</v>
      </c>
      <c r="AO132" s="367">
        <v>0</v>
      </c>
      <c r="AP132" s="367">
        <v>0</v>
      </c>
      <c r="AQ132" s="367">
        <v>0</v>
      </c>
      <c r="AR132" s="367">
        <v>0</v>
      </c>
      <c r="AS132" s="367">
        <v>0</v>
      </c>
      <c r="AT132" s="366">
        <v>0</v>
      </c>
      <c r="AU132" s="367">
        <v>0</v>
      </c>
      <c r="AV132" s="367">
        <v>0</v>
      </c>
      <c r="AW132" s="367">
        <v>0</v>
      </c>
      <c r="AX132" s="367">
        <v>0</v>
      </c>
      <c r="AY132" s="367">
        <v>0</v>
      </c>
      <c r="AZ132" s="366">
        <v>0</v>
      </c>
      <c r="BA132" s="367">
        <v>0</v>
      </c>
      <c r="BB132" s="367">
        <v>0</v>
      </c>
      <c r="BC132" s="367">
        <v>0</v>
      </c>
      <c r="BD132" s="367">
        <v>0</v>
      </c>
      <c r="BE132" s="367">
        <v>0</v>
      </c>
      <c r="BF132" s="367">
        <v>0</v>
      </c>
      <c r="BG132" s="367">
        <v>0</v>
      </c>
      <c r="BH132" s="367">
        <v>0</v>
      </c>
      <c r="BI132" s="367">
        <v>0</v>
      </c>
      <c r="BJ132" s="367">
        <v>0</v>
      </c>
      <c r="BK132" s="367">
        <v>0</v>
      </c>
      <c r="BL132" s="367">
        <v>0</v>
      </c>
      <c r="BM132" s="367">
        <v>0</v>
      </c>
      <c r="BN132" s="367">
        <v>0</v>
      </c>
      <c r="BO132" s="366">
        <v>0</v>
      </c>
      <c r="BP132" s="367">
        <v>0</v>
      </c>
      <c r="BQ132" s="367">
        <v>0</v>
      </c>
      <c r="BR132" s="368">
        <v>0</v>
      </c>
      <c r="BS132" s="368">
        <v>0</v>
      </c>
      <c r="BT132" s="366">
        <v>0</v>
      </c>
    </row>
    <row r="133" spans="1:72">
      <c r="A133" s="362" t="s">
        <v>549</v>
      </c>
      <c r="B133" s="363" t="s">
        <v>797</v>
      </c>
      <c r="C133" s="363"/>
      <c r="D133" s="363"/>
      <c r="E133" s="363"/>
      <c r="F133" s="364" t="s">
        <v>798</v>
      </c>
      <c r="G133" s="364"/>
      <c r="H133" s="365">
        <v>4.9999999999999996E-2</v>
      </c>
      <c r="I133" s="366">
        <v>0</v>
      </c>
      <c r="J133" s="367">
        <v>0</v>
      </c>
      <c r="K133" s="367">
        <v>0</v>
      </c>
      <c r="L133" s="367">
        <v>0</v>
      </c>
      <c r="M133" s="367">
        <v>0</v>
      </c>
      <c r="N133" s="367">
        <v>0</v>
      </c>
      <c r="O133" s="367">
        <v>0</v>
      </c>
      <c r="P133" s="367">
        <v>0</v>
      </c>
      <c r="Q133" s="367">
        <v>0</v>
      </c>
      <c r="R133" s="367">
        <v>0</v>
      </c>
      <c r="S133" s="367">
        <v>0</v>
      </c>
      <c r="T133" s="367">
        <v>0</v>
      </c>
      <c r="U133" s="367">
        <v>0</v>
      </c>
      <c r="V133" s="367">
        <v>0</v>
      </c>
      <c r="W133" s="366">
        <v>0</v>
      </c>
      <c r="X133" s="367">
        <v>0</v>
      </c>
      <c r="Y133" s="367">
        <v>0</v>
      </c>
      <c r="Z133" s="367">
        <v>0</v>
      </c>
      <c r="AA133" s="367">
        <v>0</v>
      </c>
      <c r="AB133" s="367">
        <v>0</v>
      </c>
      <c r="AC133" s="367">
        <v>0</v>
      </c>
      <c r="AD133" s="367">
        <v>0</v>
      </c>
      <c r="AE133" s="367">
        <v>0</v>
      </c>
      <c r="AF133" s="367">
        <v>0</v>
      </c>
      <c r="AG133" s="367">
        <v>0</v>
      </c>
      <c r="AH133" s="367">
        <v>0</v>
      </c>
      <c r="AI133" s="367">
        <v>0</v>
      </c>
      <c r="AJ133" s="367">
        <v>0</v>
      </c>
      <c r="AK133" s="367">
        <v>0</v>
      </c>
      <c r="AL133" s="367">
        <v>0</v>
      </c>
      <c r="AM133" s="367">
        <v>0</v>
      </c>
      <c r="AN133" s="367">
        <v>0</v>
      </c>
      <c r="AO133" s="367">
        <v>0</v>
      </c>
      <c r="AP133" s="367">
        <v>0</v>
      </c>
      <c r="AQ133" s="367">
        <v>0</v>
      </c>
      <c r="AR133" s="367">
        <v>0</v>
      </c>
      <c r="AS133" s="367">
        <v>0</v>
      </c>
      <c r="AT133" s="366">
        <v>0</v>
      </c>
      <c r="AU133" s="367">
        <v>0</v>
      </c>
      <c r="AV133" s="367">
        <v>0</v>
      </c>
      <c r="AW133" s="367">
        <v>0</v>
      </c>
      <c r="AX133" s="367">
        <v>0</v>
      </c>
      <c r="AY133" s="367">
        <v>0</v>
      </c>
      <c r="AZ133" s="366">
        <v>0</v>
      </c>
      <c r="BA133" s="367">
        <v>0</v>
      </c>
      <c r="BB133" s="367">
        <v>0</v>
      </c>
      <c r="BC133" s="367">
        <v>0</v>
      </c>
      <c r="BD133" s="367">
        <v>0</v>
      </c>
      <c r="BE133" s="367">
        <v>0</v>
      </c>
      <c r="BF133" s="367">
        <v>0</v>
      </c>
      <c r="BG133" s="367">
        <v>0</v>
      </c>
      <c r="BH133" s="367">
        <v>0</v>
      </c>
      <c r="BI133" s="367">
        <v>0</v>
      </c>
      <c r="BJ133" s="367">
        <v>0</v>
      </c>
      <c r="BK133" s="367">
        <v>0</v>
      </c>
      <c r="BL133" s="367">
        <v>0</v>
      </c>
      <c r="BM133" s="367">
        <v>0</v>
      </c>
      <c r="BN133" s="367">
        <v>0</v>
      </c>
      <c r="BO133" s="366">
        <v>0</v>
      </c>
      <c r="BP133" s="367">
        <v>0</v>
      </c>
      <c r="BQ133" s="367">
        <v>0</v>
      </c>
      <c r="BR133" s="368">
        <v>0</v>
      </c>
      <c r="BS133" s="368">
        <v>0</v>
      </c>
      <c r="BT133" s="366">
        <v>4.9999999999999996E-2</v>
      </c>
    </row>
    <row r="134" spans="1:72">
      <c r="A134" s="370" t="s">
        <v>549</v>
      </c>
      <c r="B134" s="371" t="s">
        <v>799</v>
      </c>
      <c r="C134" s="371"/>
      <c r="D134" s="371"/>
      <c r="E134" s="371"/>
      <c r="F134" s="372" t="s">
        <v>800</v>
      </c>
      <c r="G134" s="372"/>
      <c r="H134" s="373">
        <v>0</v>
      </c>
      <c r="I134" s="374">
        <v>0</v>
      </c>
      <c r="J134" s="375">
        <v>0</v>
      </c>
      <c r="K134" s="375">
        <v>0</v>
      </c>
      <c r="L134" s="375">
        <v>0</v>
      </c>
      <c r="M134" s="375">
        <v>0</v>
      </c>
      <c r="N134" s="375">
        <v>0</v>
      </c>
      <c r="O134" s="375">
        <v>0</v>
      </c>
      <c r="P134" s="375">
        <v>0</v>
      </c>
      <c r="Q134" s="375">
        <v>0</v>
      </c>
      <c r="R134" s="375">
        <v>0</v>
      </c>
      <c r="S134" s="375">
        <v>0</v>
      </c>
      <c r="T134" s="375">
        <v>0</v>
      </c>
      <c r="U134" s="375">
        <v>0</v>
      </c>
      <c r="V134" s="375">
        <v>0</v>
      </c>
      <c r="W134" s="374">
        <v>0</v>
      </c>
      <c r="X134" s="375">
        <v>0</v>
      </c>
      <c r="Y134" s="375">
        <v>0</v>
      </c>
      <c r="Z134" s="375">
        <v>0</v>
      </c>
      <c r="AA134" s="375">
        <v>0</v>
      </c>
      <c r="AB134" s="375">
        <v>0</v>
      </c>
      <c r="AC134" s="375">
        <v>0</v>
      </c>
      <c r="AD134" s="375">
        <v>0</v>
      </c>
      <c r="AE134" s="375">
        <v>0</v>
      </c>
      <c r="AF134" s="375">
        <v>0</v>
      </c>
      <c r="AG134" s="375">
        <v>0</v>
      </c>
      <c r="AH134" s="375">
        <v>0</v>
      </c>
      <c r="AI134" s="375">
        <v>0</v>
      </c>
      <c r="AJ134" s="375">
        <v>0</v>
      </c>
      <c r="AK134" s="375">
        <v>0</v>
      </c>
      <c r="AL134" s="375">
        <v>0</v>
      </c>
      <c r="AM134" s="375">
        <v>0</v>
      </c>
      <c r="AN134" s="375">
        <v>0</v>
      </c>
      <c r="AO134" s="375">
        <v>0</v>
      </c>
      <c r="AP134" s="375">
        <v>0</v>
      </c>
      <c r="AQ134" s="375">
        <v>0</v>
      </c>
      <c r="AR134" s="375">
        <v>0</v>
      </c>
      <c r="AS134" s="375">
        <v>0</v>
      </c>
      <c r="AT134" s="374">
        <v>0</v>
      </c>
      <c r="AU134" s="375">
        <v>0</v>
      </c>
      <c r="AV134" s="375">
        <v>0</v>
      </c>
      <c r="AW134" s="375">
        <v>0</v>
      </c>
      <c r="AX134" s="375">
        <v>0</v>
      </c>
      <c r="AY134" s="375">
        <v>0</v>
      </c>
      <c r="AZ134" s="374">
        <v>0</v>
      </c>
      <c r="BA134" s="375">
        <v>0</v>
      </c>
      <c r="BB134" s="375">
        <v>0</v>
      </c>
      <c r="BC134" s="375">
        <v>0</v>
      </c>
      <c r="BD134" s="375">
        <v>0</v>
      </c>
      <c r="BE134" s="375">
        <v>0</v>
      </c>
      <c r="BF134" s="375">
        <v>0</v>
      </c>
      <c r="BG134" s="375">
        <v>0</v>
      </c>
      <c r="BH134" s="375">
        <v>0</v>
      </c>
      <c r="BI134" s="375">
        <v>0</v>
      </c>
      <c r="BJ134" s="375">
        <v>0</v>
      </c>
      <c r="BK134" s="375">
        <v>0</v>
      </c>
      <c r="BL134" s="375">
        <v>0</v>
      </c>
      <c r="BM134" s="375">
        <v>0</v>
      </c>
      <c r="BN134" s="375">
        <v>0</v>
      </c>
      <c r="BO134" s="374">
        <v>0</v>
      </c>
      <c r="BP134" s="375">
        <v>0</v>
      </c>
      <c r="BQ134" s="375">
        <v>0</v>
      </c>
      <c r="BR134" s="376">
        <v>0</v>
      </c>
      <c r="BS134" s="376">
        <v>0</v>
      </c>
      <c r="BT134" s="374">
        <v>0</v>
      </c>
    </row>
    <row r="135" spans="1:72">
      <c r="A135" s="377" t="s">
        <v>801</v>
      </c>
      <c r="B135" s="377"/>
      <c r="C135" s="377"/>
      <c r="D135" s="377"/>
      <c r="E135" s="377"/>
      <c r="F135" s="332" t="s">
        <v>802</v>
      </c>
      <c r="G135" s="332"/>
      <c r="H135" s="378">
        <v>39.564999999999998</v>
      </c>
      <c r="I135" s="379">
        <v>0</v>
      </c>
      <c r="J135" s="380">
        <v>0</v>
      </c>
      <c r="K135" s="380">
        <v>0</v>
      </c>
      <c r="L135" s="380">
        <v>0</v>
      </c>
      <c r="M135" s="380">
        <v>0</v>
      </c>
      <c r="N135" s="380">
        <v>0</v>
      </c>
      <c r="O135" s="380">
        <v>0</v>
      </c>
      <c r="P135" s="380">
        <v>0</v>
      </c>
      <c r="Q135" s="380">
        <v>0</v>
      </c>
      <c r="R135" s="380">
        <v>0</v>
      </c>
      <c r="S135" s="380">
        <v>0</v>
      </c>
      <c r="T135" s="380">
        <v>0</v>
      </c>
      <c r="U135" s="380">
        <v>0</v>
      </c>
      <c r="V135" s="380">
        <v>0</v>
      </c>
      <c r="W135" s="379">
        <v>0</v>
      </c>
      <c r="X135" s="380">
        <v>0</v>
      </c>
      <c r="Y135" s="380">
        <v>0</v>
      </c>
      <c r="Z135" s="380">
        <v>0</v>
      </c>
      <c r="AA135" s="380">
        <v>0</v>
      </c>
      <c r="AB135" s="380">
        <v>0</v>
      </c>
      <c r="AC135" s="380">
        <v>0</v>
      </c>
      <c r="AD135" s="380">
        <v>0</v>
      </c>
      <c r="AE135" s="380">
        <v>0</v>
      </c>
      <c r="AF135" s="380">
        <v>0</v>
      </c>
      <c r="AG135" s="380">
        <v>0</v>
      </c>
      <c r="AH135" s="380">
        <v>0</v>
      </c>
      <c r="AI135" s="380">
        <v>0</v>
      </c>
      <c r="AJ135" s="380">
        <v>0</v>
      </c>
      <c r="AK135" s="380">
        <v>0</v>
      </c>
      <c r="AL135" s="380">
        <v>0</v>
      </c>
      <c r="AM135" s="380">
        <v>0</v>
      </c>
      <c r="AN135" s="380">
        <v>0</v>
      </c>
      <c r="AO135" s="380">
        <v>0</v>
      </c>
      <c r="AP135" s="380">
        <v>0</v>
      </c>
      <c r="AQ135" s="380">
        <v>0</v>
      </c>
      <c r="AR135" s="380">
        <v>0</v>
      </c>
      <c r="AS135" s="380">
        <v>0</v>
      </c>
      <c r="AT135" s="379">
        <v>0.58399999999999996</v>
      </c>
      <c r="AU135" s="380">
        <v>0</v>
      </c>
      <c r="AV135" s="380">
        <v>0</v>
      </c>
      <c r="AW135" s="380">
        <v>0.58399999999999996</v>
      </c>
      <c r="AX135" s="380">
        <v>0</v>
      </c>
      <c r="AY135" s="380">
        <v>0</v>
      </c>
      <c r="AZ135" s="379">
        <v>0.52200000000000002</v>
      </c>
      <c r="BA135" s="380">
        <v>0</v>
      </c>
      <c r="BB135" s="380">
        <v>0</v>
      </c>
      <c r="BC135" s="380">
        <v>0</v>
      </c>
      <c r="BD135" s="380">
        <v>0</v>
      </c>
      <c r="BE135" s="380">
        <v>0</v>
      </c>
      <c r="BF135" s="380">
        <v>0</v>
      </c>
      <c r="BG135" s="380">
        <v>0</v>
      </c>
      <c r="BH135" s="380">
        <v>0.52200000000000002</v>
      </c>
      <c r="BI135" s="380">
        <v>0</v>
      </c>
      <c r="BJ135" s="380">
        <v>0</v>
      </c>
      <c r="BK135" s="380">
        <v>0</v>
      </c>
      <c r="BL135" s="380">
        <v>0</v>
      </c>
      <c r="BM135" s="380">
        <v>0</v>
      </c>
      <c r="BN135" s="380">
        <v>0</v>
      </c>
      <c r="BO135" s="379">
        <v>0</v>
      </c>
      <c r="BP135" s="380">
        <v>0</v>
      </c>
      <c r="BQ135" s="380">
        <v>0</v>
      </c>
      <c r="BR135" s="381">
        <v>0</v>
      </c>
      <c r="BS135" s="381">
        <v>4.2909999999999995</v>
      </c>
      <c r="BT135" s="379">
        <v>34.167999999999999</v>
      </c>
    </row>
    <row r="136" spans="1:72">
      <c r="A136" s="377" t="s">
        <v>803</v>
      </c>
      <c r="B136" s="377"/>
      <c r="C136" s="377"/>
      <c r="D136" s="377"/>
      <c r="E136" s="377"/>
      <c r="F136" s="332" t="s">
        <v>804</v>
      </c>
      <c r="G136" s="332"/>
      <c r="H136" s="378">
        <v>1184.8430000000001</v>
      </c>
      <c r="I136" s="379">
        <v>28.733999999999998</v>
      </c>
      <c r="J136" s="380">
        <v>0</v>
      </c>
      <c r="K136" s="380">
        <v>0</v>
      </c>
      <c r="L136" s="380">
        <v>19.108000000000001</v>
      </c>
      <c r="M136" s="380">
        <v>0</v>
      </c>
      <c r="N136" s="380">
        <v>0</v>
      </c>
      <c r="O136" s="380">
        <v>0</v>
      </c>
      <c r="P136" s="380">
        <v>9.6260000000000012</v>
      </c>
      <c r="Q136" s="380">
        <v>0</v>
      </c>
      <c r="R136" s="380">
        <v>0</v>
      </c>
      <c r="S136" s="380">
        <v>0</v>
      </c>
      <c r="T136" s="380">
        <v>0</v>
      </c>
      <c r="U136" s="380">
        <v>0</v>
      </c>
      <c r="V136" s="380">
        <v>0</v>
      </c>
      <c r="W136" s="379">
        <v>537.28100000000006</v>
      </c>
      <c r="X136" s="380">
        <v>22.855999999999998</v>
      </c>
      <c r="Y136" s="380">
        <v>0</v>
      </c>
      <c r="Z136" s="380">
        <v>2.1999999999999997</v>
      </c>
      <c r="AA136" s="380">
        <v>0</v>
      </c>
      <c r="AB136" s="380">
        <v>0</v>
      </c>
      <c r="AC136" s="380">
        <v>1.944</v>
      </c>
      <c r="AD136" s="380">
        <v>28.628</v>
      </c>
      <c r="AE136" s="380">
        <v>62.512</v>
      </c>
      <c r="AF136" s="380">
        <v>78.081000000000003</v>
      </c>
      <c r="AG136" s="380">
        <v>0</v>
      </c>
      <c r="AH136" s="380">
        <v>0.35400000000000004</v>
      </c>
      <c r="AI136" s="380">
        <v>32.938000000000002</v>
      </c>
      <c r="AJ136" s="380">
        <v>2.8449999999999998</v>
      </c>
      <c r="AK136" s="380">
        <v>77.22</v>
      </c>
      <c r="AL136" s="380">
        <v>198.28399999999999</v>
      </c>
      <c r="AM136" s="380">
        <v>4.6800000000000006</v>
      </c>
      <c r="AN136" s="380">
        <v>0.61</v>
      </c>
      <c r="AO136" s="380">
        <v>2.1</v>
      </c>
      <c r="AP136" s="380">
        <v>13.065</v>
      </c>
      <c r="AQ136" s="380">
        <v>7.2449999999999992</v>
      </c>
      <c r="AR136" s="380">
        <v>0</v>
      </c>
      <c r="AS136" s="380">
        <v>1.72</v>
      </c>
      <c r="AT136" s="379">
        <v>139.84100000000001</v>
      </c>
      <c r="AU136" s="380">
        <v>138.29</v>
      </c>
      <c r="AV136" s="380">
        <v>0</v>
      </c>
      <c r="AW136" s="380">
        <v>1.5509999999999999</v>
      </c>
      <c r="AX136" s="380">
        <v>0</v>
      </c>
      <c r="AY136" s="380">
        <v>0</v>
      </c>
      <c r="AZ136" s="379">
        <v>53.573</v>
      </c>
      <c r="BA136" s="380">
        <v>0</v>
      </c>
      <c r="BB136" s="380">
        <v>0</v>
      </c>
      <c r="BC136" s="380">
        <v>0</v>
      </c>
      <c r="BD136" s="380">
        <v>0</v>
      </c>
      <c r="BE136" s="380">
        <v>0</v>
      </c>
      <c r="BF136" s="380">
        <v>47.238</v>
      </c>
      <c r="BG136" s="380">
        <v>0</v>
      </c>
      <c r="BH136" s="380">
        <v>0.55600000000000005</v>
      </c>
      <c r="BI136" s="380">
        <v>0.90900000000000003</v>
      </c>
      <c r="BJ136" s="380">
        <v>0.20099999999999998</v>
      </c>
      <c r="BK136" s="380">
        <v>4.6310000000000002</v>
      </c>
      <c r="BL136" s="380">
        <v>0</v>
      </c>
      <c r="BM136" s="380">
        <v>3.9E-2</v>
      </c>
      <c r="BN136" s="380">
        <v>0</v>
      </c>
      <c r="BO136" s="379">
        <v>0.90900000000000003</v>
      </c>
      <c r="BP136" s="380">
        <v>0</v>
      </c>
      <c r="BQ136" s="380">
        <v>0.90900000000000003</v>
      </c>
      <c r="BR136" s="381">
        <v>0</v>
      </c>
      <c r="BS136" s="381">
        <v>16.081</v>
      </c>
      <c r="BT136" s="379">
        <v>408.42400000000004</v>
      </c>
    </row>
    <row r="137" spans="1:72">
      <c r="A137" s="410" t="s">
        <v>805</v>
      </c>
      <c r="B137" s="410"/>
      <c r="C137" s="410"/>
      <c r="D137" s="410"/>
      <c r="E137" s="410"/>
      <c r="F137" s="411" t="s">
        <v>806</v>
      </c>
      <c r="G137" s="411"/>
      <c r="H137" s="412">
        <v>96.182999999999993</v>
      </c>
      <c r="I137" s="413">
        <v>2.1919999999999997</v>
      </c>
      <c r="J137" s="414">
        <v>0</v>
      </c>
      <c r="K137" s="414">
        <v>0</v>
      </c>
      <c r="L137" s="414">
        <v>2.1919999999999997</v>
      </c>
      <c r="M137" s="414">
        <v>0</v>
      </c>
      <c r="N137" s="414">
        <v>0</v>
      </c>
      <c r="O137" s="414">
        <v>0</v>
      </c>
      <c r="P137" s="414">
        <v>0</v>
      </c>
      <c r="Q137" s="414">
        <v>0</v>
      </c>
      <c r="R137" s="414">
        <v>0</v>
      </c>
      <c r="S137" s="414">
        <v>0</v>
      </c>
      <c r="T137" s="414">
        <v>0</v>
      </c>
      <c r="U137" s="414">
        <v>0</v>
      </c>
      <c r="V137" s="414">
        <v>0</v>
      </c>
      <c r="W137" s="413">
        <v>76.500999999999991</v>
      </c>
      <c r="X137" s="414">
        <v>0</v>
      </c>
      <c r="Y137" s="414">
        <v>0</v>
      </c>
      <c r="Z137" s="414">
        <v>0</v>
      </c>
      <c r="AA137" s="414">
        <v>0</v>
      </c>
      <c r="AB137" s="414">
        <v>0</v>
      </c>
      <c r="AC137" s="414">
        <v>0</v>
      </c>
      <c r="AD137" s="414">
        <v>8.113999999999999</v>
      </c>
      <c r="AE137" s="414">
        <v>33.375999999999998</v>
      </c>
      <c r="AF137" s="414">
        <v>0</v>
      </c>
      <c r="AG137" s="414">
        <v>0</v>
      </c>
      <c r="AH137" s="414">
        <v>0</v>
      </c>
      <c r="AI137" s="414">
        <v>0</v>
      </c>
      <c r="AJ137" s="414">
        <v>0</v>
      </c>
      <c r="AK137" s="414">
        <v>0</v>
      </c>
      <c r="AL137" s="414">
        <v>0.47400000000000003</v>
      </c>
      <c r="AM137" s="414">
        <v>0.93400000000000005</v>
      </c>
      <c r="AN137" s="414">
        <v>0.56700000000000006</v>
      </c>
      <c r="AO137" s="414">
        <v>1.722</v>
      </c>
      <c r="AP137" s="414">
        <v>13.104000000000001</v>
      </c>
      <c r="AQ137" s="414">
        <v>16.45</v>
      </c>
      <c r="AR137" s="414">
        <v>0</v>
      </c>
      <c r="AS137" s="414">
        <v>1.76</v>
      </c>
      <c r="AT137" s="413">
        <v>17.491</v>
      </c>
      <c r="AU137" s="414">
        <v>17.491</v>
      </c>
      <c r="AV137" s="414">
        <v>0</v>
      </c>
      <c r="AW137" s="414">
        <v>0</v>
      </c>
      <c r="AX137" s="414">
        <v>0</v>
      </c>
      <c r="AY137" s="414">
        <v>0</v>
      </c>
      <c r="AZ137" s="413">
        <v>0</v>
      </c>
      <c r="BA137" s="414">
        <v>0</v>
      </c>
      <c r="BB137" s="414">
        <v>0</v>
      </c>
      <c r="BC137" s="414">
        <v>0</v>
      </c>
      <c r="BD137" s="414">
        <v>0</v>
      </c>
      <c r="BE137" s="414">
        <v>0</v>
      </c>
      <c r="BF137" s="414">
        <v>0</v>
      </c>
      <c r="BG137" s="414">
        <v>0</v>
      </c>
      <c r="BH137" s="414">
        <v>0</v>
      </c>
      <c r="BI137" s="414">
        <v>0</v>
      </c>
      <c r="BJ137" s="414">
        <v>0</v>
      </c>
      <c r="BK137" s="414">
        <v>0</v>
      </c>
      <c r="BL137" s="414">
        <v>0</v>
      </c>
      <c r="BM137" s="414">
        <v>0</v>
      </c>
      <c r="BN137" s="414">
        <v>0</v>
      </c>
      <c r="BO137" s="413">
        <v>0</v>
      </c>
      <c r="BP137" s="414">
        <v>0</v>
      </c>
      <c r="BQ137" s="414">
        <v>0</v>
      </c>
      <c r="BR137" s="415">
        <v>0</v>
      </c>
      <c r="BS137" s="415">
        <v>0</v>
      </c>
      <c r="BT137" s="413">
        <v>0</v>
      </c>
    </row>
    <row r="138" spans="1:72">
      <c r="A138" s="382" t="s">
        <v>549</v>
      </c>
      <c r="B138" s="383" t="s">
        <v>807</v>
      </c>
      <c r="C138" s="383"/>
      <c r="D138" s="383"/>
      <c r="E138" s="383"/>
      <c r="F138" s="384" t="s">
        <v>808</v>
      </c>
      <c r="G138" s="384"/>
      <c r="H138" s="385">
        <v>0</v>
      </c>
      <c r="I138" s="386">
        <v>0</v>
      </c>
      <c r="J138" s="387">
        <v>0</v>
      </c>
      <c r="K138" s="387">
        <v>0</v>
      </c>
      <c r="L138" s="387">
        <v>0</v>
      </c>
      <c r="M138" s="387">
        <v>0</v>
      </c>
      <c r="N138" s="387">
        <v>0</v>
      </c>
      <c r="O138" s="387">
        <v>0</v>
      </c>
      <c r="P138" s="387">
        <v>0</v>
      </c>
      <c r="Q138" s="387">
        <v>0</v>
      </c>
      <c r="R138" s="387">
        <v>0</v>
      </c>
      <c r="S138" s="387">
        <v>0</v>
      </c>
      <c r="T138" s="387">
        <v>0</v>
      </c>
      <c r="U138" s="387">
        <v>0</v>
      </c>
      <c r="V138" s="387">
        <v>0</v>
      </c>
      <c r="W138" s="386">
        <v>0</v>
      </c>
      <c r="X138" s="387">
        <v>0</v>
      </c>
      <c r="Y138" s="387">
        <v>0</v>
      </c>
      <c r="Z138" s="387">
        <v>0</v>
      </c>
      <c r="AA138" s="387">
        <v>0</v>
      </c>
      <c r="AB138" s="387">
        <v>0</v>
      </c>
      <c r="AC138" s="387">
        <v>0</v>
      </c>
      <c r="AD138" s="387">
        <v>0</v>
      </c>
      <c r="AE138" s="387">
        <v>0</v>
      </c>
      <c r="AF138" s="387">
        <v>0</v>
      </c>
      <c r="AG138" s="387">
        <v>0</v>
      </c>
      <c r="AH138" s="387">
        <v>0</v>
      </c>
      <c r="AI138" s="387">
        <v>0</v>
      </c>
      <c r="AJ138" s="387">
        <v>0</v>
      </c>
      <c r="AK138" s="387">
        <v>0</v>
      </c>
      <c r="AL138" s="387">
        <v>0</v>
      </c>
      <c r="AM138" s="387">
        <v>0</v>
      </c>
      <c r="AN138" s="387">
        <v>0</v>
      </c>
      <c r="AO138" s="387">
        <v>0</v>
      </c>
      <c r="AP138" s="387">
        <v>0</v>
      </c>
      <c r="AQ138" s="387">
        <v>0</v>
      </c>
      <c r="AR138" s="387">
        <v>0</v>
      </c>
      <c r="AS138" s="387">
        <v>0</v>
      </c>
      <c r="AT138" s="386">
        <v>0</v>
      </c>
      <c r="AU138" s="387">
        <v>0</v>
      </c>
      <c r="AV138" s="387">
        <v>0</v>
      </c>
      <c r="AW138" s="387">
        <v>0</v>
      </c>
      <c r="AX138" s="387">
        <v>0</v>
      </c>
      <c r="AY138" s="387">
        <v>0</v>
      </c>
      <c r="AZ138" s="386">
        <v>0</v>
      </c>
      <c r="BA138" s="387">
        <v>0</v>
      </c>
      <c r="BB138" s="387">
        <v>0</v>
      </c>
      <c r="BC138" s="387">
        <v>0</v>
      </c>
      <c r="BD138" s="387">
        <v>0</v>
      </c>
      <c r="BE138" s="387">
        <v>0</v>
      </c>
      <c r="BF138" s="387">
        <v>0</v>
      </c>
      <c r="BG138" s="387">
        <v>0</v>
      </c>
      <c r="BH138" s="387">
        <v>0</v>
      </c>
      <c r="BI138" s="387">
        <v>0</v>
      </c>
      <c r="BJ138" s="387">
        <v>0</v>
      </c>
      <c r="BK138" s="387">
        <v>0</v>
      </c>
      <c r="BL138" s="387">
        <v>0</v>
      </c>
      <c r="BM138" s="387">
        <v>0</v>
      </c>
      <c r="BN138" s="387">
        <v>0</v>
      </c>
      <c r="BO138" s="386">
        <v>0</v>
      </c>
      <c r="BP138" s="387">
        <v>0</v>
      </c>
      <c r="BQ138" s="387">
        <v>0</v>
      </c>
      <c r="BR138" s="388">
        <v>0</v>
      </c>
      <c r="BS138" s="388">
        <v>0</v>
      </c>
      <c r="BT138" s="386">
        <v>0</v>
      </c>
    </row>
    <row r="139" spans="1:72">
      <c r="A139" s="362" t="s">
        <v>549</v>
      </c>
      <c r="B139" s="363" t="s">
        <v>809</v>
      </c>
      <c r="C139" s="363"/>
      <c r="D139" s="363"/>
      <c r="E139" s="363"/>
      <c r="F139" s="364" t="s">
        <v>810</v>
      </c>
      <c r="G139" s="364"/>
      <c r="H139" s="365">
        <v>0</v>
      </c>
      <c r="I139" s="366">
        <v>0</v>
      </c>
      <c r="J139" s="367">
        <v>0</v>
      </c>
      <c r="K139" s="367">
        <v>0</v>
      </c>
      <c r="L139" s="367">
        <v>0</v>
      </c>
      <c r="M139" s="367">
        <v>0</v>
      </c>
      <c r="N139" s="367">
        <v>0</v>
      </c>
      <c r="O139" s="367">
        <v>0</v>
      </c>
      <c r="P139" s="367">
        <v>0</v>
      </c>
      <c r="Q139" s="367">
        <v>0</v>
      </c>
      <c r="R139" s="367">
        <v>0</v>
      </c>
      <c r="S139" s="367">
        <v>0</v>
      </c>
      <c r="T139" s="367">
        <v>0</v>
      </c>
      <c r="U139" s="367">
        <v>0</v>
      </c>
      <c r="V139" s="367">
        <v>0</v>
      </c>
      <c r="W139" s="366">
        <v>0</v>
      </c>
      <c r="X139" s="367">
        <v>0</v>
      </c>
      <c r="Y139" s="367">
        <v>0</v>
      </c>
      <c r="Z139" s="367">
        <v>0</v>
      </c>
      <c r="AA139" s="367">
        <v>0</v>
      </c>
      <c r="AB139" s="367">
        <v>0</v>
      </c>
      <c r="AC139" s="367">
        <v>0</v>
      </c>
      <c r="AD139" s="367">
        <v>0</v>
      </c>
      <c r="AE139" s="367">
        <v>0</v>
      </c>
      <c r="AF139" s="367">
        <v>0</v>
      </c>
      <c r="AG139" s="367">
        <v>0</v>
      </c>
      <c r="AH139" s="367">
        <v>0</v>
      </c>
      <c r="AI139" s="367">
        <v>0</v>
      </c>
      <c r="AJ139" s="367">
        <v>0</v>
      </c>
      <c r="AK139" s="367">
        <v>0</v>
      </c>
      <c r="AL139" s="367">
        <v>0</v>
      </c>
      <c r="AM139" s="367">
        <v>0</v>
      </c>
      <c r="AN139" s="367">
        <v>0</v>
      </c>
      <c r="AO139" s="367">
        <v>0</v>
      </c>
      <c r="AP139" s="367">
        <v>0</v>
      </c>
      <c r="AQ139" s="367">
        <v>0</v>
      </c>
      <c r="AR139" s="367">
        <v>0</v>
      </c>
      <c r="AS139" s="367">
        <v>0</v>
      </c>
      <c r="AT139" s="366">
        <v>0</v>
      </c>
      <c r="AU139" s="367">
        <v>0</v>
      </c>
      <c r="AV139" s="367">
        <v>0</v>
      </c>
      <c r="AW139" s="367">
        <v>0</v>
      </c>
      <c r="AX139" s="367">
        <v>0</v>
      </c>
      <c r="AY139" s="367">
        <v>0</v>
      </c>
      <c r="AZ139" s="366">
        <v>0</v>
      </c>
      <c r="BA139" s="367">
        <v>0</v>
      </c>
      <c r="BB139" s="367">
        <v>0</v>
      </c>
      <c r="BC139" s="367">
        <v>0</v>
      </c>
      <c r="BD139" s="367">
        <v>0</v>
      </c>
      <c r="BE139" s="367">
        <v>0</v>
      </c>
      <c r="BF139" s="367">
        <v>0</v>
      </c>
      <c r="BG139" s="367">
        <v>0</v>
      </c>
      <c r="BH139" s="367">
        <v>0</v>
      </c>
      <c r="BI139" s="367">
        <v>0</v>
      </c>
      <c r="BJ139" s="367">
        <v>0</v>
      </c>
      <c r="BK139" s="367">
        <v>0</v>
      </c>
      <c r="BL139" s="367">
        <v>0</v>
      </c>
      <c r="BM139" s="367">
        <v>0</v>
      </c>
      <c r="BN139" s="367">
        <v>0</v>
      </c>
      <c r="BO139" s="366">
        <v>0</v>
      </c>
      <c r="BP139" s="367">
        <v>0</v>
      </c>
      <c r="BQ139" s="367">
        <v>0</v>
      </c>
      <c r="BR139" s="368">
        <v>0</v>
      </c>
      <c r="BS139" s="368">
        <v>0</v>
      </c>
      <c r="BT139" s="366">
        <v>0</v>
      </c>
    </row>
    <row r="140" spans="1:72">
      <c r="A140" s="362" t="s">
        <v>549</v>
      </c>
      <c r="B140" s="363" t="s">
        <v>811</v>
      </c>
      <c r="C140" s="363"/>
      <c r="D140" s="363"/>
      <c r="E140" s="363"/>
      <c r="F140" s="364" t="s">
        <v>812</v>
      </c>
      <c r="G140" s="364"/>
      <c r="H140" s="365">
        <v>93.991000000000014</v>
      </c>
      <c r="I140" s="366">
        <v>0</v>
      </c>
      <c r="J140" s="367">
        <v>0</v>
      </c>
      <c r="K140" s="367">
        <v>0</v>
      </c>
      <c r="L140" s="367">
        <v>0</v>
      </c>
      <c r="M140" s="367">
        <v>0</v>
      </c>
      <c r="N140" s="367">
        <v>0</v>
      </c>
      <c r="O140" s="367">
        <v>0</v>
      </c>
      <c r="P140" s="367">
        <v>0</v>
      </c>
      <c r="Q140" s="367">
        <v>0</v>
      </c>
      <c r="R140" s="367">
        <v>0</v>
      </c>
      <c r="S140" s="367">
        <v>0</v>
      </c>
      <c r="T140" s="367">
        <v>0</v>
      </c>
      <c r="U140" s="367">
        <v>0</v>
      </c>
      <c r="V140" s="367">
        <v>0</v>
      </c>
      <c r="W140" s="366">
        <v>76.500999999999991</v>
      </c>
      <c r="X140" s="367">
        <v>0</v>
      </c>
      <c r="Y140" s="367">
        <v>0</v>
      </c>
      <c r="Z140" s="367">
        <v>0</v>
      </c>
      <c r="AA140" s="367">
        <v>0</v>
      </c>
      <c r="AB140" s="367">
        <v>0</v>
      </c>
      <c r="AC140" s="367">
        <v>0</v>
      </c>
      <c r="AD140" s="367">
        <v>8.113999999999999</v>
      </c>
      <c r="AE140" s="367">
        <v>33.375999999999998</v>
      </c>
      <c r="AF140" s="367">
        <v>0</v>
      </c>
      <c r="AG140" s="367">
        <v>0</v>
      </c>
      <c r="AH140" s="367">
        <v>0</v>
      </c>
      <c r="AI140" s="367">
        <v>0</v>
      </c>
      <c r="AJ140" s="367">
        <v>0</v>
      </c>
      <c r="AK140" s="367">
        <v>0</v>
      </c>
      <c r="AL140" s="367">
        <v>0.47400000000000003</v>
      </c>
      <c r="AM140" s="367">
        <v>0.93400000000000005</v>
      </c>
      <c r="AN140" s="367">
        <v>0.56700000000000006</v>
      </c>
      <c r="AO140" s="367">
        <v>1.722</v>
      </c>
      <c r="AP140" s="367">
        <v>13.104000000000001</v>
      </c>
      <c r="AQ140" s="367">
        <v>16.45</v>
      </c>
      <c r="AR140" s="367">
        <v>0</v>
      </c>
      <c r="AS140" s="367">
        <v>1.76</v>
      </c>
      <c r="AT140" s="366">
        <v>17.491</v>
      </c>
      <c r="AU140" s="367">
        <v>17.491</v>
      </c>
      <c r="AV140" s="367">
        <v>0</v>
      </c>
      <c r="AW140" s="367">
        <v>0</v>
      </c>
      <c r="AX140" s="367">
        <v>0</v>
      </c>
      <c r="AY140" s="367">
        <v>0</v>
      </c>
      <c r="AZ140" s="366">
        <v>0</v>
      </c>
      <c r="BA140" s="367">
        <v>0</v>
      </c>
      <c r="BB140" s="367">
        <v>0</v>
      </c>
      <c r="BC140" s="367">
        <v>0</v>
      </c>
      <c r="BD140" s="367">
        <v>0</v>
      </c>
      <c r="BE140" s="367">
        <v>0</v>
      </c>
      <c r="BF140" s="367">
        <v>0</v>
      </c>
      <c r="BG140" s="367">
        <v>0</v>
      </c>
      <c r="BH140" s="367">
        <v>0</v>
      </c>
      <c r="BI140" s="367">
        <v>0</v>
      </c>
      <c r="BJ140" s="367">
        <v>0</v>
      </c>
      <c r="BK140" s="367">
        <v>0</v>
      </c>
      <c r="BL140" s="367">
        <v>0</v>
      </c>
      <c r="BM140" s="367">
        <v>0</v>
      </c>
      <c r="BN140" s="367">
        <v>0</v>
      </c>
      <c r="BO140" s="366">
        <v>0</v>
      </c>
      <c r="BP140" s="367">
        <v>0</v>
      </c>
      <c r="BQ140" s="367">
        <v>0</v>
      </c>
      <c r="BR140" s="368">
        <v>0</v>
      </c>
      <c r="BS140" s="368">
        <v>0</v>
      </c>
      <c r="BT140" s="366">
        <v>0</v>
      </c>
    </row>
    <row r="141" spans="1:72" s="423" customFormat="1">
      <c r="A141" s="416"/>
      <c r="B141" s="417"/>
      <c r="C141" s="417" t="s">
        <v>813</v>
      </c>
      <c r="D141" s="417"/>
      <c r="E141" s="417"/>
      <c r="F141" s="418" t="s">
        <v>814</v>
      </c>
      <c r="G141" s="418"/>
      <c r="H141" s="419">
        <v>59.235000000000007</v>
      </c>
      <c r="I141" s="420">
        <v>0</v>
      </c>
      <c r="J141" s="421">
        <v>0</v>
      </c>
      <c r="K141" s="421">
        <v>0</v>
      </c>
      <c r="L141" s="421">
        <v>0</v>
      </c>
      <c r="M141" s="421">
        <v>0</v>
      </c>
      <c r="N141" s="421">
        <v>0</v>
      </c>
      <c r="O141" s="421">
        <v>0</v>
      </c>
      <c r="P141" s="421">
        <v>0</v>
      </c>
      <c r="Q141" s="421">
        <v>0</v>
      </c>
      <c r="R141" s="421">
        <v>0</v>
      </c>
      <c r="S141" s="421">
        <v>0</v>
      </c>
      <c r="T141" s="421">
        <v>0</v>
      </c>
      <c r="U141" s="421">
        <v>0</v>
      </c>
      <c r="V141" s="421">
        <v>0</v>
      </c>
      <c r="W141" s="420">
        <v>41.744</v>
      </c>
      <c r="X141" s="421">
        <v>0</v>
      </c>
      <c r="Y141" s="421">
        <v>0</v>
      </c>
      <c r="Z141" s="421">
        <v>0</v>
      </c>
      <c r="AA141" s="421">
        <v>0</v>
      </c>
      <c r="AB141" s="421">
        <v>0</v>
      </c>
      <c r="AC141" s="421">
        <v>0</v>
      </c>
      <c r="AD141" s="421">
        <v>8.113999999999999</v>
      </c>
      <c r="AE141" s="421">
        <v>31.625</v>
      </c>
      <c r="AF141" s="421">
        <v>0</v>
      </c>
      <c r="AG141" s="421">
        <v>0</v>
      </c>
      <c r="AH141" s="421">
        <v>0</v>
      </c>
      <c r="AI141" s="421">
        <v>0</v>
      </c>
      <c r="AJ141" s="421">
        <v>0</v>
      </c>
      <c r="AK141" s="421">
        <v>0</v>
      </c>
      <c r="AL141" s="421">
        <v>0.214</v>
      </c>
      <c r="AM141" s="421">
        <v>0</v>
      </c>
      <c r="AN141" s="421">
        <v>0.56700000000000006</v>
      </c>
      <c r="AO141" s="421">
        <v>0</v>
      </c>
      <c r="AP141" s="421">
        <v>0</v>
      </c>
      <c r="AQ141" s="421">
        <v>1.2249999999999999</v>
      </c>
      <c r="AR141" s="421">
        <v>0</v>
      </c>
      <c r="AS141" s="421">
        <v>0</v>
      </c>
      <c r="AT141" s="420">
        <v>17.491</v>
      </c>
      <c r="AU141" s="421">
        <v>17.491</v>
      </c>
      <c r="AV141" s="421">
        <v>0</v>
      </c>
      <c r="AW141" s="421">
        <v>0</v>
      </c>
      <c r="AX141" s="421">
        <v>0</v>
      </c>
      <c r="AY141" s="421">
        <v>0</v>
      </c>
      <c r="AZ141" s="420">
        <v>0</v>
      </c>
      <c r="BA141" s="421">
        <v>0</v>
      </c>
      <c r="BB141" s="421">
        <v>0</v>
      </c>
      <c r="BC141" s="421">
        <v>0</v>
      </c>
      <c r="BD141" s="421">
        <v>0</v>
      </c>
      <c r="BE141" s="421">
        <v>0</v>
      </c>
      <c r="BF141" s="421">
        <v>0</v>
      </c>
      <c r="BG141" s="421">
        <v>0</v>
      </c>
      <c r="BH141" s="421">
        <v>0</v>
      </c>
      <c r="BI141" s="421">
        <v>0</v>
      </c>
      <c r="BJ141" s="421">
        <v>0</v>
      </c>
      <c r="BK141" s="421">
        <v>0</v>
      </c>
      <c r="BL141" s="421">
        <v>0</v>
      </c>
      <c r="BM141" s="421">
        <v>0</v>
      </c>
      <c r="BN141" s="421">
        <v>0</v>
      </c>
      <c r="BO141" s="420">
        <v>0</v>
      </c>
      <c r="BP141" s="421">
        <v>0</v>
      </c>
      <c r="BQ141" s="421">
        <v>0</v>
      </c>
      <c r="BR141" s="422">
        <v>0</v>
      </c>
      <c r="BS141" s="422">
        <v>0</v>
      </c>
      <c r="BT141" s="420">
        <v>0</v>
      </c>
    </row>
    <row r="142" spans="1:72">
      <c r="A142" s="362" t="s">
        <v>549</v>
      </c>
      <c r="B142" s="363" t="s">
        <v>815</v>
      </c>
      <c r="C142" s="363"/>
      <c r="D142" s="363"/>
      <c r="E142" s="363"/>
      <c r="F142" s="364" t="s">
        <v>816</v>
      </c>
      <c r="G142" s="364"/>
      <c r="H142" s="365">
        <v>0</v>
      </c>
      <c r="I142" s="366">
        <v>0</v>
      </c>
      <c r="J142" s="367">
        <v>0</v>
      </c>
      <c r="K142" s="367">
        <v>0</v>
      </c>
      <c r="L142" s="367">
        <v>0</v>
      </c>
      <c r="M142" s="367">
        <v>0</v>
      </c>
      <c r="N142" s="367">
        <v>0</v>
      </c>
      <c r="O142" s="367">
        <v>0</v>
      </c>
      <c r="P142" s="367">
        <v>0</v>
      </c>
      <c r="Q142" s="367">
        <v>0</v>
      </c>
      <c r="R142" s="367">
        <v>0</v>
      </c>
      <c r="S142" s="367">
        <v>0</v>
      </c>
      <c r="T142" s="367">
        <v>0</v>
      </c>
      <c r="U142" s="367">
        <v>0</v>
      </c>
      <c r="V142" s="367">
        <v>0</v>
      </c>
      <c r="W142" s="366">
        <v>0</v>
      </c>
      <c r="X142" s="367">
        <v>0</v>
      </c>
      <c r="Y142" s="367">
        <v>0</v>
      </c>
      <c r="Z142" s="367">
        <v>0</v>
      </c>
      <c r="AA142" s="367">
        <v>0</v>
      </c>
      <c r="AB142" s="367">
        <v>0</v>
      </c>
      <c r="AC142" s="367">
        <v>0</v>
      </c>
      <c r="AD142" s="367">
        <v>0</v>
      </c>
      <c r="AE142" s="367">
        <v>0</v>
      </c>
      <c r="AF142" s="367">
        <v>0</v>
      </c>
      <c r="AG142" s="367">
        <v>0</v>
      </c>
      <c r="AH142" s="367">
        <v>0</v>
      </c>
      <c r="AI142" s="367">
        <v>0</v>
      </c>
      <c r="AJ142" s="367">
        <v>0</v>
      </c>
      <c r="AK142" s="367">
        <v>0</v>
      </c>
      <c r="AL142" s="367">
        <v>0</v>
      </c>
      <c r="AM142" s="367">
        <v>0</v>
      </c>
      <c r="AN142" s="367">
        <v>0</v>
      </c>
      <c r="AO142" s="367">
        <v>0</v>
      </c>
      <c r="AP142" s="367">
        <v>0</v>
      </c>
      <c r="AQ142" s="367">
        <v>0</v>
      </c>
      <c r="AR142" s="367">
        <v>0</v>
      </c>
      <c r="AS142" s="367">
        <v>0</v>
      </c>
      <c r="AT142" s="366">
        <v>0</v>
      </c>
      <c r="AU142" s="367">
        <v>0</v>
      </c>
      <c r="AV142" s="367">
        <v>0</v>
      </c>
      <c r="AW142" s="367">
        <v>0</v>
      </c>
      <c r="AX142" s="367">
        <v>0</v>
      </c>
      <c r="AY142" s="367">
        <v>0</v>
      </c>
      <c r="AZ142" s="366">
        <v>0</v>
      </c>
      <c r="BA142" s="367">
        <v>0</v>
      </c>
      <c r="BB142" s="367">
        <v>0</v>
      </c>
      <c r="BC142" s="367">
        <v>0</v>
      </c>
      <c r="BD142" s="367">
        <v>0</v>
      </c>
      <c r="BE142" s="367">
        <v>0</v>
      </c>
      <c r="BF142" s="367">
        <v>0</v>
      </c>
      <c r="BG142" s="367">
        <v>0</v>
      </c>
      <c r="BH142" s="367">
        <v>0</v>
      </c>
      <c r="BI142" s="367">
        <v>0</v>
      </c>
      <c r="BJ142" s="367">
        <v>0</v>
      </c>
      <c r="BK142" s="367">
        <v>0</v>
      </c>
      <c r="BL142" s="367">
        <v>0</v>
      </c>
      <c r="BM142" s="367">
        <v>0</v>
      </c>
      <c r="BN142" s="367">
        <v>0</v>
      </c>
      <c r="BO142" s="366">
        <v>0</v>
      </c>
      <c r="BP142" s="367">
        <v>0</v>
      </c>
      <c r="BQ142" s="367">
        <v>0</v>
      </c>
      <c r="BR142" s="368">
        <v>0</v>
      </c>
      <c r="BS142" s="368">
        <v>0</v>
      </c>
      <c r="BT142" s="366">
        <v>0</v>
      </c>
    </row>
    <row r="143" spans="1:72">
      <c r="A143" s="362" t="s">
        <v>549</v>
      </c>
      <c r="B143" s="363" t="s">
        <v>817</v>
      </c>
      <c r="C143" s="363"/>
      <c r="D143" s="363"/>
      <c r="E143" s="363"/>
      <c r="F143" s="364" t="s">
        <v>818</v>
      </c>
      <c r="G143" s="364"/>
      <c r="H143" s="365">
        <v>0</v>
      </c>
      <c r="I143" s="366">
        <v>0</v>
      </c>
      <c r="J143" s="367">
        <v>0</v>
      </c>
      <c r="K143" s="367">
        <v>0</v>
      </c>
      <c r="L143" s="367">
        <v>0</v>
      </c>
      <c r="M143" s="367">
        <v>0</v>
      </c>
      <c r="N143" s="367">
        <v>0</v>
      </c>
      <c r="O143" s="367">
        <v>0</v>
      </c>
      <c r="P143" s="367">
        <v>0</v>
      </c>
      <c r="Q143" s="367">
        <v>0</v>
      </c>
      <c r="R143" s="367">
        <v>0</v>
      </c>
      <c r="S143" s="367">
        <v>0</v>
      </c>
      <c r="T143" s="367">
        <v>0</v>
      </c>
      <c r="U143" s="367">
        <v>0</v>
      </c>
      <c r="V143" s="367">
        <v>0</v>
      </c>
      <c r="W143" s="366">
        <v>0</v>
      </c>
      <c r="X143" s="367">
        <v>0</v>
      </c>
      <c r="Y143" s="367">
        <v>0</v>
      </c>
      <c r="Z143" s="367">
        <v>0</v>
      </c>
      <c r="AA143" s="367">
        <v>0</v>
      </c>
      <c r="AB143" s="367">
        <v>0</v>
      </c>
      <c r="AC143" s="367">
        <v>0</v>
      </c>
      <c r="AD143" s="367">
        <v>0</v>
      </c>
      <c r="AE143" s="367">
        <v>0</v>
      </c>
      <c r="AF143" s="367">
        <v>0</v>
      </c>
      <c r="AG143" s="367">
        <v>0</v>
      </c>
      <c r="AH143" s="367">
        <v>0</v>
      </c>
      <c r="AI143" s="367">
        <v>0</v>
      </c>
      <c r="AJ143" s="367">
        <v>0</v>
      </c>
      <c r="AK143" s="367">
        <v>0</v>
      </c>
      <c r="AL143" s="367">
        <v>0</v>
      </c>
      <c r="AM143" s="367">
        <v>0</v>
      </c>
      <c r="AN143" s="367">
        <v>0</v>
      </c>
      <c r="AO143" s="367">
        <v>0</v>
      </c>
      <c r="AP143" s="367">
        <v>0</v>
      </c>
      <c r="AQ143" s="367">
        <v>0</v>
      </c>
      <c r="AR143" s="367">
        <v>0</v>
      </c>
      <c r="AS143" s="367">
        <v>0</v>
      </c>
      <c r="AT143" s="366">
        <v>0</v>
      </c>
      <c r="AU143" s="367">
        <v>0</v>
      </c>
      <c r="AV143" s="367">
        <v>0</v>
      </c>
      <c r="AW143" s="367">
        <v>0</v>
      </c>
      <c r="AX143" s="367">
        <v>0</v>
      </c>
      <c r="AY143" s="367">
        <v>0</v>
      </c>
      <c r="AZ143" s="366">
        <v>0</v>
      </c>
      <c r="BA143" s="367">
        <v>0</v>
      </c>
      <c r="BB143" s="367">
        <v>0</v>
      </c>
      <c r="BC143" s="367">
        <v>0</v>
      </c>
      <c r="BD143" s="367">
        <v>0</v>
      </c>
      <c r="BE143" s="367">
        <v>0</v>
      </c>
      <c r="BF143" s="367">
        <v>0</v>
      </c>
      <c r="BG143" s="367">
        <v>0</v>
      </c>
      <c r="BH143" s="367">
        <v>0</v>
      </c>
      <c r="BI143" s="367">
        <v>0</v>
      </c>
      <c r="BJ143" s="367">
        <v>0</v>
      </c>
      <c r="BK143" s="367">
        <v>0</v>
      </c>
      <c r="BL143" s="367">
        <v>0</v>
      </c>
      <c r="BM143" s="367">
        <v>0</v>
      </c>
      <c r="BN143" s="367">
        <v>0</v>
      </c>
      <c r="BO143" s="366">
        <v>0</v>
      </c>
      <c r="BP143" s="367">
        <v>0</v>
      </c>
      <c r="BQ143" s="367">
        <v>0</v>
      </c>
      <c r="BR143" s="368">
        <v>0</v>
      </c>
      <c r="BS143" s="368">
        <v>0</v>
      </c>
      <c r="BT143" s="366">
        <v>0</v>
      </c>
    </row>
    <row r="144" spans="1:72">
      <c r="A144" s="424" t="s">
        <v>549</v>
      </c>
      <c r="B144" s="425" t="s">
        <v>819</v>
      </c>
      <c r="C144" s="425"/>
      <c r="D144" s="425"/>
      <c r="E144" s="425"/>
      <c r="F144" s="426" t="s">
        <v>820</v>
      </c>
      <c r="G144" s="426"/>
      <c r="H144" s="427">
        <v>2.1919999999999997</v>
      </c>
      <c r="I144" s="428">
        <v>2.1919999999999997</v>
      </c>
      <c r="J144" s="429">
        <v>0</v>
      </c>
      <c r="K144" s="429">
        <v>0</v>
      </c>
      <c r="L144" s="429">
        <v>2.1919999999999997</v>
      </c>
      <c r="M144" s="429">
        <v>0</v>
      </c>
      <c r="N144" s="429">
        <v>0</v>
      </c>
      <c r="O144" s="429">
        <v>0</v>
      </c>
      <c r="P144" s="429">
        <v>0</v>
      </c>
      <c r="Q144" s="429">
        <v>0</v>
      </c>
      <c r="R144" s="429">
        <v>0</v>
      </c>
      <c r="S144" s="429">
        <v>0</v>
      </c>
      <c r="T144" s="429">
        <v>0</v>
      </c>
      <c r="U144" s="429">
        <v>0</v>
      </c>
      <c r="V144" s="429">
        <v>0</v>
      </c>
      <c r="W144" s="428">
        <v>0</v>
      </c>
      <c r="X144" s="429">
        <v>0</v>
      </c>
      <c r="Y144" s="429">
        <v>0</v>
      </c>
      <c r="Z144" s="429">
        <v>0</v>
      </c>
      <c r="AA144" s="429">
        <v>0</v>
      </c>
      <c r="AB144" s="429">
        <v>0</v>
      </c>
      <c r="AC144" s="429">
        <v>0</v>
      </c>
      <c r="AD144" s="429">
        <v>0</v>
      </c>
      <c r="AE144" s="429">
        <v>0</v>
      </c>
      <c r="AF144" s="429">
        <v>0</v>
      </c>
      <c r="AG144" s="429">
        <v>0</v>
      </c>
      <c r="AH144" s="429">
        <v>0</v>
      </c>
      <c r="AI144" s="429">
        <v>0</v>
      </c>
      <c r="AJ144" s="429">
        <v>0</v>
      </c>
      <c r="AK144" s="429">
        <v>0</v>
      </c>
      <c r="AL144" s="429">
        <v>0</v>
      </c>
      <c r="AM144" s="429">
        <v>0</v>
      </c>
      <c r="AN144" s="429">
        <v>0</v>
      </c>
      <c r="AO144" s="429">
        <v>0</v>
      </c>
      <c r="AP144" s="429">
        <v>0</v>
      </c>
      <c r="AQ144" s="429">
        <v>0</v>
      </c>
      <c r="AR144" s="429">
        <v>0</v>
      </c>
      <c r="AS144" s="429">
        <v>0</v>
      </c>
      <c r="AT144" s="428">
        <v>0</v>
      </c>
      <c r="AU144" s="429">
        <v>0</v>
      </c>
      <c r="AV144" s="429">
        <v>0</v>
      </c>
      <c r="AW144" s="429">
        <v>0</v>
      </c>
      <c r="AX144" s="429">
        <v>0</v>
      </c>
      <c r="AY144" s="429">
        <v>0</v>
      </c>
      <c r="AZ144" s="428">
        <v>0</v>
      </c>
      <c r="BA144" s="429">
        <v>0</v>
      </c>
      <c r="BB144" s="429">
        <v>0</v>
      </c>
      <c r="BC144" s="429">
        <v>0</v>
      </c>
      <c r="BD144" s="429">
        <v>0</v>
      </c>
      <c r="BE144" s="429">
        <v>0</v>
      </c>
      <c r="BF144" s="429">
        <v>0</v>
      </c>
      <c r="BG144" s="429">
        <v>0</v>
      </c>
      <c r="BH144" s="429">
        <v>0</v>
      </c>
      <c r="BI144" s="429">
        <v>0</v>
      </c>
      <c r="BJ144" s="429">
        <v>0</v>
      </c>
      <c r="BK144" s="429">
        <v>0</v>
      </c>
      <c r="BL144" s="429">
        <v>0</v>
      </c>
      <c r="BM144" s="429">
        <v>0</v>
      </c>
      <c r="BN144" s="429">
        <v>0</v>
      </c>
      <c r="BO144" s="428">
        <v>0</v>
      </c>
      <c r="BP144" s="429">
        <v>0</v>
      </c>
      <c r="BQ144" s="429">
        <v>0</v>
      </c>
      <c r="BR144" s="430">
        <v>0</v>
      </c>
      <c r="BS144" s="430">
        <v>0</v>
      </c>
      <c r="BT144" s="428">
        <v>0</v>
      </c>
    </row>
    <row r="145" spans="1:72">
      <c r="A145" s="410" t="s">
        <v>821</v>
      </c>
      <c r="B145" s="410"/>
      <c r="C145" s="410"/>
      <c r="D145" s="410"/>
      <c r="E145" s="410"/>
      <c r="F145" s="411" t="s">
        <v>822</v>
      </c>
      <c r="G145" s="411"/>
      <c r="H145" s="412">
        <v>821.95600000000002</v>
      </c>
      <c r="I145" s="413">
        <v>24.785</v>
      </c>
      <c r="J145" s="414">
        <v>0</v>
      </c>
      <c r="K145" s="414">
        <v>0</v>
      </c>
      <c r="L145" s="414">
        <v>16.186</v>
      </c>
      <c r="M145" s="414">
        <v>0</v>
      </c>
      <c r="N145" s="414">
        <v>0</v>
      </c>
      <c r="O145" s="414">
        <v>0</v>
      </c>
      <c r="P145" s="414">
        <v>8.6</v>
      </c>
      <c r="Q145" s="414">
        <v>0</v>
      </c>
      <c r="R145" s="414">
        <v>0</v>
      </c>
      <c r="S145" s="414">
        <v>0</v>
      </c>
      <c r="T145" s="414">
        <v>0</v>
      </c>
      <c r="U145" s="414">
        <v>0</v>
      </c>
      <c r="V145" s="414">
        <v>0</v>
      </c>
      <c r="W145" s="413">
        <v>301.81</v>
      </c>
      <c r="X145" s="414">
        <v>0</v>
      </c>
      <c r="Y145" s="414">
        <v>0</v>
      </c>
      <c r="Z145" s="414">
        <v>0</v>
      </c>
      <c r="AA145" s="414">
        <v>0</v>
      </c>
      <c r="AB145" s="414">
        <v>0</v>
      </c>
      <c r="AC145" s="414">
        <v>0</v>
      </c>
      <c r="AD145" s="414">
        <v>11.11</v>
      </c>
      <c r="AE145" s="414">
        <v>9.3580000000000005</v>
      </c>
      <c r="AF145" s="414">
        <v>53.610999999999997</v>
      </c>
      <c r="AG145" s="414">
        <v>8.8000000000000009E-2</v>
      </c>
      <c r="AH145" s="414">
        <v>0</v>
      </c>
      <c r="AI145" s="414">
        <v>33.97</v>
      </c>
      <c r="AJ145" s="414">
        <v>2.8449999999999998</v>
      </c>
      <c r="AK145" s="414">
        <v>0</v>
      </c>
      <c r="AL145" s="414">
        <v>183.31299999999999</v>
      </c>
      <c r="AM145" s="414">
        <v>6.92</v>
      </c>
      <c r="AN145" s="414">
        <v>0</v>
      </c>
      <c r="AO145" s="414">
        <v>0</v>
      </c>
      <c r="AP145" s="414">
        <v>0</v>
      </c>
      <c r="AQ145" s="414">
        <v>0.59499999999999997</v>
      </c>
      <c r="AR145" s="414">
        <v>0</v>
      </c>
      <c r="AS145" s="414">
        <v>0</v>
      </c>
      <c r="AT145" s="413">
        <v>16.425000000000001</v>
      </c>
      <c r="AU145" s="414">
        <v>14.874000000000001</v>
      </c>
      <c r="AV145" s="414">
        <v>0</v>
      </c>
      <c r="AW145" s="414">
        <v>1.5509999999999999</v>
      </c>
      <c r="AX145" s="414">
        <v>0</v>
      </c>
      <c r="AY145" s="414">
        <v>0</v>
      </c>
      <c r="AZ145" s="413">
        <v>53.521999999999998</v>
      </c>
      <c r="BA145" s="414">
        <v>0</v>
      </c>
      <c r="BB145" s="414">
        <v>0</v>
      </c>
      <c r="BC145" s="414">
        <v>0</v>
      </c>
      <c r="BD145" s="414">
        <v>0</v>
      </c>
      <c r="BE145" s="414">
        <v>0</v>
      </c>
      <c r="BF145" s="414">
        <v>47.238</v>
      </c>
      <c r="BG145" s="414">
        <v>0</v>
      </c>
      <c r="BH145" s="414">
        <v>0.51200000000000001</v>
      </c>
      <c r="BI145" s="414">
        <v>0.90900000000000003</v>
      </c>
      <c r="BJ145" s="414">
        <v>0.18800000000000003</v>
      </c>
      <c r="BK145" s="414">
        <v>4.6370000000000005</v>
      </c>
      <c r="BL145" s="414">
        <v>0</v>
      </c>
      <c r="BM145" s="414">
        <v>3.9E-2</v>
      </c>
      <c r="BN145" s="414">
        <v>0</v>
      </c>
      <c r="BO145" s="413">
        <v>0.90900000000000003</v>
      </c>
      <c r="BP145" s="414">
        <v>0</v>
      </c>
      <c r="BQ145" s="414">
        <v>0.90900000000000003</v>
      </c>
      <c r="BR145" s="415">
        <v>0</v>
      </c>
      <c r="BS145" s="415">
        <v>16.081</v>
      </c>
      <c r="BT145" s="413">
        <v>408.42400000000004</v>
      </c>
    </row>
    <row r="146" spans="1:72">
      <c r="A146" s="382" t="s">
        <v>549</v>
      </c>
      <c r="B146" s="383" t="s">
        <v>823</v>
      </c>
      <c r="C146" s="383"/>
      <c r="D146" s="383"/>
      <c r="E146" s="383"/>
      <c r="F146" s="384" t="s">
        <v>824</v>
      </c>
      <c r="G146" s="384"/>
      <c r="H146" s="385">
        <v>257.83300000000003</v>
      </c>
      <c r="I146" s="386">
        <v>24.785</v>
      </c>
      <c r="J146" s="387">
        <v>0</v>
      </c>
      <c r="K146" s="387">
        <v>0</v>
      </c>
      <c r="L146" s="387">
        <v>16.186</v>
      </c>
      <c r="M146" s="387">
        <v>0</v>
      </c>
      <c r="N146" s="387">
        <v>0</v>
      </c>
      <c r="O146" s="387">
        <v>0</v>
      </c>
      <c r="P146" s="387">
        <v>8.6</v>
      </c>
      <c r="Q146" s="387">
        <v>0</v>
      </c>
      <c r="R146" s="387">
        <v>0</v>
      </c>
      <c r="S146" s="387">
        <v>0</v>
      </c>
      <c r="T146" s="387">
        <v>0</v>
      </c>
      <c r="U146" s="387">
        <v>0</v>
      </c>
      <c r="V146" s="387">
        <v>0</v>
      </c>
      <c r="W146" s="386">
        <v>40.605000000000004</v>
      </c>
      <c r="X146" s="387">
        <v>0</v>
      </c>
      <c r="Y146" s="387">
        <v>0</v>
      </c>
      <c r="Z146" s="387">
        <v>0</v>
      </c>
      <c r="AA146" s="387">
        <v>0</v>
      </c>
      <c r="AB146" s="387">
        <v>0</v>
      </c>
      <c r="AC146" s="387">
        <v>0</v>
      </c>
      <c r="AD146" s="387">
        <v>11.11</v>
      </c>
      <c r="AE146" s="387">
        <v>8.0210000000000008</v>
      </c>
      <c r="AF146" s="387">
        <v>0</v>
      </c>
      <c r="AG146" s="387">
        <v>0</v>
      </c>
      <c r="AH146" s="387">
        <v>0</v>
      </c>
      <c r="AI146" s="387">
        <v>0</v>
      </c>
      <c r="AJ146" s="387">
        <v>4.2999999999999997E-2</v>
      </c>
      <c r="AK146" s="387">
        <v>0</v>
      </c>
      <c r="AL146" s="387">
        <v>16.475000000000001</v>
      </c>
      <c r="AM146" s="387">
        <v>4.3600000000000003</v>
      </c>
      <c r="AN146" s="387">
        <v>0</v>
      </c>
      <c r="AO146" s="387">
        <v>0</v>
      </c>
      <c r="AP146" s="387">
        <v>0</v>
      </c>
      <c r="AQ146" s="387">
        <v>0.59499999999999997</v>
      </c>
      <c r="AR146" s="387">
        <v>0</v>
      </c>
      <c r="AS146" s="387">
        <v>0</v>
      </c>
      <c r="AT146" s="386">
        <v>12.238</v>
      </c>
      <c r="AU146" s="387">
        <v>10.686999999999999</v>
      </c>
      <c r="AV146" s="387">
        <v>0</v>
      </c>
      <c r="AW146" s="387">
        <v>1.5509999999999999</v>
      </c>
      <c r="AX146" s="387">
        <v>0</v>
      </c>
      <c r="AY146" s="387">
        <v>0</v>
      </c>
      <c r="AZ146" s="386">
        <v>17.276</v>
      </c>
      <c r="BA146" s="387">
        <v>0</v>
      </c>
      <c r="BB146" s="387">
        <v>0</v>
      </c>
      <c r="BC146" s="387">
        <v>0</v>
      </c>
      <c r="BD146" s="387">
        <v>0</v>
      </c>
      <c r="BE146" s="387">
        <v>0</v>
      </c>
      <c r="BF146" s="387">
        <v>16.367000000000001</v>
      </c>
      <c r="BG146" s="387">
        <v>0</v>
      </c>
      <c r="BH146" s="387">
        <v>0</v>
      </c>
      <c r="BI146" s="387">
        <v>0.90900000000000003</v>
      </c>
      <c r="BJ146" s="387">
        <v>0</v>
      </c>
      <c r="BK146" s="387">
        <v>0</v>
      </c>
      <c r="BL146" s="387">
        <v>0</v>
      </c>
      <c r="BM146" s="387">
        <v>0</v>
      </c>
      <c r="BN146" s="387">
        <v>0</v>
      </c>
      <c r="BO146" s="386">
        <v>0.90900000000000003</v>
      </c>
      <c r="BP146" s="387">
        <v>0</v>
      </c>
      <c r="BQ146" s="387">
        <v>0.90900000000000003</v>
      </c>
      <c r="BR146" s="388">
        <v>0</v>
      </c>
      <c r="BS146" s="388">
        <v>1.6620000000000001</v>
      </c>
      <c r="BT146" s="386">
        <v>160.358</v>
      </c>
    </row>
    <row r="147" spans="1:72">
      <c r="A147" s="369"/>
      <c r="B147" s="362" t="s">
        <v>549</v>
      </c>
      <c r="C147" s="363" t="s">
        <v>825</v>
      </c>
      <c r="D147" s="363"/>
      <c r="E147" s="363"/>
      <c r="F147" s="364" t="s">
        <v>826</v>
      </c>
      <c r="G147" s="364"/>
      <c r="H147" s="365">
        <v>31.228000000000002</v>
      </c>
      <c r="I147" s="366">
        <v>12.860000000000001</v>
      </c>
      <c r="J147" s="367">
        <v>0</v>
      </c>
      <c r="K147" s="367">
        <v>0</v>
      </c>
      <c r="L147" s="367">
        <v>7.0250000000000004</v>
      </c>
      <c r="M147" s="367">
        <v>0</v>
      </c>
      <c r="N147" s="367">
        <v>0</v>
      </c>
      <c r="O147" s="367">
        <v>0</v>
      </c>
      <c r="P147" s="367">
        <v>5.835</v>
      </c>
      <c r="Q147" s="367">
        <v>0</v>
      </c>
      <c r="R147" s="367">
        <v>0</v>
      </c>
      <c r="S147" s="367">
        <v>0</v>
      </c>
      <c r="T147" s="367">
        <v>0</v>
      </c>
      <c r="U147" s="367">
        <v>0</v>
      </c>
      <c r="V147" s="367">
        <v>0</v>
      </c>
      <c r="W147" s="366">
        <v>0.47500000000000003</v>
      </c>
      <c r="X147" s="367">
        <v>0</v>
      </c>
      <c r="Y147" s="367">
        <v>0</v>
      </c>
      <c r="Z147" s="367">
        <v>0</v>
      </c>
      <c r="AA147" s="367">
        <v>0</v>
      </c>
      <c r="AB147" s="367">
        <v>0</v>
      </c>
      <c r="AC147" s="367">
        <v>0</v>
      </c>
      <c r="AD147" s="367">
        <v>0</v>
      </c>
      <c r="AE147" s="367">
        <v>0.13799999999999998</v>
      </c>
      <c r="AF147" s="367">
        <v>0</v>
      </c>
      <c r="AG147" s="367">
        <v>0</v>
      </c>
      <c r="AH147" s="367">
        <v>0</v>
      </c>
      <c r="AI147" s="367">
        <v>0</v>
      </c>
      <c r="AJ147" s="367">
        <v>0</v>
      </c>
      <c r="AK147" s="367">
        <v>0</v>
      </c>
      <c r="AL147" s="367">
        <v>0.30199999999999999</v>
      </c>
      <c r="AM147" s="367">
        <v>0</v>
      </c>
      <c r="AN147" s="367">
        <v>0</v>
      </c>
      <c r="AO147" s="367">
        <v>0</v>
      </c>
      <c r="AP147" s="367">
        <v>0</v>
      </c>
      <c r="AQ147" s="367">
        <v>3.5000000000000003E-2</v>
      </c>
      <c r="AR147" s="367">
        <v>0</v>
      </c>
      <c r="AS147" s="367">
        <v>0</v>
      </c>
      <c r="AT147" s="366">
        <v>0.74699999999999989</v>
      </c>
      <c r="AU147" s="367">
        <v>5.1000000000000004E-2</v>
      </c>
      <c r="AV147" s="367">
        <v>0</v>
      </c>
      <c r="AW147" s="367">
        <v>0.69600000000000006</v>
      </c>
      <c r="AX147" s="367">
        <v>0</v>
      </c>
      <c r="AY147" s="367">
        <v>0</v>
      </c>
      <c r="AZ147" s="366">
        <v>0.29599999999999999</v>
      </c>
      <c r="BA147" s="367">
        <v>0</v>
      </c>
      <c r="BB147" s="367">
        <v>0</v>
      </c>
      <c r="BC147" s="367">
        <v>0</v>
      </c>
      <c r="BD147" s="367">
        <v>0</v>
      </c>
      <c r="BE147" s="367">
        <v>0</v>
      </c>
      <c r="BF147" s="367">
        <v>0.29599999999999999</v>
      </c>
      <c r="BG147" s="367">
        <v>0</v>
      </c>
      <c r="BH147" s="367">
        <v>0</v>
      </c>
      <c r="BI147" s="367">
        <v>0</v>
      </c>
      <c r="BJ147" s="367">
        <v>0</v>
      </c>
      <c r="BK147" s="367">
        <v>0</v>
      </c>
      <c r="BL147" s="367">
        <v>0</v>
      </c>
      <c r="BM147" s="367">
        <v>0</v>
      </c>
      <c r="BN147" s="367">
        <v>0</v>
      </c>
      <c r="BO147" s="366">
        <v>0</v>
      </c>
      <c r="BP147" s="367">
        <v>0</v>
      </c>
      <c r="BQ147" s="367">
        <v>0</v>
      </c>
      <c r="BR147" s="368">
        <v>0</v>
      </c>
      <c r="BS147" s="368">
        <v>8.9999999999999993E-3</v>
      </c>
      <c r="BT147" s="366">
        <v>16.841000000000001</v>
      </c>
    </row>
    <row r="148" spans="1:72">
      <c r="A148" s="369"/>
      <c r="B148" s="362" t="s">
        <v>549</v>
      </c>
      <c r="C148" s="363" t="s">
        <v>827</v>
      </c>
      <c r="D148" s="363"/>
      <c r="E148" s="363"/>
      <c r="F148" s="364" t="s">
        <v>828</v>
      </c>
      <c r="G148" s="364"/>
      <c r="H148" s="365">
        <v>59.796000000000006</v>
      </c>
      <c r="I148" s="366">
        <v>8.1809999999999992</v>
      </c>
      <c r="J148" s="367">
        <v>0</v>
      </c>
      <c r="K148" s="367">
        <v>0</v>
      </c>
      <c r="L148" s="367">
        <v>5.8729999999999993</v>
      </c>
      <c r="M148" s="367">
        <v>0</v>
      </c>
      <c r="N148" s="367">
        <v>0</v>
      </c>
      <c r="O148" s="367">
        <v>0</v>
      </c>
      <c r="P148" s="367">
        <v>2.3079999999999998</v>
      </c>
      <c r="Q148" s="367">
        <v>0</v>
      </c>
      <c r="R148" s="367">
        <v>0</v>
      </c>
      <c r="S148" s="367">
        <v>0</v>
      </c>
      <c r="T148" s="367">
        <v>0</v>
      </c>
      <c r="U148" s="367">
        <v>0</v>
      </c>
      <c r="V148" s="367">
        <v>0</v>
      </c>
      <c r="W148" s="366">
        <v>16.631</v>
      </c>
      <c r="X148" s="367">
        <v>0</v>
      </c>
      <c r="Y148" s="367">
        <v>0</v>
      </c>
      <c r="Z148" s="367">
        <v>0</v>
      </c>
      <c r="AA148" s="367">
        <v>0</v>
      </c>
      <c r="AB148" s="367">
        <v>0</v>
      </c>
      <c r="AC148" s="367">
        <v>0</v>
      </c>
      <c r="AD148" s="367">
        <v>11.11</v>
      </c>
      <c r="AE148" s="367">
        <v>2.6280000000000001</v>
      </c>
      <c r="AF148" s="367">
        <v>0</v>
      </c>
      <c r="AG148" s="367">
        <v>0</v>
      </c>
      <c r="AH148" s="367">
        <v>0</v>
      </c>
      <c r="AI148" s="367">
        <v>0</v>
      </c>
      <c r="AJ148" s="367">
        <v>0</v>
      </c>
      <c r="AK148" s="367">
        <v>0</v>
      </c>
      <c r="AL148" s="367">
        <v>1.9729999999999999</v>
      </c>
      <c r="AM148" s="367">
        <v>0.91999999999999993</v>
      </c>
      <c r="AN148" s="367">
        <v>0</v>
      </c>
      <c r="AO148" s="367">
        <v>0</v>
      </c>
      <c r="AP148" s="367">
        <v>0</v>
      </c>
      <c r="AQ148" s="367">
        <v>0</v>
      </c>
      <c r="AR148" s="367">
        <v>0</v>
      </c>
      <c r="AS148" s="367">
        <v>0</v>
      </c>
      <c r="AT148" s="366">
        <v>5.218</v>
      </c>
      <c r="AU148" s="367">
        <v>4.5489999999999995</v>
      </c>
      <c r="AV148" s="367">
        <v>0</v>
      </c>
      <c r="AW148" s="367">
        <v>0.66899999999999993</v>
      </c>
      <c r="AX148" s="367">
        <v>0</v>
      </c>
      <c r="AY148" s="367">
        <v>0</v>
      </c>
      <c r="AZ148" s="366">
        <v>1.004</v>
      </c>
      <c r="BA148" s="367">
        <v>0</v>
      </c>
      <c r="BB148" s="367">
        <v>0</v>
      </c>
      <c r="BC148" s="367">
        <v>0</v>
      </c>
      <c r="BD148" s="367">
        <v>0</v>
      </c>
      <c r="BE148" s="367">
        <v>0</v>
      </c>
      <c r="BF148" s="367">
        <v>0.88</v>
      </c>
      <c r="BG148" s="367">
        <v>0</v>
      </c>
      <c r="BH148" s="367">
        <v>0</v>
      </c>
      <c r="BI148" s="367">
        <v>0.12400000000000001</v>
      </c>
      <c r="BJ148" s="367">
        <v>0</v>
      </c>
      <c r="BK148" s="367">
        <v>0</v>
      </c>
      <c r="BL148" s="367">
        <v>0</v>
      </c>
      <c r="BM148" s="367">
        <v>0</v>
      </c>
      <c r="BN148" s="367">
        <v>0</v>
      </c>
      <c r="BO148" s="366">
        <v>0.12400000000000001</v>
      </c>
      <c r="BP148" s="367">
        <v>0</v>
      </c>
      <c r="BQ148" s="367">
        <v>0.12400000000000001</v>
      </c>
      <c r="BR148" s="368">
        <v>0</v>
      </c>
      <c r="BS148" s="368">
        <v>0.51800000000000002</v>
      </c>
      <c r="BT148" s="366">
        <v>28.12</v>
      </c>
    </row>
    <row r="149" spans="1:72">
      <c r="A149" s="369"/>
      <c r="B149" s="362" t="s">
        <v>549</v>
      </c>
      <c r="C149" s="363" t="s">
        <v>829</v>
      </c>
      <c r="D149" s="363"/>
      <c r="E149" s="363"/>
      <c r="F149" s="364" t="s">
        <v>830</v>
      </c>
      <c r="G149" s="364"/>
      <c r="H149" s="365">
        <v>73.00800000000001</v>
      </c>
      <c r="I149" s="366">
        <v>0</v>
      </c>
      <c r="J149" s="367">
        <v>0</v>
      </c>
      <c r="K149" s="367">
        <v>0</v>
      </c>
      <c r="L149" s="367">
        <v>0</v>
      </c>
      <c r="M149" s="367">
        <v>0</v>
      </c>
      <c r="N149" s="367">
        <v>0</v>
      </c>
      <c r="O149" s="367">
        <v>0</v>
      </c>
      <c r="P149" s="367">
        <v>0</v>
      </c>
      <c r="Q149" s="367">
        <v>0</v>
      </c>
      <c r="R149" s="367">
        <v>0</v>
      </c>
      <c r="S149" s="367">
        <v>0</v>
      </c>
      <c r="T149" s="367">
        <v>0</v>
      </c>
      <c r="U149" s="367">
        <v>0</v>
      </c>
      <c r="V149" s="367">
        <v>0</v>
      </c>
      <c r="W149" s="366">
        <v>2.0630000000000002</v>
      </c>
      <c r="X149" s="367">
        <v>0</v>
      </c>
      <c r="Y149" s="367">
        <v>0</v>
      </c>
      <c r="Z149" s="367">
        <v>0</v>
      </c>
      <c r="AA149" s="367">
        <v>0</v>
      </c>
      <c r="AB149" s="367">
        <v>0</v>
      </c>
      <c r="AC149" s="367">
        <v>0</v>
      </c>
      <c r="AD149" s="367">
        <v>0</v>
      </c>
      <c r="AE149" s="367">
        <v>1.5210000000000001</v>
      </c>
      <c r="AF149" s="367">
        <v>0</v>
      </c>
      <c r="AG149" s="367">
        <v>0</v>
      </c>
      <c r="AH149" s="367">
        <v>0</v>
      </c>
      <c r="AI149" s="367">
        <v>0</v>
      </c>
      <c r="AJ149" s="367">
        <v>0</v>
      </c>
      <c r="AK149" s="367">
        <v>0</v>
      </c>
      <c r="AL149" s="367">
        <v>0.47200000000000003</v>
      </c>
      <c r="AM149" s="367">
        <v>0</v>
      </c>
      <c r="AN149" s="367">
        <v>0</v>
      </c>
      <c r="AO149" s="367">
        <v>0</v>
      </c>
      <c r="AP149" s="367">
        <v>0</v>
      </c>
      <c r="AQ149" s="367">
        <v>7.0000000000000007E-2</v>
      </c>
      <c r="AR149" s="367">
        <v>0</v>
      </c>
      <c r="AS149" s="367">
        <v>0</v>
      </c>
      <c r="AT149" s="366">
        <v>3.6670000000000003</v>
      </c>
      <c r="AU149" s="367">
        <v>3.6670000000000003</v>
      </c>
      <c r="AV149" s="367">
        <v>0</v>
      </c>
      <c r="AW149" s="367">
        <v>0</v>
      </c>
      <c r="AX149" s="367">
        <v>0</v>
      </c>
      <c r="AY149" s="367">
        <v>0</v>
      </c>
      <c r="AZ149" s="366">
        <v>6.0000000000000001E-3</v>
      </c>
      <c r="BA149" s="367">
        <v>0</v>
      </c>
      <c r="BB149" s="367">
        <v>0</v>
      </c>
      <c r="BC149" s="367">
        <v>0</v>
      </c>
      <c r="BD149" s="367">
        <v>0</v>
      </c>
      <c r="BE149" s="367">
        <v>0</v>
      </c>
      <c r="BF149" s="367">
        <v>6.0000000000000001E-3</v>
      </c>
      <c r="BG149" s="367">
        <v>0</v>
      </c>
      <c r="BH149" s="367">
        <v>0</v>
      </c>
      <c r="BI149" s="367">
        <v>0</v>
      </c>
      <c r="BJ149" s="367">
        <v>0</v>
      </c>
      <c r="BK149" s="367">
        <v>0</v>
      </c>
      <c r="BL149" s="367">
        <v>0</v>
      </c>
      <c r="BM149" s="367">
        <v>0</v>
      </c>
      <c r="BN149" s="367">
        <v>0</v>
      </c>
      <c r="BO149" s="366">
        <v>0</v>
      </c>
      <c r="BP149" s="367">
        <v>0</v>
      </c>
      <c r="BQ149" s="367">
        <v>0</v>
      </c>
      <c r="BR149" s="368">
        <v>0</v>
      </c>
      <c r="BS149" s="368">
        <v>4.1999999999999996E-2</v>
      </c>
      <c r="BT149" s="366">
        <v>67.23</v>
      </c>
    </row>
    <row r="150" spans="1:72">
      <c r="A150" s="369"/>
      <c r="B150" s="362" t="s">
        <v>549</v>
      </c>
      <c r="C150" s="363" t="s">
        <v>831</v>
      </c>
      <c r="D150" s="363"/>
      <c r="E150" s="363"/>
      <c r="F150" s="364" t="s">
        <v>832</v>
      </c>
      <c r="G150" s="364"/>
      <c r="H150" s="365">
        <v>11.280999999999999</v>
      </c>
      <c r="I150" s="366">
        <v>3.7440000000000002</v>
      </c>
      <c r="J150" s="367">
        <v>0</v>
      </c>
      <c r="K150" s="367">
        <v>0</v>
      </c>
      <c r="L150" s="367">
        <v>3.2880000000000003</v>
      </c>
      <c r="M150" s="367">
        <v>0</v>
      </c>
      <c r="N150" s="367">
        <v>0</v>
      </c>
      <c r="O150" s="367">
        <v>0</v>
      </c>
      <c r="P150" s="367">
        <v>0.45599999999999996</v>
      </c>
      <c r="Q150" s="367">
        <v>0</v>
      </c>
      <c r="R150" s="367">
        <v>0</v>
      </c>
      <c r="S150" s="367">
        <v>0</v>
      </c>
      <c r="T150" s="367">
        <v>0</v>
      </c>
      <c r="U150" s="367">
        <v>0</v>
      </c>
      <c r="V150" s="367">
        <v>0</v>
      </c>
      <c r="W150" s="366">
        <v>2.6480000000000001</v>
      </c>
      <c r="X150" s="367">
        <v>0</v>
      </c>
      <c r="Y150" s="367">
        <v>0</v>
      </c>
      <c r="Z150" s="367">
        <v>0</v>
      </c>
      <c r="AA150" s="367">
        <v>0</v>
      </c>
      <c r="AB150" s="367">
        <v>0</v>
      </c>
      <c r="AC150" s="367">
        <v>0</v>
      </c>
      <c r="AD150" s="367">
        <v>0</v>
      </c>
      <c r="AE150" s="367">
        <v>1.1990000000000001</v>
      </c>
      <c r="AF150" s="367">
        <v>0</v>
      </c>
      <c r="AG150" s="367">
        <v>0</v>
      </c>
      <c r="AH150" s="367">
        <v>0</v>
      </c>
      <c r="AI150" s="367">
        <v>0</v>
      </c>
      <c r="AJ150" s="367">
        <v>4.2999999999999997E-2</v>
      </c>
      <c r="AK150" s="367">
        <v>0</v>
      </c>
      <c r="AL150" s="367">
        <v>0.98699999999999999</v>
      </c>
      <c r="AM150" s="367">
        <v>0</v>
      </c>
      <c r="AN150" s="367">
        <v>0</v>
      </c>
      <c r="AO150" s="367">
        <v>0</v>
      </c>
      <c r="AP150" s="367">
        <v>0</v>
      </c>
      <c r="AQ150" s="367">
        <v>0.42</v>
      </c>
      <c r="AR150" s="367">
        <v>0</v>
      </c>
      <c r="AS150" s="367">
        <v>0</v>
      </c>
      <c r="AT150" s="366">
        <v>0.29799999999999999</v>
      </c>
      <c r="AU150" s="367">
        <v>0.112</v>
      </c>
      <c r="AV150" s="367">
        <v>0</v>
      </c>
      <c r="AW150" s="367">
        <v>0.186</v>
      </c>
      <c r="AX150" s="367">
        <v>0</v>
      </c>
      <c r="AY150" s="367">
        <v>0</v>
      </c>
      <c r="AZ150" s="366">
        <v>0.82400000000000007</v>
      </c>
      <c r="BA150" s="367">
        <v>0</v>
      </c>
      <c r="BB150" s="367">
        <v>0</v>
      </c>
      <c r="BC150" s="367">
        <v>0</v>
      </c>
      <c r="BD150" s="367">
        <v>0</v>
      </c>
      <c r="BE150" s="367">
        <v>0</v>
      </c>
      <c r="BF150" s="367">
        <v>0.151</v>
      </c>
      <c r="BG150" s="367">
        <v>0</v>
      </c>
      <c r="BH150" s="367">
        <v>0</v>
      </c>
      <c r="BI150" s="367">
        <v>0.67299999999999993</v>
      </c>
      <c r="BJ150" s="367">
        <v>0</v>
      </c>
      <c r="BK150" s="367">
        <v>0</v>
      </c>
      <c r="BL150" s="367">
        <v>0</v>
      </c>
      <c r="BM150" s="367">
        <v>0</v>
      </c>
      <c r="BN150" s="367">
        <v>0</v>
      </c>
      <c r="BO150" s="366">
        <v>0.67299999999999993</v>
      </c>
      <c r="BP150" s="367">
        <v>0</v>
      </c>
      <c r="BQ150" s="367">
        <v>0.67299999999999993</v>
      </c>
      <c r="BR150" s="368">
        <v>0</v>
      </c>
      <c r="BS150" s="368">
        <v>8.9999999999999993E-3</v>
      </c>
      <c r="BT150" s="366">
        <v>3.085</v>
      </c>
    </row>
    <row r="151" spans="1:72">
      <c r="A151" s="369"/>
      <c r="B151" s="362" t="s">
        <v>549</v>
      </c>
      <c r="C151" s="363" t="s">
        <v>833</v>
      </c>
      <c r="D151" s="363"/>
      <c r="E151" s="363"/>
      <c r="F151" s="364" t="s">
        <v>834</v>
      </c>
      <c r="G151" s="364"/>
      <c r="H151" s="365">
        <v>2.8709999999999996</v>
      </c>
      <c r="I151" s="366">
        <v>0</v>
      </c>
      <c r="J151" s="367">
        <v>0</v>
      </c>
      <c r="K151" s="367">
        <v>0</v>
      </c>
      <c r="L151" s="367">
        <v>0</v>
      </c>
      <c r="M151" s="367">
        <v>0</v>
      </c>
      <c r="N151" s="367">
        <v>0</v>
      </c>
      <c r="O151" s="367">
        <v>0</v>
      </c>
      <c r="P151" s="367">
        <v>0</v>
      </c>
      <c r="Q151" s="367">
        <v>0</v>
      </c>
      <c r="R151" s="367">
        <v>0</v>
      </c>
      <c r="S151" s="367">
        <v>0</v>
      </c>
      <c r="T151" s="367">
        <v>0</v>
      </c>
      <c r="U151" s="367">
        <v>0</v>
      </c>
      <c r="V151" s="367">
        <v>0</v>
      </c>
      <c r="W151" s="366">
        <v>0.69900000000000007</v>
      </c>
      <c r="X151" s="367">
        <v>0</v>
      </c>
      <c r="Y151" s="367">
        <v>0</v>
      </c>
      <c r="Z151" s="367">
        <v>0</v>
      </c>
      <c r="AA151" s="367">
        <v>0</v>
      </c>
      <c r="AB151" s="367">
        <v>0</v>
      </c>
      <c r="AC151" s="367">
        <v>0</v>
      </c>
      <c r="AD151" s="367">
        <v>0</v>
      </c>
      <c r="AE151" s="367">
        <v>0.184</v>
      </c>
      <c r="AF151" s="367">
        <v>0</v>
      </c>
      <c r="AG151" s="367">
        <v>0</v>
      </c>
      <c r="AH151" s="367">
        <v>0</v>
      </c>
      <c r="AI151" s="367">
        <v>0</v>
      </c>
      <c r="AJ151" s="367">
        <v>0</v>
      </c>
      <c r="AK151" s="367">
        <v>0</v>
      </c>
      <c r="AL151" s="367">
        <v>0.51500000000000001</v>
      </c>
      <c r="AM151" s="367">
        <v>0</v>
      </c>
      <c r="AN151" s="367">
        <v>0</v>
      </c>
      <c r="AO151" s="367">
        <v>0</v>
      </c>
      <c r="AP151" s="367">
        <v>0</v>
      </c>
      <c r="AQ151" s="367">
        <v>0</v>
      </c>
      <c r="AR151" s="367">
        <v>0</v>
      </c>
      <c r="AS151" s="367">
        <v>0</v>
      </c>
      <c r="AT151" s="366">
        <v>3.3000000000000002E-2</v>
      </c>
      <c r="AU151" s="367">
        <v>3.3000000000000002E-2</v>
      </c>
      <c r="AV151" s="367">
        <v>0</v>
      </c>
      <c r="AW151" s="367">
        <v>0</v>
      </c>
      <c r="AX151" s="367">
        <v>0</v>
      </c>
      <c r="AY151" s="367">
        <v>0</v>
      </c>
      <c r="AZ151" s="366">
        <v>2E-3</v>
      </c>
      <c r="BA151" s="367">
        <v>0</v>
      </c>
      <c r="BB151" s="367">
        <v>0</v>
      </c>
      <c r="BC151" s="367">
        <v>0</v>
      </c>
      <c r="BD151" s="367">
        <v>0</v>
      </c>
      <c r="BE151" s="367">
        <v>0</v>
      </c>
      <c r="BF151" s="367">
        <v>2E-3</v>
      </c>
      <c r="BG151" s="367">
        <v>0</v>
      </c>
      <c r="BH151" s="367">
        <v>0</v>
      </c>
      <c r="BI151" s="367">
        <v>0</v>
      </c>
      <c r="BJ151" s="367">
        <v>0</v>
      </c>
      <c r="BK151" s="367">
        <v>0</v>
      </c>
      <c r="BL151" s="367">
        <v>0</v>
      </c>
      <c r="BM151" s="367">
        <v>0</v>
      </c>
      <c r="BN151" s="367">
        <v>0</v>
      </c>
      <c r="BO151" s="366">
        <v>0</v>
      </c>
      <c r="BP151" s="367">
        <v>0</v>
      </c>
      <c r="BQ151" s="367">
        <v>0</v>
      </c>
      <c r="BR151" s="368">
        <v>0</v>
      </c>
      <c r="BS151" s="368">
        <v>0.13100000000000001</v>
      </c>
      <c r="BT151" s="366">
        <v>2.0049999999999999</v>
      </c>
    </row>
    <row r="152" spans="1:72">
      <c r="A152" s="369"/>
      <c r="B152" s="362" t="s">
        <v>549</v>
      </c>
      <c r="C152" s="363" t="s">
        <v>835</v>
      </c>
      <c r="D152" s="363"/>
      <c r="E152" s="363"/>
      <c r="F152" s="364" t="s">
        <v>836</v>
      </c>
      <c r="G152" s="364"/>
      <c r="H152" s="365">
        <v>5.6229999999999993</v>
      </c>
      <c r="I152" s="366">
        <v>0</v>
      </c>
      <c r="J152" s="367">
        <v>0</v>
      </c>
      <c r="K152" s="367">
        <v>0</v>
      </c>
      <c r="L152" s="367">
        <v>0</v>
      </c>
      <c r="M152" s="367">
        <v>0</v>
      </c>
      <c r="N152" s="367">
        <v>0</v>
      </c>
      <c r="O152" s="367">
        <v>0</v>
      </c>
      <c r="P152" s="367">
        <v>0</v>
      </c>
      <c r="Q152" s="367">
        <v>0</v>
      </c>
      <c r="R152" s="367">
        <v>0</v>
      </c>
      <c r="S152" s="367">
        <v>0</v>
      </c>
      <c r="T152" s="367">
        <v>0</v>
      </c>
      <c r="U152" s="367">
        <v>0</v>
      </c>
      <c r="V152" s="367">
        <v>0</v>
      </c>
      <c r="W152" s="366">
        <v>1.073</v>
      </c>
      <c r="X152" s="367">
        <v>0</v>
      </c>
      <c r="Y152" s="367">
        <v>0</v>
      </c>
      <c r="Z152" s="367">
        <v>0</v>
      </c>
      <c r="AA152" s="367">
        <v>0</v>
      </c>
      <c r="AB152" s="367">
        <v>0</v>
      </c>
      <c r="AC152" s="367">
        <v>0</v>
      </c>
      <c r="AD152" s="367">
        <v>0</v>
      </c>
      <c r="AE152" s="367">
        <v>0.22999999999999998</v>
      </c>
      <c r="AF152" s="367">
        <v>0</v>
      </c>
      <c r="AG152" s="367">
        <v>0</v>
      </c>
      <c r="AH152" s="367">
        <v>0</v>
      </c>
      <c r="AI152" s="367">
        <v>0</v>
      </c>
      <c r="AJ152" s="367">
        <v>0</v>
      </c>
      <c r="AK152" s="367">
        <v>0</v>
      </c>
      <c r="AL152" s="367">
        <v>0.77200000000000002</v>
      </c>
      <c r="AM152" s="367">
        <v>0</v>
      </c>
      <c r="AN152" s="367">
        <v>0</v>
      </c>
      <c r="AO152" s="367">
        <v>0</v>
      </c>
      <c r="AP152" s="367">
        <v>0</v>
      </c>
      <c r="AQ152" s="367">
        <v>7.0000000000000007E-2</v>
      </c>
      <c r="AR152" s="367">
        <v>0</v>
      </c>
      <c r="AS152" s="367">
        <v>0</v>
      </c>
      <c r="AT152" s="366">
        <v>0.17600000000000002</v>
      </c>
      <c r="AU152" s="367">
        <v>0.17600000000000002</v>
      </c>
      <c r="AV152" s="367">
        <v>0</v>
      </c>
      <c r="AW152" s="367">
        <v>0</v>
      </c>
      <c r="AX152" s="367">
        <v>0</v>
      </c>
      <c r="AY152" s="367">
        <v>0</v>
      </c>
      <c r="AZ152" s="366">
        <v>1E-3</v>
      </c>
      <c r="BA152" s="367">
        <v>0</v>
      </c>
      <c r="BB152" s="367">
        <v>0</v>
      </c>
      <c r="BC152" s="367">
        <v>0</v>
      </c>
      <c r="BD152" s="367">
        <v>0</v>
      </c>
      <c r="BE152" s="367">
        <v>0</v>
      </c>
      <c r="BF152" s="367">
        <v>1E-3</v>
      </c>
      <c r="BG152" s="367">
        <v>0</v>
      </c>
      <c r="BH152" s="367">
        <v>0</v>
      </c>
      <c r="BI152" s="367">
        <v>0</v>
      </c>
      <c r="BJ152" s="367">
        <v>0</v>
      </c>
      <c r="BK152" s="367">
        <v>0</v>
      </c>
      <c r="BL152" s="367">
        <v>0</v>
      </c>
      <c r="BM152" s="367">
        <v>0</v>
      </c>
      <c r="BN152" s="367">
        <v>0</v>
      </c>
      <c r="BO152" s="366">
        <v>0</v>
      </c>
      <c r="BP152" s="367">
        <v>0</v>
      </c>
      <c r="BQ152" s="367">
        <v>0</v>
      </c>
      <c r="BR152" s="368">
        <v>0</v>
      </c>
      <c r="BS152" s="368">
        <v>0.157</v>
      </c>
      <c r="BT152" s="366">
        <v>4.2160000000000002</v>
      </c>
    </row>
    <row r="153" spans="1:72">
      <c r="A153" s="369"/>
      <c r="B153" s="362" t="s">
        <v>549</v>
      </c>
      <c r="C153" s="363" t="s">
        <v>837</v>
      </c>
      <c r="D153" s="363"/>
      <c r="E153" s="363"/>
      <c r="F153" s="364" t="s">
        <v>838</v>
      </c>
      <c r="G153" s="364"/>
      <c r="H153" s="365">
        <v>4.5970000000000004</v>
      </c>
      <c r="I153" s="366">
        <v>0</v>
      </c>
      <c r="J153" s="367">
        <v>0</v>
      </c>
      <c r="K153" s="367">
        <v>0</v>
      </c>
      <c r="L153" s="367">
        <v>0</v>
      </c>
      <c r="M153" s="367">
        <v>0</v>
      </c>
      <c r="N153" s="367">
        <v>0</v>
      </c>
      <c r="O153" s="367">
        <v>0</v>
      </c>
      <c r="P153" s="367">
        <v>0</v>
      </c>
      <c r="Q153" s="367">
        <v>0</v>
      </c>
      <c r="R153" s="367">
        <v>0</v>
      </c>
      <c r="S153" s="367">
        <v>0</v>
      </c>
      <c r="T153" s="367">
        <v>0</v>
      </c>
      <c r="U153" s="367">
        <v>0</v>
      </c>
      <c r="V153" s="367">
        <v>0</v>
      </c>
      <c r="W153" s="366">
        <v>2.403</v>
      </c>
      <c r="X153" s="367">
        <v>0</v>
      </c>
      <c r="Y153" s="367">
        <v>0</v>
      </c>
      <c r="Z153" s="367">
        <v>0</v>
      </c>
      <c r="AA153" s="367">
        <v>0</v>
      </c>
      <c r="AB153" s="367">
        <v>0</v>
      </c>
      <c r="AC153" s="367">
        <v>0</v>
      </c>
      <c r="AD153" s="367">
        <v>0</v>
      </c>
      <c r="AE153" s="367">
        <v>4.5999999999999999E-2</v>
      </c>
      <c r="AF153" s="367">
        <v>0</v>
      </c>
      <c r="AG153" s="367">
        <v>0</v>
      </c>
      <c r="AH153" s="367">
        <v>0</v>
      </c>
      <c r="AI153" s="367">
        <v>0</v>
      </c>
      <c r="AJ153" s="367">
        <v>0</v>
      </c>
      <c r="AK153" s="367">
        <v>0</v>
      </c>
      <c r="AL153" s="367">
        <v>2.3169999999999997</v>
      </c>
      <c r="AM153" s="367">
        <v>0.04</v>
      </c>
      <c r="AN153" s="367">
        <v>0</v>
      </c>
      <c r="AO153" s="367">
        <v>0</v>
      </c>
      <c r="AP153" s="367">
        <v>0</v>
      </c>
      <c r="AQ153" s="367">
        <v>0</v>
      </c>
      <c r="AR153" s="367">
        <v>0</v>
      </c>
      <c r="AS153" s="367">
        <v>0</v>
      </c>
      <c r="AT153" s="366">
        <v>0.17500000000000002</v>
      </c>
      <c r="AU153" s="367">
        <v>0.17500000000000002</v>
      </c>
      <c r="AV153" s="367">
        <v>0</v>
      </c>
      <c r="AW153" s="367">
        <v>0</v>
      </c>
      <c r="AX153" s="367">
        <v>0</v>
      </c>
      <c r="AY153" s="367">
        <v>0</v>
      </c>
      <c r="AZ153" s="366">
        <v>1E-3</v>
      </c>
      <c r="BA153" s="367">
        <v>0</v>
      </c>
      <c r="BB153" s="367">
        <v>0</v>
      </c>
      <c r="BC153" s="367">
        <v>0</v>
      </c>
      <c r="BD153" s="367">
        <v>0</v>
      </c>
      <c r="BE153" s="367">
        <v>0</v>
      </c>
      <c r="BF153" s="367">
        <v>1E-3</v>
      </c>
      <c r="BG153" s="367">
        <v>0</v>
      </c>
      <c r="BH153" s="367">
        <v>0</v>
      </c>
      <c r="BI153" s="367">
        <v>0</v>
      </c>
      <c r="BJ153" s="367">
        <v>0</v>
      </c>
      <c r="BK153" s="367">
        <v>0</v>
      </c>
      <c r="BL153" s="367">
        <v>0</v>
      </c>
      <c r="BM153" s="367">
        <v>0</v>
      </c>
      <c r="BN153" s="367">
        <v>0</v>
      </c>
      <c r="BO153" s="366">
        <v>0</v>
      </c>
      <c r="BP153" s="367">
        <v>0</v>
      </c>
      <c r="BQ153" s="367">
        <v>0</v>
      </c>
      <c r="BR153" s="368">
        <v>0</v>
      </c>
      <c r="BS153" s="368">
        <v>6.0000000000000001E-3</v>
      </c>
      <c r="BT153" s="366">
        <v>2.012</v>
      </c>
    </row>
    <row r="154" spans="1:72">
      <c r="A154" s="369"/>
      <c r="B154" s="362" t="s">
        <v>549</v>
      </c>
      <c r="C154" s="363" t="s">
        <v>839</v>
      </c>
      <c r="D154" s="363"/>
      <c r="E154" s="363"/>
      <c r="F154" s="364" t="s">
        <v>840</v>
      </c>
      <c r="G154" s="364"/>
      <c r="H154" s="365">
        <v>15.869000000000002</v>
      </c>
      <c r="I154" s="366">
        <v>0</v>
      </c>
      <c r="J154" s="367">
        <v>0</v>
      </c>
      <c r="K154" s="367">
        <v>0</v>
      </c>
      <c r="L154" s="367">
        <v>0</v>
      </c>
      <c r="M154" s="367">
        <v>0</v>
      </c>
      <c r="N154" s="367">
        <v>0</v>
      </c>
      <c r="O154" s="367">
        <v>0</v>
      </c>
      <c r="P154" s="367">
        <v>0</v>
      </c>
      <c r="Q154" s="367">
        <v>0</v>
      </c>
      <c r="R154" s="367">
        <v>0</v>
      </c>
      <c r="S154" s="367">
        <v>0</v>
      </c>
      <c r="T154" s="367">
        <v>0</v>
      </c>
      <c r="U154" s="367">
        <v>0</v>
      </c>
      <c r="V154" s="367">
        <v>0</v>
      </c>
      <c r="W154" s="366">
        <v>3.5660000000000003</v>
      </c>
      <c r="X154" s="367">
        <v>0</v>
      </c>
      <c r="Y154" s="367">
        <v>0</v>
      </c>
      <c r="Z154" s="367">
        <v>0</v>
      </c>
      <c r="AA154" s="367">
        <v>0</v>
      </c>
      <c r="AB154" s="367">
        <v>0</v>
      </c>
      <c r="AC154" s="367">
        <v>0</v>
      </c>
      <c r="AD154" s="367">
        <v>0</v>
      </c>
      <c r="AE154" s="367">
        <v>0.69200000000000006</v>
      </c>
      <c r="AF154" s="367">
        <v>0</v>
      </c>
      <c r="AG154" s="367">
        <v>0</v>
      </c>
      <c r="AH154" s="367">
        <v>0</v>
      </c>
      <c r="AI154" s="367">
        <v>0</v>
      </c>
      <c r="AJ154" s="367">
        <v>0</v>
      </c>
      <c r="AK154" s="367">
        <v>0</v>
      </c>
      <c r="AL154" s="367">
        <v>2.8740000000000001</v>
      </c>
      <c r="AM154" s="367">
        <v>0</v>
      </c>
      <c r="AN154" s="367">
        <v>0</v>
      </c>
      <c r="AO154" s="367">
        <v>0</v>
      </c>
      <c r="AP154" s="367">
        <v>0</v>
      </c>
      <c r="AQ154" s="367">
        <v>0</v>
      </c>
      <c r="AR154" s="367">
        <v>0</v>
      </c>
      <c r="AS154" s="367">
        <v>0</v>
      </c>
      <c r="AT154" s="366">
        <v>1.679</v>
      </c>
      <c r="AU154" s="367">
        <v>1.679</v>
      </c>
      <c r="AV154" s="367">
        <v>0</v>
      </c>
      <c r="AW154" s="367">
        <v>0</v>
      </c>
      <c r="AX154" s="367">
        <v>0</v>
      </c>
      <c r="AY154" s="367">
        <v>0</v>
      </c>
      <c r="AZ154" s="366">
        <v>0.20500000000000002</v>
      </c>
      <c r="BA154" s="367">
        <v>0</v>
      </c>
      <c r="BB154" s="367">
        <v>0</v>
      </c>
      <c r="BC154" s="367">
        <v>0</v>
      </c>
      <c r="BD154" s="367">
        <v>0</v>
      </c>
      <c r="BE154" s="367">
        <v>0</v>
      </c>
      <c r="BF154" s="367">
        <v>9.2999999999999999E-2</v>
      </c>
      <c r="BG154" s="367">
        <v>0</v>
      </c>
      <c r="BH154" s="367">
        <v>0</v>
      </c>
      <c r="BI154" s="367">
        <v>0.112</v>
      </c>
      <c r="BJ154" s="367">
        <v>0</v>
      </c>
      <c r="BK154" s="367">
        <v>0</v>
      </c>
      <c r="BL154" s="367">
        <v>0</v>
      </c>
      <c r="BM154" s="367">
        <v>0</v>
      </c>
      <c r="BN154" s="367">
        <v>0</v>
      </c>
      <c r="BO154" s="366">
        <v>0.112</v>
      </c>
      <c r="BP154" s="367">
        <v>0</v>
      </c>
      <c r="BQ154" s="367">
        <v>0.112</v>
      </c>
      <c r="BR154" s="368">
        <v>0</v>
      </c>
      <c r="BS154" s="368">
        <v>0.52900000000000003</v>
      </c>
      <c r="BT154" s="366">
        <v>9.7780000000000005</v>
      </c>
    </row>
    <row r="155" spans="1:72">
      <c r="A155" s="369"/>
      <c r="B155" s="362" t="s">
        <v>549</v>
      </c>
      <c r="C155" s="363" t="s">
        <v>841</v>
      </c>
      <c r="D155" s="363"/>
      <c r="E155" s="363"/>
      <c r="F155" s="364" t="s">
        <v>842</v>
      </c>
      <c r="G155" s="364"/>
      <c r="H155" s="365">
        <v>34.061999999999998</v>
      </c>
      <c r="I155" s="366">
        <v>0</v>
      </c>
      <c r="J155" s="367">
        <v>0</v>
      </c>
      <c r="K155" s="367">
        <v>0</v>
      </c>
      <c r="L155" s="367">
        <v>0</v>
      </c>
      <c r="M155" s="367">
        <v>0</v>
      </c>
      <c r="N155" s="367">
        <v>0</v>
      </c>
      <c r="O155" s="367">
        <v>0</v>
      </c>
      <c r="P155" s="367">
        <v>0</v>
      </c>
      <c r="Q155" s="367">
        <v>0</v>
      </c>
      <c r="R155" s="367">
        <v>0</v>
      </c>
      <c r="S155" s="367">
        <v>0</v>
      </c>
      <c r="T155" s="367">
        <v>0</v>
      </c>
      <c r="U155" s="367">
        <v>0</v>
      </c>
      <c r="V155" s="367">
        <v>0</v>
      </c>
      <c r="W155" s="366">
        <v>4.085</v>
      </c>
      <c r="X155" s="367">
        <v>0</v>
      </c>
      <c r="Y155" s="367">
        <v>0</v>
      </c>
      <c r="Z155" s="367">
        <v>0</v>
      </c>
      <c r="AA155" s="367">
        <v>0</v>
      </c>
      <c r="AB155" s="367">
        <v>0</v>
      </c>
      <c r="AC155" s="367">
        <v>0</v>
      </c>
      <c r="AD155" s="367">
        <v>0</v>
      </c>
      <c r="AE155" s="367">
        <v>0.55299999999999994</v>
      </c>
      <c r="AF155" s="367">
        <v>0</v>
      </c>
      <c r="AG155" s="367">
        <v>0</v>
      </c>
      <c r="AH155" s="367">
        <v>0</v>
      </c>
      <c r="AI155" s="367">
        <v>0</v>
      </c>
      <c r="AJ155" s="367">
        <v>0</v>
      </c>
      <c r="AK155" s="367">
        <v>0</v>
      </c>
      <c r="AL155" s="367">
        <v>0.17199999999999999</v>
      </c>
      <c r="AM155" s="367">
        <v>3.36</v>
      </c>
      <c r="AN155" s="367">
        <v>0</v>
      </c>
      <c r="AO155" s="367">
        <v>0</v>
      </c>
      <c r="AP155" s="367">
        <v>0</v>
      </c>
      <c r="AQ155" s="367">
        <v>0</v>
      </c>
      <c r="AR155" s="367">
        <v>0</v>
      </c>
      <c r="AS155" s="367">
        <v>0</v>
      </c>
      <c r="AT155" s="366">
        <v>0.06</v>
      </c>
      <c r="AU155" s="367">
        <v>0.06</v>
      </c>
      <c r="AV155" s="367">
        <v>0</v>
      </c>
      <c r="AW155" s="367">
        <v>0</v>
      </c>
      <c r="AX155" s="367">
        <v>0</v>
      </c>
      <c r="AY155" s="367">
        <v>0</v>
      </c>
      <c r="AZ155" s="366">
        <v>11.703999999999999</v>
      </c>
      <c r="BA155" s="367">
        <v>0</v>
      </c>
      <c r="BB155" s="367">
        <v>0</v>
      </c>
      <c r="BC155" s="367">
        <v>0</v>
      </c>
      <c r="BD155" s="367">
        <v>0</v>
      </c>
      <c r="BE155" s="367">
        <v>0</v>
      </c>
      <c r="BF155" s="367">
        <v>11.703999999999999</v>
      </c>
      <c r="BG155" s="367">
        <v>0</v>
      </c>
      <c r="BH155" s="367">
        <v>0</v>
      </c>
      <c r="BI155" s="367">
        <v>0</v>
      </c>
      <c r="BJ155" s="367">
        <v>0</v>
      </c>
      <c r="BK155" s="367">
        <v>0</v>
      </c>
      <c r="BL155" s="367">
        <v>0</v>
      </c>
      <c r="BM155" s="367">
        <v>0</v>
      </c>
      <c r="BN155" s="367">
        <v>0</v>
      </c>
      <c r="BO155" s="366">
        <v>0</v>
      </c>
      <c r="BP155" s="367">
        <v>0</v>
      </c>
      <c r="BQ155" s="367">
        <v>0</v>
      </c>
      <c r="BR155" s="368">
        <v>0</v>
      </c>
      <c r="BS155" s="368">
        <v>1.4999999999999999E-2</v>
      </c>
      <c r="BT155" s="366">
        <v>18.198</v>
      </c>
    </row>
    <row r="156" spans="1:72">
      <c r="A156" s="369"/>
      <c r="B156" s="362" t="s">
        <v>549</v>
      </c>
      <c r="C156" s="363" t="s">
        <v>843</v>
      </c>
      <c r="D156" s="363"/>
      <c r="E156" s="363"/>
      <c r="F156" s="364" t="s">
        <v>844</v>
      </c>
      <c r="G156" s="364"/>
      <c r="H156" s="365">
        <v>6.2179999999999991</v>
      </c>
      <c r="I156" s="366">
        <v>0</v>
      </c>
      <c r="J156" s="367">
        <v>0</v>
      </c>
      <c r="K156" s="367">
        <v>0</v>
      </c>
      <c r="L156" s="367">
        <v>0</v>
      </c>
      <c r="M156" s="367">
        <v>0</v>
      </c>
      <c r="N156" s="367">
        <v>0</v>
      </c>
      <c r="O156" s="367">
        <v>0</v>
      </c>
      <c r="P156" s="367">
        <v>0</v>
      </c>
      <c r="Q156" s="367">
        <v>0</v>
      </c>
      <c r="R156" s="367">
        <v>0</v>
      </c>
      <c r="S156" s="367">
        <v>0</v>
      </c>
      <c r="T156" s="367">
        <v>0</v>
      </c>
      <c r="U156" s="367">
        <v>0</v>
      </c>
      <c r="V156" s="367">
        <v>0</v>
      </c>
      <c r="W156" s="366">
        <v>0.42599999999999999</v>
      </c>
      <c r="X156" s="367">
        <v>0</v>
      </c>
      <c r="Y156" s="367">
        <v>0</v>
      </c>
      <c r="Z156" s="367">
        <v>0</v>
      </c>
      <c r="AA156" s="367">
        <v>0</v>
      </c>
      <c r="AB156" s="367">
        <v>0</v>
      </c>
      <c r="AC156" s="367">
        <v>0</v>
      </c>
      <c r="AD156" s="367">
        <v>0</v>
      </c>
      <c r="AE156" s="367">
        <v>0</v>
      </c>
      <c r="AF156" s="367">
        <v>0</v>
      </c>
      <c r="AG156" s="367">
        <v>0</v>
      </c>
      <c r="AH156" s="367">
        <v>0</v>
      </c>
      <c r="AI156" s="367">
        <v>0</v>
      </c>
      <c r="AJ156" s="367">
        <v>0</v>
      </c>
      <c r="AK156" s="367">
        <v>0</v>
      </c>
      <c r="AL156" s="367">
        <v>0.38600000000000001</v>
      </c>
      <c r="AM156" s="367">
        <v>0.04</v>
      </c>
      <c r="AN156" s="367">
        <v>0</v>
      </c>
      <c r="AO156" s="367">
        <v>0</v>
      </c>
      <c r="AP156" s="367">
        <v>0</v>
      </c>
      <c r="AQ156" s="367">
        <v>0</v>
      </c>
      <c r="AR156" s="367">
        <v>0</v>
      </c>
      <c r="AS156" s="367">
        <v>0</v>
      </c>
      <c r="AT156" s="366">
        <v>1.3000000000000001E-2</v>
      </c>
      <c r="AU156" s="367">
        <v>1.3000000000000001E-2</v>
      </c>
      <c r="AV156" s="367">
        <v>0</v>
      </c>
      <c r="AW156" s="367">
        <v>0</v>
      </c>
      <c r="AX156" s="367">
        <v>0</v>
      </c>
      <c r="AY156" s="367">
        <v>0</v>
      </c>
      <c r="AZ156" s="366">
        <v>2.9730000000000003</v>
      </c>
      <c r="BA156" s="367">
        <v>0</v>
      </c>
      <c r="BB156" s="367">
        <v>0</v>
      </c>
      <c r="BC156" s="367">
        <v>0</v>
      </c>
      <c r="BD156" s="367">
        <v>0</v>
      </c>
      <c r="BE156" s="367">
        <v>0</v>
      </c>
      <c r="BF156" s="367">
        <v>2.9730000000000003</v>
      </c>
      <c r="BG156" s="367">
        <v>0</v>
      </c>
      <c r="BH156" s="367">
        <v>0</v>
      </c>
      <c r="BI156" s="367">
        <v>0</v>
      </c>
      <c r="BJ156" s="367">
        <v>0</v>
      </c>
      <c r="BK156" s="367">
        <v>0</v>
      </c>
      <c r="BL156" s="367">
        <v>0</v>
      </c>
      <c r="BM156" s="367">
        <v>0</v>
      </c>
      <c r="BN156" s="367">
        <v>0</v>
      </c>
      <c r="BO156" s="366">
        <v>0</v>
      </c>
      <c r="BP156" s="367">
        <v>0</v>
      </c>
      <c r="BQ156" s="367">
        <v>0</v>
      </c>
      <c r="BR156" s="368">
        <v>0</v>
      </c>
      <c r="BS156" s="368">
        <v>0.22500000000000001</v>
      </c>
      <c r="BT156" s="366">
        <v>2.581</v>
      </c>
    </row>
    <row r="157" spans="1:72">
      <c r="A157" s="369"/>
      <c r="B157" s="362" t="s">
        <v>549</v>
      </c>
      <c r="C157" s="363" t="s">
        <v>845</v>
      </c>
      <c r="D157" s="363"/>
      <c r="E157" s="363"/>
      <c r="F157" s="364" t="s">
        <v>846</v>
      </c>
      <c r="G157" s="364"/>
      <c r="H157" s="365">
        <v>10.715999999999999</v>
      </c>
      <c r="I157" s="366">
        <v>0</v>
      </c>
      <c r="J157" s="367">
        <v>0</v>
      </c>
      <c r="K157" s="367">
        <v>0</v>
      </c>
      <c r="L157" s="367">
        <v>0</v>
      </c>
      <c r="M157" s="367">
        <v>0</v>
      </c>
      <c r="N157" s="367">
        <v>0</v>
      </c>
      <c r="O157" s="367">
        <v>0</v>
      </c>
      <c r="P157" s="367">
        <v>0</v>
      </c>
      <c r="Q157" s="367">
        <v>0</v>
      </c>
      <c r="R157" s="367">
        <v>0</v>
      </c>
      <c r="S157" s="367">
        <v>0</v>
      </c>
      <c r="T157" s="367">
        <v>0</v>
      </c>
      <c r="U157" s="367">
        <v>0</v>
      </c>
      <c r="V157" s="367">
        <v>0</v>
      </c>
      <c r="W157" s="366">
        <v>6.3180000000000005</v>
      </c>
      <c r="X157" s="367">
        <v>0</v>
      </c>
      <c r="Y157" s="367">
        <v>0</v>
      </c>
      <c r="Z157" s="367">
        <v>0</v>
      </c>
      <c r="AA157" s="367">
        <v>0</v>
      </c>
      <c r="AB157" s="367">
        <v>0</v>
      </c>
      <c r="AC157" s="367">
        <v>0</v>
      </c>
      <c r="AD157" s="367">
        <v>0</v>
      </c>
      <c r="AE157" s="367">
        <v>0.78400000000000003</v>
      </c>
      <c r="AF157" s="367">
        <v>0</v>
      </c>
      <c r="AG157" s="367">
        <v>0</v>
      </c>
      <c r="AH157" s="367">
        <v>0</v>
      </c>
      <c r="AI157" s="367">
        <v>0</v>
      </c>
      <c r="AJ157" s="367">
        <v>0</v>
      </c>
      <c r="AK157" s="367">
        <v>0</v>
      </c>
      <c r="AL157" s="367">
        <v>5.5339999999999998</v>
      </c>
      <c r="AM157" s="367">
        <v>0</v>
      </c>
      <c r="AN157" s="367">
        <v>0</v>
      </c>
      <c r="AO157" s="367">
        <v>0</v>
      </c>
      <c r="AP157" s="367">
        <v>0</v>
      </c>
      <c r="AQ157" s="367">
        <v>0</v>
      </c>
      <c r="AR157" s="367">
        <v>0</v>
      </c>
      <c r="AS157" s="367">
        <v>0</v>
      </c>
      <c r="AT157" s="366">
        <v>2.0999999999999998E-2</v>
      </c>
      <c r="AU157" s="367">
        <v>2.0999999999999998E-2</v>
      </c>
      <c r="AV157" s="367">
        <v>0</v>
      </c>
      <c r="AW157" s="367">
        <v>0</v>
      </c>
      <c r="AX157" s="367">
        <v>0</v>
      </c>
      <c r="AY157" s="367">
        <v>0</v>
      </c>
      <c r="AZ157" s="366">
        <v>0.16899999999999998</v>
      </c>
      <c r="BA157" s="367">
        <v>0</v>
      </c>
      <c r="BB157" s="367">
        <v>0</v>
      </c>
      <c r="BC157" s="367">
        <v>0</v>
      </c>
      <c r="BD157" s="367">
        <v>0</v>
      </c>
      <c r="BE157" s="367">
        <v>0</v>
      </c>
      <c r="BF157" s="367">
        <v>0.16899999999999998</v>
      </c>
      <c r="BG157" s="367">
        <v>0</v>
      </c>
      <c r="BH157" s="367">
        <v>0</v>
      </c>
      <c r="BI157" s="367">
        <v>0</v>
      </c>
      <c r="BJ157" s="367">
        <v>0</v>
      </c>
      <c r="BK157" s="367">
        <v>0</v>
      </c>
      <c r="BL157" s="367">
        <v>0</v>
      </c>
      <c r="BM157" s="367">
        <v>0</v>
      </c>
      <c r="BN157" s="367">
        <v>0</v>
      </c>
      <c r="BO157" s="366">
        <v>0</v>
      </c>
      <c r="BP157" s="367">
        <v>0</v>
      </c>
      <c r="BQ157" s="367">
        <v>0</v>
      </c>
      <c r="BR157" s="368">
        <v>0</v>
      </c>
      <c r="BS157" s="368">
        <v>0</v>
      </c>
      <c r="BT157" s="366">
        <v>4.2080000000000002</v>
      </c>
    </row>
    <row r="158" spans="1:72">
      <c r="A158" s="369"/>
      <c r="B158" s="362" t="s">
        <v>549</v>
      </c>
      <c r="C158" s="363" t="s">
        <v>847</v>
      </c>
      <c r="D158" s="363"/>
      <c r="E158" s="363"/>
      <c r="F158" s="364" t="s">
        <v>848</v>
      </c>
      <c r="G158" s="364"/>
      <c r="H158" s="365">
        <v>0.36299999999999999</v>
      </c>
      <c r="I158" s="366">
        <v>0</v>
      </c>
      <c r="J158" s="367">
        <v>0</v>
      </c>
      <c r="K158" s="367">
        <v>0</v>
      </c>
      <c r="L158" s="367">
        <v>0</v>
      </c>
      <c r="M158" s="367">
        <v>0</v>
      </c>
      <c r="N158" s="367">
        <v>0</v>
      </c>
      <c r="O158" s="367">
        <v>0</v>
      </c>
      <c r="P158" s="367">
        <v>0</v>
      </c>
      <c r="Q158" s="367">
        <v>0</v>
      </c>
      <c r="R158" s="367">
        <v>0</v>
      </c>
      <c r="S158" s="367">
        <v>0</v>
      </c>
      <c r="T158" s="367">
        <v>0</v>
      </c>
      <c r="U158" s="367">
        <v>0</v>
      </c>
      <c r="V158" s="367">
        <v>0</v>
      </c>
      <c r="W158" s="366">
        <v>4.2999999999999997E-2</v>
      </c>
      <c r="X158" s="367">
        <v>0</v>
      </c>
      <c r="Y158" s="367">
        <v>0</v>
      </c>
      <c r="Z158" s="367">
        <v>0</v>
      </c>
      <c r="AA158" s="367">
        <v>0</v>
      </c>
      <c r="AB158" s="367">
        <v>0</v>
      </c>
      <c r="AC158" s="367">
        <v>0</v>
      </c>
      <c r="AD158" s="367">
        <v>0</v>
      </c>
      <c r="AE158" s="367">
        <v>0</v>
      </c>
      <c r="AF158" s="367">
        <v>0</v>
      </c>
      <c r="AG158" s="367">
        <v>0</v>
      </c>
      <c r="AH158" s="367">
        <v>0</v>
      </c>
      <c r="AI158" s="367">
        <v>0</v>
      </c>
      <c r="AJ158" s="367">
        <v>0</v>
      </c>
      <c r="AK158" s="367">
        <v>0</v>
      </c>
      <c r="AL158" s="367">
        <v>4.2999999999999997E-2</v>
      </c>
      <c r="AM158" s="367">
        <v>0</v>
      </c>
      <c r="AN158" s="367">
        <v>0</v>
      </c>
      <c r="AO158" s="367">
        <v>0</v>
      </c>
      <c r="AP158" s="367">
        <v>0</v>
      </c>
      <c r="AQ158" s="367">
        <v>0</v>
      </c>
      <c r="AR158" s="367">
        <v>0</v>
      </c>
      <c r="AS158" s="367">
        <v>0</v>
      </c>
      <c r="AT158" s="366">
        <v>2.2000000000000002E-2</v>
      </c>
      <c r="AU158" s="367">
        <v>2.2000000000000002E-2</v>
      </c>
      <c r="AV158" s="367">
        <v>0</v>
      </c>
      <c r="AW158" s="367">
        <v>0</v>
      </c>
      <c r="AX158" s="367">
        <v>0</v>
      </c>
      <c r="AY158" s="367">
        <v>0</v>
      </c>
      <c r="AZ158" s="366">
        <v>0</v>
      </c>
      <c r="BA158" s="367">
        <v>0</v>
      </c>
      <c r="BB158" s="367">
        <v>0</v>
      </c>
      <c r="BC158" s="367">
        <v>0</v>
      </c>
      <c r="BD158" s="367">
        <v>0</v>
      </c>
      <c r="BE158" s="367">
        <v>0</v>
      </c>
      <c r="BF158" s="367">
        <v>0</v>
      </c>
      <c r="BG158" s="367">
        <v>0</v>
      </c>
      <c r="BH158" s="367">
        <v>0</v>
      </c>
      <c r="BI158" s="367">
        <v>0</v>
      </c>
      <c r="BJ158" s="367">
        <v>0</v>
      </c>
      <c r="BK158" s="367">
        <v>0</v>
      </c>
      <c r="BL158" s="367">
        <v>0</v>
      </c>
      <c r="BM158" s="367">
        <v>0</v>
      </c>
      <c r="BN158" s="367">
        <v>0</v>
      </c>
      <c r="BO158" s="366">
        <v>0</v>
      </c>
      <c r="BP158" s="367">
        <v>0</v>
      </c>
      <c r="BQ158" s="367">
        <v>0</v>
      </c>
      <c r="BR158" s="368">
        <v>0</v>
      </c>
      <c r="BS158" s="368">
        <v>2E-3</v>
      </c>
      <c r="BT158" s="366">
        <v>0.29500000000000004</v>
      </c>
    </row>
    <row r="159" spans="1:72">
      <c r="A159" s="369"/>
      <c r="B159" s="362" t="s">
        <v>549</v>
      </c>
      <c r="C159" s="363" t="s">
        <v>849</v>
      </c>
      <c r="D159" s="363"/>
      <c r="E159" s="363"/>
      <c r="F159" s="364" t="s">
        <v>850</v>
      </c>
      <c r="G159" s="364"/>
      <c r="H159" s="365">
        <v>2.2029999999999998</v>
      </c>
      <c r="I159" s="366">
        <v>0</v>
      </c>
      <c r="J159" s="367">
        <v>0</v>
      </c>
      <c r="K159" s="367">
        <v>0</v>
      </c>
      <c r="L159" s="367">
        <v>0</v>
      </c>
      <c r="M159" s="367">
        <v>0</v>
      </c>
      <c r="N159" s="367">
        <v>0</v>
      </c>
      <c r="O159" s="367">
        <v>0</v>
      </c>
      <c r="P159" s="367">
        <v>0</v>
      </c>
      <c r="Q159" s="367">
        <v>0</v>
      </c>
      <c r="R159" s="367">
        <v>0</v>
      </c>
      <c r="S159" s="367">
        <v>0</v>
      </c>
      <c r="T159" s="367">
        <v>0</v>
      </c>
      <c r="U159" s="367">
        <v>0</v>
      </c>
      <c r="V159" s="367">
        <v>0</v>
      </c>
      <c r="W159" s="366">
        <v>0.17500000000000002</v>
      </c>
      <c r="X159" s="367">
        <v>0</v>
      </c>
      <c r="Y159" s="367">
        <v>0</v>
      </c>
      <c r="Z159" s="367">
        <v>0</v>
      </c>
      <c r="AA159" s="367">
        <v>0</v>
      </c>
      <c r="AB159" s="367">
        <v>0</v>
      </c>
      <c r="AC159" s="367">
        <v>0</v>
      </c>
      <c r="AD159" s="367">
        <v>0</v>
      </c>
      <c r="AE159" s="367">
        <v>4.5999999999999999E-2</v>
      </c>
      <c r="AF159" s="367">
        <v>0</v>
      </c>
      <c r="AG159" s="367">
        <v>0</v>
      </c>
      <c r="AH159" s="367">
        <v>0</v>
      </c>
      <c r="AI159" s="367">
        <v>0</v>
      </c>
      <c r="AJ159" s="367">
        <v>0</v>
      </c>
      <c r="AK159" s="367">
        <v>0</v>
      </c>
      <c r="AL159" s="367">
        <v>0.129</v>
      </c>
      <c r="AM159" s="367">
        <v>0</v>
      </c>
      <c r="AN159" s="367">
        <v>0</v>
      </c>
      <c r="AO159" s="367">
        <v>0</v>
      </c>
      <c r="AP159" s="367">
        <v>0</v>
      </c>
      <c r="AQ159" s="367">
        <v>0</v>
      </c>
      <c r="AR159" s="367">
        <v>0</v>
      </c>
      <c r="AS159" s="367">
        <v>0</v>
      </c>
      <c r="AT159" s="366">
        <v>0.129</v>
      </c>
      <c r="AU159" s="367">
        <v>0.129</v>
      </c>
      <c r="AV159" s="367">
        <v>0</v>
      </c>
      <c r="AW159" s="367">
        <v>0</v>
      </c>
      <c r="AX159" s="367">
        <v>0</v>
      </c>
      <c r="AY159" s="367">
        <v>0</v>
      </c>
      <c r="AZ159" s="366">
        <v>9.0999999999999998E-2</v>
      </c>
      <c r="BA159" s="367">
        <v>0</v>
      </c>
      <c r="BB159" s="367">
        <v>0</v>
      </c>
      <c r="BC159" s="367">
        <v>0</v>
      </c>
      <c r="BD159" s="367">
        <v>0</v>
      </c>
      <c r="BE159" s="367">
        <v>0</v>
      </c>
      <c r="BF159" s="367">
        <v>9.0999999999999998E-2</v>
      </c>
      <c r="BG159" s="367">
        <v>0</v>
      </c>
      <c r="BH159" s="367">
        <v>0</v>
      </c>
      <c r="BI159" s="367">
        <v>0</v>
      </c>
      <c r="BJ159" s="367">
        <v>0</v>
      </c>
      <c r="BK159" s="367">
        <v>0</v>
      </c>
      <c r="BL159" s="367">
        <v>0</v>
      </c>
      <c r="BM159" s="367">
        <v>0</v>
      </c>
      <c r="BN159" s="367">
        <v>0</v>
      </c>
      <c r="BO159" s="366">
        <v>0</v>
      </c>
      <c r="BP159" s="367">
        <v>0</v>
      </c>
      <c r="BQ159" s="367">
        <v>0</v>
      </c>
      <c r="BR159" s="368">
        <v>0</v>
      </c>
      <c r="BS159" s="368">
        <v>1.9E-2</v>
      </c>
      <c r="BT159" s="366">
        <v>1.7890000000000001</v>
      </c>
    </row>
    <row r="160" spans="1:72">
      <c r="A160" s="362" t="s">
        <v>549</v>
      </c>
      <c r="B160" s="363" t="s">
        <v>851</v>
      </c>
      <c r="C160" s="363"/>
      <c r="D160" s="363"/>
      <c r="E160" s="363"/>
      <c r="F160" s="364" t="s">
        <v>852</v>
      </c>
      <c r="G160" s="364"/>
      <c r="H160" s="365">
        <v>223.20099999999999</v>
      </c>
      <c r="I160" s="366">
        <v>0</v>
      </c>
      <c r="J160" s="367">
        <v>0</v>
      </c>
      <c r="K160" s="367">
        <v>0</v>
      </c>
      <c r="L160" s="367">
        <v>0</v>
      </c>
      <c r="M160" s="367">
        <v>0</v>
      </c>
      <c r="N160" s="367">
        <v>0</v>
      </c>
      <c r="O160" s="367">
        <v>0</v>
      </c>
      <c r="P160" s="367">
        <v>0</v>
      </c>
      <c r="Q160" s="367">
        <v>0</v>
      </c>
      <c r="R160" s="367">
        <v>0</v>
      </c>
      <c r="S160" s="367">
        <v>0</v>
      </c>
      <c r="T160" s="367">
        <v>0</v>
      </c>
      <c r="U160" s="367">
        <v>0</v>
      </c>
      <c r="V160" s="367">
        <v>0</v>
      </c>
      <c r="W160" s="366">
        <v>213.577</v>
      </c>
      <c r="X160" s="367">
        <v>0</v>
      </c>
      <c r="Y160" s="367">
        <v>0</v>
      </c>
      <c r="Z160" s="367">
        <v>0</v>
      </c>
      <c r="AA160" s="367">
        <v>0</v>
      </c>
      <c r="AB160" s="367">
        <v>0</v>
      </c>
      <c r="AC160" s="367">
        <v>0</v>
      </c>
      <c r="AD160" s="367">
        <v>0</v>
      </c>
      <c r="AE160" s="367">
        <v>9.1999999999999998E-2</v>
      </c>
      <c r="AF160" s="367">
        <v>52.623000000000005</v>
      </c>
      <c r="AG160" s="367">
        <v>8.8000000000000009E-2</v>
      </c>
      <c r="AH160" s="367">
        <v>0</v>
      </c>
      <c r="AI160" s="367">
        <v>32.551000000000002</v>
      </c>
      <c r="AJ160" s="367">
        <v>0</v>
      </c>
      <c r="AK160" s="367">
        <v>0</v>
      </c>
      <c r="AL160" s="367">
        <v>125.78300000000002</v>
      </c>
      <c r="AM160" s="367">
        <v>2.44</v>
      </c>
      <c r="AN160" s="367">
        <v>0</v>
      </c>
      <c r="AO160" s="367">
        <v>0</v>
      </c>
      <c r="AP160" s="367">
        <v>0</v>
      </c>
      <c r="AQ160" s="367">
        <v>0</v>
      </c>
      <c r="AR160" s="367">
        <v>0</v>
      </c>
      <c r="AS160" s="367">
        <v>0</v>
      </c>
      <c r="AT160" s="366">
        <v>2.2770000000000001</v>
      </c>
      <c r="AU160" s="367">
        <v>2.2770000000000001</v>
      </c>
      <c r="AV160" s="367">
        <v>0</v>
      </c>
      <c r="AW160" s="367">
        <v>0</v>
      </c>
      <c r="AX160" s="367">
        <v>0</v>
      </c>
      <c r="AY160" s="367">
        <v>0</v>
      </c>
      <c r="AZ160" s="366">
        <v>4.8630000000000004</v>
      </c>
      <c r="BA160" s="367">
        <v>0</v>
      </c>
      <c r="BB160" s="367">
        <v>0</v>
      </c>
      <c r="BC160" s="367">
        <v>0</v>
      </c>
      <c r="BD160" s="367">
        <v>0</v>
      </c>
      <c r="BE160" s="367">
        <v>0</v>
      </c>
      <c r="BF160" s="367">
        <v>0</v>
      </c>
      <c r="BG160" s="367">
        <v>0</v>
      </c>
      <c r="BH160" s="367">
        <v>0</v>
      </c>
      <c r="BI160" s="367">
        <v>0</v>
      </c>
      <c r="BJ160" s="367">
        <v>0.18800000000000003</v>
      </c>
      <c r="BK160" s="367">
        <v>4.6370000000000005</v>
      </c>
      <c r="BL160" s="367">
        <v>0</v>
      </c>
      <c r="BM160" s="367">
        <v>3.9E-2</v>
      </c>
      <c r="BN160" s="367">
        <v>0</v>
      </c>
      <c r="BO160" s="366">
        <v>0</v>
      </c>
      <c r="BP160" s="367">
        <v>0</v>
      </c>
      <c r="BQ160" s="367">
        <v>0</v>
      </c>
      <c r="BR160" s="368">
        <v>0</v>
      </c>
      <c r="BS160" s="368">
        <v>0</v>
      </c>
      <c r="BT160" s="366">
        <v>2.484</v>
      </c>
    </row>
    <row r="161" spans="1:73">
      <c r="A161" s="369"/>
      <c r="B161" s="362" t="s">
        <v>549</v>
      </c>
      <c r="C161" s="363" t="s">
        <v>853</v>
      </c>
      <c r="D161" s="363"/>
      <c r="E161" s="363"/>
      <c r="F161" s="364" t="s">
        <v>854</v>
      </c>
      <c r="G161" s="364"/>
      <c r="H161" s="365">
        <v>3.0310000000000001</v>
      </c>
      <c r="I161" s="366">
        <v>0</v>
      </c>
      <c r="J161" s="367">
        <v>0</v>
      </c>
      <c r="K161" s="367">
        <v>0</v>
      </c>
      <c r="L161" s="367">
        <v>0</v>
      </c>
      <c r="M161" s="367">
        <v>0</v>
      </c>
      <c r="N161" s="367">
        <v>0</v>
      </c>
      <c r="O161" s="367">
        <v>0</v>
      </c>
      <c r="P161" s="367">
        <v>0</v>
      </c>
      <c r="Q161" s="367">
        <v>0</v>
      </c>
      <c r="R161" s="367">
        <v>0</v>
      </c>
      <c r="S161" s="367">
        <v>0</v>
      </c>
      <c r="T161" s="367">
        <v>0</v>
      </c>
      <c r="U161" s="367">
        <v>0</v>
      </c>
      <c r="V161" s="367">
        <v>0</v>
      </c>
      <c r="W161" s="366">
        <v>0.55800000000000005</v>
      </c>
      <c r="X161" s="367">
        <v>0</v>
      </c>
      <c r="Y161" s="367">
        <v>0</v>
      </c>
      <c r="Z161" s="367">
        <v>0</v>
      </c>
      <c r="AA161" s="367">
        <v>0</v>
      </c>
      <c r="AB161" s="367">
        <v>0</v>
      </c>
      <c r="AC161" s="367">
        <v>0</v>
      </c>
      <c r="AD161" s="367">
        <v>0</v>
      </c>
      <c r="AE161" s="367">
        <v>0</v>
      </c>
      <c r="AF161" s="367">
        <v>0</v>
      </c>
      <c r="AG161" s="367">
        <v>0</v>
      </c>
      <c r="AH161" s="367">
        <v>0</v>
      </c>
      <c r="AI161" s="367">
        <v>0</v>
      </c>
      <c r="AJ161" s="367">
        <v>0</v>
      </c>
      <c r="AK161" s="367">
        <v>0</v>
      </c>
      <c r="AL161" s="367">
        <v>0.55800000000000005</v>
      </c>
      <c r="AM161" s="367">
        <v>0</v>
      </c>
      <c r="AN161" s="367">
        <v>0</v>
      </c>
      <c r="AO161" s="367">
        <v>0</v>
      </c>
      <c r="AP161" s="367">
        <v>0</v>
      </c>
      <c r="AQ161" s="367">
        <v>0</v>
      </c>
      <c r="AR161" s="367">
        <v>0</v>
      </c>
      <c r="AS161" s="367">
        <v>0</v>
      </c>
      <c r="AT161" s="366">
        <v>0</v>
      </c>
      <c r="AU161" s="367">
        <v>0</v>
      </c>
      <c r="AV161" s="367">
        <v>0</v>
      </c>
      <c r="AW161" s="367">
        <v>0</v>
      </c>
      <c r="AX161" s="367">
        <v>0</v>
      </c>
      <c r="AY161" s="367">
        <v>0</v>
      </c>
      <c r="AZ161" s="366">
        <v>0</v>
      </c>
      <c r="BA161" s="367">
        <v>0</v>
      </c>
      <c r="BB161" s="367">
        <v>0</v>
      </c>
      <c r="BC161" s="367">
        <v>0</v>
      </c>
      <c r="BD161" s="367">
        <v>0</v>
      </c>
      <c r="BE161" s="367">
        <v>0</v>
      </c>
      <c r="BF161" s="367">
        <v>0</v>
      </c>
      <c r="BG161" s="367">
        <v>0</v>
      </c>
      <c r="BH161" s="367">
        <v>0</v>
      </c>
      <c r="BI161" s="367">
        <v>0</v>
      </c>
      <c r="BJ161" s="367">
        <v>0</v>
      </c>
      <c r="BK161" s="367">
        <v>0</v>
      </c>
      <c r="BL161" s="367">
        <v>0</v>
      </c>
      <c r="BM161" s="367">
        <v>0</v>
      </c>
      <c r="BN161" s="367">
        <v>0</v>
      </c>
      <c r="BO161" s="366">
        <v>0</v>
      </c>
      <c r="BP161" s="367">
        <v>0</v>
      </c>
      <c r="BQ161" s="367">
        <v>0</v>
      </c>
      <c r="BR161" s="368">
        <v>0</v>
      </c>
      <c r="BS161" s="368">
        <v>0</v>
      </c>
      <c r="BT161" s="366">
        <v>2.4730000000000003</v>
      </c>
    </row>
    <row r="162" spans="1:73">
      <c r="A162" s="369"/>
      <c r="B162" s="362" t="s">
        <v>549</v>
      </c>
      <c r="C162" s="363" t="s">
        <v>855</v>
      </c>
      <c r="D162" s="363"/>
      <c r="E162" s="363"/>
      <c r="F162" s="364" t="s">
        <v>856</v>
      </c>
      <c r="G162" s="364"/>
      <c r="H162" s="365">
        <v>151.262</v>
      </c>
      <c r="I162" s="366">
        <v>0</v>
      </c>
      <c r="J162" s="367">
        <v>0</v>
      </c>
      <c r="K162" s="367">
        <v>0</v>
      </c>
      <c r="L162" s="367">
        <v>0</v>
      </c>
      <c r="M162" s="367">
        <v>0</v>
      </c>
      <c r="N162" s="367">
        <v>0</v>
      </c>
      <c r="O162" s="367">
        <v>0</v>
      </c>
      <c r="P162" s="367">
        <v>0</v>
      </c>
      <c r="Q162" s="367">
        <v>0</v>
      </c>
      <c r="R162" s="367">
        <v>0</v>
      </c>
      <c r="S162" s="367">
        <v>0</v>
      </c>
      <c r="T162" s="367">
        <v>0</v>
      </c>
      <c r="U162" s="367">
        <v>0</v>
      </c>
      <c r="V162" s="367">
        <v>0</v>
      </c>
      <c r="W162" s="366">
        <v>146.202</v>
      </c>
      <c r="X162" s="367">
        <v>0</v>
      </c>
      <c r="Y162" s="367">
        <v>0</v>
      </c>
      <c r="Z162" s="367">
        <v>0</v>
      </c>
      <c r="AA162" s="367">
        <v>0</v>
      </c>
      <c r="AB162" s="367">
        <v>0</v>
      </c>
      <c r="AC162" s="367">
        <v>0</v>
      </c>
      <c r="AD162" s="367">
        <v>0</v>
      </c>
      <c r="AE162" s="367">
        <v>9.1999999999999998E-2</v>
      </c>
      <c r="AF162" s="367">
        <v>50.872</v>
      </c>
      <c r="AG162" s="367">
        <v>0</v>
      </c>
      <c r="AH162" s="367">
        <v>0</v>
      </c>
      <c r="AI162" s="367">
        <v>0</v>
      </c>
      <c r="AJ162" s="367">
        <v>0</v>
      </c>
      <c r="AK162" s="367">
        <v>0</v>
      </c>
      <c r="AL162" s="367">
        <v>95.238000000000014</v>
      </c>
      <c r="AM162" s="367">
        <v>0</v>
      </c>
      <c r="AN162" s="367">
        <v>0</v>
      </c>
      <c r="AO162" s="367">
        <v>0</v>
      </c>
      <c r="AP162" s="367">
        <v>0</v>
      </c>
      <c r="AQ162" s="367">
        <v>0</v>
      </c>
      <c r="AR162" s="367">
        <v>0</v>
      </c>
      <c r="AS162" s="367">
        <v>0</v>
      </c>
      <c r="AT162" s="366">
        <v>0.186</v>
      </c>
      <c r="AU162" s="367">
        <v>0.186</v>
      </c>
      <c r="AV162" s="367">
        <v>0</v>
      </c>
      <c r="AW162" s="367">
        <v>0</v>
      </c>
      <c r="AX162" s="367">
        <v>0</v>
      </c>
      <c r="AY162" s="367">
        <v>0</v>
      </c>
      <c r="AZ162" s="366">
        <v>4.8630000000000004</v>
      </c>
      <c r="BA162" s="367">
        <v>0</v>
      </c>
      <c r="BB162" s="367">
        <v>0</v>
      </c>
      <c r="BC162" s="367">
        <v>0</v>
      </c>
      <c r="BD162" s="367">
        <v>0</v>
      </c>
      <c r="BE162" s="367">
        <v>0</v>
      </c>
      <c r="BF162" s="367">
        <v>0</v>
      </c>
      <c r="BG162" s="367">
        <v>0</v>
      </c>
      <c r="BH162" s="367">
        <v>0</v>
      </c>
      <c r="BI162" s="367">
        <v>0</v>
      </c>
      <c r="BJ162" s="367">
        <v>0.18800000000000003</v>
      </c>
      <c r="BK162" s="367">
        <v>4.6370000000000005</v>
      </c>
      <c r="BL162" s="367">
        <v>0</v>
      </c>
      <c r="BM162" s="367">
        <v>3.9E-2</v>
      </c>
      <c r="BN162" s="367">
        <v>0</v>
      </c>
      <c r="BO162" s="366">
        <v>0</v>
      </c>
      <c r="BP162" s="367">
        <v>0</v>
      </c>
      <c r="BQ162" s="367">
        <v>0</v>
      </c>
      <c r="BR162" s="368">
        <v>0</v>
      </c>
      <c r="BS162" s="368">
        <v>0</v>
      </c>
      <c r="BT162" s="366">
        <v>1.1000000000000001E-2</v>
      </c>
    </row>
    <row r="163" spans="1:73">
      <c r="A163" s="369"/>
      <c r="B163" s="362" t="s">
        <v>549</v>
      </c>
      <c r="C163" s="363" t="s">
        <v>857</v>
      </c>
      <c r="D163" s="363"/>
      <c r="E163" s="363"/>
      <c r="F163" s="364" t="s">
        <v>858</v>
      </c>
      <c r="G163" s="364"/>
      <c r="H163" s="365">
        <v>18.016999999999999</v>
      </c>
      <c r="I163" s="366">
        <v>0</v>
      </c>
      <c r="J163" s="367">
        <v>0</v>
      </c>
      <c r="K163" s="367">
        <v>0</v>
      </c>
      <c r="L163" s="367">
        <v>0</v>
      </c>
      <c r="M163" s="367">
        <v>0</v>
      </c>
      <c r="N163" s="367">
        <v>0</v>
      </c>
      <c r="O163" s="367">
        <v>0</v>
      </c>
      <c r="P163" s="367">
        <v>0</v>
      </c>
      <c r="Q163" s="367">
        <v>0</v>
      </c>
      <c r="R163" s="367">
        <v>0</v>
      </c>
      <c r="S163" s="367">
        <v>0</v>
      </c>
      <c r="T163" s="367">
        <v>0</v>
      </c>
      <c r="U163" s="367">
        <v>0</v>
      </c>
      <c r="V163" s="367">
        <v>0</v>
      </c>
      <c r="W163" s="366">
        <v>18.016999999999999</v>
      </c>
      <c r="X163" s="367">
        <v>0</v>
      </c>
      <c r="Y163" s="367">
        <v>0</v>
      </c>
      <c r="Z163" s="367">
        <v>0</v>
      </c>
      <c r="AA163" s="367">
        <v>0</v>
      </c>
      <c r="AB163" s="367">
        <v>0</v>
      </c>
      <c r="AC163" s="367">
        <v>0</v>
      </c>
      <c r="AD163" s="367">
        <v>0</v>
      </c>
      <c r="AE163" s="367">
        <v>0</v>
      </c>
      <c r="AF163" s="367">
        <v>0</v>
      </c>
      <c r="AG163" s="367">
        <v>0</v>
      </c>
      <c r="AH163" s="367">
        <v>0</v>
      </c>
      <c r="AI163" s="367">
        <v>18.016999999999999</v>
      </c>
      <c r="AJ163" s="367">
        <v>0</v>
      </c>
      <c r="AK163" s="367">
        <v>0</v>
      </c>
      <c r="AL163" s="367">
        <v>0</v>
      </c>
      <c r="AM163" s="367">
        <v>0</v>
      </c>
      <c r="AN163" s="367">
        <v>0</v>
      </c>
      <c r="AO163" s="367">
        <v>0</v>
      </c>
      <c r="AP163" s="367">
        <v>0</v>
      </c>
      <c r="AQ163" s="367">
        <v>0</v>
      </c>
      <c r="AR163" s="367">
        <v>0</v>
      </c>
      <c r="AS163" s="367">
        <v>0</v>
      </c>
      <c r="AT163" s="366">
        <v>0</v>
      </c>
      <c r="AU163" s="367">
        <v>0</v>
      </c>
      <c r="AV163" s="367">
        <v>0</v>
      </c>
      <c r="AW163" s="367">
        <v>0</v>
      </c>
      <c r="AX163" s="367">
        <v>0</v>
      </c>
      <c r="AY163" s="367">
        <v>0</v>
      </c>
      <c r="AZ163" s="366">
        <v>0</v>
      </c>
      <c r="BA163" s="367">
        <v>0</v>
      </c>
      <c r="BB163" s="367">
        <v>0</v>
      </c>
      <c r="BC163" s="367">
        <v>0</v>
      </c>
      <c r="BD163" s="367">
        <v>0</v>
      </c>
      <c r="BE163" s="367">
        <v>0</v>
      </c>
      <c r="BF163" s="367">
        <v>0</v>
      </c>
      <c r="BG163" s="367">
        <v>0</v>
      </c>
      <c r="BH163" s="367">
        <v>0</v>
      </c>
      <c r="BI163" s="367">
        <v>0</v>
      </c>
      <c r="BJ163" s="367">
        <v>0</v>
      </c>
      <c r="BK163" s="367">
        <v>0</v>
      </c>
      <c r="BL163" s="367">
        <v>0</v>
      </c>
      <c r="BM163" s="367">
        <v>0</v>
      </c>
      <c r="BN163" s="367">
        <v>0</v>
      </c>
      <c r="BO163" s="366">
        <v>0</v>
      </c>
      <c r="BP163" s="367">
        <v>0</v>
      </c>
      <c r="BQ163" s="367">
        <v>0</v>
      </c>
      <c r="BR163" s="368">
        <v>0</v>
      </c>
      <c r="BS163" s="368">
        <v>0</v>
      </c>
      <c r="BT163" s="366">
        <v>0</v>
      </c>
    </row>
    <row r="164" spans="1:73">
      <c r="A164" s="369"/>
      <c r="B164" s="362" t="s">
        <v>549</v>
      </c>
      <c r="C164" s="363" t="s">
        <v>859</v>
      </c>
      <c r="D164" s="363"/>
      <c r="E164" s="363"/>
      <c r="F164" s="364" t="s">
        <v>860</v>
      </c>
      <c r="G164" s="364"/>
      <c r="H164" s="365">
        <v>14.622</v>
      </c>
      <c r="I164" s="366">
        <v>0</v>
      </c>
      <c r="J164" s="367">
        <v>0</v>
      </c>
      <c r="K164" s="367">
        <v>0</v>
      </c>
      <c r="L164" s="367">
        <v>0</v>
      </c>
      <c r="M164" s="367">
        <v>0</v>
      </c>
      <c r="N164" s="367">
        <v>0</v>
      </c>
      <c r="O164" s="367">
        <v>0</v>
      </c>
      <c r="P164" s="367">
        <v>0</v>
      </c>
      <c r="Q164" s="367">
        <v>0</v>
      </c>
      <c r="R164" s="367">
        <v>0</v>
      </c>
      <c r="S164" s="367">
        <v>0</v>
      </c>
      <c r="T164" s="367">
        <v>0</v>
      </c>
      <c r="U164" s="367">
        <v>0</v>
      </c>
      <c r="V164" s="367">
        <v>0</v>
      </c>
      <c r="W164" s="366">
        <v>14.622</v>
      </c>
      <c r="X164" s="367">
        <v>0</v>
      </c>
      <c r="Y164" s="367">
        <v>0</v>
      </c>
      <c r="Z164" s="367">
        <v>0</v>
      </c>
      <c r="AA164" s="367">
        <v>0</v>
      </c>
      <c r="AB164" s="367">
        <v>0</v>
      </c>
      <c r="AC164" s="367">
        <v>0</v>
      </c>
      <c r="AD164" s="367">
        <v>0</v>
      </c>
      <c r="AE164" s="367">
        <v>0</v>
      </c>
      <c r="AF164" s="367">
        <v>0</v>
      </c>
      <c r="AG164" s="367">
        <v>8.8000000000000009E-2</v>
      </c>
      <c r="AH164" s="367">
        <v>0</v>
      </c>
      <c r="AI164" s="367">
        <v>14.534000000000001</v>
      </c>
      <c r="AJ164" s="367">
        <v>0</v>
      </c>
      <c r="AK164" s="367">
        <v>0</v>
      </c>
      <c r="AL164" s="367">
        <v>0</v>
      </c>
      <c r="AM164" s="367">
        <v>0</v>
      </c>
      <c r="AN164" s="367">
        <v>0</v>
      </c>
      <c r="AO164" s="367">
        <v>0</v>
      </c>
      <c r="AP164" s="367">
        <v>0</v>
      </c>
      <c r="AQ164" s="367">
        <v>0</v>
      </c>
      <c r="AR164" s="367">
        <v>0</v>
      </c>
      <c r="AS164" s="367">
        <v>0</v>
      </c>
      <c r="AT164" s="366">
        <v>0</v>
      </c>
      <c r="AU164" s="367">
        <v>0</v>
      </c>
      <c r="AV164" s="367">
        <v>0</v>
      </c>
      <c r="AW164" s="367">
        <v>0</v>
      </c>
      <c r="AX164" s="367">
        <v>0</v>
      </c>
      <c r="AY164" s="367">
        <v>0</v>
      </c>
      <c r="AZ164" s="366">
        <v>0</v>
      </c>
      <c r="BA164" s="367">
        <v>0</v>
      </c>
      <c r="BB164" s="367">
        <v>0</v>
      </c>
      <c r="BC164" s="367">
        <v>0</v>
      </c>
      <c r="BD164" s="367">
        <v>0</v>
      </c>
      <c r="BE164" s="367">
        <v>0</v>
      </c>
      <c r="BF164" s="367">
        <v>0</v>
      </c>
      <c r="BG164" s="367">
        <v>0</v>
      </c>
      <c r="BH164" s="367">
        <v>0</v>
      </c>
      <c r="BI164" s="367">
        <v>0</v>
      </c>
      <c r="BJ164" s="367">
        <v>0</v>
      </c>
      <c r="BK164" s="367">
        <v>0</v>
      </c>
      <c r="BL164" s="367">
        <v>0</v>
      </c>
      <c r="BM164" s="367">
        <v>0</v>
      </c>
      <c r="BN164" s="367">
        <v>0</v>
      </c>
      <c r="BO164" s="366">
        <v>0</v>
      </c>
      <c r="BP164" s="367">
        <v>0</v>
      </c>
      <c r="BQ164" s="367">
        <v>0</v>
      </c>
      <c r="BR164" s="368">
        <v>0</v>
      </c>
      <c r="BS164" s="368">
        <v>0</v>
      </c>
      <c r="BT164" s="366">
        <v>0</v>
      </c>
    </row>
    <row r="165" spans="1:73">
      <c r="A165" s="369"/>
      <c r="B165" s="362" t="s">
        <v>549</v>
      </c>
      <c r="C165" s="363" t="s">
        <v>861</v>
      </c>
      <c r="D165" s="363"/>
      <c r="E165" s="363"/>
      <c r="F165" s="364" t="s">
        <v>862</v>
      </c>
      <c r="G165" s="364"/>
      <c r="H165" s="365">
        <v>34.177999999999997</v>
      </c>
      <c r="I165" s="366">
        <v>0</v>
      </c>
      <c r="J165" s="367">
        <v>0</v>
      </c>
      <c r="K165" s="367">
        <v>0</v>
      </c>
      <c r="L165" s="367">
        <v>0</v>
      </c>
      <c r="M165" s="367">
        <v>0</v>
      </c>
      <c r="N165" s="367">
        <v>0</v>
      </c>
      <c r="O165" s="367">
        <v>0</v>
      </c>
      <c r="P165" s="367">
        <v>0</v>
      </c>
      <c r="Q165" s="367">
        <v>0</v>
      </c>
      <c r="R165" s="367">
        <v>0</v>
      </c>
      <c r="S165" s="367">
        <v>0</v>
      </c>
      <c r="T165" s="367">
        <v>0</v>
      </c>
      <c r="U165" s="367">
        <v>0</v>
      </c>
      <c r="V165" s="367">
        <v>0</v>
      </c>
      <c r="W165" s="366">
        <v>34.177999999999997</v>
      </c>
      <c r="X165" s="367">
        <v>0</v>
      </c>
      <c r="Y165" s="367">
        <v>0</v>
      </c>
      <c r="Z165" s="367">
        <v>0</v>
      </c>
      <c r="AA165" s="367">
        <v>0</v>
      </c>
      <c r="AB165" s="367">
        <v>0</v>
      </c>
      <c r="AC165" s="367">
        <v>0</v>
      </c>
      <c r="AD165" s="367">
        <v>0</v>
      </c>
      <c r="AE165" s="367">
        <v>0</v>
      </c>
      <c r="AF165" s="367">
        <v>1.7510000000000001</v>
      </c>
      <c r="AG165" s="367">
        <v>0</v>
      </c>
      <c r="AH165" s="367">
        <v>0</v>
      </c>
      <c r="AI165" s="367">
        <v>0</v>
      </c>
      <c r="AJ165" s="367">
        <v>0</v>
      </c>
      <c r="AK165" s="367">
        <v>0</v>
      </c>
      <c r="AL165" s="367">
        <v>29.986999999999998</v>
      </c>
      <c r="AM165" s="367">
        <v>2.44</v>
      </c>
      <c r="AN165" s="367">
        <v>0</v>
      </c>
      <c r="AO165" s="367">
        <v>0</v>
      </c>
      <c r="AP165" s="367">
        <v>0</v>
      </c>
      <c r="AQ165" s="367">
        <v>0</v>
      </c>
      <c r="AR165" s="367">
        <v>0</v>
      </c>
      <c r="AS165" s="367">
        <v>0</v>
      </c>
      <c r="AT165" s="366">
        <v>0</v>
      </c>
      <c r="AU165" s="367">
        <v>0</v>
      </c>
      <c r="AV165" s="367">
        <v>0</v>
      </c>
      <c r="AW165" s="367">
        <v>0</v>
      </c>
      <c r="AX165" s="367">
        <v>0</v>
      </c>
      <c r="AY165" s="367">
        <v>0</v>
      </c>
      <c r="AZ165" s="366">
        <v>0</v>
      </c>
      <c r="BA165" s="367">
        <v>0</v>
      </c>
      <c r="BB165" s="367">
        <v>0</v>
      </c>
      <c r="BC165" s="367">
        <v>0</v>
      </c>
      <c r="BD165" s="367">
        <v>0</v>
      </c>
      <c r="BE165" s="367">
        <v>0</v>
      </c>
      <c r="BF165" s="367">
        <v>0</v>
      </c>
      <c r="BG165" s="367">
        <v>0</v>
      </c>
      <c r="BH165" s="367">
        <v>0</v>
      </c>
      <c r="BI165" s="367">
        <v>0</v>
      </c>
      <c r="BJ165" s="367">
        <v>0</v>
      </c>
      <c r="BK165" s="367">
        <v>0</v>
      </c>
      <c r="BL165" s="367">
        <v>0</v>
      </c>
      <c r="BM165" s="367">
        <v>0</v>
      </c>
      <c r="BN165" s="367">
        <v>0</v>
      </c>
      <c r="BO165" s="366">
        <v>0</v>
      </c>
      <c r="BP165" s="367">
        <v>0</v>
      </c>
      <c r="BQ165" s="367">
        <v>0</v>
      </c>
      <c r="BR165" s="368">
        <v>0</v>
      </c>
      <c r="BS165" s="368">
        <v>0</v>
      </c>
      <c r="BT165" s="366">
        <v>0</v>
      </c>
    </row>
    <row r="166" spans="1:73">
      <c r="A166" s="369"/>
      <c r="B166" s="362" t="s">
        <v>549</v>
      </c>
      <c r="C166" s="363" t="s">
        <v>863</v>
      </c>
      <c r="D166" s="363"/>
      <c r="E166" s="363"/>
      <c r="F166" s="364" t="s">
        <v>864</v>
      </c>
      <c r="G166" s="364"/>
      <c r="H166" s="365">
        <v>0</v>
      </c>
      <c r="I166" s="366">
        <v>0</v>
      </c>
      <c r="J166" s="367">
        <v>0</v>
      </c>
      <c r="K166" s="367">
        <v>0</v>
      </c>
      <c r="L166" s="367">
        <v>0</v>
      </c>
      <c r="M166" s="367">
        <v>0</v>
      </c>
      <c r="N166" s="367">
        <v>0</v>
      </c>
      <c r="O166" s="367">
        <v>0</v>
      </c>
      <c r="P166" s="367">
        <v>0</v>
      </c>
      <c r="Q166" s="367">
        <v>0</v>
      </c>
      <c r="R166" s="367">
        <v>0</v>
      </c>
      <c r="S166" s="367">
        <v>0</v>
      </c>
      <c r="T166" s="367">
        <v>0</v>
      </c>
      <c r="U166" s="367">
        <v>0</v>
      </c>
      <c r="V166" s="367">
        <v>0</v>
      </c>
      <c r="W166" s="366">
        <v>0</v>
      </c>
      <c r="X166" s="367">
        <v>0</v>
      </c>
      <c r="Y166" s="367">
        <v>0</v>
      </c>
      <c r="Z166" s="367">
        <v>0</v>
      </c>
      <c r="AA166" s="367">
        <v>0</v>
      </c>
      <c r="AB166" s="367">
        <v>0</v>
      </c>
      <c r="AC166" s="367">
        <v>0</v>
      </c>
      <c r="AD166" s="367">
        <v>0</v>
      </c>
      <c r="AE166" s="367">
        <v>0</v>
      </c>
      <c r="AF166" s="367">
        <v>0</v>
      </c>
      <c r="AG166" s="367">
        <v>0</v>
      </c>
      <c r="AH166" s="367">
        <v>0</v>
      </c>
      <c r="AI166" s="367">
        <v>0</v>
      </c>
      <c r="AJ166" s="367">
        <v>0</v>
      </c>
      <c r="AK166" s="367">
        <v>0</v>
      </c>
      <c r="AL166" s="367">
        <v>0</v>
      </c>
      <c r="AM166" s="367">
        <v>0</v>
      </c>
      <c r="AN166" s="367">
        <v>0</v>
      </c>
      <c r="AO166" s="367">
        <v>0</v>
      </c>
      <c r="AP166" s="367">
        <v>0</v>
      </c>
      <c r="AQ166" s="367">
        <v>0</v>
      </c>
      <c r="AR166" s="367">
        <v>0</v>
      </c>
      <c r="AS166" s="367">
        <v>0</v>
      </c>
      <c r="AT166" s="366">
        <v>0</v>
      </c>
      <c r="AU166" s="367">
        <v>0</v>
      </c>
      <c r="AV166" s="367">
        <v>0</v>
      </c>
      <c r="AW166" s="367">
        <v>0</v>
      </c>
      <c r="AX166" s="367">
        <v>0</v>
      </c>
      <c r="AY166" s="367">
        <v>0</v>
      </c>
      <c r="AZ166" s="366">
        <v>0</v>
      </c>
      <c r="BA166" s="367">
        <v>0</v>
      </c>
      <c r="BB166" s="367">
        <v>0</v>
      </c>
      <c r="BC166" s="367">
        <v>0</v>
      </c>
      <c r="BD166" s="367">
        <v>0</v>
      </c>
      <c r="BE166" s="367">
        <v>0</v>
      </c>
      <c r="BF166" s="367">
        <v>0</v>
      </c>
      <c r="BG166" s="367">
        <v>0</v>
      </c>
      <c r="BH166" s="367">
        <v>0</v>
      </c>
      <c r="BI166" s="367">
        <v>0</v>
      </c>
      <c r="BJ166" s="367">
        <v>0</v>
      </c>
      <c r="BK166" s="367">
        <v>0</v>
      </c>
      <c r="BL166" s="367">
        <v>0</v>
      </c>
      <c r="BM166" s="367">
        <v>0</v>
      </c>
      <c r="BN166" s="367">
        <v>0</v>
      </c>
      <c r="BO166" s="366">
        <v>0</v>
      </c>
      <c r="BP166" s="367">
        <v>0</v>
      </c>
      <c r="BQ166" s="367">
        <v>0</v>
      </c>
      <c r="BR166" s="368">
        <v>0</v>
      </c>
      <c r="BS166" s="368">
        <v>0</v>
      </c>
      <c r="BT166" s="366">
        <v>0</v>
      </c>
    </row>
    <row r="167" spans="1:73">
      <c r="A167" s="369"/>
      <c r="B167" s="362" t="s">
        <v>549</v>
      </c>
      <c r="C167" s="363" t="s">
        <v>865</v>
      </c>
      <c r="D167" s="363"/>
      <c r="E167" s="363"/>
      <c r="F167" s="364" t="s">
        <v>866</v>
      </c>
      <c r="G167" s="364"/>
      <c r="H167" s="365">
        <v>2.0909999999999997</v>
      </c>
      <c r="I167" s="366">
        <v>0</v>
      </c>
      <c r="J167" s="367">
        <v>0</v>
      </c>
      <c r="K167" s="367">
        <v>0</v>
      </c>
      <c r="L167" s="367">
        <v>0</v>
      </c>
      <c r="M167" s="367">
        <v>0</v>
      </c>
      <c r="N167" s="367">
        <v>0</v>
      </c>
      <c r="O167" s="367">
        <v>0</v>
      </c>
      <c r="P167" s="367">
        <v>0</v>
      </c>
      <c r="Q167" s="367">
        <v>0</v>
      </c>
      <c r="R167" s="367">
        <v>0</v>
      </c>
      <c r="S167" s="367">
        <v>0</v>
      </c>
      <c r="T167" s="367">
        <v>0</v>
      </c>
      <c r="U167" s="367">
        <v>0</v>
      </c>
      <c r="V167" s="367">
        <v>0</v>
      </c>
      <c r="W167" s="366">
        <v>0</v>
      </c>
      <c r="X167" s="367">
        <v>0</v>
      </c>
      <c r="Y167" s="367">
        <v>0</v>
      </c>
      <c r="Z167" s="367">
        <v>0</v>
      </c>
      <c r="AA167" s="367">
        <v>0</v>
      </c>
      <c r="AB167" s="367">
        <v>0</v>
      </c>
      <c r="AC167" s="367">
        <v>0</v>
      </c>
      <c r="AD167" s="367">
        <v>0</v>
      </c>
      <c r="AE167" s="367">
        <v>0</v>
      </c>
      <c r="AF167" s="367">
        <v>0</v>
      </c>
      <c r="AG167" s="367">
        <v>0</v>
      </c>
      <c r="AH167" s="367">
        <v>0</v>
      </c>
      <c r="AI167" s="367">
        <v>0</v>
      </c>
      <c r="AJ167" s="367">
        <v>0</v>
      </c>
      <c r="AK167" s="367">
        <v>0</v>
      </c>
      <c r="AL167" s="367">
        <v>0</v>
      </c>
      <c r="AM167" s="367">
        <v>0</v>
      </c>
      <c r="AN167" s="367">
        <v>0</v>
      </c>
      <c r="AO167" s="367">
        <v>0</v>
      </c>
      <c r="AP167" s="367">
        <v>0</v>
      </c>
      <c r="AQ167" s="367">
        <v>0</v>
      </c>
      <c r="AR167" s="367">
        <v>0</v>
      </c>
      <c r="AS167" s="367">
        <v>0</v>
      </c>
      <c r="AT167" s="366">
        <v>2.0909999999999997</v>
      </c>
      <c r="AU167" s="367">
        <v>2.0909999999999997</v>
      </c>
      <c r="AV167" s="367">
        <v>0</v>
      </c>
      <c r="AW167" s="367">
        <v>0</v>
      </c>
      <c r="AX167" s="367">
        <v>0</v>
      </c>
      <c r="AY167" s="367">
        <v>0</v>
      </c>
      <c r="AZ167" s="366">
        <v>0</v>
      </c>
      <c r="BA167" s="367">
        <v>0</v>
      </c>
      <c r="BB167" s="367">
        <v>0</v>
      </c>
      <c r="BC167" s="367">
        <v>0</v>
      </c>
      <c r="BD167" s="367">
        <v>0</v>
      </c>
      <c r="BE167" s="367">
        <v>0</v>
      </c>
      <c r="BF167" s="367">
        <v>0</v>
      </c>
      <c r="BG167" s="367">
        <v>0</v>
      </c>
      <c r="BH167" s="367">
        <v>0</v>
      </c>
      <c r="BI167" s="367">
        <v>0</v>
      </c>
      <c r="BJ167" s="367">
        <v>0</v>
      </c>
      <c r="BK167" s="367">
        <v>0</v>
      </c>
      <c r="BL167" s="367">
        <v>0</v>
      </c>
      <c r="BM167" s="367">
        <v>0</v>
      </c>
      <c r="BN167" s="367">
        <v>0</v>
      </c>
      <c r="BO167" s="366">
        <v>0</v>
      </c>
      <c r="BP167" s="367">
        <v>0</v>
      </c>
      <c r="BQ167" s="367">
        <v>0</v>
      </c>
      <c r="BR167" s="368">
        <v>0</v>
      </c>
      <c r="BS167" s="368">
        <v>0</v>
      </c>
      <c r="BT167" s="366">
        <v>0</v>
      </c>
    </row>
    <row r="168" spans="1:73">
      <c r="A168" s="362" t="s">
        <v>549</v>
      </c>
      <c r="B168" s="363" t="s">
        <v>867</v>
      </c>
      <c r="C168" s="363"/>
      <c r="D168" s="363"/>
      <c r="E168" s="363"/>
      <c r="F168" s="364" t="s">
        <v>868</v>
      </c>
      <c r="G168" s="364"/>
      <c r="H168" s="365">
        <v>340.92200000000003</v>
      </c>
      <c r="I168" s="366">
        <v>0</v>
      </c>
      <c r="J168" s="367">
        <v>0</v>
      </c>
      <c r="K168" s="367">
        <v>0</v>
      </c>
      <c r="L168" s="367">
        <v>0</v>
      </c>
      <c r="M168" s="367">
        <v>0</v>
      </c>
      <c r="N168" s="367">
        <v>0</v>
      </c>
      <c r="O168" s="367">
        <v>0</v>
      </c>
      <c r="P168" s="367">
        <v>0</v>
      </c>
      <c r="Q168" s="367">
        <v>0</v>
      </c>
      <c r="R168" s="367">
        <v>0</v>
      </c>
      <c r="S168" s="367">
        <v>0</v>
      </c>
      <c r="T168" s="367">
        <v>0</v>
      </c>
      <c r="U168" s="367">
        <v>0</v>
      </c>
      <c r="V168" s="367">
        <v>0</v>
      </c>
      <c r="W168" s="366">
        <v>47.628</v>
      </c>
      <c r="X168" s="367">
        <v>0</v>
      </c>
      <c r="Y168" s="367">
        <v>0</v>
      </c>
      <c r="Z168" s="367">
        <v>0</v>
      </c>
      <c r="AA168" s="367">
        <v>0</v>
      </c>
      <c r="AB168" s="367">
        <v>0</v>
      </c>
      <c r="AC168" s="367">
        <v>0</v>
      </c>
      <c r="AD168" s="367">
        <v>0</v>
      </c>
      <c r="AE168" s="367">
        <v>1.2450000000000001</v>
      </c>
      <c r="AF168" s="367">
        <v>0.98799999999999999</v>
      </c>
      <c r="AG168" s="367">
        <v>0</v>
      </c>
      <c r="AH168" s="367">
        <v>0</v>
      </c>
      <c r="AI168" s="367">
        <v>1.419</v>
      </c>
      <c r="AJ168" s="367">
        <v>2.802</v>
      </c>
      <c r="AK168" s="367">
        <v>0</v>
      </c>
      <c r="AL168" s="367">
        <v>41.055</v>
      </c>
      <c r="AM168" s="367">
        <v>0.12</v>
      </c>
      <c r="AN168" s="367">
        <v>0</v>
      </c>
      <c r="AO168" s="367">
        <v>0</v>
      </c>
      <c r="AP168" s="367">
        <v>0</v>
      </c>
      <c r="AQ168" s="367">
        <v>0</v>
      </c>
      <c r="AR168" s="367">
        <v>0</v>
      </c>
      <c r="AS168" s="367">
        <v>0</v>
      </c>
      <c r="AT168" s="366">
        <v>1.911</v>
      </c>
      <c r="AU168" s="367">
        <v>1.911</v>
      </c>
      <c r="AV168" s="367">
        <v>0</v>
      </c>
      <c r="AW168" s="367">
        <v>0</v>
      </c>
      <c r="AX168" s="367">
        <v>0</v>
      </c>
      <c r="AY168" s="367">
        <v>0</v>
      </c>
      <c r="AZ168" s="366">
        <v>31.382999999999999</v>
      </c>
      <c r="BA168" s="367">
        <v>0</v>
      </c>
      <c r="BB168" s="367">
        <v>0</v>
      </c>
      <c r="BC168" s="367">
        <v>0</v>
      </c>
      <c r="BD168" s="367">
        <v>0</v>
      </c>
      <c r="BE168" s="367">
        <v>0</v>
      </c>
      <c r="BF168" s="367">
        <v>30.871000000000002</v>
      </c>
      <c r="BG168" s="367">
        <v>0</v>
      </c>
      <c r="BH168" s="367">
        <v>0.51200000000000001</v>
      </c>
      <c r="BI168" s="367">
        <v>0</v>
      </c>
      <c r="BJ168" s="367">
        <v>0</v>
      </c>
      <c r="BK168" s="367">
        <v>0</v>
      </c>
      <c r="BL168" s="367">
        <v>0</v>
      </c>
      <c r="BM168" s="367">
        <v>0</v>
      </c>
      <c r="BN168" s="367">
        <v>0</v>
      </c>
      <c r="BO168" s="366">
        <v>0</v>
      </c>
      <c r="BP168" s="367">
        <v>0</v>
      </c>
      <c r="BQ168" s="367">
        <v>0</v>
      </c>
      <c r="BR168" s="368">
        <v>0</v>
      </c>
      <c r="BS168" s="368">
        <v>14.419</v>
      </c>
      <c r="BT168" s="366">
        <v>245.58100000000002</v>
      </c>
    </row>
    <row r="169" spans="1:73">
      <c r="A169" s="369"/>
      <c r="B169" s="362" t="s">
        <v>549</v>
      </c>
      <c r="C169" s="363" t="s">
        <v>869</v>
      </c>
      <c r="D169" s="363"/>
      <c r="E169" s="363"/>
      <c r="F169" s="364" t="s">
        <v>870</v>
      </c>
      <c r="G169" s="364"/>
      <c r="H169" s="365">
        <v>117.50399999999999</v>
      </c>
      <c r="I169" s="366">
        <v>0</v>
      </c>
      <c r="J169" s="367">
        <v>0</v>
      </c>
      <c r="K169" s="367">
        <v>0</v>
      </c>
      <c r="L169" s="367">
        <v>0</v>
      </c>
      <c r="M169" s="367">
        <v>0</v>
      </c>
      <c r="N169" s="367">
        <v>0</v>
      </c>
      <c r="O169" s="367">
        <v>0</v>
      </c>
      <c r="P169" s="367">
        <v>0</v>
      </c>
      <c r="Q169" s="367">
        <v>0</v>
      </c>
      <c r="R169" s="367">
        <v>0</v>
      </c>
      <c r="S169" s="367">
        <v>0</v>
      </c>
      <c r="T169" s="367">
        <v>0</v>
      </c>
      <c r="U169" s="367">
        <v>0</v>
      </c>
      <c r="V169" s="367">
        <v>0</v>
      </c>
      <c r="W169" s="366">
        <v>10.148</v>
      </c>
      <c r="X169" s="367">
        <v>0</v>
      </c>
      <c r="Y169" s="367">
        <v>0</v>
      </c>
      <c r="Z169" s="367">
        <v>0</v>
      </c>
      <c r="AA169" s="367">
        <v>0</v>
      </c>
      <c r="AB169" s="367">
        <v>0</v>
      </c>
      <c r="AC169" s="367">
        <v>0</v>
      </c>
      <c r="AD169" s="367">
        <v>0</v>
      </c>
      <c r="AE169" s="367">
        <v>0.36899999999999999</v>
      </c>
      <c r="AF169" s="367">
        <v>0</v>
      </c>
      <c r="AG169" s="367">
        <v>0</v>
      </c>
      <c r="AH169" s="367">
        <v>0</v>
      </c>
      <c r="AI169" s="367">
        <v>0</v>
      </c>
      <c r="AJ169" s="367">
        <v>0.17199999999999999</v>
      </c>
      <c r="AK169" s="367">
        <v>0</v>
      </c>
      <c r="AL169" s="367">
        <v>9.5670000000000002</v>
      </c>
      <c r="AM169" s="367">
        <v>0.04</v>
      </c>
      <c r="AN169" s="367">
        <v>0</v>
      </c>
      <c r="AO169" s="367">
        <v>0</v>
      </c>
      <c r="AP169" s="367">
        <v>0</v>
      </c>
      <c r="AQ169" s="367">
        <v>0</v>
      </c>
      <c r="AR169" s="367">
        <v>0</v>
      </c>
      <c r="AS169" s="367">
        <v>0</v>
      </c>
      <c r="AT169" s="366">
        <v>0.93100000000000005</v>
      </c>
      <c r="AU169" s="367">
        <v>0.93100000000000005</v>
      </c>
      <c r="AV169" s="367">
        <v>0</v>
      </c>
      <c r="AW169" s="367">
        <v>0</v>
      </c>
      <c r="AX169" s="367">
        <v>0</v>
      </c>
      <c r="AY169" s="367">
        <v>0</v>
      </c>
      <c r="AZ169" s="366">
        <v>1.4000000000000001</v>
      </c>
      <c r="BA169" s="367">
        <v>0</v>
      </c>
      <c r="BB169" s="367">
        <v>0</v>
      </c>
      <c r="BC169" s="367">
        <v>0</v>
      </c>
      <c r="BD169" s="367">
        <v>0</v>
      </c>
      <c r="BE169" s="367">
        <v>0</v>
      </c>
      <c r="BF169" s="367">
        <v>0.88800000000000001</v>
      </c>
      <c r="BG169" s="367">
        <v>0</v>
      </c>
      <c r="BH169" s="367">
        <v>0.51200000000000001</v>
      </c>
      <c r="BI169" s="367">
        <v>0</v>
      </c>
      <c r="BJ169" s="367">
        <v>0</v>
      </c>
      <c r="BK169" s="367">
        <v>0</v>
      </c>
      <c r="BL169" s="367">
        <v>0</v>
      </c>
      <c r="BM169" s="367">
        <v>0</v>
      </c>
      <c r="BN169" s="367">
        <v>0</v>
      </c>
      <c r="BO169" s="366">
        <v>0</v>
      </c>
      <c r="BP169" s="367">
        <v>0</v>
      </c>
      <c r="BQ169" s="367">
        <v>0</v>
      </c>
      <c r="BR169" s="368">
        <v>0</v>
      </c>
      <c r="BS169" s="368">
        <v>10.508000000000001</v>
      </c>
      <c r="BT169" s="366">
        <v>94.518000000000001</v>
      </c>
    </row>
    <row r="170" spans="1:73" s="438" customFormat="1">
      <c r="A170" s="431"/>
      <c r="B170" s="432" t="s">
        <v>549</v>
      </c>
      <c r="C170" s="433" t="s">
        <v>871</v>
      </c>
      <c r="D170" s="433"/>
      <c r="E170" s="433"/>
      <c r="F170" s="434" t="s">
        <v>872</v>
      </c>
      <c r="G170" s="434"/>
      <c r="H170" s="435">
        <v>185.214</v>
      </c>
      <c r="I170" s="436">
        <v>0</v>
      </c>
      <c r="J170" s="435">
        <v>0</v>
      </c>
      <c r="K170" s="435">
        <v>0</v>
      </c>
      <c r="L170" s="435">
        <v>0</v>
      </c>
      <c r="M170" s="435">
        <v>0</v>
      </c>
      <c r="N170" s="435">
        <v>0</v>
      </c>
      <c r="O170" s="435">
        <v>0</v>
      </c>
      <c r="P170" s="435">
        <v>0</v>
      </c>
      <c r="Q170" s="435">
        <v>0</v>
      </c>
      <c r="R170" s="435">
        <v>0</v>
      </c>
      <c r="S170" s="435">
        <v>0</v>
      </c>
      <c r="T170" s="435">
        <v>0</v>
      </c>
      <c r="U170" s="435">
        <v>0</v>
      </c>
      <c r="V170" s="435">
        <v>0</v>
      </c>
      <c r="W170" s="436">
        <v>8.234</v>
      </c>
      <c r="X170" s="435">
        <v>0</v>
      </c>
      <c r="Y170" s="435">
        <v>0</v>
      </c>
      <c r="Z170" s="435">
        <v>0</v>
      </c>
      <c r="AA170" s="435">
        <v>0</v>
      </c>
      <c r="AB170" s="435">
        <v>0</v>
      </c>
      <c r="AC170" s="435">
        <v>0</v>
      </c>
      <c r="AD170" s="435">
        <v>0</v>
      </c>
      <c r="AE170" s="435">
        <v>0.55299999999999994</v>
      </c>
      <c r="AF170" s="435">
        <v>0.71799999999999997</v>
      </c>
      <c r="AG170" s="435">
        <v>0</v>
      </c>
      <c r="AH170" s="435">
        <v>0</v>
      </c>
      <c r="AI170" s="435">
        <v>0</v>
      </c>
      <c r="AJ170" s="435">
        <v>2.629</v>
      </c>
      <c r="AK170" s="435">
        <v>0</v>
      </c>
      <c r="AL170" s="435">
        <v>4.3330000000000002</v>
      </c>
      <c r="AM170" s="435">
        <v>0</v>
      </c>
      <c r="AN170" s="435">
        <v>0</v>
      </c>
      <c r="AO170" s="435">
        <v>0</v>
      </c>
      <c r="AP170" s="435">
        <v>0</v>
      </c>
      <c r="AQ170" s="435">
        <v>0</v>
      </c>
      <c r="AR170" s="435">
        <v>0</v>
      </c>
      <c r="AS170" s="435">
        <v>0</v>
      </c>
      <c r="AT170" s="436">
        <v>0.16600000000000001</v>
      </c>
      <c r="AU170" s="435">
        <v>0.16600000000000001</v>
      </c>
      <c r="AV170" s="435">
        <v>0</v>
      </c>
      <c r="AW170" s="435">
        <v>0</v>
      </c>
      <c r="AX170" s="435">
        <v>0</v>
      </c>
      <c r="AY170" s="435">
        <v>0</v>
      </c>
      <c r="AZ170" s="436">
        <v>29.797999999999998</v>
      </c>
      <c r="BA170" s="435">
        <v>0</v>
      </c>
      <c r="BB170" s="435">
        <v>0</v>
      </c>
      <c r="BC170" s="435">
        <v>0</v>
      </c>
      <c r="BD170" s="435">
        <v>0</v>
      </c>
      <c r="BE170" s="435">
        <v>0</v>
      </c>
      <c r="BF170" s="435">
        <v>29.797999999999998</v>
      </c>
      <c r="BG170" s="435">
        <v>0</v>
      </c>
      <c r="BH170" s="435">
        <v>0</v>
      </c>
      <c r="BI170" s="435">
        <v>0</v>
      </c>
      <c r="BJ170" s="435">
        <v>0</v>
      </c>
      <c r="BK170" s="435">
        <v>0</v>
      </c>
      <c r="BL170" s="435">
        <v>0</v>
      </c>
      <c r="BM170" s="435">
        <v>0</v>
      </c>
      <c r="BN170" s="435">
        <v>0</v>
      </c>
      <c r="BO170" s="436">
        <v>0</v>
      </c>
      <c r="BP170" s="435">
        <v>0</v>
      </c>
      <c r="BQ170" s="435">
        <v>0</v>
      </c>
      <c r="BR170" s="437">
        <v>0</v>
      </c>
      <c r="BS170" s="437">
        <v>3.9019999999999997</v>
      </c>
      <c r="BT170" s="436">
        <v>143.114</v>
      </c>
    </row>
    <row r="171" spans="1:73">
      <c r="A171" s="369"/>
      <c r="B171" s="362" t="s">
        <v>549</v>
      </c>
      <c r="C171" s="363" t="s">
        <v>873</v>
      </c>
      <c r="D171" s="363"/>
      <c r="E171" s="363"/>
      <c r="F171" s="364" t="s">
        <v>874</v>
      </c>
      <c r="G171" s="364"/>
      <c r="H171" s="365">
        <v>14.391</v>
      </c>
      <c r="I171" s="366">
        <v>0</v>
      </c>
      <c r="J171" s="367">
        <v>0</v>
      </c>
      <c r="K171" s="367">
        <v>0</v>
      </c>
      <c r="L171" s="367">
        <v>0</v>
      </c>
      <c r="M171" s="367">
        <v>0</v>
      </c>
      <c r="N171" s="367">
        <v>0</v>
      </c>
      <c r="O171" s="367">
        <v>0</v>
      </c>
      <c r="P171" s="367">
        <v>0</v>
      </c>
      <c r="Q171" s="367">
        <v>0</v>
      </c>
      <c r="R171" s="367">
        <v>0</v>
      </c>
      <c r="S171" s="367">
        <v>0</v>
      </c>
      <c r="T171" s="367">
        <v>0</v>
      </c>
      <c r="U171" s="367">
        <v>0</v>
      </c>
      <c r="V171" s="367">
        <v>0</v>
      </c>
      <c r="W171" s="366">
        <v>6.157</v>
      </c>
      <c r="X171" s="367">
        <v>0</v>
      </c>
      <c r="Y171" s="367">
        <v>0</v>
      </c>
      <c r="Z171" s="367">
        <v>0</v>
      </c>
      <c r="AA171" s="367">
        <v>0</v>
      </c>
      <c r="AB171" s="367">
        <v>0</v>
      </c>
      <c r="AC171" s="367">
        <v>0</v>
      </c>
      <c r="AD171" s="367">
        <v>0</v>
      </c>
      <c r="AE171" s="367">
        <v>0.32300000000000001</v>
      </c>
      <c r="AF171" s="367">
        <v>0</v>
      </c>
      <c r="AG171" s="367">
        <v>0</v>
      </c>
      <c r="AH171" s="367">
        <v>0</v>
      </c>
      <c r="AI171" s="367">
        <v>0</v>
      </c>
      <c r="AJ171" s="367">
        <v>0</v>
      </c>
      <c r="AK171" s="367">
        <v>0</v>
      </c>
      <c r="AL171" s="367">
        <v>5.8340000000000005</v>
      </c>
      <c r="AM171" s="367">
        <v>0</v>
      </c>
      <c r="AN171" s="367">
        <v>0</v>
      </c>
      <c r="AO171" s="367">
        <v>0</v>
      </c>
      <c r="AP171" s="367">
        <v>0</v>
      </c>
      <c r="AQ171" s="367">
        <v>0</v>
      </c>
      <c r="AR171" s="367">
        <v>0</v>
      </c>
      <c r="AS171" s="367">
        <v>0</v>
      </c>
      <c r="AT171" s="366">
        <v>0.81400000000000006</v>
      </c>
      <c r="AU171" s="367">
        <v>0.81400000000000006</v>
      </c>
      <c r="AV171" s="367">
        <v>0</v>
      </c>
      <c r="AW171" s="367">
        <v>0</v>
      </c>
      <c r="AX171" s="367">
        <v>0</v>
      </c>
      <c r="AY171" s="367">
        <v>0</v>
      </c>
      <c r="AZ171" s="366">
        <v>0.185</v>
      </c>
      <c r="BA171" s="367">
        <v>0</v>
      </c>
      <c r="BB171" s="367">
        <v>0</v>
      </c>
      <c r="BC171" s="367">
        <v>0</v>
      </c>
      <c r="BD171" s="367">
        <v>0</v>
      </c>
      <c r="BE171" s="367">
        <v>0</v>
      </c>
      <c r="BF171" s="367">
        <v>0.185</v>
      </c>
      <c r="BG171" s="367">
        <v>0</v>
      </c>
      <c r="BH171" s="367">
        <v>0</v>
      </c>
      <c r="BI171" s="367">
        <v>0</v>
      </c>
      <c r="BJ171" s="367">
        <v>0</v>
      </c>
      <c r="BK171" s="367">
        <v>0</v>
      </c>
      <c r="BL171" s="367">
        <v>0</v>
      </c>
      <c r="BM171" s="367">
        <v>0</v>
      </c>
      <c r="BN171" s="367">
        <v>0</v>
      </c>
      <c r="BO171" s="366">
        <v>0</v>
      </c>
      <c r="BP171" s="367">
        <v>0</v>
      </c>
      <c r="BQ171" s="367">
        <v>0</v>
      </c>
      <c r="BR171" s="368">
        <v>0</v>
      </c>
      <c r="BS171" s="368">
        <v>8.9999999999999993E-3</v>
      </c>
      <c r="BT171" s="366">
        <v>7.2249999999999996</v>
      </c>
    </row>
    <row r="172" spans="1:73">
      <c r="A172" s="369"/>
      <c r="B172" s="362" t="s">
        <v>549</v>
      </c>
      <c r="C172" s="363" t="s">
        <v>875</v>
      </c>
      <c r="D172" s="363"/>
      <c r="E172" s="363"/>
      <c r="F172" s="364" t="s">
        <v>876</v>
      </c>
      <c r="G172" s="364"/>
      <c r="H172" s="365">
        <v>20.29</v>
      </c>
      <c r="I172" s="366">
        <v>0</v>
      </c>
      <c r="J172" s="367">
        <v>0</v>
      </c>
      <c r="K172" s="367">
        <v>0</v>
      </c>
      <c r="L172" s="367">
        <v>0</v>
      </c>
      <c r="M172" s="367">
        <v>0</v>
      </c>
      <c r="N172" s="367">
        <v>0</v>
      </c>
      <c r="O172" s="367">
        <v>0</v>
      </c>
      <c r="P172" s="367">
        <v>0</v>
      </c>
      <c r="Q172" s="367">
        <v>0</v>
      </c>
      <c r="R172" s="367">
        <v>0</v>
      </c>
      <c r="S172" s="367">
        <v>0</v>
      </c>
      <c r="T172" s="367">
        <v>0</v>
      </c>
      <c r="U172" s="367">
        <v>0</v>
      </c>
      <c r="V172" s="367">
        <v>0</v>
      </c>
      <c r="W172" s="366">
        <v>19.567</v>
      </c>
      <c r="X172" s="367">
        <v>0</v>
      </c>
      <c r="Y172" s="367">
        <v>0</v>
      </c>
      <c r="Z172" s="367">
        <v>0</v>
      </c>
      <c r="AA172" s="367">
        <v>0</v>
      </c>
      <c r="AB172" s="367">
        <v>0</v>
      </c>
      <c r="AC172" s="367">
        <v>0</v>
      </c>
      <c r="AD172" s="367">
        <v>0</v>
      </c>
      <c r="AE172" s="367">
        <v>0</v>
      </c>
      <c r="AF172" s="367">
        <v>0.224</v>
      </c>
      <c r="AG172" s="367">
        <v>0</v>
      </c>
      <c r="AH172" s="367">
        <v>0</v>
      </c>
      <c r="AI172" s="367">
        <v>0</v>
      </c>
      <c r="AJ172" s="367">
        <v>0</v>
      </c>
      <c r="AK172" s="367">
        <v>0</v>
      </c>
      <c r="AL172" s="367">
        <v>19.262</v>
      </c>
      <c r="AM172" s="367">
        <v>0.08</v>
      </c>
      <c r="AN172" s="367">
        <v>0</v>
      </c>
      <c r="AO172" s="367">
        <v>0</v>
      </c>
      <c r="AP172" s="367">
        <v>0</v>
      </c>
      <c r="AQ172" s="367">
        <v>0</v>
      </c>
      <c r="AR172" s="367">
        <v>0</v>
      </c>
      <c r="AS172" s="367">
        <v>0</v>
      </c>
      <c r="AT172" s="366">
        <v>0</v>
      </c>
      <c r="AU172" s="367">
        <v>0</v>
      </c>
      <c r="AV172" s="367">
        <v>0</v>
      </c>
      <c r="AW172" s="367">
        <v>0</v>
      </c>
      <c r="AX172" s="367">
        <v>0</v>
      </c>
      <c r="AY172" s="367">
        <v>0</v>
      </c>
      <c r="AZ172" s="366">
        <v>0</v>
      </c>
      <c r="BA172" s="367">
        <v>0</v>
      </c>
      <c r="BB172" s="367">
        <v>0</v>
      </c>
      <c r="BC172" s="367">
        <v>0</v>
      </c>
      <c r="BD172" s="367">
        <v>0</v>
      </c>
      <c r="BE172" s="367">
        <v>0</v>
      </c>
      <c r="BF172" s="367">
        <v>0</v>
      </c>
      <c r="BG172" s="367">
        <v>0</v>
      </c>
      <c r="BH172" s="367">
        <v>0</v>
      </c>
      <c r="BI172" s="367">
        <v>0</v>
      </c>
      <c r="BJ172" s="367">
        <v>0</v>
      </c>
      <c r="BK172" s="367">
        <v>0</v>
      </c>
      <c r="BL172" s="367">
        <v>0</v>
      </c>
      <c r="BM172" s="367">
        <v>0</v>
      </c>
      <c r="BN172" s="367">
        <v>0</v>
      </c>
      <c r="BO172" s="366">
        <v>0</v>
      </c>
      <c r="BP172" s="367">
        <v>0</v>
      </c>
      <c r="BQ172" s="367">
        <v>0</v>
      </c>
      <c r="BR172" s="368">
        <v>0</v>
      </c>
      <c r="BS172" s="368">
        <v>0</v>
      </c>
      <c r="BT172" s="366">
        <v>0.72399999999999998</v>
      </c>
    </row>
    <row r="173" spans="1:73">
      <c r="A173" s="439"/>
      <c r="B173" s="370" t="s">
        <v>549</v>
      </c>
      <c r="C173" s="371" t="s">
        <v>877</v>
      </c>
      <c r="D173" s="371"/>
      <c r="E173" s="371"/>
      <c r="F173" s="372" t="s">
        <v>878</v>
      </c>
      <c r="G173" s="372"/>
      <c r="H173" s="373">
        <v>3.5230000000000001</v>
      </c>
      <c r="I173" s="374">
        <v>0</v>
      </c>
      <c r="J173" s="375">
        <v>0</v>
      </c>
      <c r="K173" s="375">
        <v>0</v>
      </c>
      <c r="L173" s="375">
        <v>0</v>
      </c>
      <c r="M173" s="375">
        <v>0</v>
      </c>
      <c r="N173" s="375">
        <v>0</v>
      </c>
      <c r="O173" s="375">
        <v>0</v>
      </c>
      <c r="P173" s="375">
        <v>0</v>
      </c>
      <c r="Q173" s="375">
        <v>0</v>
      </c>
      <c r="R173" s="375">
        <v>0</v>
      </c>
      <c r="S173" s="375">
        <v>0</v>
      </c>
      <c r="T173" s="375">
        <v>0</v>
      </c>
      <c r="U173" s="375">
        <v>0</v>
      </c>
      <c r="V173" s="375">
        <v>0</v>
      </c>
      <c r="W173" s="374">
        <v>3.5230000000000001</v>
      </c>
      <c r="X173" s="375">
        <v>0</v>
      </c>
      <c r="Y173" s="375">
        <v>0</v>
      </c>
      <c r="Z173" s="375">
        <v>0</v>
      </c>
      <c r="AA173" s="375">
        <v>0</v>
      </c>
      <c r="AB173" s="375">
        <v>0</v>
      </c>
      <c r="AC173" s="375">
        <v>0</v>
      </c>
      <c r="AD173" s="375">
        <v>0</v>
      </c>
      <c r="AE173" s="375">
        <v>0</v>
      </c>
      <c r="AF173" s="375">
        <v>4.4999999999999998E-2</v>
      </c>
      <c r="AG173" s="375">
        <v>0</v>
      </c>
      <c r="AH173" s="375">
        <v>0</v>
      </c>
      <c r="AI173" s="375">
        <v>1.419</v>
      </c>
      <c r="AJ173" s="375">
        <v>0</v>
      </c>
      <c r="AK173" s="375">
        <v>0</v>
      </c>
      <c r="AL173" s="375">
        <v>2.0590000000000002</v>
      </c>
      <c r="AM173" s="375">
        <v>0</v>
      </c>
      <c r="AN173" s="375">
        <v>0</v>
      </c>
      <c r="AO173" s="375">
        <v>0</v>
      </c>
      <c r="AP173" s="375">
        <v>0</v>
      </c>
      <c r="AQ173" s="375">
        <v>0</v>
      </c>
      <c r="AR173" s="375">
        <v>0</v>
      </c>
      <c r="AS173" s="375">
        <v>0</v>
      </c>
      <c r="AT173" s="374">
        <v>0</v>
      </c>
      <c r="AU173" s="375">
        <v>0</v>
      </c>
      <c r="AV173" s="375">
        <v>0</v>
      </c>
      <c r="AW173" s="375">
        <v>0</v>
      </c>
      <c r="AX173" s="375">
        <v>0</v>
      </c>
      <c r="AY173" s="375">
        <v>0</v>
      </c>
      <c r="AZ173" s="374">
        <v>0</v>
      </c>
      <c r="BA173" s="375">
        <v>0</v>
      </c>
      <c r="BB173" s="375">
        <v>0</v>
      </c>
      <c r="BC173" s="375">
        <v>0</v>
      </c>
      <c r="BD173" s="375">
        <v>0</v>
      </c>
      <c r="BE173" s="375">
        <v>0</v>
      </c>
      <c r="BF173" s="375">
        <v>0</v>
      </c>
      <c r="BG173" s="375">
        <v>0</v>
      </c>
      <c r="BH173" s="375">
        <v>0</v>
      </c>
      <c r="BI173" s="375">
        <v>0</v>
      </c>
      <c r="BJ173" s="375">
        <v>0</v>
      </c>
      <c r="BK173" s="375">
        <v>0</v>
      </c>
      <c r="BL173" s="375">
        <v>0</v>
      </c>
      <c r="BM173" s="375">
        <v>0</v>
      </c>
      <c r="BN173" s="375">
        <v>0</v>
      </c>
      <c r="BO173" s="374">
        <v>0</v>
      </c>
      <c r="BP173" s="375">
        <v>0</v>
      </c>
      <c r="BQ173" s="375">
        <v>0</v>
      </c>
      <c r="BR173" s="376">
        <v>0</v>
      </c>
      <c r="BS173" s="376">
        <v>0</v>
      </c>
      <c r="BT173" s="374">
        <v>0</v>
      </c>
    </row>
    <row r="174" spans="1:73" ht="11.25" customHeight="1">
      <c r="A174" s="410" t="s">
        <v>879</v>
      </c>
      <c r="B174" s="410"/>
      <c r="C174" s="410"/>
      <c r="D174" s="410"/>
      <c r="E174" s="410"/>
      <c r="F174" s="411" t="s">
        <v>880</v>
      </c>
      <c r="G174" s="411"/>
      <c r="H174" s="412">
        <v>266.70400000000001</v>
      </c>
      <c r="I174" s="413">
        <v>1.7570000000000001</v>
      </c>
      <c r="J174" s="414">
        <v>0</v>
      </c>
      <c r="K174" s="414">
        <v>0</v>
      </c>
      <c r="L174" s="414">
        <v>0.73099999999999998</v>
      </c>
      <c r="M174" s="414">
        <v>0</v>
      </c>
      <c r="N174" s="414">
        <v>0</v>
      </c>
      <c r="O174" s="414">
        <v>0</v>
      </c>
      <c r="P174" s="414">
        <v>1.026</v>
      </c>
      <c r="Q174" s="414">
        <v>0</v>
      </c>
      <c r="R174" s="414">
        <v>0</v>
      </c>
      <c r="S174" s="414">
        <v>0</v>
      </c>
      <c r="T174" s="414">
        <v>0</v>
      </c>
      <c r="U174" s="414">
        <v>0</v>
      </c>
      <c r="V174" s="414">
        <v>0</v>
      </c>
      <c r="W174" s="413">
        <v>158.971</v>
      </c>
      <c r="X174" s="414">
        <v>22.855999999999998</v>
      </c>
      <c r="Y174" s="414">
        <v>0</v>
      </c>
      <c r="Z174" s="414">
        <v>2.1999999999999997</v>
      </c>
      <c r="AA174" s="414">
        <v>0</v>
      </c>
      <c r="AB174" s="414">
        <v>0</v>
      </c>
      <c r="AC174" s="414">
        <v>1.944</v>
      </c>
      <c r="AD174" s="414">
        <v>9.4039999999999999</v>
      </c>
      <c r="AE174" s="414">
        <v>19.777000000000001</v>
      </c>
      <c r="AF174" s="414">
        <v>24.470000000000002</v>
      </c>
      <c r="AG174" s="414">
        <v>-8.8000000000000009E-2</v>
      </c>
      <c r="AH174" s="414">
        <v>0.35400000000000004</v>
      </c>
      <c r="AI174" s="414">
        <v>-1.032</v>
      </c>
      <c r="AJ174" s="414">
        <v>0</v>
      </c>
      <c r="AK174" s="414">
        <v>77.22</v>
      </c>
      <c r="AL174" s="414">
        <v>14.497</v>
      </c>
      <c r="AM174" s="414">
        <v>-3.1739999999999999</v>
      </c>
      <c r="AN174" s="414">
        <v>4.4000000000000004E-2</v>
      </c>
      <c r="AO174" s="414">
        <v>0.37800000000000006</v>
      </c>
      <c r="AP174" s="414">
        <v>-3.9E-2</v>
      </c>
      <c r="AQ174" s="414">
        <v>-9.7999999999999989</v>
      </c>
      <c r="AR174" s="414">
        <v>0</v>
      </c>
      <c r="AS174" s="414">
        <v>-0.04</v>
      </c>
      <c r="AT174" s="413">
        <v>105.925</v>
      </c>
      <c r="AU174" s="414">
        <v>105.926</v>
      </c>
      <c r="AV174" s="414">
        <v>0</v>
      </c>
      <c r="AW174" s="414">
        <v>0</v>
      </c>
      <c r="AX174" s="414">
        <v>0</v>
      </c>
      <c r="AY174" s="414">
        <v>0</v>
      </c>
      <c r="AZ174" s="413">
        <v>5.1000000000000004E-2</v>
      </c>
      <c r="BA174" s="414">
        <v>0</v>
      </c>
      <c r="BB174" s="414">
        <v>0</v>
      </c>
      <c r="BC174" s="414">
        <v>0</v>
      </c>
      <c r="BD174" s="414">
        <v>0</v>
      </c>
      <c r="BE174" s="414">
        <v>0</v>
      </c>
      <c r="BF174" s="414">
        <v>0</v>
      </c>
      <c r="BG174" s="414">
        <v>0</v>
      </c>
      <c r="BH174" s="414">
        <v>4.4000000000000004E-2</v>
      </c>
      <c r="BI174" s="414">
        <v>0</v>
      </c>
      <c r="BJ174" s="414">
        <v>1.3000000000000001E-2</v>
      </c>
      <c r="BK174" s="414">
        <v>-6.0000000000000001E-3</v>
      </c>
      <c r="BL174" s="414">
        <v>0</v>
      </c>
      <c r="BM174" s="414">
        <v>0</v>
      </c>
      <c r="BN174" s="414">
        <v>0</v>
      </c>
      <c r="BO174" s="413">
        <v>0</v>
      </c>
      <c r="BP174" s="414">
        <v>0</v>
      </c>
      <c r="BQ174" s="414">
        <v>0</v>
      </c>
      <c r="BR174" s="415">
        <v>0</v>
      </c>
      <c r="BS174" s="415">
        <v>0</v>
      </c>
      <c r="BT174" s="413">
        <v>0</v>
      </c>
    </row>
    <row r="175" spans="1:73">
      <c r="A175" s="354"/>
      <c r="B175" s="354"/>
      <c r="C175" s="354"/>
      <c r="D175" s="354"/>
      <c r="E175" s="354"/>
      <c r="F175" s="440"/>
      <c r="G175" s="440"/>
      <c r="H175" s="441"/>
      <c r="I175" s="441"/>
      <c r="J175" s="441"/>
      <c r="K175" s="441"/>
      <c r="L175" s="441"/>
      <c r="M175" s="441"/>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c r="AQ175" s="441"/>
      <c r="AR175" s="441"/>
      <c r="AS175" s="441"/>
      <c r="AT175" s="441"/>
      <c r="AU175" s="441"/>
      <c r="AV175" s="441"/>
      <c r="AW175" s="441"/>
      <c r="AX175" s="441"/>
      <c r="AY175" s="441"/>
      <c r="AZ175" s="441"/>
      <c r="BA175" s="441"/>
      <c r="BB175" s="441"/>
      <c r="BC175" s="441"/>
      <c r="BD175" s="441"/>
      <c r="BE175" s="441"/>
      <c r="BF175" s="441"/>
      <c r="BG175" s="441"/>
      <c r="BH175" s="441"/>
      <c r="BI175" s="441"/>
      <c r="BJ175" s="441"/>
      <c r="BK175" s="441"/>
      <c r="BL175" s="441"/>
      <c r="BM175" s="441"/>
      <c r="BN175" s="441"/>
      <c r="BO175" s="441"/>
      <c r="BP175" s="441"/>
      <c r="BQ175" s="441"/>
      <c r="BR175" s="441"/>
      <c r="BS175" s="441"/>
      <c r="BT175" s="441"/>
      <c r="BU175" s="354"/>
    </row>
    <row r="178" spans="1:72">
      <c r="A178" s="336" t="s">
        <v>881</v>
      </c>
      <c r="BI178" s="354"/>
      <c r="BJ178" s="354"/>
      <c r="BK178" s="354"/>
      <c r="BL178" s="354"/>
    </row>
    <row r="179" spans="1:72">
      <c r="A179" s="443"/>
      <c r="B179" s="443"/>
      <c r="C179" s="443" t="s">
        <v>882</v>
      </c>
      <c r="D179" s="443"/>
      <c r="E179" s="443"/>
      <c r="F179" s="444" t="s">
        <v>883</v>
      </c>
      <c r="G179" s="444"/>
      <c r="H179" s="444"/>
      <c r="I179" s="444"/>
      <c r="J179" s="444"/>
      <c r="K179" s="444"/>
      <c r="L179" s="444"/>
      <c r="M179" s="444"/>
      <c r="N179" s="444"/>
      <c r="O179" s="444"/>
      <c r="P179" s="444"/>
      <c r="Q179" s="444"/>
      <c r="R179" s="444"/>
      <c r="S179" s="444"/>
      <c r="T179" s="444"/>
      <c r="U179" s="444"/>
      <c r="V179" s="444"/>
      <c r="W179" s="443"/>
      <c r="X179" s="443"/>
      <c r="Y179" s="443"/>
      <c r="Z179" s="443"/>
      <c r="AA179" s="443"/>
      <c r="AB179" s="443"/>
      <c r="AC179" s="443"/>
      <c r="AD179" s="443"/>
      <c r="AE179" s="443"/>
      <c r="AF179" s="443"/>
      <c r="AG179" s="443"/>
      <c r="AH179" s="443"/>
      <c r="AI179" s="443"/>
      <c r="AJ179" s="443"/>
      <c r="AK179" s="443"/>
      <c r="AL179" s="443"/>
      <c r="AM179" s="443"/>
      <c r="AN179" s="443"/>
      <c r="AO179" s="443"/>
      <c r="AP179" s="443"/>
      <c r="AQ179" s="443"/>
      <c r="AR179" s="443"/>
      <c r="AS179" s="443"/>
      <c r="AT179" s="443"/>
      <c r="AU179" s="443"/>
      <c r="AV179" s="443"/>
      <c r="AW179" s="443"/>
      <c r="AX179" s="443"/>
      <c r="AY179" s="443"/>
      <c r="AZ179" s="444"/>
      <c r="BA179" s="443"/>
      <c r="BB179" s="443"/>
      <c r="BC179" s="443"/>
      <c r="BD179" s="443"/>
      <c r="BE179" s="443"/>
      <c r="BF179" s="443"/>
      <c r="BG179" s="443"/>
      <c r="BH179" s="443"/>
      <c r="BI179" s="443"/>
      <c r="BJ179" s="445">
        <v>4.8008025222126678</v>
      </c>
      <c r="BK179" s="445">
        <v>110.60953472819337</v>
      </c>
      <c r="BL179" s="443"/>
      <c r="BM179" s="443"/>
      <c r="BN179" s="443"/>
      <c r="BO179" s="443"/>
      <c r="BP179" s="443"/>
      <c r="BQ179" s="443"/>
      <c r="BR179" s="443"/>
      <c r="BS179" s="443"/>
      <c r="BT179" s="443"/>
    </row>
    <row r="200" spans="93:95" ht="14.4">
      <c r="CO200" s="1535" t="s">
        <v>919</v>
      </c>
      <c r="CP200" s="1535"/>
    </row>
    <row r="201" spans="93:95" ht="14.4">
      <c r="CO201" s="248" t="s">
        <v>920</v>
      </c>
      <c r="CP201" s="510">
        <v>69631</v>
      </c>
    </row>
    <row r="202" spans="93:95" ht="14.4">
      <c r="CO202" s="248" t="s">
        <v>921</v>
      </c>
      <c r="CP202" s="510">
        <v>4</v>
      </c>
    </row>
    <row r="203" spans="93:95" ht="14.4">
      <c r="CO203" s="248" t="s">
        <v>922</v>
      </c>
      <c r="CP203" s="510">
        <v>8605</v>
      </c>
      <c r="CQ203" s="336">
        <f>CP203/$CP$210</f>
        <v>0.12358888920805446</v>
      </c>
    </row>
    <row r="204" spans="93:95" ht="14.4">
      <c r="CO204" s="248" t="s">
        <v>506</v>
      </c>
      <c r="CP204" s="510">
        <v>0</v>
      </c>
      <c r="CQ204" s="336">
        <f t="shared" ref="CQ204:CQ209" si="0">CP204/$CP$210</f>
        <v>0</v>
      </c>
    </row>
    <row r="205" spans="93:95" ht="14.4">
      <c r="CO205" s="248" t="s">
        <v>923</v>
      </c>
      <c r="CP205" s="510">
        <v>46</v>
      </c>
      <c r="CQ205" s="336">
        <f t="shared" si="0"/>
        <v>6.6067273719587515E-4</v>
      </c>
    </row>
    <row r="206" spans="93:95" ht="14.4">
      <c r="CO206" s="248" t="s">
        <v>924</v>
      </c>
      <c r="CP206" s="510">
        <v>157</v>
      </c>
      <c r="CQ206" s="336">
        <f t="shared" si="0"/>
        <v>2.2549047769511391E-3</v>
      </c>
    </row>
    <row r="207" spans="93:95" ht="14.4">
      <c r="CO207" s="248" t="s">
        <v>925</v>
      </c>
      <c r="CP207" s="510">
        <v>13071</v>
      </c>
      <c r="CQ207" s="336">
        <f t="shared" si="0"/>
        <v>0.18773159451928878</v>
      </c>
    </row>
    <row r="208" spans="93:95" ht="14.4">
      <c r="CO208" s="248" t="s">
        <v>926</v>
      </c>
      <c r="CP208" s="510">
        <v>6909</v>
      </c>
      <c r="CQ208" s="336">
        <f t="shared" si="0"/>
        <v>9.9230172636658717E-2</v>
      </c>
    </row>
    <row r="209" spans="93:95" ht="14.4">
      <c r="CO209" s="248" t="s">
        <v>927</v>
      </c>
      <c r="CP209" s="510">
        <v>40838</v>
      </c>
      <c r="CQ209" s="336">
        <f t="shared" si="0"/>
        <v>0.58653376612185104</v>
      </c>
    </row>
    <row r="210" spans="93:95">
      <c r="CP210" s="511">
        <f>SUM(CP203:CP209)</f>
        <v>69626</v>
      </c>
    </row>
  </sheetData>
  <mergeCells count="1">
    <mergeCell ref="CO200:CP20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B1:AQ1756"/>
  <sheetViews>
    <sheetView topLeftCell="C1" zoomScale="70" zoomScaleNormal="70" workbookViewId="0">
      <selection activeCell="F7" sqref="F7:G25"/>
    </sheetView>
  </sheetViews>
  <sheetFormatPr defaultRowHeight="13.2"/>
  <cols>
    <col min="1" max="1" width="2" bestFit="1" customWidth="1"/>
    <col min="2" max="2" width="15.44140625" customWidth="1"/>
    <col min="3" max="3" width="75.33203125" bestFit="1" customWidth="1"/>
    <col min="4" max="4" width="23.6640625" style="6" customWidth="1"/>
    <col min="5" max="5" width="22.6640625" style="6" customWidth="1"/>
    <col min="6" max="6" width="20.5546875" style="6" bestFit="1" customWidth="1"/>
    <col min="7" max="7" width="13" style="6" bestFit="1" customWidth="1"/>
    <col min="8" max="8" width="16.109375" style="4" customWidth="1"/>
    <col min="9" max="9" width="16.88671875" style="4" bestFit="1" customWidth="1"/>
    <col min="10" max="10" width="14" style="4" bestFit="1" customWidth="1"/>
    <col min="11" max="11" width="11.44140625" bestFit="1" customWidth="1"/>
    <col min="12" max="12" width="31.5546875" customWidth="1"/>
    <col min="13" max="13" width="24.33203125" bestFit="1" customWidth="1"/>
    <col min="14" max="14" width="19.5546875" bestFit="1" customWidth="1"/>
    <col min="15" max="15" width="15.109375" customWidth="1"/>
    <col min="16" max="16" width="18.6640625" bestFit="1" customWidth="1"/>
    <col min="17" max="17" width="12" customWidth="1"/>
    <col min="18" max="18" width="12.109375" style="11" bestFit="1" customWidth="1"/>
    <col min="19" max="19" width="12.88671875" customWidth="1"/>
    <col min="20" max="20" width="22.109375" customWidth="1"/>
    <col min="21" max="21" width="11.6640625" bestFit="1" customWidth="1"/>
    <col min="22" max="23" width="15.6640625" customWidth="1"/>
    <col min="24" max="24" width="20.33203125" customWidth="1"/>
    <col min="25" max="25" width="24.109375" customWidth="1"/>
    <col min="26" max="26" width="13" bestFit="1" customWidth="1"/>
    <col min="27" max="27" width="11.6640625" customWidth="1"/>
    <col min="28" max="28" width="23.5546875" customWidth="1"/>
    <col min="29" max="29" width="20.109375" customWidth="1"/>
    <col min="30" max="30" width="33" customWidth="1"/>
    <col min="31" max="31" width="8.6640625" customWidth="1"/>
    <col min="32" max="32" width="20.109375" customWidth="1"/>
    <col min="33" max="33" width="7.109375" customWidth="1"/>
    <col min="35" max="35" width="16.5546875" bestFit="1" customWidth="1"/>
    <col min="36" max="37" width="15.5546875" bestFit="1" customWidth="1"/>
    <col min="38" max="38" width="13" bestFit="1" customWidth="1"/>
    <col min="40" max="40" width="24" bestFit="1" customWidth="1"/>
    <col min="41" max="41" width="16.33203125" bestFit="1" customWidth="1"/>
    <col min="42" max="42" width="17.6640625" bestFit="1" customWidth="1"/>
    <col min="43" max="43" width="13" bestFit="1" customWidth="1"/>
  </cols>
  <sheetData>
    <row r="1" spans="2:43" ht="14.4">
      <c r="B1" s="206" t="s">
        <v>901</v>
      </c>
      <c r="D1" s="7"/>
      <c r="E1" s="63" t="s">
        <v>171</v>
      </c>
      <c r="G1" s="64">
        <v>1.0109999999999999</v>
      </c>
      <c r="H1" s="64">
        <v>1.01</v>
      </c>
      <c r="M1" s="11"/>
      <c r="N1" s="11"/>
      <c r="O1" s="11"/>
      <c r="P1" s="11"/>
      <c r="R1"/>
    </row>
    <row r="2" spans="2:43" ht="28.8">
      <c r="B2" s="532" t="s">
        <v>975</v>
      </c>
      <c r="D2" s="7"/>
      <c r="E2" s="7"/>
      <c r="F2" s="7"/>
      <c r="G2" s="7"/>
      <c r="J2"/>
      <c r="L2" s="11"/>
      <c r="R2"/>
    </row>
    <row r="3" spans="2:43">
      <c r="E3" s="2"/>
      <c r="F3" s="2"/>
      <c r="G3" s="2"/>
      <c r="J3"/>
      <c r="L3" s="11"/>
      <c r="R3"/>
      <c r="AB3" s="11"/>
      <c r="AC3" s="11"/>
      <c r="AD3" s="11"/>
    </row>
    <row r="4" spans="2:43">
      <c r="E4" s="9"/>
      <c r="F4" s="9"/>
      <c r="G4" s="9"/>
      <c r="I4" s="5"/>
      <c r="J4"/>
      <c r="L4" s="11"/>
      <c r="M4" s="11"/>
      <c r="N4" s="11"/>
      <c r="O4" s="597" t="s">
        <v>1016</v>
      </c>
      <c r="P4" s="597"/>
      <c r="Q4" s="597"/>
      <c r="R4" s="596" t="s">
        <v>1017</v>
      </c>
      <c r="S4" s="597"/>
      <c r="T4" s="597"/>
      <c r="W4" s="512"/>
      <c r="Y4" t="s">
        <v>905</v>
      </c>
      <c r="AC4" s="11"/>
      <c r="AD4" s="11"/>
      <c r="AE4" s="11"/>
    </row>
    <row r="5" spans="2:43" ht="13.8">
      <c r="B5" s="18" t="s">
        <v>2</v>
      </c>
      <c r="C5" s="18" t="s">
        <v>26</v>
      </c>
      <c r="D5" s="18" t="s">
        <v>14</v>
      </c>
      <c r="E5" s="18" t="s">
        <v>15</v>
      </c>
      <c r="F5" s="37" t="s">
        <v>1012</v>
      </c>
      <c r="G5" s="37" t="s">
        <v>1013</v>
      </c>
      <c r="H5" s="38" t="s">
        <v>1014</v>
      </c>
      <c r="I5" s="38" t="s">
        <v>1015</v>
      </c>
      <c r="J5" s="18" t="s">
        <v>0</v>
      </c>
      <c r="K5" s="18" t="s">
        <v>1007</v>
      </c>
      <c r="L5" s="37" t="s">
        <v>162</v>
      </c>
      <c r="O5" s="16" t="s">
        <v>107</v>
      </c>
      <c r="P5" t="s">
        <v>108</v>
      </c>
      <c r="Q5" t="s">
        <v>120</v>
      </c>
      <c r="R5" s="27" t="s">
        <v>107</v>
      </c>
      <c r="S5" s="1" t="s">
        <v>108</v>
      </c>
      <c r="T5" s="1" t="s">
        <v>120</v>
      </c>
      <c r="W5" s="1"/>
      <c r="Y5" t="s">
        <v>120</v>
      </c>
      <c r="AC5" t="s">
        <v>928</v>
      </c>
      <c r="AD5" t="s">
        <v>884</v>
      </c>
    </row>
    <row r="6" spans="2:43" ht="13.8" thickBot="1">
      <c r="B6" s="17" t="s">
        <v>27</v>
      </c>
      <c r="C6" s="17"/>
      <c r="D6" s="17"/>
      <c r="E6" s="17"/>
      <c r="F6" s="17" t="s">
        <v>83</v>
      </c>
      <c r="G6" s="17" t="s">
        <v>83</v>
      </c>
      <c r="H6" s="17" t="s">
        <v>105</v>
      </c>
      <c r="I6" s="17" t="s">
        <v>105</v>
      </c>
      <c r="J6" s="17"/>
      <c r="K6" s="17"/>
      <c r="L6" s="17" t="s">
        <v>163</v>
      </c>
      <c r="O6" s="189" t="s">
        <v>106</v>
      </c>
      <c r="P6" s="189" t="s">
        <v>44</v>
      </c>
      <c r="Q6" s="189" t="s">
        <v>50</v>
      </c>
      <c r="R6" s="190" t="s">
        <v>106</v>
      </c>
      <c r="S6" s="189" t="s">
        <v>44</v>
      </c>
      <c r="T6" s="191" t="s">
        <v>274</v>
      </c>
      <c r="W6" s="188"/>
      <c r="Y6" s="132" t="s">
        <v>1009</v>
      </c>
      <c r="Z6" s="132" t="s">
        <v>932</v>
      </c>
      <c r="AA6" s="132" t="s">
        <v>933</v>
      </c>
      <c r="AB6" s="132"/>
    </row>
    <row r="7" spans="2:43" ht="15" customHeight="1" thickBot="1">
      <c r="B7" t="str">
        <f>Processes!D24</f>
        <v>RHTDBNGABE1</v>
      </c>
      <c r="C7" t="str">
        <f>Processes!E24</f>
        <v>Residential heating technology detached building - natural gas - existing 1</v>
      </c>
      <c r="D7" s="6" t="str">
        <f>Commodities!$C$12&amp;","&amp;Commodities!$C$22</f>
        <v>RESNGA,RESSNG</v>
      </c>
      <c r="E7" s="6" t="str">
        <f>Commodities!$C$28</f>
        <v>RESHBDB</v>
      </c>
      <c r="F7" s="637">
        <f>(O7/(J7*K7)*$G$1)</f>
        <v>13.863071402746948</v>
      </c>
      <c r="G7" s="637">
        <f t="shared" ref="G7:G25" si="0">R7/(J7*K7)*$H$1</f>
        <v>5.1415209111872464</v>
      </c>
      <c r="H7" s="531">
        <f>H17</f>
        <v>0.92</v>
      </c>
      <c r="I7" s="531">
        <f>H17</f>
        <v>0.92</v>
      </c>
      <c r="J7" s="571">
        <f>31.536/1000</f>
        <v>3.1536000000000002E-2</v>
      </c>
      <c r="K7" s="14">
        <v>0.25</v>
      </c>
      <c r="L7" s="33">
        <v>22</v>
      </c>
      <c r="N7" s="34" t="str">
        <f t="shared" ref="N7:N25" si="1">D7</f>
        <v>RESNGA,RESSNG</v>
      </c>
      <c r="O7" s="619">
        <f>O36</f>
        <v>0.10810727491518987</v>
      </c>
      <c r="P7" s="643">
        <f t="shared" ref="P7:P25" si="2">F7*J7*K7</f>
        <v>0.10929645493925695</v>
      </c>
      <c r="Q7" s="619">
        <f>O7/H7</f>
        <v>0.11750790751651073</v>
      </c>
      <c r="R7" s="644">
        <f>P36</f>
        <v>4.0134406795841834E-2</v>
      </c>
      <c r="S7" s="645">
        <f t="shared" ref="S7:S25" si="3">G7*J7*K7</f>
        <v>4.0535750863800256E-2</v>
      </c>
      <c r="T7" s="646">
        <f t="shared" ref="T7:T25" si="4">R7/I7</f>
        <v>4.3624355212871557E-2</v>
      </c>
      <c r="W7" s="192"/>
      <c r="X7" s="481" t="s">
        <v>115</v>
      </c>
      <c r="Y7" s="527">
        <f>Q7+T7+Q17+T17</f>
        <v>0.17903244952153377</v>
      </c>
      <c r="Z7" s="619">
        <f>Y32</f>
        <v>0.18095522052854801</v>
      </c>
      <c r="AA7" s="619">
        <f>AF7</f>
        <v>0.16600000000000001</v>
      </c>
      <c r="AC7" s="452" t="s">
        <v>524</v>
      </c>
      <c r="AD7" s="447">
        <f>EUROSTAT!AT170</f>
        <v>0.16600000000000001</v>
      </c>
      <c r="AE7" s="448">
        <v>1</v>
      </c>
      <c r="AF7" s="447">
        <f>AD7*AE7</f>
        <v>0.16600000000000001</v>
      </c>
      <c r="AG7" s="1540" t="s">
        <v>887</v>
      </c>
    </row>
    <row r="8" spans="2:43" ht="15" customHeight="1">
      <c r="B8" t="str">
        <f>Processes!D25</f>
        <v>RHTDBDSLBE1</v>
      </c>
      <c r="C8" t="str">
        <f>Processes!E25</f>
        <v>Residential heating technology detached building - oil - existing 1</v>
      </c>
      <c r="D8" s="6" t="str">
        <f>Commodities!$C$13&amp;","&amp;Commodities!$C$23</f>
        <v>RESDSL,RESDSB</v>
      </c>
      <c r="E8" s="6" t="str">
        <f>Commodities!$C$28</f>
        <v>RESHBDB</v>
      </c>
      <c r="F8" s="637">
        <f t="shared" ref="F8:F16" si="5">O8/(J8*K8)*$G$1</f>
        <v>471.56984123440498</v>
      </c>
      <c r="G8" s="637">
        <f t="shared" si="0"/>
        <v>174.89531211038226</v>
      </c>
      <c r="H8" s="531">
        <f>Y18</f>
        <v>0.6804485308783651</v>
      </c>
      <c r="I8" s="531">
        <f>H8</f>
        <v>0.6804485308783651</v>
      </c>
      <c r="J8" s="571">
        <f t="shared" ref="J8:J25" si="6">31.536/1000</f>
        <v>3.1536000000000002E-2</v>
      </c>
      <c r="K8" s="14">
        <v>0.25</v>
      </c>
      <c r="L8" s="33">
        <v>20</v>
      </c>
      <c r="N8" s="34" t="str">
        <f t="shared" si="1"/>
        <v>RESDSL,RESDSB</v>
      </c>
      <c r="O8" s="619">
        <f>O37</f>
        <v>3.6774051714065767</v>
      </c>
      <c r="P8" s="643">
        <f t="shared" si="2"/>
        <v>3.7178566282920489</v>
      </c>
      <c r="Q8" s="619">
        <f t="shared" ref="Q8:Q25" si="7">O8/H8</f>
        <v>5.4043840268999546</v>
      </c>
      <c r="R8" s="644">
        <f>P37</f>
        <v>1.3652224165131226</v>
      </c>
      <c r="S8" s="645">
        <f t="shared" si="3"/>
        <v>1.3788746406782539</v>
      </c>
      <c r="T8" s="646">
        <f t="shared" si="4"/>
        <v>2.0063566229628109</v>
      </c>
      <c r="W8" s="192"/>
      <c r="X8" s="482" t="s">
        <v>114</v>
      </c>
      <c r="Y8" s="527">
        <f>Q8+T8+Q18+T18</f>
        <v>8.2339999999999982</v>
      </c>
      <c r="Z8" s="619">
        <f>Y28</f>
        <v>8.3224314352737103</v>
      </c>
      <c r="AA8" s="619">
        <f>AF8</f>
        <v>8.234</v>
      </c>
      <c r="AC8" s="449" t="s">
        <v>505</v>
      </c>
      <c r="AD8" s="450">
        <f>EUROSTAT!W170</f>
        <v>8.234</v>
      </c>
      <c r="AE8" s="451">
        <v>1</v>
      </c>
      <c r="AF8" s="450">
        <f>AD8*AE8</f>
        <v>8.234</v>
      </c>
      <c r="AG8" s="1541"/>
      <c r="AL8" s="560"/>
      <c r="AQ8" s="547"/>
    </row>
    <row r="9" spans="2:43" ht="15" customHeight="1">
      <c r="B9" t="str">
        <f>Processes!D26</f>
        <v>RHTDBWPEBE1</v>
      </c>
      <c r="C9" t="str">
        <f>Processes!E26</f>
        <v>Residential heating technology detached building - wood pellets - existing 1</v>
      </c>
      <c r="D9" s="6" t="str">
        <f>Commodities!$C$14</f>
        <v>RESWPE</v>
      </c>
      <c r="E9" s="6" t="str">
        <f>Commodities!$C$28</f>
        <v>RESHBDB</v>
      </c>
      <c r="F9" s="637">
        <f t="shared" si="5"/>
        <v>2118.277310339734</v>
      </c>
      <c r="G9" s="637">
        <f t="shared" si="0"/>
        <v>785.62439522941133</v>
      </c>
      <c r="H9" s="531">
        <f>$Y$19</f>
        <v>0.84460922289882312</v>
      </c>
      <c r="I9" s="531">
        <f>H9</f>
        <v>0.84460922289882312</v>
      </c>
      <c r="J9" s="571">
        <f t="shared" si="6"/>
        <v>3.1536000000000002E-2</v>
      </c>
      <c r="K9" s="14">
        <v>0.25</v>
      </c>
      <c r="L9" s="33">
        <v>20</v>
      </c>
      <c r="N9" s="34" t="str">
        <f t="shared" si="1"/>
        <v>RESWPE</v>
      </c>
      <c r="O9" s="619">
        <f>O38</f>
        <v>16.518791607041013</v>
      </c>
      <c r="P9" s="647">
        <f t="shared" si="2"/>
        <v>16.700498314718462</v>
      </c>
      <c r="Q9" s="619">
        <f t="shared" si="7"/>
        <v>19.557910521443386</v>
      </c>
      <c r="R9" s="644">
        <f>P38</f>
        <v>6.1325373584046323</v>
      </c>
      <c r="S9" s="645">
        <f t="shared" si="3"/>
        <v>6.1938627319886796</v>
      </c>
      <c r="T9" s="646">
        <f t="shared" si="4"/>
        <v>7.2607984759589312</v>
      </c>
      <c r="W9" s="192"/>
      <c r="X9" s="486" t="s">
        <v>122</v>
      </c>
      <c r="Y9" s="53">
        <f>Q9+T9+Q19+T19</f>
        <v>29.797999999999998</v>
      </c>
      <c r="Z9" s="619">
        <f>Y33</f>
        <v>29.493962361564201</v>
      </c>
      <c r="AA9" s="619">
        <f>AF9</f>
        <v>29.797999999999998</v>
      </c>
      <c r="AC9" s="452" t="s">
        <v>529</v>
      </c>
      <c r="AD9" s="447">
        <f>EUROSTAT!AZ170</f>
        <v>29.797999999999998</v>
      </c>
      <c r="AE9" s="448">
        <v>1</v>
      </c>
      <c r="AF9" s="447">
        <f>AD9*AE9</f>
        <v>29.797999999999998</v>
      </c>
      <c r="AG9" s="1541"/>
      <c r="AL9" s="560"/>
      <c r="AQ9" s="548"/>
    </row>
    <row r="10" spans="2:43" ht="15" customHeight="1">
      <c r="B10" t="str">
        <f>Processes!D27</f>
        <v>RHTDBFIWBE1</v>
      </c>
      <c r="C10" t="str">
        <f>Processes!E27</f>
        <v>Residential heating technology detached building - Firewoods - existing 1</v>
      </c>
      <c r="D10" s="6" t="str">
        <f>Commodities!$C$15</f>
        <v>RESFIW</v>
      </c>
      <c r="E10" s="6" t="str">
        <f>Commodities!$C$28</f>
        <v>RESHBDB</v>
      </c>
      <c r="F10" s="637">
        <f t="shared" si="5"/>
        <v>0</v>
      </c>
      <c r="G10" s="637">
        <f t="shared" si="0"/>
        <v>0</v>
      </c>
      <c r="H10" s="215">
        <v>0.65000022993955098</v>
      </c>
      <c r="I10" s="206">
        <v>0.65000022993955098</v>
      </c>
      <c r="J10" s="571">
        <f t="shared" si="6"/>
        <v>3.1536000000000002E-2</v>
      </c>
      <c r="K10" s="14">
        <v>0.25</v>
      </c>
      <c r="L10" s="33">
        <v>20</v>
      </c>
      <c r="N10" s="34" t="str">
        <f t="shared" si="1"/>
        <v>RESFIW</v>
      </c>
      <c r="O10" s="619">
        <v>0</v>
      </c>
      <c r="P10" s="619">
        <f t="shared" si="2"/>
        <v>0</v>
      </c>
      <c r="Q10" s="619">
        <f t="shared" si="7"/>
        <v>0</v>
      </c>
      <c r="R10" s="644">
        <v>0</v>
      </c>
      <c r="S10" s="646">
        <f t="shared" si="3"/>
        <v>0</v>
      </c>
      <c r="T10" s="646">
        <f t="shared" si="4"/>
        <v>0</v>
      </c>
      <c r="W10" s="192"/>
      <c r="X10" s="484" t="s">
        <v>110</v>
      </c>
      <c r="Y10" s="53">
        <f>Q13+T13+Q22+T22+Q14+T14+T23+Q23</f>
        <v>100.14841368814859</v>
      </c>
      <c r="Z10" s="619">
        <f>Y29</f>
        <v>101.223986673675</v>
      </c>
      <c r="AA10" s="619">
        <f>AF11+AF12</f>
        <v>100.1798</v>
      </c>
      <c r="AC10" s="452" t="s">
        <v>548</v>
      </c>
      <c r="AD10" s="447">
        <f>EUROSTAT!BS170</f>
        <v>3.9019999999999997</v>
      </c>
      <c r="AE10" s="448">
        <v>1</v>
      </c>
      <c r="AF10" s="447">
        <f>AD10*AE10</f>
        <v>3.9019999999999997</v>
      </c>
      <c r="AG10" s="1541"/>
      <c r="AL10" s="560"/>
      <c r="AQ10" s="547"/>
    </row>
    <row r="11" spans="2:43" ht="15" customHeight="1" thickBot="1">
      <c r="B11" s="11" t="str">
        <f>Processes!D28</f>
        <v>RHTDBSTRBE1</v>
      </c>
      <c r="C11" s="11" t="str">
        <f>Processes!E28</f>
        <v>Residential heating technology detached building - straw - existing 1</v>
      </c>
      <c r="D11" s="6" t="str">
        <f>Commodities!$C$16</f>
        <v>RESSTR</v>
      </c>
      <c r="E11" s="6" t="str">
        <f>Commodities!$C$28</f>
        <v>RESHBDB</v>
      </c>
      <c r="F11" s="637">
        <f t="shared" si="5"/>
        <v>0</v>
      </c>
      <c r="G11" s="637">
        <f t="shared" si="0"/>
        <v>0</v>
      </c>
      <c r="H11" s="206">
        <v>0.650000576770011</v>
      </c>
      <c r="I11" s="206">
        <v>0.650000576770011</v>
      </c>
      <c r="J11" s="571">
        <f t="shared" si="6"/>
        <v>3.1536000000000002E-2</v>
      </c>
      <c r="K11" s="14">
        <v>0.25</v>
      </c>
      <c r="L11" s="33">
        <v>20</v>
      </c>
      <c r="N11" s="34" t="str">
        <f t="shared" si="1"/>
        <v>RESSTR</v>
      </c>
      <c r="O11" s="619">
        <v>0</v>
      </c>
      <c r="P11" s="619">
        <f t="shared" si="2"/>
        <v>0</v>
      </c>
      <c r="Q11" s="619">
        <f t="shared" si="7"/>
        <v>0</v>
      </c>
      <c r="R11" s="644">
        <v>0</v>
      </c>
      <c r="S11" s="646">
        <f t="shared" si="3"/>
        <v>0</v>
      </c>
      <c r="T11" s="646">
        <f t="shared" si="4"/>
        <v>0</v>
      </c>
      <c r="W11" s="192"/>
      <c r="X11" s="483" t="s">
        <v>974</v>
      </c>
      <c r="Y11" s="53">
        <f>Y15+Y16</f>
        <v>3.9049244010680866</v>
      </c>
      <c r="Z11" s="619">
        <f>Y30+Y31</f>
        <v>3.5534935194479322</v>
      </c>
      <c r="AA11" s="619">
        <f>AF10</f>
        <v>3.9019999999999997</v>
      </c>
      <c r="AB11" s="533"/>
      <c r="AC11" s="1536" t="s">
        <v>110</v>
      </c>
      <c r="AD11" s="1538">
        <f>EUROSTAT!BT170</f>
        <v>143.114</v>
      </c>
      <c r="AE11" s="448">
        <v>0.57999999999999996</v>
      </c>
      <c r="AF11" s="447">
        <f>AD11*AE11</f>
        <v>83.006119999999996</v>
      </c>
      <c r="AG11" s="1542"/>
      <c r="AL11" s="560"/>
      <c r="AQ11" s="547"/>
    </row>
    <row r="12" spans="2:43" ht="15" customHeight="1">
      <c r="B12" s="11" t="str">
        <f>Processes!D29</f>
        <v>RHTDBSOLXE1</v>
      </c>
      <c r="C12" s="11" t="str">
        <f>Processes!E29</f>
        <v>Residential heating technology detached building - solar - existing 1</v>
      </c>
      <c r="D12" s="6" t="str">
        <f>Commodities!$C$18</f>
        <v>RESSOL</v>
      </c>
      <c r="E12" s="6" t="str">
        <f>Commodities!$C$28</f>
        <v>RESHBDB</v>
      </c>
      <c r="F12" s="638">
        <f t="shared" si="5"/>
        <v>0</v>
      </c>
      <c r="G12" s="638">
        <f t="shared" si="0"/>
        <v>0</v>
      </c>
      <c r="H12" s="206">
        <v>1</v>
      </c>
      <c r="I12" s="206">
        <v>1</v>
      </c>
      <c r="J12" s="571">
        <f t="shared" si="6"/>
        <v>3.1536000000000002E-2</v>
      </c>
      <c r="K12" s="14">
        <v>0.25</v>
      </c>
      <c r="L12" s="33">
        <v>20</v>
      </c>
      <c r="N12" s="34" t="str">
        <f t="shared" si="1"/>
        <v>RESSOL</v>
      </c>
      <c r="O12" s="648">
        <v>0</v>
      </c>
      <c r="P12" s="648">
        <f t="shared" si="2"/>
        <v>0</v>
      </c>
      <c r="Q12" s="648">
        <f t="shared" si="7"/>
        <v>0</v>
      </c>
      <c r="R12" s="649">
        <v>0</v>
      </c>
      <c r="S12" s="650">
        <f t="shared" si="3"/>
        <v>0</v>
      </c>
      <c r="T12" s="650">
        <f t="shared" si="4"/>
        <v>0</v>
      </c>
      <c r="W12" s="192"/>
      <c r="X12" s="192"/>
      <c r="Y12" s="192"/>
      <c r="Z12" s="646"/>
      <c r="AA12" s="646"/>
      <c r="AB12" s="192"/>
      <c r="AC12" s="1536"/>
      <c r="AD12" s="1538"/>
      <c r="AE12" s="448">
        <v>0.12</v>
      </c>
      <c r="AF12" s="447">
        <f>AD11*AE12</f>
        <v>17.173680000000001</v>
      </c>
      <c r="AG12" s="453" t="s">
        <v>886</v>
      </c>
      <c r="AL12" s="560"/>
      <c r="AQ12" s="547"/>
    </row>
    <row r="13" spans="2:43" ht="15" customHeight="1" thickBot="1">
      <c r="B13" s="11" t="str">
        <f>Processes!D30</f>
        <v>RHTDBLCHXE1</v>
      </c>
      <c r="C13" s="11" t="str">
        <f>Processes!E30</f>
        <v>Residential heating technology detached building - direct electricity - existing 1</v>
      </c>
      <c r="D13" s="6" t="str">
        <f>Commodities!$C$19</f>
        <v>RESELCH</v>
      </c>
      <c r="E13" s="6" t="str">
        <f>Commodities!$C$28</f>
        <v>RESHBDB</v>
      </c>
      <c r="F13" s="639">
        <f t="shared" si="5"/>
        <v>7847.2955405604298</v>
      </c>
      <c r="G13" s="637">
        <f t="shared" si="0"/>
        <v>2910.3964731843744</v>
      </c>
      <c r="H13" s="531">
        <f>Y23</f>
        <v>0.98899999999999999</v>
      </c>
      <c r="I13" s="531">
        <f>H13</f>
        <v>0.98899999999999999</v>
      </c>
      <c r="J13" s="571">
        <f t="shared" si="6"/>
        <v>3.1536000000000002E-2</v>
      </c>
      <c r="K13" s="14">
        <v>0.25</v>
      </c>
      <c r="L13" s="33">
        <v>30</v>
      </c>
      <c r="N13" s="34" t="str">
        <f t="shared" si="1"/>
        <v>RESELCH</v>
      </c>
      <c r="O13" s="619">
        <f>O39</f>
        <v>61.194933770305084</v>
      </c>
      <c r="P13" s="643">
        <f t="shared" si="2"/>
        <v>61.868078041778432</v>
      </c>
      <c r="Q13" s="619">
        <f t="shared" si="7"/>
        <v>61.875564985141644</v>
      </c>
      <c r="R13" s="644">
        <f>P39</f>
        <v>22.718381974837236</v>
      </c>
      <c r="S13" s="645">
        <f t="shared" si="3"/>
        <v>22.945565794585608</v>
      </c>
      <c r="T13" s="646">
        <f t="shared" si="4"/>
        <v>22.971063675265153</v>
      </c>
      <c r="W13" s="192"/>
      <c r="Y13" s="53">
        <f>SUM(Y7:Y11)</f>
        <v>142.26437053873821</v>
      </c>
      <c r="Z13" s="619">
        <f>SUM(Z7:Z12)</f>
        <v>142.7748292104894</v>
      </c>
      <c r="AA13" s="619">
        <f>SUM(AA7:AA12)</f>
        <v>142.27979999999999</v>
      </c>
      <c r="AC13" s="1537"/>
      <c r="AD13" s="1539"/>
      <c r="AE13" s="454">
        <v>0.3</v>
      </c>
      <c r="AF13" s="455">
        <f>AD11*AE13</f>
        <v>42.934199999999997</v>
      </c>
      <c r="AG13" s="456" t="s">
        <v>885</v>
      </c>
      <c r="AL13" s="560"/>
      <c r="AQ13" s="547"/>
    </row>
    <row r="14" spans="2:43" ht="15" customHeight="1" thickBot="1">
      <c r="B14" s="11" t="str">
        <f>Processes!D31</f>
        <v>RHTDBLCHXE2</v>
      </c>
      <c r="C14" s="11" t="str">
        <f>Processes!E31</f>
        <v>Residential heating technology detached building - heat pump - existing 2</v>
      </c>
      <c r="D14" s="6" t="str">
        <f>Commodities!$C$19</f>
        <v>RESELCH</v>
      </c>
      <c r="E14" s="6" t="str">
        <f>Commodities!$C$28</f>
        <v>RESHBDB</v>
      </c>
      <c r="F14" s="639">
        <f t="shared" si="5"/>
        <v>1384.8168600988995</v>
      </c>
      <c r="G14" s="637">
        <f t="shared" si="0"/>
        <v>513.59937762077186</v>
      </c>
      <c r="H14" s="206">
        <v>2.8</v>
      </c>
      <c r="I14" s="206">
        <v>2.8</v>
      </c>
      <c r="J14" s="571">
        <f t="shared" si="6"/>
        <v>3.1536000000000002E-2</v>
      </c>
      <c r="K14" s="14">
        <v>0.25</v>
      </c>
      <c r="L14" s="33">
        <v>30</v>
      </c>
      <c r="N14" s="34" t="str">
        <f t="shared" si="1"/>
        <v>RESELCH</v>
      </c>
      <c r="O14" s="619">
        <f>O40</f>
        <v>10.799105959465603</v>
      </c>
      <c r="P14" s="643">
        <f t="shared" si="2"/>
        <v>10.917896125019723</v>
      </c>
      <c r="Q14" s="619">
        <f t="shared" si="7"/>
        <v>3.8568235569520013</v>
      </c>
      <c r="R14" s="644">
        <f>P40</f>
        <v>4.0091262308536297</v>
      </c>
      <c r="S14" s="645">
        <f t="shared" si="3"/>
        <v>4.0492174931621658</v>
      </c>
      <c r="T14" s="646">
        <f t="shared" si="4"/>
        <v>1.4318307967334394</v>
      </c>
      <c r="W14" s="192"/>
      <c r="X14" t="s">
        <v>992</v>
      </c>
      <c r="Y14" s="53"/>
      <c r="Z14" s="53"/>
      <c r="AC14" s="446" t="s">
        <v>491</v>
      </c>
      <c r="AD14">
        <f>EUROSTAT!H170</f>
        <v>185.214</v>
      </c>
      <c r="AF14" s="182">
        <f>SUM(AF7:AF12)</f>
        <v>142.27979999999999</v>
      </c>
      <c r="AL14" s="560"/>
      <c r="AQ14" s="548"/>
    </row>
    <row r="15" spans="2:43" ht="14.4">
      <c r="B15" s="11" t="str">
        <f>Processes!D32</f>
        <v>RHTDBHCEBE1</v>
      </c>
      <c r="C15" s="11" t="str">
        <f>Processes!E32</f>
        <v>Residential heating technology detached building - heat centralised- existing 1</v>
      </c>
      <c r="D15" s="6" t="str">
        <f>Commodities!$C$20</f>
        <v>RESHCE</v>
      </c>
      <c r="E15" s="6" t="str">
        <f>Commodities!$C$24</f>
        <v>RESHXCD</v>
      </c>
      <c r="F15" s="639">
        <f t="shared" si="5"/>
        <v>117.06593337117805</v>
      </c>
      <c r="G15" s="637">
        <f t="shared" si="0"/>
        <v>13.61793727577583</v>
      </c>
      <c r="H15" s="531">
        <v>0.98</v>
      </c>
      <c r="I15" s="531">
        <v>0.98</v>
      </c>
      <c r="J15" s="571">
        <f t="shared" si="6"/>
        <v>3.1536000000000002E-2</v>
      </c>
      <c r="K15" s="14">
        <v>0.25</v>
      </c>
      <c r="L15" s="33">
        <v>30</v>
      </c>
      <c r="N15" s="34" t="str">
        <f t="shared" si="1"/>
        <v>RESHCE</v>
      </c>
      <c r="O15" s="619">
        <f>O41*'Building Stock &amp; Specific Heat '!O58/('Building Stock &amp; Specific Heat '!O58+'Building Stock &amp; Specific Heat '!P58)</f>
        <v>0.9129058543010562</v>
      </c>
      <c r="P15" s="619">
        <f t="shared" si="2"/>
        <v>0.92294781869836773</v>
      </c>
      <c r="Q15" s="619">
        <f t="shared" si="7"/>
        <v>0.93153658602148592</v>
      </c>
      <c r="R15" s="644">
        <f>P41*'Building Stock &amp; Specific Heat '!O59/('Building Stock &amp; Specific Heat '!O59+'Building Stock &amp; Specific Heat '!P59)</f>
        <v>0.10630080938833332</v>
      </c>
      <c r="S15" s="646">
        <f t="shared" si="3"/>
        <v>0.10736381748221666</v>
      </c>
      <c r="T15" s="646">
        <f t="shared" si="4"/>
        <v>0.10847021366156462</v>
      </c>
      <c r="W15" s="192"/>
      <c r="X15" s="541" t="s">
        <v>929</v>
      </c>
      <c r="Y15" s="655">
        <f>Q15+T15+Q24+T24</f>
        <v>1.1657955070406996</v>
      </c>
      <c r="Z15" s="573"/>
      <c r="AL15" s="560"/>
      <c r="AQ15" s="547"/>
    </row>
    <row r="16" spans="2:43" ht="15" customHeight="1">
      <c r="B16" s="35" t="str">
        <f>Processes!D33</f>
        <v>RHTDBHDEBE1</v>
      </c>
      <c r="C16" s="35" t="str">
        <f>Processes!E33</f>
        <v>Residential heating technology detached building - heat decentralised - existing 1</v>
      </c>
      <c r="D16" s="36" t="str">
        <f>Commodities!$C$21</f>
        <v>RESHDE</v>
      </c>
      <c r="E16" s="36" t="str">
        <f>Commodities!$C$26</f>
        <v>RESHXDD</v>
      </c>
      <c r="F16" s="640">
        <f t="shared" si="5"/>
        <v>205.0250632016799</v>
      </c>
      <c r="G16" s="641">
        <f t="shared" si="0"/>
        <v>105.83882277931177</v>
      </c>
      <c r="H16" s="531">
        <v>0.98</v>
      </c>
      <c r="I16" s="531">
        <v>0.98</v>
      </c>
      <c r="J16" s="572">
        <f t="shared" si="6"/>
        <v>3.1536000000000002E-2</v>
      </c>
      <c r="K16" s="562">
        <v>0.25</v>
      </c>
      <c r="L16" s="61">
        <v>30</v>
      </c>
      <c r="N16" s="34" t="str">
        <f t="shared" si="1"/>
        <v>RESHDE</v>
      </c>
      <c r="O16" s="651">
        <f>O41*'Building Stock &amp; Specific Heat '!P58/('Building Stock &amp; Specific Heat '!O58+'Building Stock &amp; Specific Heat '!P58)</f>
        <v>1.5988304631869876</v>
      </c>
      <c r="P16" s="652">
        <f t="shared" si="2"/>
        <v>1.6164175982820443</v>
      </c>
      <c r="Q16" s="651">
        <f t="shared" si="7"/>
        <v>1.6314596563132526</v>
      </c>
      <c r="R16" s="653">
        <f>P41*'Building Stock &amp; Specific Heat '!P59/('Building Stock &amp; Specific Heat '!O59+'Building Stock &amp; Specific Heat '!P59)</f>
        <v>0.82617156316048912</v>
      </c>
      <c r="S16" s="654">
        <f t="shared" si="3"/>
        <v>0.83443327879209406</v>
      </c>
      <c r="T16" s="654">
        <f t="shared" si="4"/>
        <v>0.84303220730662154</v>
      </c>
      <c r="W16" s="192"/>
      <c r="X16" s="542" t="s">
        <v>930</v>
      </c>
      <c r="Y16" s="656">
        <f>Q16+T16+Q25+T25</f>
        <v>2.7391288940273872</v>
      </c>
      <c r="Z16" s="573"/>
      <c r="AA16" s="53"/>
      <c r="AB16" s="53"/>
      <c r="AF16">
        <f>AF10/AF14</f>
        <v>2.7424834727065962E-2</v>
      </c>
      <c r="AL16" s="560"/>
      <c r="AQ16" s="547"/>
    </row>
    <row r="17" spans="2:43" ht="15" customHeight="1">
      <c r="B17" s="11" t="str">
        <f>Processes!D34</f>
        <v>RHTMBNGABE1</v>
      </c>
      <c r="C17" s="11" t="str">
        <f>Processes!E34</f>
        <v>Residential heating technology multistorey building - natural gas - existing 1</v>
      </c>
      <c r="D17" s="6" t="str">
        <f>Commodities!$C$12&amp;","&amp;Commodities!$C$22</f>
        <v>RESNGA,RESSNG</v>
      </c>
      <c r="E17" s="8" t="str">
        <f>Commodities!$C$29</f>
        <v>RESHBMB</v>
      </c>
      <c r="F17" s="637">
        <f>(O17/(J17*K17)*$G$1)</f>
        <v>1.7623915037123095</v>
      </c>
      <c r="G17" s="637">
        <f t="shared" si="0"/>
        <v>0.34904901927184356</v>
      </c>
      <c r="H17" s="531">
        <v>0.92</v>
      </c>
      <c r="I17" s="531">
        <f>H17</f>
        <v>0.92</v>
      </c>
      <c r="J17" s="571">
        <f t="shared" si="6"/>
        <v>3.1536000000000002E-2</v>
      </c>
      <c r="K17" s="14">
        <v>0.25</v>
      </c>
      <c r="L17" s="33">
        <v>25</v>
      </c>
      <c r="N17" s="34" t="str">
        <f t="shared" si="1"/>
        <v>RESNGA,RESSNG</v>
      </c>
      <c r="O17" s="619">
        <f>Q36</f>
        <v>1.3743515939928634E-2</v>
      </c>
      <c r="P17" s="643">
        <f t="shared" si="2"/>
        <v>1.3894694615267848E-2</v>
      </c>
      <c r="Q17" s="619">
        <f t="shared" si="7"/>
        <v>1.4938604282531123E-2</v>
      </c>
      <c r="R17" s="644">
        <f>R36</f>
        <v>2.7246559088507077E-3</v>
      </c>
      <c r="S17" s="645">
        <f t="shared" si="3"/>
        <v>2.7519024679392148E-3</v>
      </c>
      <c r="T17" s="646">
        <f t="shared" si="4"/>
        <v>2.9615825096203341E-3</v>
      </c>
      <c r="W17" s="192"/>
      <c r="X17" s="542" t="s">
        <v>115</v>
      </c>
      <c r="Y17" s="656">
        <f>(R7+O7+O17+R17)/AD7</f>
        <v>0.99222803349283761</v>
      </c>
      <c r="Z17" s="574"/>
      <c r="AL17" s="560"/>
      <c r="AQ17" s="547"/>
    </row>
    <row r="18" spans="2:43" ht="15" customHeight="1">
      <c r="B18" s="11" t="str">
        <f>Processes!D35</f>
        <v>RHTMBDSLBE1</v>
      </c>
      <c r="C18" s="11" t="str">
        <f>Processes!E35</f>
        <v>Residential heating technology multistorey building - oil - existing 1</v>
      </c>
      <c r="D18" s="6" t="str">
        <f>Commodities!$C$13&amp;","&amp;Commodities!$C$23</f>
        <v>RESDSL,RESDSB</v>
      </c>
      <c r="E18" s="8" t="str">
        <f>Commodities!$C$29</f>
        <v>RESHBMB</v>
      </c>
      <c r="F18" s="637">
        <f t="shared" ref="F18:F25" si="8">O18/(J18*K18)*$G$1</f>
        <v>59.949967612068875</v>
      </c>
      <c r="G18" s="637">
        <f t="shared" si="0"/>
        <v>11.87334219229604</v>
      </c>
      <c r="H18" s="531">
        <f>H8</f>
        <v>0.6804485308783651</v>
      </c>
      <c r="I18" s="531">
        <f>I8</f>
        <v>0.6804485308783651</v>
      </c>
      <c r="J18" s="571">
        <f t="shared" si="6"/>
        <v>3.1536000000000002E-2</v>
      </c>
      <c r="K18" s="14">
        <v>0.25</v>
      </c>
      <c r="L18" s="33">
        <v>20</v>
      </c>
      <c r="N18" s="34" t="str">
        <f t="shared" si="1"/>
        <v>RESDSL,RESDSB</v>
      </c>
      <c r="O18" s="619">
        <f>Q37</f>
        <v>0.46750301152675677</v>
      </c>
      <c r="P18" s="643">
        <f t="shared" si="2"/>
        <v>0.47264554465355102</v>
      </c>
      <c r="Q18" s="619">
        <f t="shared" si="7"/>
        <v>0.68705124680521379</v>
      </c>
      <c r="R18" s="644">
        <f>R37</f>
        <v>9.2682603806001962E-2</v>
      </c>
      <c r="S18" s="645">
        <f t="shared" si="3"/>
        <v>9.3609429844061981E-2</v>
      </c>
      <c r="T18" s="646">
        <f t="shared" si="4"/>
        <v>0.1362081033320206</v>
      </c>
      <c r="W18" s="192"/>
      <c r="X18" s="542" t="s">
        <v>114</v>
      </c>
      <c r="Y18" s="656">
        <f>(R8+O8+O18+R18)/AD8</f>
        <v>0.6804485308783651</v>
      </c>
      <c r="Z18" s="574"/>
      <c r="AL18" s="560"/>
      <c r="AQ18" s="547"/>
    </row>
    <row r="19" spans="2:43" ht="15" customHeight="1">
      <c r="B19" s="11" t="str">
        <f>Processes!D36</f>
        <v>RHTMBWPEBE1</v>
      </c>
      <c r="C19" s="11" t="str">
        <f>Processes!E36</f>
        <v>Residential heating technology multistorey building - wood pellets - existing 1</v>
      </c>
      <c r="D19" s="6" t="str">
        <f>Commodities!$C$14</f>
        <v>RESWPE</v>
      </c>
      <c r="E19" s="8" t="str">
        <f>Commodities!$C$29</f>
        <v>RESHBMB</v>
      </c>
      <c r="F19" s="637">
        <f t="shared" si="8"/>
        <v>269.29342176724089</v>
      </c>
      <c r="G19" s="642">
        <f t="shared" si="0"/>
        <v>53.334690144737699</v>
      </c>
      <c r="H19" s="531">
        <f>H9</f>
        <v>0.84460922289882312</v>
      </c>
      <c r="I19" s="531">
        <f>H9</f>
        <v>0.84460922289882312</v>
      </c>
      <c r="J19" s="571">
        <f t="shared" si="6"/>
        <v>3.1536000000000002E-2</v>
      </c>
      <c r="K19" s="14">
        <v>0.25</v>
      </c>
      <c r="L19" s="33">
        <v>20</v>
      </c>
      <c r="N19" s="34" t="str">
        <f t="shared" si="1"/>
        <v>RESWPE</v>
      </c>
      <c r="O19" s="619">
        <f>Q38</f>
        <v>2.1000092356210955</v>
      </c>
      <c r="P19" s="643">
        <f t="shared" si="2"/>
        <v>2.1231093372129273</v>
      </c>
      <c r="Q19" s="619">
        <f t="shared" si="7"/>
        <v>2.4863678713021331</v>
      </c>
      <c r="R19" s="644">
        <f>R38</f>
        <v>0.41632742287238811</v>
      </c>
      <c r="S19" s="645">
        <f t="shared" si="3"/>
        <v>0.42049069710111203</v>
      </c>
      <c r="T19" s="646">
        <f t="shared" si="4"/>
        <v>0.49292313129554888</v>
      </c>
      <c r="W19" s="192"/>
      <c r="X19" s="542" t="s">
        <v>122</v>
      </c>
      <c r="Y19" s="656">
        <f>(R9+O9+O19+R19)/AD9</f>
        <v>0.84460922289882312</v>
      </c>
      <c r="Z19" s="574"/>
      <c r="AL19" s="560"/>
      <c r="AQ19" s="548"/>
    </row>
    <row r="20" spans="2:43" ht="15" customHeight="1">
      <c r="B20" s="11" t="str">
        <f>Processes!D38</f>
        <v>RHTMBSTRBE1</v>
      </c>
      <c r="C20" s="11" t="str">
        <f>Processes!E38</f>
        <v>Residential heating technology multistorey building - straw - existing 1</v>
      </c>
      <c r="D20" s="6" t="str">
        <f>Commodities!$C$16</f>
        <v>RESSTR</v>
      </c>
      <c r="E20" s="8" t="str">
        <f>Commodities!$C$29</f>
        <v>RESHBMB</v>
      </c>
      <c r="F20" s="637">
        <f t="shared" si="8"/>
        <v>0</v>
      </c>
      <c r="G20" s="637">
        <f t="shared" si="0"/>
        <v>0</v>
      </c>
      <c r="H20" s="206">
        <v>0.650000576770011</v>
      </c>
      <c r="I20" s="206">
        <v>0.650000576770011</v>
      </c>
      <c r="J20" s="571">
        <f t="shared" si="6"/>
        <v>3.1536000000000002E-2</v>
      </c>
      <c r="K20" s="14">
        <v>0.25</v>
      </c>
      <c r="L20" s="33">
        <v>20</v>
      </c>
      <c r="N20" s="34" t="str">
        <f t="shared" si="1"/>
        <v>RESSTR</v>
      </c>
      <c r="O20" s="619">
        <v>0</v>
      </c>
      <c r="P20" s="619">
        <f t="shared" si="2"/>
        <v>0</v>
      </c>
      <c r="Q20" s="619">
        <f t="shared" si="7"/>
        <v>0</v>
      </c>
      <c r="R20" s="644">
        <v>0</v>
      </c>
      <c r="S20" s="646">
        <f t="shared" si="3"/>
        <v>0</v>
      </c>
      <c r="T20" s="646">
        <f t="shared" si="4"/>
        <v>0</v>
      </c>
      <c r="W20" s="192"/>
      <c r="X20" s="542" t="s">
        <v>110</v>
      </c>
      <c r="Y20" s="656">
        <f>(AA10-Q14-T14-Q23-T23)/(Q13+T13+Q22+T22)</f>
        <v>1.0003329326956245</v>
      </c>
      <c r="Z20" s="3"/>
      <c r="AL20" s="560"/>
      <c r="AQ20" s="547"/>
    </row>
    <row r="21" spans="2:43" ht="15" customHeight="1">
      <c r="B21" s="11" t="str">
        <f>Processes!D39</f>
        <v>RHTMBSOLXE1</v>
      </c>
      <c r="C21" s="11" t="str">
        <f>Processes!E39</f>
        <v>Residential heating technology multistorey building - solar - existing 1</v>
      </c>
      <c r="D21" s="6" t="str">
        <f>Commodities!$C$18</f>
        <v>RESSOL</v>
      </c>
      <c r="E21" s="8" t="str">
        <f>Commodities!$C$29</f>
        <v>RESHBMB</v>
      </c>
      <c r="F21" s="638">
        <f t="shared" si="8"/>
        <v>0</v>
      </c>
      <c r="G21" s="638">
        <f t="shared" si="0"/>
        <v>0</v>
      </c>
      <c r="H21" s="206">
        <v>1</v>
      </c>
      <c r="I21" s="206">
        <v>1</v>
      </c>
      <c r="J21" s="571">
        <f t="shared" si="6"/>
        <v>3.1536000000000002E-2</v>
      </c>
      <c r="K21" s="14">
        <v>0.25</v>
      </c>
      <c r="L21" s="33">
        <v>20</v>
      </c>
      <c r="N21" s="34" t="str">
        <f t="shared" si="1"/>
        <v>RESSOL</v>
      </c>
      <c r="O21" s="648">
        <v>0</v>
      </c>
      <c r="P21" s="648">
        <f t="shared" si="2"/>
        <v>0</v>
      </c>
      <c r="Q21" s="648">
        <f t="shared" si="7"/>
        <v>0</v>
      </c>
      <c r="R21" s="649">
        <v>0</v>
      </c>
      <c r="S21" s="650">
        <f t="shared" si="3"/>
        <v>0</v>
      </c>
      <c r="T21" s="650">
        <f t="shared" si="4"/>
        <v>0</v>
      </c>
      <c r="W21" s="192"/>
      <c r="X21" s="542" t="s">
        <v>974</v>
      </c>
      <c r="Y21" s="656">
        <f>(O15+R15+O24+R24+O16+R16+O25+R25)/AD10</f>
        <v>0.98073447284641846</v>
      </c>
      <c r="Z21" s="574"/>
      <c r="AL21" s="560"/>
      <c r="AQ21" s="547"/>
    </row>
    <row r="22" spans="2:43" ht="15" customHeight="1">
      <c r="B22" s="11" t="str">
        <f>Processes!D40</f>
        <v>RHTMBLCHXE1</v>
      </c>
      <c r="C22" s="11" t="str">
        <f>Processes!E40</f>
        <v>Residential heating technology multistorey building - direct electricity - existing 1</v>
      </c>
      <c r="D22" s="6" t="str">
        <f>Commodities!$C$19</f>
        <v>RESELCH</v>
      </c>
      <c r="E22" s="8" t="str">
        <f>Commodities!$C$29</f>
        <v>RESHBMB</v>
      </c>
      <c r="F22" s="637">
        <f t="shared" si="8"/>
        <v>997.61492861263048</v>
      </c>
      <c r="G22" s="637">
        <f t="shared" si="0"/>
        <v>197.58181522647158</v>
      </c>
      <c r="H22" s="531">
        <f>H13</f>
        <v>0.98899999999999999</v>
      </c>
      <c r="I22" s="531">
        <f>I13</f>
        <v>0.98899999999999999</v>
      </c>
      <c r="J22" s="571">
        <f t="shared" si="6"/>
        <v>3.1536000000000002E-2</v>
      </c>
      <c r="K22" s="14">
        <v>0.25</v>
      </c>
      <c r="L22" s="33">
        <v>30</v>
      </c>
      <c r="N22" s="34" t="str">
        <f t="shared" si="1"/>
        <v>RESELCH</v>
      </c>
      <c r="O22" s="619">
        <f>Q39</f>
        <v>7.7796202741661524</v>
      </c>
      <c r="P22" s="643">
        <f t="shared" si="2"/>
        <v>7.865196097181979</v>
      </c>
      <c r="Q22" s="619">
        <f t="shared" si="7"/>
        <v>7.8661479010780102</v>
      </c>
      <c r="R22" s="644">
        <f>R39</f>
        <v>1.5423119121242594</v>
      </c>
      <c r="S22" s="645">
        <f t="shared" si="3"/>
        <v>1.5577350312455021</v>
      </c>
      <c r="T22" s="646">
        <f t="shared" si="4"/>
        <v>1.5594660385482906</v>
      </c>
      <c r="W22" s="192"/>
      <c r="X22" s="542"/>
      <c r="Y22" s="656"/>
      <c r="Z22" s="575"/>
      <c r="AL22" s="560"/>
      <c r="AQ22" s="547"/>
    </row>
    <row r="23" spans="2:43" ht="15" customHeight="1" thickBot="1">
      <c r="B23" s="11" t="str">
        <f>Processes!D41</f>
        <v>RHTMBLCHXE2</v>
      </c>
      <c r="C23" s="11" t="str">
        <f>Processes!E41</f>
        <v>Residential heating technology multistorey building - heat pump - existing 2</v>
      </c>
      <c r="D23" s="6" t="str">
        <f>Commodities!$C$19</f>
        <v>RESELCH</v>
      </c>
      <c r="E23" s="8" t="str">
        <f>Commodities!$C$29</f>
        <v>RESHBMB</v>
      </c>
      <c r="F23" s="637">
        <f t="shared" si="8"/>
        <v>176.04969328458188</v>
      </c>
      <c r="G23" s="637">
        <f t="shared" si="0"/>
        <v>34.867379157612625</v>
      </c>
      <c r="H23" s="206">
        <v>2.8</v>
      </c>
      <c r="I23" s="206">
        <v>2.8</v>
      </c>
      <c r="J23" s="571">
        <f t="shared" si="6"/>
        <v>3.1536000000000002E-2</v>
      </c>
      <c r="K23" s="14">
        <v>0.25</v>
      </c>
      <c r="L23" s="33">
        <v>30</v>
      </c>
      <c r="N23" s="34" t="str">
        <f t="shared" si="1"/>
        <v>RESELCH</v>
      </c>
      <c r="O23" s="619">
        <f>Q40</f>
        <v>1.3728741660293211</v>
      </c>
      <c r="P23" s="643">
        <f t="shared" si="2"/>
        <v>1.3879757818556435</v>
      </c>
      <c r="Q23" s="619">
        <f t="shared" si="7"/>
        <v>0.49031220215332899</v>
      </c>
      <c r="R23" s="644">
        <f>R40</f>
        <v>0.2721726903748693</v>
      </c>
      <c r="S23" s="645">
        <f t="shared" si="3"/>
        <v>0.27489441727861796</v>
      </c>
      <c r="T23" s="646">
        <f t="shared" si="4"/>
        <v>9.7204532276739045E-2</v>
      </c>
      <c r="W23" s="192"/>
      <c r="X23" s="543"/>
      <c r="Y23" s="657">
        <v>0.98899999999999999</v>
      </c>
      <c r="Z23" s="3"/>
      <c r="AL23" s="560"/>
      <c r="AQ23" s="547"/>
    </row>
    <row r="24" spans="2:43" ht="15" customHeight="1">
      <c r="B24" s="11" t="str">
        <f>Processes!D42</f>
        <v>RHTMBHCEBE1</v>
      </c>
      <c r="C24" s="11" t="str">
        <f>Processes!E42</f>
        <v>Residential heating technology multistorey building - heat centralised - existing 1</v>
      </c>
      <c r="D24" s="6" t="str">
        <f>Commodities!$C$20</f>
        <v>RESHCE</v>
      </c>
      <c r="E24" s="46" t="str">
        <f>Commodities!$C$25</f>
        <v>RESHXCM</v>
      </c>
      <c r="F24" s="637">
        <f t="shared" si="8"/>
        <v>14.882416771411442</v>
      </c>
      <c r="G24" s="637">
        <f t="shared" si="0"/>
        <v>0.92449836006160047</v>
      </c>
      <c r="H24" s="206">
        <f>H15</f>
        <v>0.98</v>
      </c>
      <c r="I24" s="206">
        <f>H15</f>
        <v>0.98</v>
      </c>
      <c r="J24" s="571">
        <f t="shared" si="6"/>
        <v>3.1536000000000002E-2</v>
      </c>
      <c r="K24" s="14">
        <v>0.25</v>
      </c>
      <c r="L24" s="33">
        <v>30</v>
      </c>
      <c r="N24" s="34" t="str">
        <f t="shared" si="1"/>
        <v>RESHCE</v>
      </c>
      <c r="O24" s="619">
        <f>Q41*'Building Stock &amp; Specific Heat '!O58/('Building Stock &amp; Specific Heat '!O58+'Building Stock &amp; Specific Heat '!P58)</f>
        <v>0.11605635393254977</v>
      </c>
      <c r="P24" s="643">
        <f t="shared" si="2"/>
        <v>0.11733297382580782</v>
      </c>
      <c r="Q24" s="619">
        <f t="shared" si="7"/>
        <v>0.11842485095158141</v>
      </c>
      <c r="R24" s="644">
        <f>R41*'Building Stock &amp; Specific Heat '!O59/('Building Stock &amp; Specific Heat '!O59+'Building Stock &amp; Specific Heat '!P59)</f>
        <v>7.2165792779461963E-3</v>
      </c>
      <c r="S24" s="646">
        <f t="shared" si="3"/>
        <v>7.2887450707256581E-3</v>
      </c>
      <c r="T24" s="646">
        <f t="shared" si="4"/>
        <v>7.363856406067547E-3</v>
      </c>
      <c r="W24" s="192"/>
      <c r="Y24" s="619"/>
      <c r="AL24" s="560"/>
      <c r="AQ24" s="548"/>
    </row>
    <row r="25" spans="2:43" ht="15" customHeight="1">
      <c r="B25" s="11" t="str">
        <f>Processes!D43</f>
        <v>RHTMBHDEBE1</v>
      </c>
      <c r="C25" t="str">
        <f>Processes!E43</f>
        <v>Residential heating technology multistorey building - heat decentralised - existing 1</v>
      </c>
      <c r="D25" s="8" t="str">
        <f>Commodities!$C$21</f>
        <v>RESHDE</v>
      </c>
      <c r="E25" s="46" t="str">
        <f>Commodities!$C$27</f>
        <v>RESHXDM</v>
      </c>
      <c r="F25" s="637">
        <f t="shared" si="8"/>
        <v>26.064529204049396</v>
      </c>
      <c r="G25" s="637">
        <f t="shared" si="0"/>
        <v>7.1852158009554037</v>
      </c>
      <c r="H25" s="206">
        <f>H15</f>
        <v>0.98</v>
      </c>
      <c r="I25" s="206">
        <f>H15</f>
        <v>0.98</v>
      </c>
      <c r="J25" s="571">
        <f t="shared" si="6"/>
        <v>3.1536000000000002E-2</v>
      </c>
      <c r="K25" s="14">
        <v>0.25</v>
      </c>
      <c r="L25" s="33">
        <v>30</v>
      </c>
      <c r="N25" s="34" t="str">
        <f t="shared" si="1"/>
        <v>RESHDE</v>
      </c>
      <c r="O25" s="619">
        <f>Q41*'Building Stock &amp; Specific Heat '!P58/('Building Stock &amp; Specific Heat '!O58+'Building Stock &amp; Specific Heat '!P58)</f>
        <v>0.20325692210160778</v>
      </c>
      <c r="P25" s="619">
        <f t="shared" si="2"/>
        <v>0.20549274824472544</v>
      </c>
      <c r="Q25" s="619">
        <f t="shared" si="7"/>
        <v>0.20740502255266099</v>
      </c>
      <c r="R25" s="644">
        <f>R41*'Building Stock &amp; Specific Heat '!P59/('Building Stock &amp; Specific Heat '!O59+'Building Stock &amp; Specific Heat '!P59)</f>
        <v>5.608736769775486E-2</v>
      </c>
      <c r="S25" s="646">
        <f t="shared" si="3"/>
        <v>5.6648241374732407E-2</v>
      </c>
      <c r="T25" s="646">
        <f t="shared" si="4"/>
        <v>5.7232007854851899E-2</v>
      </c>
      <c r="W25" s="192"/>
      <c r="X25" s="576" t="s">
        <v>1008</v>
      </c>
      <c r="Y25" s="658"/>
      <c r="AL25" s="560"/>
      <c r="AQ25" s="547"/>
    </row>
    <row r="26" spans="2:43" ht="15" customHeight="1">
      <c r="F26" s="513"/>
      <c r="G26" s="513"/>
      <c r="H26" s="757"/>
      <c r="I26" s="757"/>
      <c r="J26" s="32"/>
      <c r="K26" s="14"/>
      <c r="L26" s="33"/>
      <c r="P26" s="34"/>
      <c r="Q26" s="619"/>
      <c r="R26" s="619"/>
      <c r="S26" s="619"/>
      <c r="T26" s="646"/>
      <c r="U26" s="646"/>
      <c r="V26" s="646"/>
      <c r="W26" s="192"/>
      <c r="X26" t="s">
        <v>995</v>
      </c>
      <c r="Y26" s="619"/>
      <c r="AK26" s="560"/>
      <c r="AP26" s="547"/>
    </row>
    <row r="27" spans="2:43" ht="15" customHeight="1">
      <c r="F27" s="513"/>
      <c r="G27" s="513"/>
      <c r="H27" s="757"/>
      <c r="I27" s="757"/>
      <c r="J27" s="32"/>
      <c r="K27" s="14"/>
      <c r="L27" s="33"/>
      <c r="P27" s="34"/>
      <c r="Q27" s="193"/>
      <c r="R27" s="550"/>
      <c r="S27" s="14"/>
      <c r="T27" s="566"/>
      <c r="U27" s="561"/>
      <c r="V27" s="564"/>
      <c r="W27" s="192"/>
      <c r="X27" t="s">
        <v>996</v>
      </c>
      <c r="Y27" s="619" t="s">
        <v>1006</v>
      </c>
      <c r="AK27" s="560"/>
      <c r="AP27" s="547"/>
    </row>
    <row r="28" spans="2:43" ht="15" customHeight="1">
      <c r="B28" s="11"/>
      <c r="D28" s="8"/>
      <c r="E28" s="46"/>
      <c r="F28" s="513"/>
      <c r="G28" s="513"/>
      <c r="H28" s="757"/>
      <c r="I28" s="757"/>
      <c r="J28" s="32"/>
      <c r="K28" s="14"/>
      <c r="L28" s="33"/>
      <c r="P28" s="34"/>
      <c r="Q28" s="193"/>
      <c r="R28" s="550"/>
      <c r="S28" s="14"/>
      <c r="T28" s="566"/>
      <c r="U28" s="561"/>
      <c r="V28" s="564"/>
      <c r="W28" s="192"/>
      <c r="X28" t="s">
        <v>209</v>
      </c>
      <c r="Y28" s="619">
        <v>8.3224314352737103</v>
      </c>
      <c r="AK28" s="560"/>
      <c r="AP28" s="547"/>
    </row>
    <row r="29" spans="2:43" ht="15" customHeight="1">
      <c r="B29" s="11"/>
      <c r="D29" s="8"/>
      <c r="E29" s="46"/>
      <c r="F29" s="513"/>
      <c r="G29" s="513"/>
      <c r="H29" s="757"/>
      <c r="I29" s="757"/>
      <c r="J29" s="32"/>
      <c r="K29" s="14"/>
      <c r="L29" s="33"/>
      <c r="P29" s="34"/>
      <c r="Q29" s="193"/>
      <c r="R29" s="550"/>
      <c r="S29" s="14"/>
      <c r="T29" s="566"/>
      <c r="U29" s="561"/>
      <c r="V29" s="564"/>
      <c r="W29" s="192"/>
      <c r="X29" t="s">
        <v>277</v>
      </c>
      <c r="Y29" s="619">
        <v>101.223986673675</v>
      </c>
      <c r="AK29" s="560"/>
      <c r="AP29" s="547"/>
    </row>
    <row r="30" spans="2:43" ht="15" customHeight="1">
      <c r="B30" s="11"/>
      <c r="D30" s="8"/>
      <c r="E30" s="46"/>
      <c r="F30" s="513"/>
      <c r="G30" s="513"/>
      <c r="H30" s="757"/>
      <c r="I30" s="757"/>
      <c r="J30" s="32"/>
      <c r="K30" s="14"/>
      <c r="L30" s="33"/>
      <c r="P30" s="34"/>
      <c r="Q30" s="193"/>
      <c r="R30" s="550"/>
      <c r="S30" s="14"/>
      <c r="T30" s="566"/>
      <c r="U30" s="561"/>
      <c r="V30" s="564"/>
      <c r="W30" s="192"/>
      <c r="X30" t="s">
        <v>95</v>
      </c>
      <c r="Y30" s="619">
        <v>0.89540781081310195</v>
      </c>
      <c r="AK30" s="560"/>
      <c r="AP30" s="547"/>
    </row>
    <row r="31" spans="2:43" ht="15" customHeight="1">
      <c r="B31" s="11"/>
      <c r="D31" s="8"/>
      <c r="E31" s="46"/>
      <c r="F31" s="513"/>
      <c r="G31" s="513"/>
      <c r="H31" s="757"/>
      <c r="I31" s="757"/>
      <c r="J31" s="32"/>
      <c r="K31" s="14"/>
      <c r="L31" s="33"/>
      <c r="P31" s="34"/>
      <c r="Q31" s="193"/>
      <c r="R31" s="550"/>
      <c r="S31" s="14"/>
      <c r="T31" s="566"/>
      <c r="U31" s="561"/>
      <c r="V31" s="564"/>
      <c r="W31" s="192"/>
      <c r="X31" t="s">
        <v>96</v>
      </c>
      <c r="Y31" s="619">
        <v>2.6580857086348302</v>
      </c>
      <c r="AK31" s="560"/>
      <c r="AP31" s="547"/>
    </row>
    <row r="32" spans="2:43" ht="15" customHeight="1">
      <c r="H32" s="8"/>
      <c r="I32" s="5"/>
      <c r="J32" s="5"/>
      <c r="K32" s="14"/>
      <c r="M32" s="11"/>
      <c r="R32"/>
      <c r="S32" s="565">
        <f>SUM(P7:P25)</f>
        <v>108.03863815931823</v>
      </c>
      <c r="T32" s="570"/>
      <c r="U32" s="565"/>
      <c r="V32" s="565">
        <f>SUM(S7:S25)</f>
        <v>37.963271971935519</v>
      </c>
      <c r="X32" t="s">
        <v>207</v>
      </c>
      <c r="Y32" s="619">
        <v>0.18095522052854801</v>
      </c>
      <c r="AK32" s="560"/>
      <c r="AP32" s="547"/>
    </row>
    <row r="33" spans="3:42" ht="13.8" thickBot="1">
      <c r="C33" s="207"/>
      <c r="D33" s="6" t="s">
        <v>888</v>
      </c>
      <c r="E33" s="6" t="s">
        <v>275</v>
      </c>
      <c r="F33" s="185" t="s">
        <v>276</v>
      </c>
      <c r="H33" s="129"/>
      <c r="I33" s="130"/>
      <c r="J33" s="130"/>
      <c r="N33" s="601" t="s">
        <v>989</v>
      </c>
      <c r="O33" s="601"/>
      <c r="P33" s="601"/>
      <c r="Q33" s="601"/>
      <c r="R33" s="601"/>
      <c r="T33" s="544"/>
      <c r="X33" t="s">
        <v>204</v>
      </c>
      <c r="Y33" s="619">
        <v>29.493962361564201</v>
      </c>
      <c r="AK33" s="560"/>
      <c r="AP33" s="547"/>
    </row>
    <row r="34" spans="3:42">
      <c r="C34" s="208"/>
      <c r="D34" s="6">
        <v>249</v>
      </c>
      <c r="E34" s="6">
        <f>24*D34</f>
        <v>5976</v>
      </c>
      <c r="F34" s="6">
        <f>E34/8760</f>
        <v>0.68219178082191778</v>
      </c>
      <c r="H34" s="46"/>
      <c r="I34" s="130"/>
      <c r="J34" s="130"/>
      <c r="N34" s="485"/>
      <c r="O34" s="598" t="s">
        <v>176</v>
      </c>
      <c r="P34" s="598"/>
      <c r="Q34" s="599" t="s">
        <v>348</v>
      </c>
      <c r="R34" s="600"/>
      <c r="T34" s="544"/>
      <c r="X34" t="s">
        <v>147</v>
      </c>
      <c r="Y34" s="619">
        <v>142.77482921049</v>
      </c>
      <c r="AK34" s="560"/>
    </row>
    <row r="35" spans="3:42" ht="13.8" thickBot="1">
      <c r="C35" s="208"/>
      <c r="F35" s="509" t="s">
        <v>918</v>
      </c>
      <c r="H35" s="46"/>
      <c r="I35" s="130" t="s">
        <v>988</v>
      </c>
      <c r="J35" s="130"/>
      <c r="N35" s="473"/>
      <c r="O35" s="154" t="s">
        <v>1016</v>
      </c>
      <c r="P35" s="188" t="s">
        <v>1017</v>
      </c>
      <c r="Q35" s="154" t="s">
        <v>1016</v>
      </c>
      <c r="R35" s="577" t="s">
        <v>1017</v>
      </c>
      <c r="T35" s="544"/>
      <c r="AK35" s="550"/>
    </row>
    <row r="36" spans="3:42" ht="13.8" thickBot="1">
      <c r="C36" s="208"/>
      <c r="D36" s="6" t="s">
        <v>987</v>
      </c>
      <c r="H36" s="46"/>
      <c r="I36" s="1543" t="s">
        <v>976</v>
      </c>
      <c r="J36" s="1544"/>
      <c r="K36" s="1545"/>
      <c r="N36" s="481" t="s">
        <v>115</v>
      </c>
      <c r="O36" s="661">
        <f>J38*($G$38)</f>
        <v>0.10810727491518987</v>
      </c>
      <c r="P36" s="646">
        <f>J39*($G$38)</f>
        <v>4.0134406795841834E-2</v>
      </c>
      <c r="Q36" s="661">
        <f>K38*($G$38)</f>
        <v>1.3743515939928634E-2</v>
      </c>
      <c r="R36" s="646">
        <f>K39*($G$38)</f>
        <v>2.7246559088507077E-3</v>
      </c>
      <c r="S36" s="595" t="s">
        <v>1005</v>
      </c>
      <c r="T36" s="595"/>
      <c r="U36" s="595"/>
      <c r="AK36" s="550"/>
      <c r="AN36" s="549"/>
    </row>
    <row r="37" spans="3:42">
      <c r="C37" s="208"/>
      <c r="D37" s="470"/>
      <c r="E37" s="471" t="s">
        <v>904</v>
      </c>
      <c r="F37" s="181" t="s">
        <v>902</v>
      </c>
      <c r="G37" s="472" t="s">
        <v>903</v>
      </c>
      <c r="H37"/>
      <c r="I37" s="473"/>
      <c r="J37" s="1" t="str">
        <f>'Building Stock &amp; Specific Heat '!C159</f>
        <v>Detached</v>
      </c>
      <c r="K37" s="474" t="str">
        <f>'Building Stock &amp; Specific Heat '!D159</f>
        <v>Multi S</v>
      </c>
      <c r="N37" s="482" t="s">
        <v>114</v>
      </c>
      <c r="O37" s="661">
        <f>J38*G40</f>
        <v>3.6774051714065767</v>
      </c>
      <c r="P37" s="646">
        <f>J39*G40</f>
        <v>1.3652224165131226</v>
      </c>
      <c r="Q37" s="646">
        <f>K38*G40</f>
        <v>0.46750301152675677</v>
      </c>
      <c r="R37" s="646">
        <f>K39*G40</f>
        <v>9.2682603806001962E-2</v>
      </c>
      <c r="S37" s="447"/>
      <c r="T37" s="578" t="s">
        <v>1016</v>
      </c>
      <c r="U37" s="579" t="s">
        <v>1017</v>
      </c>
      <c r="AK37" s="550"/>
    </row>
    <row r="38" spans="3:42" ht="21">
      <c r="C38" s="208"/>
      <c r="D38" s="481" t="s">
        <v>891</v>
      </c>
      <c r="E38" s="646">
        <v>40</v>
      </c>
      <c r="F38" s="659"/>
      <c r="G38" s="758">
        <f>E38/SUM($E$38:$E$43)</f>
        <v>1.1402508551881414E-3</v>
      </c>
      <c r="H38"/>
      <c r="I38" s="473" t="str">
        <f>'Building Stock &amp; Specific Heat '!B160</f>
        <v>NO1</v>
      </c>
      <c r="J38" s="186">
        <f>Buildings_old!R7+Buildings_old!R8+Buildings_old!R13+Buildings_old!R14+Buildings_old!R19+Buildings_old!R20</f>
        <v>94.810080100621519</v>
      </c>
      <c r="K38" s="478">
        <f>Buildings_old!R25+Buildings_old!R26+Buildings_old!R31+Buildings_old!R32+Buildings_old!R37+Buildings_old!R38</f>
        <v>12.053063479317412</v>
      </c>
      <c r="L38" s="132">
        <f>SUM(J38:K39)/0.0036</f>
        <v>40125.150436653974</v>
      </c>
      <c r="N38" s="486" t="s">
        <v>122</v>
      </c>
      <c r="O38" s="646">
        <f>J38*G41</f>
        <v>16.518791607041013</v>
      </c>
      <c r="P38" s="646">
        <f>J39*G41</f>
        <v>6.1325373584046323</v>
      </c>
      <c r="Q38" s="646">
        <f>K38*G41</f>
        <v>2.1000092356210955</v>
      </c>
      <c r="R38" s="646">
        <f>K39*G41</f>
        <v>0.41632742287238811</v>
      </c>
      <c r="S38" s="447" t="s">
        <v>1000</v>
      </c>
      <c r="T38" s="664">
        <f>Q15+Q24</f>
        <v>1.0499614369730674</v>
      </c>
      <c r="U38" s="664">
        <f>T15+T24</f>
        <v>0.11583407006763216</v>
      </c>
      <c r="V38" s="563">
        <f>P13+P14+P22+P23</f>
        <v>82.039146045835778</v>
      </c>
      <c r="W38" s="563">
        <f>S13+S14+S22+S23</f>
        <v>28.827412736271892</v>
      </c>
      <c r="AP38" s="549"/>
    </row>
    <row r="39" spans="3:42" ht="21.6" thickBot="1">
      <c r="C39" s="208"/>
      <c r="E39" s="646"/>
      <c r="F39" s="659"/>
      <c r="G39" s="660"/>
      <c r="H39"/>
      <c r="I39" s="476" t="str">
        <f>'Building Stock &amp; Specific Heat '!B161</f>
        <v>NO2</v>
      </c>
      <c r="J39" s="479">
        <f>Buildings_old!U7+Buildings_old!U8+Buildings_old!U13+Buildings_old!U14+Buildings_old!U19+Buildings_old!U20</f>
        <v>35.197874759953287</v>
      </c>
      <c r="K39" s="480">
        <f>Buildings_old!U25+Buildings_old!U26+Buildings_old!U31+Buildings_old!U32+Buildings_old!U37+Buildings_old!U38</f>
        <v>2.3895232320620705</v>
      </c>
      <c r="N39" s="484" t="s">
        <v>110</v>
      </c>
      <c r="O39" s="646">
        <f>J38*G42*$J$40</f>
        <v>61.194933770305084</v>
      </c>
      <c r="P39" s="646">
        <f>J39*G42*J40</f>
        <v>22.718381974837236</v>
      </c>
      <c r="Q39" s="646">
        <f>K38*G42*K40</f>
        <v>7.7796202741661524</v>
      </c>
      <c r="R39" s="646">
        <f>K39*G42*K40</f>
        <v>1.5423119121242594</v>
      </c>
      <c r="S39" s="447" t="s">
        <v>1001</v>
      </c>
      <c r="T39" s="664">
        <f>Q16+Q25</f>
        <v>1.8388646788659135</v>
      </c>
      <c r="U39" s="664">
        <f>T16+T25</f>
        <v>0.90026421516147348</v>
      </c>
    </row>
    <row r="40" spans="3:42">
      <c r="C40" s="208"/>
      <c r="D40" s="482" t="s">
        <v>893</v>
      </c>
      <c r="E40" s="646">
        <v>1207</v>
      </c>
      <c r="F40" s="646">
        <f>E40/(O52/1000)</f>
        <v>0.61643984196599777</v>
      </c>
      <c r="G40" s="660">
        <f>E40/SUM($E$38:$E$43)+0.00438</f>
        <v>3.8787069555302166E-2</v>
      </c>
      <c r="H40"/>
      <c r="I40" t="s">
        <v>950</v>
      </c>
      <c r="J40">
        <f>1-J41</f>
        <v>0.85</v>
      </c>
      <c r="K40">
        <f>1-K41</f>
        <v>0.85</v>
      </c>
      <c r="N40" s="484" t="s">
        <v>948</v>
      </c>
      <c r="O40" s="646">
        <f>J38*G42*$J$41</f>
        <v>10.799105959465603</v>
      </c>
      <c r="P40" s="646">
        <f>J39*G42*J41</f>
        <v>4.0091262308536297</v>
      </c>
      <c r="Q40" s="646">
        <f>K38*G42*K41</f>
        <v>1.3728741660293211</v>
      </c>
      <c r="R40" s="660">
        <f>K39*G42*K41</f>
        <v>0.2721726903748693</v>
      </c>
      <c r="T40" s="661">
        <f>P15+P24</f>
        <v>1.0402807925241755</v>
      </c>
      <c r="U40" s="619">
        <f>S15+S24</f>
        <v>0.11465256255294232</v>
      </c>
      <c r="AJ40" s="132"/>
    </row>
    <row r="41" spans="3:42" ht="13.8" thickBot="1">
      <c r="C41" s="208"/>
      <c r="D41" s="486" t="s">
        <v>895</v>
      </c>
      <c r="E41" s="646">
        <v>6112</v>
      </c>
      <c r="F41" s="661">
        <f>E41/(O54/1000)</f>
        <v>0.91535820701480186</v>
      </c>
      <c r="G41" s="660">
        <f>E41/SUM($E$38:$E$43)</f>
        <v>0.17423033067274801</v>
      </c>
      <c r="H41"/>
      <c r="I41" t="s">
        <v>949</v>
      </c>
      <c r="J41">
        <v>0.15</v>
      </c>
      <c r="K41">
        <v>0.15</v>
      </c>
      <c r="N41" s="483" t="s">
        <v>889</v>
      </c>
      <c r="O41" s="662">
        <f>J38*G43</f>
        <v>2.5117363174880438</v>
      </c>
      <c r="P41" s="662">
        <f>J39*G43</f>
        <v>0.93247237254882231</v>
      </c>
      <c r="Q41" s="662">
        <f>K38*G43</f>
        <v>0.31931327603415754</v>
      </c>
      <c r="R41" s="663">
        <f>K39*G43</f>
        <v>6.3303946975701048E-2</v>
      </c>
      <c r="T41" s="661">
        <f>P16+P25</f>
        <v>1.8219103465267699</v>
      </c>
      <c r="U41" s="619">
        <f>S16+S25</f>
        <v>0.89108152016682651</v>
      </c>
    </row>
    <row r="42" spans="3:42">
      <c r="C42" s="208"/>
      <c r="D42" s="484" t="s">
        <v>890</v>
      </c>
      <c r="E42" s="646">
        <v>26638</v>
      </c>
      <c r="F42" s="646">
        <f>E42/(O56/1000)</f>
        <v>0.97138269761238605</v>
      </c>
      <c r="G42" s="660">
        <f>E42/SUM($E$38:$E$43)</f>
        <v>0.75935005701254277</v>
      </c>
      <c r="H42"/>
      <c r="I42"/>
      <c r="J42"/>
      <c r="R42"/>
      <c r="T42" s="619">
        <f>O15+O24</f>
        <v>1.0289622082336061</v>
      </c>
      <c r="U42" s="619">
        <f>R15+R24</f>
        <v>0.11351738866627951</v>
      </c>
    </row>
    <row r="43" spans="3:42" ht="13.8" thickBot="1">
      <c r="C43" s="208"/>
      <c r="D43" s="483" t="s">
        <v>889</v>
      </c>
      <c r="E43" s="662">
        <v>1083</v>
      </c>
      <c r="F43" s="662">
        <f>E43/(O55/1000)</f>
        <v>1.8377806596072763</v>
      </c>
      <c r="G43" s="663">
        <f>E43/SUM($E$38:$E$43)-0.00438</f>
        <v>2.649229190421893E-2</v>
      </c>
      <c r="H43"/>
      <c r="I43"/>
      <c r="J43"/>
      <c r="R43"/>
      <c r="T43" s="619">
        <f>O16+O25</f>
        <v>1.8020873852885955</v>
      </c>
      <c r="U43" s="619">
        <f>R16+R25</f>
        <v>0.88225893085824403</v>
      </c>
    </row>
    <row r="44" spans="3:42" ht="21">
      <c r="C44" s="208"/>
      <c r="D44" s="475" t="s">
        <v>894</v>
      </c>
      <c r="E44" s="646">
        <v>5</v>
      </c>
      <c r="F44" s="659"/>
      <c r="G44" s="660"/>
      <c r="H44"/>
      <c r="I44"/>
      <c r="J44"/>
      <c r="R44"/>
    </row>
    <row r="45" spans="3:42">
      <c r="C45" s="208"/>
      <c r="D45" s="481" t="s">
        <v>892</v>
      </c>
      <c r="E45" s="646">
        <v>103</v>
      </c>
      <c r="F45" s="636"/>
      <c r="G45" s="636"/>
      <c r="H45"/>
      <c r="I45"/>
      <c r="J45"/>
      <c r="R45"/>
    </row>
    <row r="46" spans="3:42">
      <c r="C46" s="208"/>
      <c r="D46"/>
      <c r="E46"/>
      <c r="F46" s="11"/>
      <c r="G46"/>
      <c r="H46"/>
      <c r="I46"/>
      <c r="J46"/>
      <c r="R46"/>
    </row>
    <row r="47" spans="3:42">
      <c r="C47" s="208"/>
      <c r="D47"/>
      <c r="E47"/>
      <c r="F47" s="11"/>
      <c r="G47"/>
      <c r="H47"/>
      <c r="I47"/>
      <c r="J47"/>
    </row>
    <row r="48" spans="3:42">
      <c r="C48" s="208"/>
      <c r="D48" s="11"/>
      <c r="E48" s="11"/>
      <c r="F48" s="11"/>
      <c r="G48"/>
      <c r="H48"/>
      <c r="I48"/>
      <c r="J48"/>
      <c r="R48"/>
      <c r="AE48" s="559"/>
    </row>
    <row r="49" spans="3:40">
      <c r="C49" s="208"/>
      <c r="D49" s="458" t="s">
        <v>896</v>
      </c>
      <c r="E49" s="462">
        <v>12676581.346765896</v>
      </c>
      <c r="F49" s="464">
        <v>4749151.2112825755</v>
      </c>
      <c r="G49" s="464">
        <v>7804489.2041507242</v>
      </c>
      <c r="H49" s="464">
        <v>5650243.1104068309</v>
      </c>
      <c r="I49" s="464">
        <v>318927.31197940849</v>
      </c>
      <c r="J49" s="464">
        <v>1025369.2583975728</v>
      </c>
      <c r="K49" s="464">
        <v>693256.21365558892</v>
      </c>
      <c r="L49" s="464">
        <v>1280027.7959011679</v>
      </c>
      <c r="M49" s="464">
        <v>1462762.4687417452</v>
      </c>
      <c r="N49" s="464">
        <v>128354.38634245613</v>
      </c>
      <c r="O49" s="465">
        <f t="shared" ref="O49:O59" si="9">SUM(E49:N49)</f>
        <v>35789162.307623968</v>
      </c>
      <c r="P49" s="463"/>
      <c r="R49"/>
      <c r="AE49" s="559"/>
    </row>
    <row r="50" spans="3:40">
      <c r="C50" s="208"/>
      <c r="D50" s="459" t="s">
        <v>897</v>
      </c>
      <c r="E50" s="466">
        <v>0</v>
      </c>
      <c r="F50" s="466">
        <v>0</v>
      </c>
      <c r="G50" s="466">
        <v>0</v>
      </c>
      <c r="H50" s="466">
        <v>0</v>
      </c>
      <c r="I50" s="466">
        <v>0</v>
      </c>
      <c r="J50" s="466">
        <v>0</v>
      </c>
      <c r="K50" s="466">
        <v>0</v>
      </c>
      <c r="L50" s="466">
        <v>0</v>
      </c>
      <c r="M50" s="466">
        <v>0</v>
      </c>
      <c r="N50" s="466">
        <v>0</v>
      </c>
      <c r="O50" s="465">
        <f t="shared" si="9"/>
        <v>0</v>
      </c>
      <c r="P50" s="467"/>
      <c r="R50"/>
    </row>
    <row r="51" spans="3:40">
      <c r="C51" s="208"/>
      <c r="D51" s="460" t="s">
        <v>524</v>
      </c>
      <c r="E51" s="468">
        <v>0</v>
      </c>
      <c r="F51" s="468">
        <v>0</v>
      </c>
      <c r="G51" s="468">
        <v>0</v>
      </c>
      <c r="H51" s="468">
        <v>0</v>
      </c>
      <c r="I51" s="468">
        <v>0</v>
      </c>
      <c r="J51" s="468">
        <v>0</v>
      </c>
      <c r="K51" s="468">
        <v>0</v>
      </c>
      <c r="L51" s="468">
        <v>0</v>
      </c>
      <c r="M51" s="468">
        <v>0</v>
      </c>
      <c r="N51" s="468">
        <v>0</v>
      </c>
      <c r="O51" s="465">
        <f t="shared" si="9"/>
        <v>0</v>
      </c>
      <c r="P51" s="469"/>
      <c r="Q51">
        <f>O51/$O$49</f>
        <v>0</v>
      </c>
      <c r="R51"/>
      <c r="AE51" s="559"/>
    </row>
    <row r="52" spans="3:40">
      <c r="C52" s="208"/>
      <c r="D52" s="461" t="s">
        <v>114</v>
      </c>
      <c r="E52" s="464">
        <v>811750.42690407694</v>
      </c>
      <c r="F52" s="464">
        <v>361398.23124618229</v>
      </c>
      <c r="G52" s="464">
        <v>527579.11881786503</v>
      </c>
      <c r="H52" s="464">
        <v>0</v>
      </c>
      <c r="I52" s="464">
        <v>0</v>
      </c>
      <c r="J52" s="464">
        <v>92440.334839467978</v>
      </c>
      <c r="K52" s="464">
        <v>66414.879835667482</v>
      </c>
      <c r="L52" s="464">
        <v>98434.511168599391</v>
      </c>
      <c r="M52" s="464">
        <v>0</v>
      </c>
      <c r="N52" s="464">
        <v>0</v>
      </c>
      <c r="O52" s="465">
        <f t="shared" si="9"/>
        <v>1958017.5028118591</v>
      </c>
      <c r="P52" s="463"/>
      <c r="Q52">
        <f t="shared" ref="Q52:Q58" si="10">O52/$O$58</f>
        <v>4.9342015250108465E-2</v>
      </c>
      <c r="R52"/>
    </row>
    <row r="53" spans="3:40">
      <c r="C53" s="208"/>
      <c r="D53" s="461" t="s">
        <v>121</v>
      </c>
      <c r="E53" s="464">
        <v>0</v>
      </c>
      <c r="F53" s="464">
        <v>0</v>
      </c>
      <c r="G53" s="464">
        <v>0</v>
      </c>
      <c r="H53" s="464">
        <v>0</v>
      </c>
      <c r="I53" s="464">
        <v>0</v>
      </c>
      <c r="J53" s="464">
        <v>0</v>
      </c>
      <c r="K53" s="464">
        <v>0</v>
      </c>
      <c r="L53" s="464">
        <v>0</v>
      </c>
      <c r="M53" s="464">
        <v>0</v>
      </c>
      <c r="N53" s="464">
        <v>0</v>
      </c>
      <c r="O53" s="465">
        <f t="shared" si="9"/>
        <v>0</v>
      </c>
      <c r="P53" s="463"/>
      <c r="Q53">
        <f t="shared" si="10"/>
        <v>0</v>
      </c>
      <c r="R53"/>
      <c r="AE53" s="559"/>
    </row>
    <row r="54" spans="3:40">
      <c r="C54" s="208"/>
      <c r="D54" s="461" t="s">
        <v>898</v>
      </c>
      <c r="E54" s="464">
        <v>2363446.1868792288</v>
      </c>
      <c r="F54" s="464">
        <v>885628.62073581864</v>
      </c>
      <c r="G54" s="464">
        <v>1452333.2631504505</v>
      </c>
      <c r="H54" s="464">
        <v>1040399.5188079301</v>
      </c>
      <c r="I54" s="464">
        <v>57958.802188132751</v>
      </c>
      <c r="J54" s="464">
        <v>199863.74292938842</v>
      </c>
      <c r="K54" s="464">
        <v>135128.66758536885</v>
      </c>
      <c r="L54" s="464">
        <v>244320.96996099738</v>
      </c>
      <c r="M54" s="464">
        <v>274071.56805595569</v>
      </c>
      <c r="N54" s="464">
        <v>24016.082428229704</v>
      </c>
      <c r="O54" s="465">
        <f t="shared" si="9"/>
        <v>6677167.4227215024</v>
      </c>
      <c r="P54" s="463"/>
      <c r="Q54">
        <f t="shared" si="10"/>
        <v>0.16826453099950112</v>
      </c>
      <c r="R54"/>
    </row>
    <row r="55" spans="3:40">
      <c r="C55" s="208"/>
      <c r="D55" s="461" t="s">
        <v>340</v>
      </c>
      <c r="E55" s="464">
        <v>26073.434700993646</v>
      </c>
      <c r="F55" s="464">
        <v>104235.16358749576</v>
      </c>
      <c r="G55" s="464">
        <v>154250.04971700304</v>
      </c>
      <c r="H55" s="464">
        <v>117894.5696764521</v>
      </c>
      <c r="I55" s="464">
        <v>109408.93051881704</v>
      </c>
      <c r="J55" s="464">
        <v>2204.8880483488142</v>
      </c>
      <c r="K55" s="464">
        <v>14130.756333665282</v>
      </c>
      <c r="L55" s="464">
        <v>23767.593869116514</v>
      </c>
      <c r="M55" s="464">
        <v>26393.252218524201</v>
      </c>
      <c r="N55" s="464">
        <v>10939.107139701724</v>
      </c>
      <c r="O55" s="465">
        <f t="shared" si="9"/>
        <v>589297.74581011815</v>
      </c>
      <c r="P55" s="463"/>
      <c r="Q55">
        <f t="shared" si="10"/>
        <v>1.485029542323317E-2</v>
      </c>
      <c r="R55"/>
      <c r="Z55" s="559"/>
      <c r="AE55" s="559"/>
    </row>
    <row r="56" spans="3:40">
      <c r="C56" s="208"/>
      <c r="D56" s="461" t="s">
        <v>335</v>
      </c>
      <c r="E56" s="464">
        <v>9706545.6994228233</v>
      </c>
      <c r="F56" s="464">
        <v>3637228.8599640117</v>
      </c>
      <c r="G56" s="464">
        <v>5964654.1849874081</v>
      </c>
      <c r="H56" s="464">
        <v>4272864.5699783517</v>
      </c>
      <c r="I56" s="464">
        <v>238033.66678966649</v>
      </c>
      <c r="J56" s="464">
        <v>820829.58570062707</v>
      </c>
      <c r="K56" s="464">
        <v>554966.13144867949</v>
      </c>
      <c r="L56" s="464">
        <v>1003413.0133443634</v>
      </c>
      <c r="M56" s="464">
        <v>1125597.1111237095</v>
      </c>
      <c r="N56" s="464">
        <v>98632.751997847401</v>
      </c>
      <c r="O56" s="465">
        <f t="shared" si="9"/>
        <v>27422765.574757487</v>
      </c>
      <c r="P56" s="463"/>
      <c r="Q56">
        <f t="shared" si="10"/>
        <v>0.69105333085464704</v>
      </c>
      <c r="R56"/>
      <c r="V56" s="559"/>
      <c r="Z56" s="559"/>
      <c r="AE56" s="559"/>
    </row>
    <row r="57" spans="3:40">
      <c r="C57" s="208"/>
      <c r="D57" s="461" t="s">
        <v>899</v>
      </c>
      <c r="E57" s="464">
        <v>1207325.6209049083</v>
      </c>
      <c r="F57" s="464">
        <v>452408.06850478449</v>
      </c>
      <c r="G57" s="464">
        <v>741899.3368362945</v>
      </c>
      <c r="H57" s="464">
        <v>531470.10581719596</v>
      </c>
      <c r="I57" s="464">
        <v>29607.251998019718</v>
      </c>
      <c r="J57" s="464">
        <v>16538.014703512446</v>
      </c>
      <c r="K57" s="464">
        <v>11181.417192724213</v>
      </c>
      <c r="L57" s="464">
        <v>20216.692304311193</v>
      </c>
      <c r="M57" s="464">
        <v>22678.448606486214</v>
      </c>
      <c r="N57" s="464">
        <v>1987.2455028481695</v>
      </c>
      <c r="O57" s="465">
        <f t="shared" si="9"/>
        <v>3035312.2023710855</v>
      </c>
      <c r="P57" s="463"/>
      <c r="Q57">
        <f t="shared" si="10"/>
        <v>7.6489827472510236E-2</v>
      </c>
      <c r="R57"/>
    </row>
    <row r="58" spans="3:40">
      <c r="C58" s="208"/>
      <c r="D58" s="461"/>
      <c r="E58" s="464">
        <f>SUM(E51:E57)</f>
        <v>14115141.36881203</v>
      </c>
      <c r="F58" s="464">
        <f t="shared" ref="F58:N58" si="11">SUM(F51:F57)</f>
        <v>5440898.9440382924</v>
      </c>
      <c r="G58" s="464">
        <f t="shared" si="11"/>
        <v>8840715.9535090216</v>
      </c>
      <c r="H58" s="464">
        <f t="shared" si="11"/>
        <v>5962628.7642799299</v>
      </c>
      <c r="I58" s="464">
        <f t="shared" si="11"/>
        <v>435008.65149463597</v>
      </c>
      <c r="J58" s="464">
        <f t="shared" si="11"/>
        <v>1131876.5662213448</v>
      </c>
      <c r="K58" s="464">
        <f t="shared" si="11"/>
        <v>781821.8523961053</v>
      </c>
      <c r="L58" s="464">
        <f t="shared" si="11"/>
        <v>1390152.7806473877</v>
      </c>
      <c r="M58" s="464">
        <f t="shared" si="11"/>
        <v>1448740.3800046756</v>
      </c>
      <c r="N58" s="464">
        <f t="shared" si="11"/>
        <v>135575.18706862701</v>
      </c>
      <c r="O58" s="465">
        <f t="shared" si="9"/>
        <v>39682560.448472053</v>
      </c>
      <c r="P58" s="463"/>
      <c r="Q58">
        <f t="shared" si="10"/>
        <v>1</v>
      </c>
      <c r="R58"/>
      <c r="Z58" s="559"/>
    </row>
    <row r="59" spans="3:40">
      <c r="C59" s="208"/>
      <c r="D59" s="461" t="s">
        <v>900</v>
      </c>
      <c r="E59" s="464" t="str">
        <f>IF(AE$1580&gt;0,#REF!/IF($U$1582="MWh/a",1000,IF($U$1582="GWh/a",1000000)),"")</f>
        <v/>
      </c>
      <c r="F59" s="464" t="str">
        <f>IF(AG$1580&gt;0,#REF!/IF($U$1582="MWh/a",1000,IF($U$1582="GWh/a",1000000)),"")</f>
        <v/>
      </c>
      <c r="G59" s="464" t="str">
        <f>IF(AO$1580&gt;0,#REF!/IF($U$1582="MWh/a",1000,IF($U$1582="GWh/a",1000000)),"")</f>
        <v/>
      </c>
      <c r="H59" s="464" t="str">
        <f>IF(AQ$1580&gt;0,#REF!/IF($U$1582="MWh/a",1000,IF($U$1582="GWh/a",1000000)),"")</f>
        <v/>
      </c>
      <c r="I59" s="464" t="str">
        <f>IF(AH$1580&gt;0,#REF!/IF($U$1582="MWh/a",1000,IF($U$1582="GWh/a",1000000)),"")</f>
        <v/>
      </c>
      <c r="J59" s="464" t="str">
        <f>IF(AJ$1580&gt;0,#REF!/IF($U$1582="MWh/a",1000,IF($U$1582="GWh/a",1000000)),"")</f>
        <v/>
      </c>
      <c r="L59" s="463"/>
      <c r="N59" s="463"/>
      <c r="O59" s="465">
        <f t="shared" si="9"/>
        <v>0</v>
      </c>
      <c r="P59" s="463"/>
      <c r="R59"/>
      <c r="AL59" s="563">
        <f>P15+P24</f>
        <v>1.0402807925241755</v>
      </c>
      <c r="AN59">
        <f>AN45+AN48</f>
        <v>0</v>
      </c>
    </row>
    <row r="60" spans="3:40" ht="14.4">
      <c r="C60" s="208"/>
      <c r="H60" s="46"/>
      <c r="I60" s="130"/>
      <c r="J60" s="130"/>
      <c r="R60"/>
      <c r="T60" s="528"/>
      <c r="Z60" s="559"/>
      <c r="AL60" s="563">
        <f>P16+P25</f>
        <v>1.8219103465267699</v>
      </c>
      <c r="AN60">
        <f>AN44+AN47</f>
        <v>0</v>
      </c>
    </row>
    <row r="61" spans="3:40" ht="14.4">
      <c r="C61" s="208"/>
      <c r="H61" s="46"/>
      <c r="I61" s="130"/>
      <c r="J61" s="130"/>
      <c r="R61"/>
      <c r="T61" s="528"/>
      <c r="U61" s="530"/>
      <c r="V61" s="559"/>
    </row>
    <row r="62" spans="3:40" ht="18">
      <c r="C62" s="208"/>
      <c r="D62" s="246" t="s">
        <v>991</v>
      </c>
      <c r="E62" s="247"/>
      <c r="F62" s="247"/>
      <c r="G62" s="247"/>
      <c r="H62" s="247"/>
      <c r="I62" s="247"/>
      <c r="J62" s="247"/>
      <c r="K62" s="247"/>
      <c r="R62"/>
      <c r="Z62" s="559"/>
    </row>
    <row r="63" spans="3:40">
      <c r="C63" s="208"/>
      <c r="D63" s="247"/>
      <c r="E63" s="247"/>
      <c r="F63" s="247"/>
      <c r="G63" s="247"/>
      <c r="H63" s="247"/>
      <c r="I63" s="247"/>
      <c r="J63" s="247"/>
      <c r="K63" s="247"/>
      <c r="R63"/>
      <c r="V63" s="559"/>
      <c r="Z63" s="559"/>
    </row>
    <row r="64" spans="3:40" ht="14.4">
      <c r="C64" s="208"/>
      <c r="D64" s="247"/>
      <c r="E64" s="248">
        <v>2009</v>
      </c>
      <c r="F64" s="247"/>
      <c r="G64" s="247"/>
      <c r="H64" s="248">
        <v>2012</v>
      </c>
      <c r="I64" s="247"/>
      <c r="J64" s="247"/>
      <c r="K64" s="247"/>
      <c r="R64"/>
    </row>
    <row r="65" spans="3:36" ht="18">
      <c r="C65" s="208"/>
      <c r="D65" s="247"/>
      <c r="E65" s="248" t="s">
        <v>934</v>
      </c>
      <c r="F65" s="247"/>
      <c r="G65" s="247"/>
      <c r="H65" s="248" t="s">
        <v>934</v>
      </c>
      <c r="I65" s="247"/>
      <c r="J65" s="247"/>
      <c r="K65" s="247"/>
      <c r="L65" s="529" t="s">
        <v>990</v>
      </c>
      <c r="M65" s="528"/>
      <c r="R65"/>
    </row>
    <row r="66" spans="3:36" ht="14.4">
      <c r="C66" s="208"/>
      <c r="D66" s="247"/>
      <c r="E66" s="248" t="s">
        <v>147</v>
      </c>
      <c r="F66" s="248" t="s">
        <v>935</v>
      </c>
      <c r="G66" s="248"/>
      <c r="H66" s="248" t="s">
        <v>147</v>
      </c>
      <c r="I66" s="248" t="s">
        <v>935</v>
      </c>
      <c r="J66" s="247"/>
      <c r="K66" s="247"/>
      <c r="M66" s="530">
        <v>2009</v>
      </c>
      <c r="R66"/>
      <c r="V66" s="559"/>
    </row>
    <row r="67" spans="3:36" ht="14.4">
      <c r="C67" s="208"/>
      <c r="D67" s="248" t="s">
        <v>936</v>
      </c>
      <c r="E67" s="515">
        <v>14513</v>
      </c>
      <c r="F67" s="247">
        <v>583</v>
      </c>
      <c r="G67" s="516">
        <f>F67/E67</f>
        <v>4.0170881278853439E-2</v>
      </c>
      <c r="H67" s="515">
        <v>12564</v>
      </c>
      <c r="I67" s="247">
        <v>837</v>
      </c>
      <c r="J67" s="517">
        <f t="shared" ref="J67:J74" si="12">I67/H67</f>
        <v>6.6618911174785106E-2</v>
      </c>
      <c r="K67" s="247" t="s">
        <v>937</v>
      </c>
      <c r="L67" s="530" t="s">
        <v>951</v>
      </c>
      <c r="M67" s="528">
        <v>100</v>
      </c>
      <c r="R67"/>
      <c r="X67" s="207"/>
    </row>
    <row r="68" spans="3:36" ht="14.4">
      <c r="C68" s="208"/>
      <c r="D68" s="248" t="s">
        <v>938</v>
      </c>
      <c r="E68" s="515">
        <v>20845</v>
      </c>
      <c r="F68" s="247">
        <v>146</v>
      </c>
      <c r="G68" s="516">
        <f t="shared" ref="G68:G74" si="13">F68/E68</f>
        <v>7.0040777164787722E-3</v>
      </c>
      <c r="H68" s="515">
        <v>20783</v>
      </c>
      <c r="I68" s="247">
        <v>355</v>
      </c>
      <c r="J68" s="517">
        <f t="shared" si="12"/>
        <v>1.7081268344319878E-2</v>
      </c>
      <c r="K68" s="247" t="s">
        <v>939</v>
      </c>
      <c r="L68" s="530" t="s">
        <v>952</v>
      </c>
      <c r="M68" s="528">
        <v>7</v>
      </c>
      <c r="R68"/>
      <c r="V68" s="559"/>
      <c r="X68" s="207"/>
    </row>
    <row r="69" spans="3:36" ht="14.4">
      <c r="C69" s="208"/>
      <c r="D69" s="248" t="s">
        <v>940</v>
      </c>
      <c r="E69" s="515">
        <v>26596</v>
      </c>
      <c r="F69" s="247">
        <v>33</v>
      </c>
      <c r="G69" s="516">
        <f t="shared" si="13"/>
        <v>1.240788088434351E-3</v>
      </c>
      <c r="H69" s="515">
        <v>26392</v>
      </c>
      <c r="I69" s="247">
        <v>203</v>
      </c>
      <c r="J69" s="517">
        <f t="shared" si="12"/>
        <v>7.6917247650803277E-3</v>
      </c>
      <c r="K69" s="247" t="s">
        <v>941</v>
      </c>
      <c r="L69" s="530" t="s">
        <v>953</v>
      </c>
      <c r="M69" s="528">
        <v>48</v>
      </c>
      <c r="R69"/>
      <c r="V69" s="559"/>
    </row>
    <row r="70" spans="3:36" ht="14.4">
      <c r="C70" s="208"/>
      <c r="D70" s="248" t="s">
        <v>942</v>
      </c>
      <c r="E70" s="515">
        <v>22527</v>
      </c>
      <c r="F70" s="247">
        <v>26</v>
      </c>
      <c r="G70" s="516">
        <f t="shared" si="13"/>
        <v>1.1541705508944821E-3</v>
      </c>
      <c r="H70" s="515">
        <v>21242</v>
      </c>
      <c r="I70" s="247">
        <v>36</v>
      </c>
      <c r="J70" s="517">
        <f t="shared" si="12"/>
        <v>1.6947556727238489E-3</v>
      </c>
      <c r="K70" s="247" t="s">
        <v>941</v>
      </c>
      <c r="L70" s="534" t="s">
        <v>954</v>
      </c>
      <c r="M70" s="535">
        <v>15</v>
      </c>
      <c r="R70"/>
      <c r="V70" s="559"/>
      <c r="AJ70" s="559"/>
    </row>
    <row r="71" spans="3:36" ht="14.4">
      <c r="C71" s="208"/>
      <c r="D71" s="248" t="s">
        <v>943</v>
      </c>
      <c r="E71" s="515">
        <v>19972</v>
      </c>
      <c r="F71" s="247">
        <v>206</v>
      </c>
      <c r="G71" s="516">
        <f t="shared" si="13"/>
        <v>1.0314440216302824E-2</v>
      </c>
      <c r="H71" s="515">
        <v>20565</v>
      </c>
      <c r="I71" s="247">
        <v>208</v>
      </c>
      <c r="J71" s="517">
        <f t="shared" si="12"/>
        <v>1.011427182105519E-2</v>
      </c>
      <c r="K71" s="247" t="s">
        <v>944</v>
      </c>
      <c r="L71" s="530" t="s">
        <v>955</v>
      </c>
      <c r="M71" s="528">
        <v>14</v>
      </c>
      <c r="R71"/>
      <c r="V71" s="559"/>
      <c r="AJ71" s="559"/>
    </row>
    <row r="72" spans="3:36" ht="14.4">
      <c r="C72" s="208"/>
      <c r="D72" s="248" t="s">
        <v>945</v>
      </c>
      <c r="E72" s="515">
        <v>19172</v>
      </c>
      <c r="F72" s="247">
        <v>263</v>
      </c>
      <c r="G72" s="516">
        <f t="shared" si="13"/>
        <v>1.371792196953891E-2</v>
      </c>
      <c r="H72" s="515">
        <v>20194</v>
      </c>
      <c r="I72" s="247">
        <v>41</v>
      </c>
      <c r="J72" s="517">
        <f t="shared" si="12"/>
        <v>2.0303060314945031E-3</v>
      </c>
      <c r="K72" s="247" t="s">
        <v>941</v>
      </c>
      <c r="L72" s="530" t="s">
        <v>956</v>
      </c>
      <c r="M72" s="528">
        <v>1</v>
      </c>
      <c r="R72"/>
      <c r="AJ72" s="559"/>
    </row>
    <row r="73" spans="3:36" ht="14.4">
      <c r="C73" s="208"/>
      <c r="D73" s="248" t="s">
        <v>946</v>
      </c>
      <c r="E73" s="515">
        <v>20846</v>
      </c>
      <c r="F73" s="247">
        <v>149</v>
      </c>
      <c r="G73" s="516">
        <f t="shared" si="13"/>
        <v>7.1476542262304517E-3</v>
      </c>
      <c r="H73" s="515">
        <v>19522</v>
      </c>
      <c r="I73" s="247">
        <v>684</v>
      </c>
      <c r="J73" s="517">
        <f t="shared" si="12"/>
        <v>3.5037393709660893E-2</v>
      </c>
      <c r="K73" s="247" t="s">
        <v>944</v>
      </c>
      <c r="L73" s="530" t="s">
        <v>957</v>
      </c>
      <c r="M73" s="528">
        <v>1</v>
      </c>
      <c r="R73"/>
    </row>
    <row r="74" spans="3:36" ht="14.4">
      <c r="C74" s="208"/>
      <c r="D74" s="248" t="s">
        <v>947</v>
      </c>
      <c r="E74" s="515">
        <v>20919</v>
      </c>
      <c r="F74" s="247">
        <v>33</v>
      </c>
      <c r="G74" s="516">
        <f t="shared" si="13"/>
        <v>1.5775132654524595E-3</v>
      </c>
      <c r="H74" s="515">
        <v>23056</v>
      </c>
      <c r="I74" s="247">
        <v>73</v>
      </c>
      <c r="J74" s="517">
        <f t="shared" si="12"/>
        <v>3.1662040249826511E-3</v>
      </c>
      <c r="K74" s="247" t="s">
        <v>941</v>
      </c>
      <c r="L74" s="530" t="s">
        <v>958</v>
      </c>
      <c r="M74" s="528">
        <v>17</v>
      </c>
      <c r="R74"/>
      <c r="AJ74" s="559"/>
    </row>
    <row r="75" spans="3:36" ht="14.4">
      <c r="C75" s="208"/>
      <c r="D75"/>
      <c r="E75" s="11"/>
      <c r="F75"/>
      <c r="G75"/>
      <c r="H75"/>
      <c r="I75"/>
      <c r="J75"/>
      <c r="L75" s="530" t="s">
        <v>959</v>
      </c>
      <c r="M75" s="528">
        <v>2</v>
      </c>
      <c r="R75"/>
    </row>
    <row r="76" spans="3:36" ht="14.4">
      <c r="C76" s="208"/>
      <c r="D76"/>
      <c r="E76" s="11"/>
      <c r="F76" s="11"/>
      <c r="G76" s="11"/>
      <c r="H76" s="11"/>
      <c r="I76"/>
      <c r="J76"/>
      <c r="L76" s="530" t="s">
        <v>960</v>
      </c>
      <c r="M76" s="528">
        <v>0</v>
      </c>
      <c r="R76"/>
      <c r="AJ76" s="559"/>
    </row>
    <row r="77" spans="3:36" ht="14.4">
      <c r="C77" s="208"/>
      <c r="D77"/>
      <c r="E77" s="11"/>
      <c r="F77" s="11"/>
      <c r="G77" s="11"/>
      <c r="H77" s="11"/>
      <c r="I77"/>
      <c r="J77"/>
      <c r="L77" s="530" t="s">
        <v>961</v>
      </c>
      <c r="M77" s="528">
        <v>1</v>
      </c>
      <c r="R77"/>
    </row>
    <row r="78" spans="3:36" ht="14.4">
      <c r="C78" s="208"/>
      <c r="D78"/>
      <c r="E78" s="11"/>
      <c r="F78" s="11"/>
      <c r="G78" s="11"/>
      <c r="H78" s="11"/>
      <c r="I78"/>
      <c r="J78"/>
      <c r="L78" s="530" t="s">
        <v>962</v>
      </c>
      <c r="M78" s="528">
        <v>1</v>
      </c>
      <c r="R78"/>
      <c r="AJ78" s="559"/>
    </row>
    <row r="79" spans="3:36" ht="14.4">
      <c r="C79" s="208"/>
      <c r="D79"/>
      <c r="E79" s="11"/>
      <c r="F79" s="11"/>
      <c r="G79" s="11"/>
      <c r="H79" s="11"/>
      <c r="I79"/>
      <c r="J79"/>
      <c r="L79" s="530" t="s">
        <v>963</v>
      </c>
      <c r="M79" s="528">
        <v>2</v>
      </c>
      <c r="R79"/>
      <c r="AJ79" s="559"/>
    </row>
    <row r="80" spans="3:36" ht="14.4">
      <c r="C80" s="208"/>
      <c r="D80"/>
      <c r="E80" s="11"/>
      <c r="F80" s="11"/>
      <c r="G80" s="11"/>
      <c r="H80" s="11"/>
      <c r="I80"/>
      <c r="J80"/>
      <c r="L80" s="530" t="s">
        <v>964</v>
      </c>
      <c r="M80" s="528">
        <v>6</v>
      </c>
      <c r="R80"/>
    </row>
    <row r="81" spans="2:31" ht="14.4">
      <c r="C81" s="208"/>
      <c r="D81"/>
      <c r="E81" s="11"/>
      <c r="F81" s="11"/>
      <c r="G81" s="11"/>
      <c r="H81" s="11"/>
      <c r="I81"/>
      <c r="J81"/>
      <c r="L81" s="530" t="s">
        <v>965</v>
      </c>
      <c r="M81" s="528">
        <v>3</v>
      </c>
      <c r="R81"/>
    </row>
    <row r="82" spans="2:31" ht="14.4">
      <c r="C82" s="208"/>
      <c r="D82"/>
      <c r="E82" s="11"/>
      <c r="F82" s="11"/>
      <c r="G82" s="11"/>
      <c r="H82" s="11"/>
      <c r="I82"/>
      <c r="J82"/>
      <c r="L82" s="530" t="s">
        <v>966</v>
      </c>
      <c r="M82" s="528">
        <v>3</v>
      </c>
      <c r="R82"/>
    </row>
    <row r="83" spans="2:31" ht="14.4">
      <c r="C83" s="208"/>
      <c r="D83"/>
      <c r="E83" s="11"/>
      <c r="F83" s="11"/>
      <c r="G83" s="11"/>
      <c r="H83" s="11"/>
      <c r="I83"/>
      <c r="J83"/>
      <c r="L83" s="530" t="s">
        <v>967</v>
      </c>
      <c r="M83" s="528">
        <v>3</v>
      </c>
      <c r="R83"/>
    </row>
    <row r="84" spans="2:31" ht="14.4">
      <c r="C84" s="208"/>
      <c r="D84"/>
      <c r="E84" s="11"/>
      <c r="F84"/>
      <c r="G84"/>
      <c r="H84"/>
      <c r="I84"/>
      <c r="J84"/>
      <c r="L84" s="530" t="s">
        <v>968</v>
      </c>
      <c r="M84" s="528">
        <v>1</v>
      </c>
      <c r="R84"/>
    </row>
    <row r="85" spans="2:31" ht="14.4">
      <c r="C85" s="208"/>
      <c r="D85"/>
      <c r="E85" s="11"/>
      <c r="F85"/>
      <c r="G85"/>
      <c r="H85"/>
      <c r="I85"/>
      <c r="J85"/>
      <c r="L85" s="530" t="s">
        <v>969</v>
      </c>
      <c r="M85" s="528">
        <v>0</v>
      </c>
      <c r="R85"/>
    </row>
    <row r="86" spans="2:31" ht="14.4">
      <c r="C86" s="208"/>
      <c r="D86"/>
      <c r="E86" s="11"/>
      <c r="F86"/>
      <c r="G86"/>
      <c r="H86"/>
      <c r="I86"/>
      <c r="J86"/>
      <c r="L86" s="530" t="s">
        <v>970</v>
      </c>
      <c r="M86" s="528">
        <v>1</v>
      </c>
      <c r="R86"/>
    </row>
    <row r="87" spans="2:31" ht="14.4">
      <c r="C87" s="208"/>
      <c r="D87"/>
      <c r="E87" s="11"/>
      <c r="F87"/>
      <c r="G87"/>
      <c r="H87"/>
      <c r="I87"/>
      <c r="J87"/>
      <c r="L87" s="530" t="s">
        <v>971</v>
      </c>
      <c r="M87" s="528">
        <v>1</v>
      </c>
      <c r="R87"/>
    </row>
    <row r="88" spans="2:31" ht="14.4">
      <c r="C88" s="208"/>
      <c r="D88"/>
      <c r="E88" s="11"/>
      <c r="F88"/>
      <c r="G88"/>
      <c r="H88"/>
      <c r="I88"/>
      <c r="J88"/>
      <c r="L88" s="530" t="s">
        <v>972</v>
      </c>
      <c r="M88" s="528">
        <v>0</v>
      </c>
      <c r="R88"/>
    </row>
    <row r="89" spans="2:31" ht="14.4">
      <c r="B89" s="11"/>
      <c r="C89" s="11"/>
      <c r="E89" s="8"/>
      <c r="F89" s="513"/>
      <c r="G89"/>
      <c r="H89"/>
      <c r="I89"/>
      <c r="J89"/>
      <c r="L89" s="530" t="s">
        <v>973</v>
      </c>
      <c r="M89" s="528">
        <v>0</v>
      </c>
      <c r="R89"/>
    </row>
    <row r="90" spans="2:31">
      <c r="B90" s="11"/>
      <c r="C90" s="11"/>
      <c r="E90" s="8"/>
      <c r="F90" s="513"/>
      <c r="G90" s="208"/>
      <c r="H90" s="208"/>
      <c r="I90" s="208"/>
      <c r="J90" s="208"/>
      <c r="K90" s="208"/>
      <c r="L90" s="208"/>
      <c r="M90" s="208"/>
      <c r="N90" s="208"/>
      <c r="O90" s="208"/>
      <c r="P90" s="208"/>
      <c r="Q90" s="208"/>
      <c r="R90" s="208"/>
      <c r="S90" s="208"/>
      <c r="T90" s="208"/>
      <c r="U90" s="208"/>
      <c r="V90" s="208"/>
      <c r="W90" s="208"/>
      <c r="X90" s="208"/>
      <c r="Y90" s="208"/>
      <c r="Z90" s="208"/>
      <c r="AA90" s="208"/>
      <c r="AB90" s="208"/>
      <c r="AC90" s="208"/>
      <c r="AD90" s="208"/>
      <c r="AE90" s="208"/>
    </row>
    <row r="91" spans="2:31">
      <c r="B91" s="208"/>
      <c r="C91" s="208"/>
      <c r="D91" s="208"/>
      <c r="E91" s="208"/>
      <c r="F91" s="208"/>
      <c r="G91" s="208"/>
      <c r="H91" s="208"/>
      <c r="I91" s="208"/>
      <c r="J91" s="208"/>
      <c r="K91" s="208"/>
      <c r="L91" s="208"/>
      <c r="M91" s="208"/>
      <c r="N91" s="208"/>
      <c r="O91" s="208"/>
      <c r="P91" s="208"/>
      <c r="Q91" s="208"/>
      <c r="R91" s="208"/>
      <c r="S91" s="208"/>
      <c r="T91" s="208"/>
      <c r="U91" s="208"/>
      <c r="V91" s="208"/>
      <c r="W91" s="208"/>
      <c r="X91" s="208"/>
      <c r="Y91" s="208"/>
      <c r="Z91" s="208"/>
      <c r="AA91" s="208"/>
      <c r="AB91" s="208"/>
      <c r="AC91" s="208"/>
      <c r="AD91" s="208"/>
      <c r="AE91" s="208"/>
    </row>
    <row r="92" spans="2:31">
      <c r="B92" s="208"/>
      <c r="C92" s="208"/>
      <c r="D92" s="208"/>
      <c r="E92" s="208"/>
      <c r="F92" s="208"/>
      <c r="G92" s="208"/>
      <c r="H92" s="208"/>
      <c r="I92" s="208"/>
      <c r="J92" s="208"/>
      <c r="K92" s="208"/>
      <c r="L92" s="208"/>
      <c r="M92" s="208"/>
      <c r="N92" s="208"/>
      <c r="O92" s="208"/>
      <c r="P92" s="208"/>
      <c r="Q92" s="208"/>
      <c r="R92" s="208"/>
      <c r="S92" s="208"/>
      <c r="T92" s="208"/>
      <c r="U92" s="208"/>
      <c r="V92" s="208"/>
      <c r="W92" s="208"/>
      <c r="X92" s="208"/>
      <c r="Y92" s="208"/>
      <c r="Z92" s="208"/>
      <c r="AA92" s="208"/>
      <c r="AB92" s="208"/>
      <c r="AC92" s="208"/>
      <c r="AD92" s="208"/>
      <c r="AE92" s="208"/>
    </row>
    <row r="93" spans="2:31">
      <c r="B93" s="208"/>
      <c r="C93" s="208"/>
      <c r="D93" s="208"/>
      <c r="E93" s="208"/>
      <c r="F93" s="208"/>
      <c r="G93" s="208"/>
      <c r="H93" s="208"/>
      <c r="I93" s="208"/>
      <c r="J93" s="208"/>
      <c r="K93" s="208"/>
      <c r="L93" s="208"/>
      <c r="M93" s="208"/>
      <c r="N93" s="208"/>
      <c r="O93" s="208"/>
      <c r="P93" s="208"/>
      <c r="Q93" s="208"/>
      <c r="R93" s="208"/>
      <c r="S93" s="208"/>
      <c r="T93" s="208"/>
      <c r="U93" s="208"/>
      <c r="V93" s="208"/>
      <c r="W93" s="208"/>
      <c r="X93" s="208"/>
      <c r="Y93" s="208"/>
      <c r="Z93" s="208"/>
      <c r="AA93" s="208"/>
      <c r="AB93" s="208"/>
      <c r="AC93" s="208"/>
      <c r="AD93" s="208"/>
      <c r="AE93" s="208"/>
    </row>
    <row r="94" spans="2:31">
      <c r="B94" s="208"/>
      <c r="C94" s="208"/>
      <c r="D94" s="208"/>
      <c r="E94" s="208"/>
      <c r="F94" s="208"/>
      <c r="G94" s="208"/>
      <c r="H94" s="208"/>
      <c r="I94" s="208"/>
      <c r="J94" s="208"/>
      <c r="K94" s="208"/>
      <c r="L94" s="208"/>
      <c r="M94" s="208"/>
      <c r="N94" s="208"/>
      <c r="O94" s="208"/>
      <c r="P94" s="208"/>
      <c r="Q94" s="208"/>
      <c r="R94" s="208"/>
      <c r="S94" s="208"/>
      <c r="T94" s="208"/>
      <c r="U94" s="208"/>
      <c r="V94" s="208"/>
      <c r="W94" s="208"/>
      <c r="X94" s="208"/>
      <c r="Y94" s="208"/>
      <c r="Z94" s="208"/>
      <c r="AA94" s="208"/>
      <c r="AB94" s="208"/>
      <c r="AC94" s="208"/>
      <c r="AD94" s="208"/>
      <c r="AE94" s="208"/>
    </row>
    <row r="95" spans="2:31">
      <c r="B95" s="208"/>
      <c r="C95" s="208"/>
      <c r="D95" s="208"/>
      <c r="E95" s="208"/>
      <c r="F95" s="208"/>
      <c r="G95" s="208"/>
      <c r="H95" s="208"/>
      <c r="I95" s="208"/>
      <c r="J95" s="208"/>
      <c r="K95" s="208"/>
      <c r="L95" s="208"/>
      <c r="M95" s="208"/>
      <c r="N95" s="208"/>
      <c r="O95" s="208"/>
      <c r="P95" s="208"/>
      <c r="Q95" s="208"/>
      <c r="R95" s="208"/>
      <c r="S95" s="208"/>
      <c r="T95" s="208"/>
      <c r="U95" s="208"/>
      <c r="V95" s="208"/>
      <c r="W95" s="208"/>
      <c r="X95" s="208"/>
      <c r="Y95" s="208"/>
      <c r="Z95" s="208"/>
      <c r="AA95" s="208"/>
      <c r="AB95" s="208"/>
      <c r="AC95" s="208"/>
      <c r="AD95" s="208"/>
      <c r="AE95" s="208"/>
    </row>
    <row r="96" spans="2:31">
      <c r="B96" s="208"/>
      <c r="C96" s="208"/>
      <c r="D96" s="208"/>
      <c r="E96" s="208"/>
      <c r="F96" s="208"/>
      <c r="G96" s="208"/>
      <c r="H96" s="208"/>
      <c r="I96" s="208"/>
      <c r="J96" s="208"/>
      <c r="K96" s="208"/>
      <c r="L96" s="208"/>
      <c r="M96" s="208"/>
      <c r="N96" s="208"/>
      <c r="O96" s="208"/>
      <c r="P96" s="208"/>
      <c r="Q96" s="208"/>
      <c r="R96" s="208"/>
      <c r="S96" s="208"/>
      <c r="T96" s="208"/>
      <c r="U96" s="208"/>
      <c r="V96" s="208"/>
      <c r="W96" s="208"/>
      <c r="X96" s="208"/>
      <c r="Y96" s="208"/>
      <c r="Z96" s="208"/>
      <c r="AA96" s="208"/>
      <c r="AB96" s="208"/>
      <c r="AC96" s="208"/>
      <c r="AD96" s="208"/>
      <c r="AE96" s="208"/>
    </row>
    <row r="97" spans="2:31">
      <c r="B97" s="208"/>
      <c r="C97" s="208"/>
      <c r="D97" s="208"/>
      <c r="E97" s="208"/>
      <c r="F97" s="208"/>
      <c r="G97" s="208"/>
      <c r="H97" s="208"/>
      <c r="I97" s="208"/>
      <c r="J97" s="208"/>
      <c r="K97" s="208"/>
      <c r="L97" s="208"/>
      <c r="M97" s="208"/>
      <c r="N97" s="208"/>
      <c r="O97" s="208"/>
      <c r="P97" s="208"/>
      <c r="Q97" s="208"/>
      <c r="R97" s="208"/>
      <c r="S97" s="208"/>
      <c r="T97" s="208"/>
      <c r="U97" s="208"/>
      <c r="V97" s="208"/>
      <c r="W97" s="208"/>
      <c r="X97" s="208"/>
      <c r="Y97" s="208"/>
      <c r="Z97" s="208"/>
      <c r="AA97" s="208"/>
      <c r="AB97" s="208"/>
      <c r="AC97" s="208"/>
      <c r="AD97" s="208"/>
      <c r="AE97" s="208"/>
    </row>
    <row r="98" spans="2:31">
      <c r="B98" s="208"/>
      <c r="C98" s="208"/>
      <c r="D98" s="208"/>
      <c r="E98" s="208"/>
      <c r="F98" s="208"/>
      <c r="G98" s="208"/>
      <c r="H98" s="208"/>
      <c r="I98" s="208"/>
      <c r="J98" s="208"/>
      <c r="K98" s="208"/>
      <c r="L98" s="208"/>
      <c r="M98" s="208"/>
      <c r="N98" s="208"/>
      <c r="O98" s="208"/>
      <c r="P98" s="208"/>
      <c r="Q98" s="208"/>
      <c r="R98" s="208"/>
      <c r="S98" s="208"/>
      <c r="T98" s="208"/>
      <c r="U98" s="208"/>
      <c r="V98" s="208"/>
      <c r="W98" s="208"/>
      <c r="X98" s="208"/>
      <c r="Y98" s="208"/>
      <c r="Z98" s="208"/>
      <c r="AA98" s="208"/>
      <c r="AB98" s="208"/>
      <c r="AC98" s="208"/>
      <c r="AD98" s="208"/>
      <c r="AE98" s="208"/>
    </row>
    <row r="99" spans="2:31">
      <c r="B99" s="208"/>
      <c r="C99" s="208"/>
      <c r="D99" s="208"/>
      <c r="E99" s="208"/>
      <c r="F99" s="208"/>
      <c r="G99" s="208"/>
      <c r="H99" s="208"/>
      <c r="I99" s="208"/>
      <c r="J99" s="208"/>
      <c r="K99" s="208"/>
      <c r="L99" s="208"/>
      <c r="M99" s="208"/>
      <c r="N99" s="208"/>
      <c r="O99" s="208"/>
      <c r="P99" s="208"/>
      <c r="Q99" s="208"/>
      <c r="R99" s="208"/>
      <c r="S99" s="208"/>
      <c r="T99" s="208"/>
      <c r="U99" s="208"/>
      <c r="V99" s="208"/>
      <c r="W99" s="208"/>
      <c r="X99" s="208"/>
      <c r="Y99" s="208"/>
      <c r="Z99" s="208"/>
      <c r="AA99" s="208"/>
      <c r="AB99" s="208"/>
      <c r="AC99" s="208"/>
      <c r="AD99" s="208"/>
      <c r="AE99" s="208"/>
    </row>
    <row r="100" spans="2:31">
      <c r="B100" s="208"/>
      <c r="C100" s="208"/>
      <c r="D100" s="208"/>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c r="AA100" s="208"/>
      <c r="AB100" s="208"/>
      <c r="AC100" s="208"/>
      <c r="AD100" s="208"/>
      <c r="AE100" s="208"/>
    </row>
    <row r="101" spans="2:31">
      <c r="B101" s="208"/>
      <c r="C101" s="208"/>
      <c r="D101" s="208"/>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c r="AA101" s="208"/>
      <c r="AB101" s="208"/>
      <c r="AC101" s="208"/>
      <c r="AD101" s="208"/>
      <c r="AE101" s="208"/>
    </row>
    <row r="102" spans="2:31">
      <c r="B102" s="208"/>
      <c r="C102" s="208"/>
      <c r="D102" s="208"/>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c r="AA102" s="208"/>
      <c r="AB102" s="208"/>
      <c r="AC102" s="208"/>
      <c r="AD102" s="208"/>
      <c r="AE102" s="208"/>
    </row>
    <row r="103" spans="2:31">
      <c r="B103" s="208"/>
      <c r="C103" s="208"/>
      <c r="D103" s="208"/>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c r="AA103" s="208"/>
      <c r="AB103" s="208"/>
      <c r="AC103" s="208"/>
      <c r="AD103" s="208"/>
      <c r="AE103" s="208"/>
    </row>
    <row r="104" spans="2:31">
      <c r="B104" s="208"/>
      <c r="C104" s="208"/>
      <c r="D104" s="208"/>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c r="AA104" s="208"/>
      <c r="AB104" s="208"/>
      <c r="AC104" s="208"/>
      <c r="AD104" s="208"/>
      <c r="AE104" s="208"/>
    </row>
    <row r="105" spans="2:31">
      <c r="B105" s="208"/>
      <c r="C105" s="208"/>
      <c r="D105" s="208"/>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c r="AA105" s="208"/>
      <c r="AB105" s="208"/>
      <c r="AC105" s="208"/>
      <c r="AD105" s="208"/>
      <c r="AE105" s="208"/>
    </row>
    <row r="106" spans="2:31">
      <c r="B106" s="208"/>
      <c r="C106" s="208"/>
      <c r="D106" s="208"/>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c r="AA106" s="208"/>
      <c r="AB106" s="208"/>
      <c r="AC106" s="208"/>
      <c r="AD106" s="208"/>
      <c r="AE106" s="208"/>
    </row>
    <row r="107" spans="2:31">
      <c r="B107" s="208"/>
      <c r="C107" s="208"/>
      <c r="D107" s="208"/>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c r="AA107" s="208"/>
      <c r="AB107" s="208"/>
      <c r="AC107" s="208"/>
      <c r="AD107" s="208"/>
      <c r="AE107" s="208"/>
    </row>
    <row r="108" spans="2:31">
      <c r="B108" s="208"/>
      <c r="C108" s="208"/>
      <c r="D108" s="208"/>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c r="AA108" s="208"/>
      <c r="AB108" s="208"/>
      <c r="AC108" s="208"/>
      <c r="AD108" s="208"/>
      <c r="AE108" s="208"/>
    </row>
    <row r="109" spans="2:31">
      <c r="B109" s="208"/>
      <c r="C109" s="208"/>
      <c r="D109" s="208"/>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c r="AA109" s="208"/>
      <c r="AB109" s="208"/>
      <c r="AC109" s="208"/>
      <c r="AD109" s="208"/>
      <c r="AE109" s="208"/>
    </row>
    <row r="110" spans="2:31">
      <c r="B110" s="208"/>
      <c r="C110" s="208"/>
      <c r="D110" s="208"/>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c r="AA110" s="208"/>
      <c r="AB110" s="208"/>
      <c r="AC110" s="208"/>
      <c r="AD110" s="208"/>
      <c r="AE110" s="208"/>
    </row>
    <row r="111" spans="2:31">
      <c r="B111" s="208"/>
      <c r="C111" s="208"/>
      <c r="D111" s="208"/>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c r="AA111" s="208"/>
      <c r="AB111" s="208"/>
      <c r="AC111" s="208"/>
      <c r="AD111" s="208"/>
      <c r="AE111" s="208"/>
    </row>
    <row r="112" spans="2:31">
      <c r="B112" s="208"/>
      <c r="C112" s="208"/>
      <c r="D112" s="208"/>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c r="AA112" s="208"/>
      <c r="AB112" s="208"/>
      <c r="AC112" s="208"/>
      <c r="AD112" s="208"/>
      <c r="AE112" s="208"/>
    </row>
    <row r="113" spans="2:31">
      <c r="B113" s="208"/>
      <c r="C113" s="208"/>
      <c r="D113" s="208"/>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c r="AA113" s="208"/>
      <c r="AB113" s="208"/>
      <c r="AC113" s="208"/>
      <c r="AD113" s="208"/>
      <c r="AE113" s="208"/>
    </row>
    <row r="114" spans="2:31">
      <c r="B114" s="208"/>
      <c r="C114" s="208"/>
      <c r="D114" s="208"/>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c r="AA114" s="208"/>
      <c r="AB114" s="208"/>
      <c r="AC114" s="208"/>
      <c r="AD114" s="208"/>
      <c r="AE114" s="208"/>
    </row>
    <row r="115" spans="2:31">
      <c r="B115" s="208"/>
      <c r="C115" s="208"/>
      <c r="D115" s="208"/>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c r="AA115" s="208"/>
      <c r="AB115" s="208"/>
      <c r="AC115" s="208"/>
      <c r="AD115" s="208"/>
      <c r="AE115" s="208"/>
    </row>
    <row r="116" spans="2:31">
      <c r="B116" s="208"/>
      <c r="C116" s="208"/>
      <c r="D116" s="208"/>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c r="AA116" s="208"/>
      <c r="AB116" s="208"/>
      <c r="AC116" s="208"/>
      <c r="AD116" s="208"/>
      <c r="AE116" s="208"/>
    </row>
    <row r="117" spans="2:31">
      <c r="B117" s="208"/>
      <c r="C117" s="208"/>
      <c r="D117" s="208"/>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c r="AA117" s="208"/>
      <c r="AB117" s="208"/>
      <c r="AC117" s="208"/>
      <c r="AD117" s="208"/>
      <c r="AE117" s="208"/>
    </row>
    <row r="118" spans="2:31">
      <c r="B118" s="208"/>
      <c r="C118" s="208"/>
      <c r="D118" s="208"/>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c r="AA118" s="208"/>
      <c r="AB118" s="208"/>
      <c r="AC118" s="208"/>
      <c r="AD118" s="208"/>
      <c r="AE118" s="208"/>
    </row>
    <row r="119" spans="2:31">
      <c r="B119" s="208"/>
      <c r="C119" s="208"/>
      <c r="D119" s="208"/>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c r="AA119" s="208"/>
      <c r="AB119" s="208"/>
      <c r="AC119" s="208"/>
      <c r="AD119" s="208"/>
      <c r="AE119" s="208"/>
    </row>
    <row r="120" spans="2:31">
      <c r="B120" s="208"/>
      <c r="C120" s="208"/>
      <c r="D120" s="208"/>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c r="AA120" s="208"/>
      <c r="AB120" s="208"/>
      <c r="AC120" s="208"/>
      <c r="AD120" s="208"/>
      <c r="AE120" s="208"/>
    </row>
    <row r="121" spans="2:31">
      <c r="B121" s="208"/>
      <c r="C121" s="208"/>
      <c r="D121" s="208"/>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c r="AA121" s="208"/>
      <c r="AB121" s="208"/>
      <c r="AC121" s="208"/>
      <c r="AD121" s="208"/>
      <c r="AE121" s="208"/>
    </row>
    <row r="122" spans="2:31">
      <c r="B122" s="208"/>
      <c r="C122" s="208"/>
      <c r="D122" s="208"/>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c r="AA122" s="208"/>
      <c r="AB122" s="208"/>
      <c r="AC122" s="208"/>
      <c r="AD122" s="208"/>
      <c r="AE122" s="208"/>
    </row>
    <row r="123" spans="2:31">
      <c r="B123" s="208"/>
      <c r="C123" s="208"/>
      <c r="D123" s="208"/>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c r="AA123" s="208"/>
      <c r="AB123" s="208"/>
      <c r="AC123" s="208"/>
      <c r="AD123" s="208"/>
      <c r="AE123" s="208"/>
    </row>
    <row r="124" spans="2:31">
      <c r="B124" s="208"/>
      <c r="C124" s="208"/>
      <c r="D124" s="208"/>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c r="AA124" s="208"/>
      <c r="AB124" s="208"/>
      <c r="AC124" s="208"/>
      <c r="AD124" s="208"/>
      <c r="AE124" s="208"/>
    </row>
    <row r="125" spans="2:31">
      <c r="B125" s="208"/>
      <c r="C125" s="208"/>
      <c r="D125" s="208"/>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c r="AA125" s="208"/>
      <c r="AB125" s="208"/>
      <c r="AC125" s="208"/>
      <c r="AD125" s="208"/>
      <c r="AE125" s="208"/>
    </row>
    <row r="126" spans="2:31">
      <c r="B126" s="208"/>
      <c r="C126" s="208"/>
      <c r="D126" s="208"/>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c r="AA126" s="208"/>
      <c r="AB126" s="208"/>
      <c r="AC126" s="208"/>
      <c r="AD126" s="208"/>
      <c r="AE126" s="208"/>
    </row>
    <row r="127" spans="2:31">
      <c r="B127" s="208"/>
      <c r="C127" s="208"/>
      <c r="D127" s="208"/>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c r="AA127" s="208"/>
      <c r="AB127" s="208"/>
      <c r="AC127" s="208"/>
      <c r="AD127" s="208"/>
      <c r="AE127" s="208"/>
    </row>
    <row r="128" spans="2:31">
      <c r="B128" s="208"/>
      <c r="C128" s="208"/>
      <c r="D128" s="208"/>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c r="AA128" s="208"/>
      <c r="AB128" s="208"/>
      <c r="AC128" s="208"/>
      <c r="AD128" s="208"/>
      <c r="AE128" s="208"/>
    </row>
    <row r="129" spans="2:31">
      <c r="B129" s="208"/>
      <c r="C129" s="208"/>
      <c r="D129" s="208"/>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c r="AA129" s="208"/>
      <c r="AB129" s="208"/>
      <c r="AC129" s="208"/>
      <c r="AD129" s="208"/>
      <c r="AE129" s="208"/>
    </row>
    <row r="130" spans="2:31">
      <c r="B130" s="208"/>
      <c r="C130" s="208"/>
      <c r="D130" s="208"/>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c r="AA130" s="208"/>
      <c r="AB130" s="208"/>
      <c r="AC130" s="208"/>
      <c r="AD130" s="208"/>
      <c r="AE130" s="208"/>
    </row>
    <row r="131" spans="2:31">
      <c r="B131" s="208"/>
      <c r="C131" s="208"/>
      <c r="D131" s="208"/>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c r="AA131" s="208"/>
      <c r="AB131" s="208"/>
      <c r="AC131" s="208"/>
      <c r="AD131" s="208"/>
      <c r="AE131" s="208"/>
    </row>
    <row r="132" spans="2:31">
      <c r="B132" s="208"/>
      <c r="C132" s="208"/>
      <c r="D132" s="208"/>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c r="AA132" s="208"/>
      <c r="AB132" s="208"/>
      <c r="AC132" s="208"/>
      <c r="AD132" s="208"/>
      <c r="AE132" s="208"/>
    </row>
    <row r="133" spans="2:31">
      <c r="B133" s="208"/>
      <c r="C133" s="208"/>
      <c r="D133" s="208"/>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c r="AA133" s="208"/>
      <c r="AB133" s="208"/>
      <c r="AC133" s="208"/>
      <c r="AD133" s="208"/>
      <c r="AE133" s="208"/>
    </row>
    <row r="134" spans="2:31">
      <c r="B134" s="208"/>
      <c r="C134" s="208"/>
      <c r="D134" s="208"/>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c r="AA134" s="208"/>
      <c r="AB134" s="208"/>
      <c r="AC134" s="208"/>
      <c r="AD134" s="208"/>
      <c r="AE134" s="208"/>
    </row>
    <row r="135" spans="2:31">
      <c r="B135" s="208"/>
      <c r="C135" s="208"/>
      <c r="D135" s="208"/>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c r="AA135" s="208"/>
      <c r="AB135" s="208"/>
      <c r="AC135" s="208"/>
      <c r="AD135" s="208"/>
      <c r="AE135" s="208"/>
    </row>
    <row r="136" spans="2:31">
      <c r="B136" s="208"/>
      <c r="C136" s="208"/>
      <c r="D136" s="208"/>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c r="AA136" s="208"/>
      <c r="AB136" s="208"/>
      <c r="AC136" s="208"/>
      <c r="AD136" s="208"/>
      <c r="AE136" s="208"/>
    </row>
    <row r="137" spans="2:31">
      <c r="B137" s="208"/>
      <c r="C137" s="208"/>
      <c r="D137" s="208"/>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c r="AA137" s="208"/>
      <c r="AB137" s="208"/>
      <c r="AC137" s="208"/>
      <c r="AD137" s="208"/>
      <c r="AE137" s="208"/>
    </row>
    <row r="138" spans="2:31">
      <c r="B138" s="208"/>
      <c r="C138" s="208"/>
      <c r="D138" s="208"/>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c r="AA138" s="208"/>
      <c r="AB138" s="208"/>
      <c r="AC138" s="208"/>
      <c r="AD138" s="208"/>
      <c r="AE138" s="208"/>
    </row>
    <row r="139" spans="2:31">
      <c r="B139" s="208"/>
      <c r="C139" s="208"/>
      <c r="D139" s="208"/>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c r="AA139" s="208"/>
      <c r="AB139" s="208"/>
      <c r="AC139" s="208"/>
      <c r="AD139" s="208"/>
      <c r="AE139" s="208"/>
    </row>
    <row r="140" spans="2:31">
      <c r="B140" s="208"/>
      <c r="C140" s="208"/>
      <c r="D140" s="208"/>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c r="AA140" s="208"/>
      <c r="AB140" s="208"/>
      <c r="AC140" s="208"/>
      <c r="AD140" s="208"/>
      <c r="AE140" s="208"/>
    </row>
    <row r="141" spans="2:31">
      <c r="B141" s="208"/>
      <c r="C141" s="208"/>
      <c r="D141" s="208"/>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c r="AA141" s="208"/>
      <c r="AB141" s="208"/>
      <c r="AC141" s="208"/>
      <c r="AD141" s="208"/>
      <c r="AE141" s="208"/>
    </row>
    <row r="142" spans="2:31">
      <c r="B142" s="208"/>
      <c r="C142" s="208"/>
      <c r="D142" s="208"/>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c r="AA142" s="208"/>
      <c r="AB142" s="208"/>
      <c r="AC142" s="208"/>
      <c r="AD142" s="208"/>
      <c r="AE142" s="208"/>
    </row>
    <row r="143" spans="2:31">
      <c r="B143" s="208"/>
      <c r="C143" s="208"/>
      <c r="D143" s="208"/>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c r="AA143" s="208"/>
      <c r="AB143" s="208"/>
      <c r="AC143" s="208"/>
      <c r="AD143" s="208"/>
      <c r="AE143" s="208"/>
    </row>
    <row r="144" spans="2:31">
      <c r="B144" s="208"/>
      <c r="C144" s="208"/>
      <c r="D144" s="208"/>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c r="AA144" s="208"/>
      <c r="AB144" s="208"/>
      <c r="AC144" s="208"/>
      <c r="AD144" s="208"/>
      <c r="AE144" s="208"/>
    </row>
    <row r="145" spans="2:31">
      <c r="B145" s="208"/>
      <c r="C145" s="208"/>
      <c r="D145" s="208"/>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c r="AA145" s="208"/>
      <c r="AB145" s="208"/>
      <c r="AC145" s="208"/>
      <c r="AD145" s="208"/>
      <c r="AE145" s="208"/>
    </row>
    <row r="146" spans="2:31">
      <c r="B146" s="208"/>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row>
    <row r="147" spans="2:31">
      <c r="B147" s="208"/>
      <c r="C147" s="208"/>
      <c r="D147" s="208"/>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c r="AA147" s="208"/>
      <c r="AB147" s="208"/>
      <c r="AC147" s="208"/>
      <c r="AD147" s="208"/>
      <c r="AE147" s="208"/>
    </row>
    <row r="148" spans="2:31">
      <c r="B148" s="208"/>
      <c r="C148" s="208"/>
      <c r="D148" s="208"/>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c r="AA148" s="208"/>
      <c r="AB148" s="208"/>
      <c r="AC148" s="208"/>
      <c r="AD148" s="208"/>
      <c r="AE148" s="208"/>
    </row>
    <row r="149" spans="2:31">
      <c r="B149" s="208"/>
      <c r="C149" s="208"/>
      <c r="D149" s="208"/>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c r="AA149" s="208"/>
      <c r="AB149" s="208"/>
      <c r="AC149" s="208"/>
      <c r="AD149" s="208"/>
      <c r="AE149" s="208"/>
    </row>
    <row r="150" spans="2:31">
      <c r="B150" s="208"/>
      <c r="C150" s="208"/>
      <c r="D150" s="208"/>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c r="AA150" s="208"/>
      <c r="AB150" s="208"/>
      <c r="AC150" s="208"/>
      <c r="AD150" s="208"/>
      <c r="AE150" s="208"/>
    </row>
    <row r="151" spans="2:31">
      <c r="B151" s="208"/>
      <c r="C151" s="208"/>
      <c r="D151" s="208"/>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c r="AA151" s="208"/>
      <c r="AB151" s="208"/>
      <c r="AC151" s="208"/>
      <c r="AD151" s="208"/>
      <c r="AE151" s="208"/>
    </row>
    <row r="152" spans="2:31">
      <c r="B152" s="208"/>
      <c r="C152" s="208"/>
      <c r="D152" s="208"/>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c r="AA152" s="208"/>
      <c r="AB152" s="208"/>
      <c r="AC152" s="208"/>
      <c r="AD152" s="208"/>
      <c r="AE152" s="208"/>
    </row>
    <row r="153" spans="2:31">
      <c r="B153" s="208"/>
      <c r="C153" s="208"/>
      <c r="D153" s="208"/>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c r="AA153" s="208"/>
      <c r="AB153" s="208"/>
      <c r="AC153" s="208"/>
      <c r="AD153" s="208"/>
      <c r="AE153" s="208"/>
    </row>
    <row r="154" spans="2:31">
      <c r="B154" s="208"/>
      <c r="C154" s="208"/>
      <c r="D154" s="208"/>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c r="AA154" s="208"/>
      <c r="AB154" s="208"/>
      <c r="AC154" s="208"/>
      <c r="AD154" s="208"/>
      <c r="AE154" s="208"/>
    </row>
    <row r="155" spans="2:31">
      <c r="B155" s="208"/>
      <c r="C155" s="208"/>
      <c r="D155" s="208"/>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c r="AA155" s="208"/>
      <c r="AB155" s="208"/>
      <c r="AC155" s="208"/>
      <c r="AD155" s="208"/>
      <c r="AE155" s="208"/>
    </row>
    <row r="156" spans="2:31">
      <c r="B156" s="208"/>
      <c r="C156" s="208"/>
      <c r="D156" s="208"/>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c r="AA156" s="208"/>
      <c r="AB156" s="208"/>
      <c r="AC156" s="208"/>
      <c r="AD156" s="208"/>
      <c r="AE156" s="208"/>
    </row>
    <row r="157" spans="2:31">
      <c r="B157" s="208"/>
      <c r="C157" s="208"/>
      <c r="D157" s="208"/>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c r="AA157" s="208"/>
      <c r="AB157" s="208"/>
      <c r="AC157" s="208"/>
      <c r="AD157" s="208"/>
      <c r="AE157" s="208"/>
    </row>
    <row r="158" spans="2:31">
      <c r="B158" s="208"/>
      <c r="C158" s="208"/>
      <c r="D158" s="208"/>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c r="AA158" s="208"/>
      <c r="AB158" s="208"/>
      <c r="AC158" s="208"/>
      <c r="AD158" s="208"/>
      <c r="AE158" s="208"/>
    </row>
    <row r="159" spans="2:31">
      <c r="B159" s="208"/>
      <c r="C159" s="208"/>
      <c r="D159" s="208"/>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c r="AA159" s="208"/>
      <c r="AB159" s="208"/>
      <c r="AC159" s="208"/>
      <c r="AD159" s="208"/>
      <c r="AE159" s="208"/>
    </row>
    <row r="160" spans="2:31">
      <c r="B160" s="208"/>
      <c r="C160" s="208"/>
      <c r="D160" s="208"/>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c r="AA160" s="208"/>
      <c r="AB160" s="208"/>
      <c r="AC160" s="208"/>
      <c r="AD160" s="208"/>
      <c r="AE160" s="208"/>
    </row>
    <row r="161" spans="2:31">
      <c r="B161" s="208"/>
      <c r="C161" s="208"/>
      <c r="D161" s="208"/>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c r="AA161" s="208"/>
      <c r="AB161" s="208"/>
      <c r="AC161" s="208"/>
      <c r="AD161" s="208"/>
      <c r="AE161" s="208"/>
    </row>
    <row r="162" spans="2:31">
      <c r="B162" s="208"/>
      <c r="C162" s="208"/>
      <c r="D162" s="208"/>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c r="AA162" s="208"/>
      <c r="AB162" s="208"/>
      <c r="AC162" s="208"/>
      <c r="AD162" s="208"/>
      <c r="AE162" s="208"/>
    </row>
    <row r="163" spans="2:31">
      <c r="B163" s="208"/>
      <c r="C163" s="208"/>
      <c r="D163" s="208"/>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c r="AA163" s="208"/>
      <c r="AB163" s="208"/>
      <c r="AC163" s="208"/>
      <c r="AD163" s="208"/>
      <c r="AE163" s="208"/>
    </row>
    <row r="164" spans="2:31">
      <c r="B164" s="208"/>
      <c r="C164" s="208"/>
      <c r="D164" s="208"/>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c r="AA164" s="208"/>
      <c r="AB164" s="208"/>
      <c r="AC164" s="208"/>
      <c r="AD164" s="208"/>
      <c r="AE164" s="208"/>
    </row>
    <row r="165" spans="2:31">
      <c r="B165" s="208"/>
      <c r="C165" s="208"/>
      <c r="D165" s="208"/>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c r="AA165" s="208"/>
      <c r="AB165" s="208"/>
      <c r="AC165" s="208"/>
      <c r="AD165" s="208"/>
      <c r="AE165" s="208"/>
    </row>
    <row r="166" spans="2:31">
      <c r="B166" s="208"/>
      <c r="C166" s="208"/>
      <c r="D166" s="208"/>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c r="AA166" s="208"/>
      <c r="AB166" s="208"/>
      <c r="AC166" s="208"/>
      <c r="AD166" s="208"/>
      <c r="AE166" s="208"/>
    </row>
    <row r="167" spans="2:31">
      <c r="B167" s="208"/>
      <c r="C167" s="208"/>
      <c r="D167" s="208"/>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c r="AA167" s="208"/>
      <c r="AB167" s="208"/>
      <c r="AC167" s="208"/>
      <c r="AD167" s="208"/>
      <c r="AE167" s="208"/>
    </row>
    <row r="168" spans="2:31">
      <c r="B168" s="208"/>
      <c r="C168" s="208"/>
      <c r="D168" s="208"/>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c r="AA168" s="208"/>
      <c r="AB168" s="208"/>
      <c r="AC168" s="208"/>
      <c r="AD168" s="208"/>
      <c r="AE168" s="208"/>
    </row>
    <row r="169" spans="2:31">
      <c r="B169" s="208"/>
      <c r="C169" s="208"/>
      <c r="D169" s="208"/>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c r="AA169" s="208"/>
      <c r="AB169" s="208"/>
      <c r="AC169" s="208"/>
      <c r="AD169" s="208"/>
      <c r="AE169" s="208"/>
    </row>
    <row r="170" spans="2:31">
      <c r="B170" s="208"/>
      <c r="C170" s="208"/>
      <c r="D170" s="208"/>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c r="AA170" s="208"/>
      <c r="AB170" s="208"/>
      <c r="AC170" s="208"/>
      <c r="AD170" s="208"/>
      <c r="AE170" s="208"/>
    </row>
    <row r="171" spans="2:31">
      <c r="B171" s="208"/>
      <c r="C171" s="208"/>
      <c r="D171" s="208"/>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row>
    <row r="172" spans="2:31">
      <c r="B172" s="208"/>
      <c r="C172" s="208"/>
      <c r="D172" s="208"/>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row>
    <row r="173" spans="2:31">
      <c r="B173" s="208"/>
      <c r="C173" s="208"/>
      <c r="D173" s="208"/>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c r="AA173" s="208"/>
      <c r="AB173" s="208"/>
      <c r="AC173" s="208"/>
      <c r="AD173" s="208"/>
      <c r="AE173" s="208"/>
    </row>
    <row r="174" spans="2:31">
      <c r="B174" s="208"/>
      <c r="C174" s="208"/>
      <c r="D174" s="208"/>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c r="AA174" s="208"/>
      <c r="AB174" s="208"/>
      <c r="AC174" s="208"/>
      <c r="AD174" s="208"/>
      <c r="AE174" s="208"/>
    </row>
    <row r="175" spans="2:31">
      <c r="B175" s="208"/>
      <c r="C175" s="208"/>
      <c r="D175" s="208"/>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c r="AA175" s="208"/>
      <c r="AB175" s="208"/>
      <c r="AC175" s="208"/>
      <c r="AD175" s="208"/>
      <c r="AE175" s="208"/>
    </row>
    <row r="176" spans="2:31">
      <c r="B176" s="208"/>
      <c r="C176" s="208"/>
      <c r="D176" s="208"/>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row>
    <row r="177" spans="2:43">
      <c r="B177" s="208"/>
      <c r="C177" s="208"/>
      <c r="D177" s="208"/>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c r="AA177" s="208"/>
      <c r="AB177" s="208"/>
      <c r="AC177" s="208"/>
      <c r="AD177" s="208"/>
      <c r="AE177" s="208"/>
    </row>
    <row r="178" spans="2:43">
      <c r="B178" s="208"/>
      <c r="C178" s="208"/>
      <c r="D178" s="208"/>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c r="AA178" s="208"/>
      <c r="AB178" s="208"/>
      <c r="AC178" s="208"/>
      <c r="AD178" s="208"/>
      <c r="AE178" s="208"/>
    </row>
    <row r="179" spans="2:43">
      <c r="B179" s="208"/>
      <c r="C179" s="208"/>
      <c r="D179" s="208"/>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c r="AA179" s="208"/>
      <c r="AB179" s="208"/>
      <c r="AC179" s="208"/>
      <c r="AD179" s="208"/>
      <c r="AE179" s="208"/>
    </row>
    <row r="180" spans="2:43">
      <c r="B180" s="208"/>
      <c r="C180" s="208"/>
      <c r="D180" s="208"/>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c r="AA180" s="208"/>
      <c r="AB180" s="208"/>
      <c r="AC180" s="208"/>
      <c r="AD180" s="208"/>
      <c r="AE180" s="208"/>
    </row>
    <row r="181" spans="2:43">
      <c r="B181" s="208"/>
      <c r="C181" s="208"/>
      <c r="D181" s="208"/>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c r="AA181" s="208"/>
      <c r="AB181" s="208"/>
      <c r="AC181" s="208"/>
      <c r="AD181" s="208"/>
      <c r="AE181" s="208"/>
    </row>
    <row r="182" spans="2:43">
      <c r="B182" s="208"/>
      <c r="C182" s="208"/>
      <c r="D182" s="208"/>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c r="AA182" s="208"/>
      <c r="AB182" s="208"/>
      <c r="AC182" s="208"/>
      <c r="AD182" s="208"/>
      <c r="AE182" s="208"/>
    </row>
    <row r="183" spans="2:43">
      <c r="B183" s="208"/>
      <c r="C183" s="208"/>
      <c r="D183" s="208"/>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c r="AA183" s="208"/>
      <c r="AB183" s="208"/>
      <c r="AC183" s="208"/>
      <c r="AD183" s="208"/>
      <c r="AE183" s="208"/>
    </row>
    <row r="184" spans="2:43">
      <c r="B184" s="208"/>
      <c r="C184" s="208"/>
      <c r="D184" s="208"/>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c r="AA184" s="208"/>
      <c r="AB184" s="208"/>
      <c r="AC184" s="208"/>
      <c r="AD184" s="208"/>
      <c r="AE184" s="208"/>
    </row>
    <row r="185" spans="2:43">
      <c r="B185" s="208"/>
      <c r="C185" s="208"/>
      <c r="D185" s="208"/>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c r="AA185" s="208"/>
      <c r="AB185" s="208"/>
      <c r="AC185" s="208"/>
      <c r="AD185" s="208"/>
      <c r="AE185" s="208"/>
    </row>
    <row r="186" spans="2:43">
      <c r="B186" s="208"/>
      <c r="C186" s="208"/>
      <c r="D186" s="208"/>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c r="AA186" s="208"/>
      <c r="AB186" s="208"/>
      <c r="AC186" s="208"/>
      <c r="AD186" s="208"/>
      <c r="AE186" s="208"/>
    </row>
    <row r="187" spans="2:43">
      <c r="B187" s="208"/>
      <c r="C187" s="208"/>
      <c r="D187" s="208"/>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c r="AA187" s="208"/>
      <c r="AB187" s="208"/>
      <c r="AC187" s="208"/>
      <c r="AD187" s="208"/>
      <c r="AE187" s="208"/>
      <c r="AF187" s="208"/>
      <c r="AG187" s="208"/>
      <c r="AH187" s="208"/>
      <c r="AN187" s="208"/>
      <c r="AO187" s="208"/>
      <c r="AP187" s="208"/>
      <c r="AQ187" s="208"/>
    </row>
    <row r="188" spans="2:43">
      <c r="B188" s="208"/>
      <c r="C188" s="208"/>
      <c r="D188" s="208"/>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c r="AA188" s="208"/>
      <c r="AB188" s="208"/>
      <c r="AC188" s="208"/>
      <c r="AD188" s="208"/>
      <c r="AE188" s="208"/>
      <c r="AF188" s="208"/>
      <c r="AG188" s="208"/>
      <c r="AH188" s="208"/>
      <c r="AN188" s="208"/>
      <c r="AO188" s="208"/>
      <c r="AP188" s="208"/>
      <c r="AQ188" s="208"/>
    </row>
    <row r="189" spans="2:43">
      <c r="B189" s="208"/>
      <c r="C189" s="208"/>
      <c r="D189" s="208"/>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c r="AA189" s="208"/>
      <c r="AB189" s="208"/>
      <c r="AC189" s="208"/>
      <c r="AD189" s="208"/>
      <c r="AE189" s="208"/>
      <c r="AF189" s="208"/>
      <c r="AG189" s="208"/>
      <c r="AH189" s="208"/>
      <c r="AN189" s="208"/>
      <c r="AO189" s="208"/>
      <c r="AP189" s="208"/>
      <c r="AQ189" s="208"/>
    </row>
    <row r="190" spans="2:43">
      <c r="B190" s="208"/>
      <c r="C190" s="208"/>
      <c r="D190" s="208"/>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c r="AA190" s="208"/>
      <c r="AB190" s="208"/>
      <c r="AC190" s="208"/>
      <c r="AD190" s="208"/>
      <c r="AE190" s="208"/>
      <c r="AF190" s="208"/>
      <c r="AG190" s="208"/>
      <c r="AH190" s="208"/>
      <c r="AN190" s="208"/>
      <c r="AO190" s="208"/>
      <c r="AP190" s="208"/>
      <c r="AQ190" s="208"/>
    </row>
    <row r="191" spans="2:43">
      <c r="B191" s="208"/>
      <c r="C191" s="208"/>
      <c r="D191" s="208"/>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c r="AA191" s="208"/>
      <c r="AB191" s="208"/>
      <c r="AC191" s="208"/>
      <c r="AD191" s="208"/>
      <c r="AE191" s="208"/>
      <c r="AF191" s="208"/>
      <c r="AG191" s="208"/>
      <c r="AH191" s="208"/>
      <c r="AN191" s="208"/>
      <c r="AO191" s="208"/>
      <c r="AP191" s="208"/>
      <c r="AQ191" s="208"/>
    </row>
    <row r="192" spans="2:43">
      <c r="B192" s="208"/>
      <c r="C192" s="208"/>
      <c r="D192" s="208"/>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c r="AA192" s="208"/>
      <c r="AB192" s="208"/>
      <c r="AC192" s="208"/>
      <c r="AD192" s="208"/>
      <c r="AE192" s="208"/>
      <c r="AF192" s="208"/>
      <c r="AG192" s="208"/>
      <c r="AH192" s="208"/>
      <c r="AN192" s="208"/>
      <c r="AO192" s="208"/>
      <c r="AP192" s="208"/>
      <c r="AQ192" s="208"/>
    </row>
    <row r="193" spans="2:43">
      <c r="B193" s="208"/>
      <c r="C193" s="208"/>
      <c r="D193" s="208"/>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c r="AA193" s="208"/>
      <c r="AB193" s="208"/>
      <c r="AC193" s="208"/>
      <c r="AD193" s="208"/>
      <c r="AE193" s="208"/>
      <c r="AF193" s="208"/>
      <c r="AG193" s="208"/>
      <c r="AH193" s="208"/>
      <c r="AN193" s="208"/>
      <c r="AO193" s="208"/>
      <c r="AP193" s="208"/>
      <c r="AQ193" s="208"/>
    </row>
    <row r="194" spans="2:43">
      <c r="B194" s="208"/>
      <c r="C194" s="208"/>
      <c r="D194" s="208"/>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c r="AA194" s="208"/>
      <c r="AB194" s="208"/>
      <c r="AC194" s="208"/>
      <c r="AD194" s="208"/>
      <c r="AE194" s="208"/>
      <c r="AF194" s="208"/>
      <c r="AG194" s="208"/>
      <c r="AH194" s="208"/>
      <c r="AN194" s="208"/>
      <c r="AO194" s="208"/>
      <c r="AP194" s="208"/>
      <c r="AQ194" s="208"/>
    </row>
    <row r="195" spans="2:43">
      <c r="B195" s="208"/>
      <c r="C195" s="208"/>
      <c r="D195" s="208"/>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c r="AA195" s="208"/>
      <c r="AB195" s="208"/>
      <c r="AC195" s="208"/>
      <c r="AD195" s="208"/>
      <c r="AE195" s="208"/>
      <c r="AF195" s="208"/>
      <c r="AG195" s="208"/>
      <c r="AH195" s="208"/>
      <c r="AN195" s="208"/>
      <c r="AO195" s="208"/>
      <c r="AP195" s="208"/>
      <c r="AQ195" s="208"/>
    </row>
    <row r="196" spans="2:43">
      <c r="B196" s="208"/>
      <c r="C196" s="208"/>
      <c r="D196" s="208"/>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c r="AA196" s="208"/>
      <c r="AB196" s="208"/>
      <c r="AC196" s="208"/>
      <c r="AD196" s="208"/>
      <c r="AE196" s="208"/>
      <c r="AF196" s="208"/>
      <c r="AG196" s="208"/>
      <c r="AH196" s="208"/>
      <c r="AN196" s="208"/>
      <c r="AO196" s="208"/>
      <c r="AP196" s="208"/>
      <c r="AQ196" s="208"/>
    </row>
    <row r="197" spans="2:43">
      <c r="B197" s="208"/>
      <c r="C197" s="208"/>
      <c r="D197" s="208"/>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c r="AA197" s="208"/>
      <c r="AB197" s="208"/>
      <c r="AC197" s="208"/>
      <c r="AD197" s="208"/>
      <c r="AE197" s="208"/>
      <c r="AF197" s="208"/>
      <c r="AG197" s="208"/>
      <c r="AH197" s="208"/>
      <c r="AN197" s="208"/>
      <c r="AO197" s="208"/>
      <c r="AP197" s="208"/>
      <c r="AQ197" s="208"/>
    </row>
    <row r="198" spans="2:43">
      <c r="B198" s="208"/>
      <c r="C198" s="208"/>
      <c r="D198" s="208"/>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N198" s="208"/>
      <c r="AO198" s="208"/>
      <c r="AP198" s="208"/>
      <c r="AQ198" s="208"/>
    </row>
    <row r="199" spans="2:43">
      <c r="B199" s="208"/>
      <c r="C199" s="208"/>
      <c r="D199" s="208"/>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c r="AA199" s="208"/>
      <c r="AB199" s="208"/>
      <c r="AC199" s="208"/>
      <c r="AD199" s="208"/>
      <c r="AE199" s="208"/>
      <c r="AF199" s="208"/>
      <c r="AG199" s="208"/>
      <c r="AH199" s="208"/>
      <c r="AN199" s="208"/>
      <c r="AO199" s="208"/>
      <c r="AP199" s="208"/>
      <c r="AQ199" s="208"/>
    </row>
    <row r="200" spans="2:43">
      <c r="B200" s="208"/>
      <c r="C200" s="208"/>
      <c r="D200" s="208"/>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c r="AA200" s="208"/>
      <c r="AB200" s="208"/>
      <c r="AC200" s="208"/>
      <c r="AD200" s="208"/>
      <c r="AE200" s="208"/>
      <c r="AF200" s="208"/>
      <c r="AG200" s="208"/>
      <c r="AH200" s="208"/>
      <c r="AN200" s="208"/>
      <c r="AO200" s="208"/>
      <c r="AP200" s="208"/>
      <c r="AQ200" s="208"/>
    </row>
    <row r="201" spans="2:43">
      <c r="B201" s="208"/>
      <c r="C201" s="208"/>
      <c r="D201" s="208"/>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c r="AA201" s="208"/>
      <c r="AB201" s="208"/>
      <c r="AC201" s="208"/>
      <c r="AD201" s="208"/>
      <c r="AE201" s="208"/>
      <c r="AF201" s="208"/>
      <c r="AG201" s="208"/>
      <c r="AH201" s="208"/>
      <c r="AN201" s="208"/>
      <c r="AO201" s="208"/>
      <c r="AP201" s="208"/>
      <c r="AQ201" s="208"/>
    </row>
    <row r="202" spans="2:43">
      <c r="B202" s="208"/>
      <c r="C202" s="208"/>
      <c r="D202" s="208"/>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c r="AA202" s="208"/>
      <c r="AB202" s="208"/>
      <c r="AC202" s="208"/>
      <c r="AD202" s="208"/>
      <c r="AE202" s="208"/>
      <c r="AF202" s="208"/>
      <c r="AG202" s="208"/>
      <c r="AH202" s="208"/>
      <c r="AN202" s="208"/>
      <c r="AO202" s="208"/>
      <c r="AP202" s="208"/>
      <c r="AQ202" s="208"/>
    </row>
    <row r="203" spans="2:43">
      <c r="B203" s="208"/>
      <c r="C203" s="208"/>
      <c r="D203" s="208"/>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c r="AA203" s="208"/>
      <c r="AB203" s="208"/>
      <c r="AC203" s="208"/>
      <c r="AD203" s="208"/>
      <c r="AE203" s="208"/>
      <c r="AF203" s="208"/>
      <c r="AG203" s="208"/>
      <c r="AH203" s="208"/>
      <c r="AN203" s="208"/>
      <c r="AO203" s="208"/>
      <c r="AP203" s="208"/>
      <c r="AQ203" s="208"/>
    </row>
    <row r="204" spans="2:43">
      <c r="B204" s="208"/>
      <c r="C204" s="208"/>
      <c r="D204" s="208"/>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c r="AA204" s="208"/>
      <c r="AB204" s="208"/>
      <c r="AC204" s="208"/>
      <c r="AD204" s="208"/>
      <c r="AE204" s="208"/>
      <c r="AF204" s="208"/>
      <c r="AG204" s="208"/>
      <c r="AH204" s="208"/>
      <c r="AN204" s="208"/>
      <c r="AO204" s="208"/>
      <c r="AP204" s="208"/>
      <c r="AQ204" s="208"/>
    </row>
    <row r="205" spans="2:43">
      <c r="B205" s="208"/>
      <c r="C205" s="208"/>
      <c r="D205" s="208"/>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c r="AA205" s="208"/>
      <c r="AB205" s="208"/>
      <c r="AC205" s="208"/>
      <c r="AD205" s="208"/>
      <c r="AE205" s="208"/>
      <c r="AF205" s="208"/>
      <c r="AG205" s="208"/>
      <c r="AH205" s="208"/>
      <c r="AN205" s="208"/>
      <c r="AO205" s="208"/>
      <c r="AP205" s="208"/>
      <c r="AQ205" s="208"/>
    </row>
    <row r="206" spans="2:43">
      <c r="B206" s="208"/>
      <c r="C206" s="208"/>
      <c r="D206" s="208"/>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c r="AA206" s="208"/>
      <c r="AB206" s="208"/>
      <c r="AC206" s="208"/>
      <c r="AD206" s="208"/>
      <c r="AE206" s="208"/>
      <c r="AF206" s="208"/>
      <c r="AG206" s="208"/>
      <c r="AH206" s="208"/>
      <c r="AN206" s="208"/>
      <c r="AO206" s="208"/>
      <c r="AP206" s="208"/>
      <c r="AQ206" s="208"/>
    </row>
    <row r="207" spans="2:43">
      <c r="B207" s="208"/>
      <c r="C207" s="208"/>
      <c r="D207" s="208"/>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c r="AA207" s="208"/>
      <c r="AB207" s="208"/>
      <c r="AC207" s="208"/>
      <c r="AD207" s="208"/>
      <c r="AE207" s="208"/>
      <c r="AF207" s="208"/>
      <c r="AG207" s="208"/>
      <c r="AH207" s="208"/>
      <c r="AN207" s="208"/>
      <c r="AO207" s="208"/>
      <c r="AP207" s="208"/>
      <c r="AQ207" s="208"/>
    </row>
    <row r="208" spans="2:43">
      <c r="B208" s="208"/>
      <c r="C208" s="208"/>
      <c r="D208" s="208"/>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c r="AA208" s="208"/>
      <c r="AB208" s="208"/>
      <c r="AC208" s="208"/>
      <c r="AD208" s="208"/>
      <c r="AE208" s="208"/>
      <c r="AF208" s="208"/>
      <c r="AG208" s="208"/>
      <c r="AH208" s="208"/>
      <c r="AN208" s="208"/>
      <c r="AO208" s="208"/>
      <c r="AP208" s="208"/>
      <c r="AQ208" s="208"/>
    </row>
    <row r="209" spans="2:43">
      <c r="B209" s="208"/>
      <c r="C209" s="208"/>
      <c r="D209" s="208"/>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c r="AA209" s="208"/>
      <c r="AB209" s="208"/>
      <c r="AC209" s="208"/>
      <c r="AD209" s="208"/>
      <c r="AE209" s="208"/>
      <c r="AF209" s="208"/>
      <c r="AG209" s="208"/>
      <c r="AH209" s="208"/>
      <c r="AN209" s="208"/>
      <c r="AO209" s="208"/>
      <c r="AP209" s="208"/>
      <c r="AQ209" s="208"/>
    </row>
    <row r="210" spans="2:43">
      <c r="B210" s="208"/>
      <c r="C210" s="208"/>
      <c r="D210" s="208"/>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c r="AA210" s="208"/>
      <c r="AB210" s="208"/>
      <c r="AC210" s="208"/>
      <c r="AD210" s="208"/>
      <c r="AE210" s="208"/>
      <c r="AF210" s="208"/>
      <c r="AG210" s="208"/>
      <c r="AH210" s="208"/>
      <c r="AN210" s="208"/>
      <c r="AO210" s="208"/>
      <c r="AP210" s="208"/>
      <c r="AQ210" s="208"/>
    </row>
    <row r="211" spans="2:43">
      <c r="B211" s="208"/>
      <c r="C211" s="208"/>
      <c r="D211" s="208"/>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c r="AA211" s="208"/>
      <c r="AB211" s="208"/>
      <c r="AC211" s="208"/>
      <c r="AD211" s="208"/>
      <c r="AE211" s="208"/>
      <c r="AF211" s="208"/>
      <c r="AG211" s="208"/>
      <c r="AH211" s="208"/>
      <c r="AN211" s="208"/>
      <c r="AO211" s="208"/>
      <c r="AP211" s="208"/>
      <c r="AQ211" s="208"/>
    </row>
    <row r="212" spans="2:43">
      <c r="B212" s="208"/>
      <c r="C212" s="208"/>
      <c r="D212" s="208"/>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c r="AA212" s="208"/>
      <c r="AB212" s="208"/>
      <c r="AC212" s="208"/>
      <c r="AD212" s="208"/>
      <c r="AE212" s="208"/>
      <c r="AF212" s="208"/>
      <c r="AG212" s="208"/>
      <c r="AH212" s="208"/>
      <c r="AN212" s="208"/>
      <c r="AO212" s="208"/>
      <c r="AP212" s="208"/>
      <c r="AQ212" s="208"/>
    </row>
    <row r="213" spans="2:43">
      <c r="B213" s="208"/>
      <c r="C213" s="208"/>
      <c r="D213" s="208"/>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c r="AA213" s="208"/>
      <c r="AB213" s="208"/>
      <c r="AC213" s="208"/>
      <c r="AD213" s="208"/>
      <c r="AE213" s="208"/>
      <c r="AF213" s="208"/>
      <c r="AG213" s="208"/>
      <c r="AH213" s="208"/>
      <c r="AN213" s="208"/>
      <c r="AO213" s="208"/>
      <c r="AP213" s="208"/>
      <c r="AQ213" s="208"/>
    </row>
    <row r="214" spans="2:43">
      <c r="B214" s="208"/>
      <c r="C214" s="208"/>
      <c r="D214" s="208"/>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c r="AA214" s="208"/>
      <c r="AB214" s="208"/>
      <c r="AC214" s="208"/>
      <c r="AD214" s="208"/>
      <c r="AE214" s="208"/>
      <c r="AF214" s="208"/>
      <c r="AG214" s="208"/>
      <c r="AH214" s="208"/>
      <c r="AN214" s="208"/>
      <c r="AO214" s="208"/>
      <c r="AP214" s="208"/>
      <c r="AQ214" s="208"/>
    </row>
    <row r="215" spans="2:43">
      <c r="B215" s="208"/>
      <c r="C215" s="208"/>
      <c r="D215" s="208"/>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c r="AA215" s="208"/>
      <c r="AB215" s="208"/>
      <c r="AC215" s="208"/>
      <c r="AD215" s="208"/>
      <c r="AE215" s="208"/>
      <c r="AF215" s="208"/>
      <c r="AG215" s="208"/>
      <c r="AH215" s="208"/>
      <c r="AN215" s="208"/>
      <c r="AO215" s="208"/>
      <c r="AP215" s="208"/>
      <c r="AQ215" s="208"/>
    </row>
    <row r="216" spans="2:43">
      <c r="B216" s="208"/>
      <c r="C216" s="208"/>
      <c r="D216" s="208"/>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c r="AA216" s="208"/>
      <c r="AB216" s="208"/>
      <c r="AC216" s="208"/>
      <c r="AD216" s="208"/>
      <c r="AE216" s="208"/>
      <c r="AF216" s="208"/>
      <c r="AG216" s="208"/>
      <c r="AH216" s="208"/>
      <c r="AN216" s="208"/>
      <c r="AO216" s="208"/>
      <c r="AP216" s="208"/>
      <c r="AQ216" s="208"/>
    </row>
    <row r="217" spans="2:43">
      <c r="B217" s="208"/>
      <c r="C217" s="208"/>
      <c r="D217" s="208"/>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c r="AA217" s="208"/>
      <c r="AB217" s="208"/>
      <c r="AC217" s="208"/>
      <c r="AD217" s="208"/>
      <c r="AE217" s="208"/>
      <c r="AF217" s="208"/>
      <c r="AG217" s="208"/>
      <c r="AH217" s="208"/>
      <c r="AN217" s="208"/>
      <c r="AO217" s="208"/>
      <c r="AP217" s="208"/>
      <c r="AQ217" s="208"/>
    </row>
    <row r="218" spans="2:43">
      <c r="B218" s="208"/>
      <c r="C218" s="208"/>
      <c r="D218" s="208"/>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c r="AA218" s="208"/>
      <c r="AB218" s="208"/>
      <c r="AC218" s="208"/>
      <c r="AD218" s="208"/>
      <c r="AE218" s="208"/>
      <c r="AF218" s="208"/>
      <c r="AG218" s="208"/>
      <c r="AH218" s="208"/>
      <c r="AN218" s="208"/>
      <c r="AO218" s="208"/>
      <c r="AP218" s="208"/>
      <c r="AQ218" s="208"/>
    </row>
    <row r="219" spans="2:43">
      <c r="B219" s="208"/>
      <c r="C219" s="208"/>
      <c r="D219" s="208"/>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c r="AA219" s="208"/>
      <c r="AB219" s="208"/>
      <c r="AC219" s="208"/>
      <c r="AD219" s="208"/>
      <c r="AE219" s="208"/>
      <c r="AF219" s="208"/>
      <c r="AG219" s="208"/>
      <c r="AH219" s="208"/>
      <c r="AN219" s="208"/>
      <c r="AO219" s="208"/>
      <c r="AP219" s="208"/>
      <c r="AQ219" s="208"/>
    </row>
    <row r="220" spans="2:43">
      <c r="B220" s="208"/>
      <c r="C220" s="208"/>
      <c r="D220" s="208"/>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c r="AA220" s="208"/>
      <c r="AB220" s="208"/>
      <c r="AC220" s="208"/>
      <c r="AD220" s="208"/>
      <c r="AE220" s="208"/>
      <c r="AF220" s="208"/>
      <c r="AG220" s="208"/>
      <c r="AH220" s="208"/>
      <c r="AN220" s="208"/>
      <c r="AO220" s="208"/>
      <c r="AP220" s="208"/>
      <c r="AQ220" s="208"/>
    </row>
    <row r="221" spans="2:43">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c r="AA221" s="208"/>
      <c r="AB221" s="208"/>
      <c r="AC221" s="208"/>
      <c r="AD221" s="208"/>
      <c r="AE221" s="208"/>
      <c r="AF221" s="208"/>
      <c r="AG221" s="208"/>
      <c r="AH221" s="208"/>
      <c r="AN221" s="208"/>
      <c r="AO221" s="208"/>
      <c r="AP221" s="208"/>
      <c r="AQ221" s="208"/>
    </row>
    <row r="222" spans="2:43">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c r="AA222" s="208"/>
      <c r="AB222" s="208"/>
      <c r="AC222" s="208"/>
      <c r="AD222" s="208"/>
      <c r="AE222" s="208"/>
      <c r="AF222" s="208"/>
      <c r="AG222" s="208"/>
      <c r="AH222" s="208"/>
      <c r="AN222" s="208"/>
      <c r="AO222" s="208"/>
      <c r="AP222" s="208"/>
      <c r="AQ222" s="208"/>
    </row>
    <row r="223" spans="2:43">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c r="AA223" s="208"/>
      <c r="AB223" s="208"/>
      <c r="AC223" s="208"/>
      <c r="AD223" s="208"/>
      <c r="AE223" s="208"/>
      <c r="AF223" s="208"/>
      <c r="AG223" s="208"/>
      <c r="AH223" s="208"/>
      <c r="AN223" s="208"/>
      <c r="AO223" s="208"/>
      <c r="AP223" s="208"/>
      <c r="AQ223" s="208"/>
    </row>
    <row r="224" spans="2:43">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c r="AA224" s="208"/>
      <c r="AB224" s="208"/>
      <c r="AC224" s="208"/>
      <c r="AD224" s="208"/>
      <c r="AE224" s="208"/>
      <c r="AF224" s="208"/>
      <c r="AG224" s="208"/>
      <c r="AH224" s="208"/>
      <c r="AN224" s="208"/>
      <c r="AO224" s="208"/>
      <c r="AP224" s="208"/>
      <c r="AQ224" s="208"/>
    </row>
    <row r="225" spans="2:43">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c r="AA225" s="208"/>
      <c r="AB225" s="208"/>
      <c r="AC225" s="208"/>
      <c r="AD225" s="208"/>
      <c r="AE225" s="208"/>
      <c r="AF225" s="208"/>
      <c r="AG225" s="208"/>
      <c r="AH225" s="208"/>
      <c r="AN225" s="208"/>
      <c r="AO225" s="208"/>
      <c r="AP225" s="208"/>
      <c r="AQ225" s="208"/>
    </row>
    <row r="226" spans="2:43">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c r="AA226" s="208"/>
      <c r="AB226" s="208"/>
      <c r="AC226" s="208"/>
      <c r="AD226" s="208"/>
      <c r="AE226" s="208"/>
      <c r="AF226" s="208"/>
      <c r="AG226" s="208"/>
      <c r="AH226" s="208"/>
      <c r="AN226" s="208"/>
      <c r="AO226" s="208"/>
      <c r="AP226" s="208"/>
      <c r="AQ226" s="208"/>
    </row>
    <row r="227" spans="2:43">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c r="AA227" s="208"/>
      <c r="AB227" s="208"/>
      <c r="AC227" s="208"/>
      <c r="AD227" s="208"/>
      <c r="AE227" s="208"/>
      <c r="AF227" s="208"/>
      <c r="AG227" s="208"/>
      <c r="AH227" s="208"/>
      <c r="AN227" s="208"/>
      <c r="AO227" s="208"/>
      <c r="AP227" s="208"/>
      <c r="AQ227" s="208"/>
    </row>
    <row r="228" spans="2:43">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N228" s="208"/>
      <c r="AO228" s="208"/>
      <c r="AP228" s="208"/>
      <c r="AQ228" s="208"/>
    </row>
    <row r="229" spans="2:43">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c r="AA229" s="208"/>
      <c r="AB229" s="208"/>
      <c r="AC229" s="208"/>
      <c r="AD229" s="208"/>
      <c r="AE229" s="208"/>
      <c r="AF229" s="208"/>
      <c r="AG229" s="208"/>
      <c r="AH229" s="208"/>
      <c r="AN229" s="208"/>
      <c r="AO229" s="208"/>
      <c r="AP229" s="208"/>
      <c r="AQ229" s="208"/>
    </row>
    <row r="230" spans="2:43">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c r="AA230" s="208"/>
      <c r="AB230" s="208"/>
      <c r="AC230" s="208"/>
      <c r="AD230" s="208"/>
      <c r="AE230" s="208"/>
      <c r="AF230" s="208"/>
      <c r="AG230" s="208"/>
      <c r="AH230" s="208"/>
      <c r="AN230" s="208"/>
      <c r="AO230" s="208"/>
      <c r="AP230" s="208"/>
      <c r="AQ230" s="208"/>
    </row>
    <row r="231" spans="2:43">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c r="AA231" s="208"/>
      <c r="AB231" s="208"/>
      <c r="AC231" s="208"/>
      <c r="AD231" s="208"/>
      <c r="AE231" s="208"/>
      <c r="AF231" s="208"/>
      <c r="AG231" s="208"/>
      <c r="AH231" s="208"/>
      <c r="AN231" s="208"/>
      <c r="AO231" s="208"/>
      <c r="AP231" s="208"/>
      <c r="AQ231" s="208"/>
    </row>
    <row r="232" spans="2:43">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c r="AA232" s="208"/>
      <c r="AB232" s="208"/>
      <c r="AC232" s="208"/>
      <c r="AD232" s="208"/>
      <c r="AE232" s="208"/>
      <c r="AF232" s="208"/>
      <c r="AG232" s="208"/>
      <c r="AH232" s="208"/>
      <c r="AN232" s="208"/>
      <c r="AO232" s="208"/>
      <c r="AP232" s="208"/>
      <c r="AQ232" s="208"/>
    </row>
    <row r="233" spans="2:43">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c r="AA233" s="208"/>
      <c r="AB233" s="208"/>
      <c r="AC233" s="208"/>
      <c r="AD233" s="208"/>
      <c r="AE233" s="208"/>
      <c r="AF233" s="208"/>
      <c r="AG233" s="208"/>
      <c r="AH233" s="208"/>
      <c r="AN233" s="208"/>
      <c r="AO233" s="208"/>
      <c r="AP233" s="208"/>
      <c r="AQ233" s="208"/>
    </row>
    <row r="234" spans="2:43">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c r="AA234" s="208"/>
      <c r="AB234" s="208"/>
      <c r="AC234" s="208"/>
      <c r="AD234" s="208"/>
      <c r="AE234" s="208"/>
      <c r="AF234" s="208"/>
      <c r="AG234" s="208"/>
      <c r="AH234" s="208"/>
      <c r="AN234" s="208"/>
      <c r="AO234" s="208"/>
      <c r="AP234" s="208"/>
      <c r="AQ234" s="208"/>
    </row>
    <row r="235" spans="2:43">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c r="AA235" s="208"/>
      <c r="AB235" s="208"/>
      <c r="AC235" s="208"/>
      <c r="AD235" s="208"/>
      <c r="AE235" s="208"/>
      <c r="AF235" s="208"/>
      <c r="AG235" s="208"/>
      <c r="AH235" s="208"/>
      <c r="AN235" s="208"/>
      <c r="AO235" s="208"/>
      <c r="AP235" s="208"/>
      <c r="AQ235" s="208"/>
    </row>
    <row r="236" spans="2:43">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c r="AA236" s="208"/>
      <c r="AB236" s="208"/>
      <c r="AC236" s="208"/>
      <c r="AD236" s="208"/>
      <c r="AE236" s="208"/>
      <c r="AF236" s="208"/>
      <c r="AG236" s="208"/>
      <c r="AH236" s="208"/>
      <c r="AN236" s="208"/>
      <c r="AO236" s="208"/>
      <c r="AP236" s="208"/>
      <c r="AQ236" s="208"/>
    </row>
    <row r="237" spans="2:43">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c r="AA237" s="208"/>
      <c r="AB237" s="208"/>
      <c r="AC237" s="208"/>
      <c r="AD237" s="208"/>
      <c r="AE237" s="208"/>
      <c r="AF237" s="208"/>
      <c r="AG237" s="208"/>
      <c r="AH237" s="208"/>
      <c r="AN237" s="208"/>
      <c r="AO237" s="208"/>
      <c r="AP237" s="208"/>
      <c r="AQ237" s="208"/>
    </row>
    <row r="238" spans="2:43">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c r="AA238" s="208"/>
      <c r="AB238" s="208"/>
      <c r="AC238" s="208"/>
      <c r="AD238" s="208"/>
      <c r="AE238" s="208"/>
      <c r="AF238" s="208"/>
      <c r="AG238" s="208"/>
      <c r="AH238" s="208"/>
      <c r="AN238" s="208"/>
      <c r="AO238" s="208"/>
      <c r="AP238" s="208"/>
      <c r="AQ238" s="208"/>
    </row>
    <row r="239" spans="2:43">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c r="AA239" s="208"/>
      <c r="AB239" s="208"/>
      <c r="AC239" s="208"/>
      <c r="AD239" s="208"/>
      <c r="AE239" s="208"/>
      <c r="AF239" s="208"/>
      <c r="AG239" s="208"/>
      <c r="AH239" s="208"/>
      <c r="AN239" s="208"/>
      <c r="AO239" s="208"/>
      <c r="AP239" s="208"/>
      <c r="AQ239" s="208"/>
    </row>
    <row r="240" spans="2:43">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c r="AA240" s="208"/>
      <c r="AB240" s="208"/>
      <c r="AC240" s="208"/>
      <c r="AD240" s="208"/>
      <c r="AE240" s="208"/>
      <c r="AF240" s="208"/>
      <c r="AG240" s="208"/>
      <c r="AH240" s="208"/>
      <c r="AN240" s="208"/>
      <c r="AO240" s="208"/>
      <c r="AP240" s="208"/>
      <c r="AQ240" s="208"/>
    </row>
    <row r="241" spans="2:43">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c r="AA241" s="208"/>
      <c r="AB241" s="208"/>
      <c r="AC241" s="208"/>
      <c r="AD241" s="208"/>
      <c r="AE241" s="208"/>
      <c r="AF241" s="208"/>
      <c r="AG241" s="208"/>
      <c r="AH241" s="208"/>
      <c r="AN241" s="208"/>
      <c r="AO241" s="208"/>
      <c r="AP241" s="208"/>
      <c r="AQ241" s="208"/>
    </row>
    <row r="242" spans="2:43">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c r="AA242" s="208"/>
      <c r="AB242" s="208"/>
      <c r="AC242" s="208"/>
      <c r="AD242" s="208"/>
      <c r="AE242" s="208"/>
      <c r="AF242" s="208"/>
      <c r="AG242" s="208"/>
      <c r="AH242" s="208"/>
      <c r="AN242" s="208"/>
      <c r="AO242" s="208"/>
      <c r="AP242" s="208"/>
      <c r="AQ242" s="208"/>
    </row>
    <row r="243" spans="2:43">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c r="AA243" s="208"/>
      <c r="AB243" s="208"/>
      <c r="AC243" s="208"/>
      <c r="AD243" s="208"/>
      <c r="AE243" s="208"/>
      <c r="AF243" s="208"/>
      <c r="AG243" s="208"/>
      <c r="AH243" s="208"/>
      <c r="AN243" s="208"/>
      <c r="AO243" s="208"/>
      <c r="AP243" s="208"/>
      <c r="AQ243" s="208"/>
    </row>
    <row r="244" spans="2:43">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c r="AA244" s="208"/>
      <c r="AB244" s="208"/>
      <c r="AC244" s="208"/>
      <c r="AD244" s="208"/>
      <c r="AE244" s="208"/>
      <c r="AF244" s="208"/>
      <c r="AG244" s="208"/>
      <c r="AH244" s="208"/>
      <c r="AN244" s="208"/>
      <c r="AO244" s="208"/>
      <c r="AP244" s="208"/>
      <c r="AQ244" s="208"/>
    </row>
    <row r="245" spans="2:43">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c r="AA245" s="208"/>
      <c r="AB245" s="208"/>
      <c r="AC245" s="208"/>
      <c r="AD245" s="208"/>
      <c r="AE245" s="208"/>
      <c r="AF245" s="208"/>
      <c r="AG245" s="208"/>
      <c r="AH245" s="208"/>
      <c r="AN245" s="208"/>
      <c r="AO245" s="208"/>
      <c r="AP245" s="208"/>
      <c r="AQ245" s="208"/>
    </row>
    <row r="246" spans="2:43">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c r="AA246" s="208"/>
      <c r="AB246" s="208"/>
      <c r="AC246" s="208"/>
      <c r="AD246" s="208"/>
      <c r="AE246" s="208"/>
      <c r="AF246" s="208"/>
      <c r="AG246" s="208"/>
      <c r="AH246" s="208"/>
      <c r="AN246" s="208"/>
      <c r="AO246" s="208"/>
      <c r="AP246" s="208"/>
      <c r="AQ246" s="208"/>
    </row>
    <row r="247" spans="2:43">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c r="AA247" s="208"/>
      <c r="AB247" s="208"/>
      <c r="AC247" s="208"/>
      <c r="AD247" s="208"/>
      <c r="AE247" s="208"/>
      <c r="AF247" s="208"/>
      <c r="AG247" s="208"/>
      <c r="AH247" s="208"/>
      <c r="AN247" s="208"/>
      <c r="AO247" s="208"/>
      <c r="AP247" s="208"/>
      <c r="AQ247" s="208"/>
    </row>
    <row r="248" spans="2:43">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c r="AA248" s="208"/>
      <c r="AB248" s="208"/>
      <c r="AC248" s="208"/>
      <c r="AD248" s="208"/>
      <c r="AE248" s="208"/>
      <c r="AF248" s="208"/>
      <c r="AG248" s="208"/>
      <c r="AH248" s="208"/>
      <c r="AN248" s="208"/>
      <c r="AO248" s="208"/>
      <c r="AP248" s="208"/>
      <c r="AQ248" s="208"/>
    </row>
    <row r="249" spans="2:43">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c r="AA249" s="208"/>
      <c r="AB249" s="208"/>
      <c r="AC249" s="208"/>
      <c r="AD249" s="208"/>
      <c r="AE249" s="208"/>
      <c r="AF249" s="208"/>
      <c r="AG249" s="208"/>
      <c r="AH249" s="208"/>
      <c r="AN249" s="208"/>
      <c r="AO249" s="208"/>
      <c r="AP249" s="208"/>
      <c r="AQ249" s="208"/>
    </row>
    <row r="250" spans="2:43">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c r="AA250" s="208"/>
      <c r="AB250" s="208"/>
      <c r="AC250" s="208"/>
      <c r="AD250" s="208"/>
      <c r="AE250" s="208"/>
      <c r="AF250" s="208"/>
      <c r="AG250" s="208"/>
      <c r="AH250" s="208"/>
      <c r="AN250" s="208"/>
      <c r="AO250" s="208"/>
      <c r="AP250" s="208"/>
      <c r="AQ250" s="208"/>
    </row>
    <row r="251" spans="2:43">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c r="AA251" s="208"/>
      <c r="AB251" s="208"/>
      <c r="AC251" s="208"/>
      <c r="AD251" s="208"/>
      <c r="AE251" s="208"/>
      <c r="AF251" s="208"/>
      <c r="AG251" s="208"/>
      <c r="AH251" s="208"/>
      <c r="AN251" s="208"/>
      <c r="AO251" s="208"/>
      <c r="AP251" s="208"/>
      <c r="AQ251" s="208"/>
    </row>
    <row r="252" spans="2:43">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c r="AA252" s="208"/>
      <c r="AB252" s="208"/>
      <c r="AC252" s="208"/>
      <c r="AD252" s="208"/>
      <c r="AE252" s="208"/>
      <c r="AF252" s="208"/>
      <c r="AG252" s="208"/>
      <c r="AH252" s="208"/>
      <c r="AN252" s="208"/>
      <c r="AO252" s="208"/>
      <c r="AP252" s="208"/>
      <c r="AQ252" s="208"/>
    </row>
    <row r="253" spans="2:43">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c r="AA253" s="208"/>
      <c r="AB253" s="208"/>
      <c r="AC253" s="208"/>
      <c r="AD253" s="208"/>
      <c r="AE253" s="208"/>
      <c r="AF253" s="208"/>
      <c r="AG253" s="208"/>
      <c r="AH253" s="208"/>
      <c r="AN253" s="208"/>
      <c r="AO253" s="208"/>
      <c r="AP253" s="208"/>
      <c r="AQ253" s="208"/>
    </row>
    <row r="254" spans="2:43">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c r="AA254" s="208"/>
      <c r="AB254" s="208"/>
      <c r="AC254" s="208"/>
      <c r="AD254" s="208"/>
      <c r="AE254" s="208"/>
      <c r="AF254" s="208"/>
      <c r="AG254" s="208"/>
      <c r="AH254" s="208"/>
      <c r="AN254" s="208"/>
      <c r="AO254" s="208"/>
      <c r="AP254" s="208"/>
      <c r="AQ254" s="208"/>
    </row>
    <row r="255" spans="2:43">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c r="AA255" s="208"/>
      <c r="AB255" s="208"/>
      <c r="AC255" s="208"/>
      <c r="AD255" s="208"/>
      <c r="AE255" s="208"/>
      <c r="AF255" s="208"/>
      <c r="AG255" s="208"/>
      <c r="AH255" s="208"/>
      <c r="AN255" s="208"/>
      <c r="AO255" s="208"/>
      <c r="AP255" s="208"/>
      <c r="AQ255" s="208"/>
    </row>
    <row r="256" spans="2:43">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c r="AA256" s="208"/>
      <c r="AB256" s="208"/>
      <c r="AC256" s="208"/>
      <c r="AD256" s="208"/>
      <c r="AE256" s="208"/>
      <c r="AF256" s="208"/>
      <c r="AG256" s="208"/>
      <c r="AH256" s="208"/>
      <c r="AN256" s="208"/>
      <c r="AO256" s="208"/>
      <c r="AP256" s="208"/>
      <c r="AQ256" s="208"/>
    </row>
    <row r="257" spans="2:43">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c r="AA257" s="208"/>
      <c r="AB257" s="208"/>
      <c r="AC257" s="208"/>
      <c r="AD257" s="208"/>
      <c r="AE257" s="208"/>
      <c r="AF257" s="208"/>
      <c r="AG257" s="208"/>
      <c r="AH257" s="208"/>
      <c r="AN257" s="208"/>
      <c r="AO257" s="208"/>
      <c r="AP257" s="208"/>
      <c r="AQ257" s="208"/>
    </row>
    <row r="258" spans="2:43">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c r="AA258" s="208"/>
      <c r="AB258" s="208"/>
      <c r="AC258" s="208"/>
      <c r="AD258" s="208"/>
      <c r="AE258" s="208"/>
      <c r="AF258" s="208"/>
      <c r="AG258" s="208"/>
      <c r="AH258" s="208"/>
      <c r="AN258" s="208"/>
      <c r="AO258" s="208"/>
      <c r="AP258" s="208"/>
      <c r="AQ258" s="208"/>
    </row>
    <row r="259" spans="2:43">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c r="AA259" s="208"/>
      <c r="AB259" s="208"/>
      <c r="AC259" s="208"/>
      <c r="AD259" s="208"/>
      <c r="AE259" s="208"/>
      <c r="AF259" s="208"/>
      <c r="AG259" s="208"/>
      <c r="AH259" s="208"/>
      <c r="AN259" s="208"/>
      <c r="AO259" s="208"/>
      <c r="AP259" s="208"/>
      <c r="AQ259" s="208"/>
    </row>
    <row r="260" spans="2:43">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c r="AA260" s="208"/>
      <c r="AB260" s="208"/>
      <c r="AC260" s="208"/>
      <c r="AD260" s="208"/>
      <c r="AE260" s="208"/>
      <c r="AF260" s="208"/>
      <c r="AG260" s="208"/>
      <c r="AH260" s="208"/>
      <c r="AN260" s="208"/>
      <c r="AO260" s="208"/>
      <c r="AP260" s="208"/>
      <c r="AQ260" s="208"/>
    </row>
    <row r="261" spans="2:43">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c r="AA261" s="208"/>
      <c r="AB261" s="208"/>
      <c r="AC261" s="208"/>
      <c r="AD261" s="208"/>
      <c r="AE261" s="208"/>
      <c r="AF261" s="208"/>
      <c r="AG261" s="208"/>
      <c r="AH261" s="208"/>
      <c r="AN261" s="208"/>
      <c r="AO261" s="208"/>
      <c r="AP261" s="208"/>
      <c r="AQ261" s="208"/>
    </row>
    <row r="262" spans="2:43">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c r="AA262" s="208"/>
      <c r="AB262" s="208"/>
      <c r="AC262" s="208"/>
      <c r="AD262" s="208"/>
      <c r="AE262" s="208"/>
      <c r="AF262" s="208"/>
      <c r="AG262" s="208"/>
      <c r="AH262" s="208"/>
      <c r="AN262" s="208"/>
      <c r="AO262" s="208"/>
      <c r="AP262" s="208"/>
      <c r="AQ262" s="208"/>
    </row>
    <row r="263" spans="2:43">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c r="AA263" s="208"/>
      <c r="AB263" s="208"/>
      <c r="AC263" s="208"/>
      <c r="AD263" s="208"/>
      <c r="AE263" s="208"/>
      <c r="AF263" s="208"/>
      <c r="AG263" s="208"/>
      <c r="AH263" s="208"/>
      <c r="AN263" s="208"/>
      <c r="AO263" s="208"/>
      <c r="AP263" s="208"/>
      <c r="AQ263" s="208"/>
    </row>
    <row r="264" spans="2:43">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c r="AA264" s="208"/>
      <c r="AB264" s="208"/>
      <c r="AC264" s="208"/>
      <c r="AD264" s="208"/>
      <c r="AE264" s="208"/>
      <c r="AF264" s="208"/>
      <c r="AG264" s="208"/>
      <c r="AH264" s="208"/>
      <c r="AN264" s="208"/>
      <c r="AO264" s="208"/>
      <c r="AP264" s="208"/>
      <c r="AQ264" s="208"/>
    </row>
    <row r="265" spans="2:43">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c r="AA265" s="208"/>
      <c r="AB265" s="208"/>
      <c r="AC265" s="208"/>
      <c r="AD265" s="208"/>
      <c r="AE265" s="208"/>
      <c r="AF265" s="208"/>
      <c r="AG265" s="208"/>
      <c r="AH265" s="208"/>
      <c r="AN265" s="208"/>
      <c r="AO265" s="208"/>
      <c r="AP265" s="208"/>
      <c r="AQ265" s="208"/>
    </row>
    <row r="266" spans="2:43">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c r="AA266" s="208"/>
      <c r="AB266" s="208"/>
      <c r="AC266" s="208"/>
      <c r="AD266" s="208"/>
      <c r="AE266" s="208"/>
      <c r="AF266" s="208"/>
      <c r="AG266" s="208"/>
      <c r="AH266" s="208"/>
      <c r="AN266" s="208"/>
      <c r="AO266" s="208"/>
      <c r="AP266" s="208"/>
      <c r="AQ266" s="208"/>
    </row>
    <row r="267" spans="2:43">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c r="AA267" s="208"/>
      <c r="AB267" s="208"/>
      <c r="AC267" s="208"/>
      <c r="AD267" s="208"/>
      <c r="AE267" s="208"/>
      <c r="AF267" s="208"/>
      <c r="AG267" s="208"/>
      <c r="AH267" s="208"/>
      <c r="AN267" s="208"/>
      <c r="AO267" s="208"/>
      <c r="AP267" s="208"/>
      <c r="AQ267" s="208"/>
    </row>
    <row r="268" spans="2:43">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c r="AA268" s="208"/>
      <c r="AB268" s="208"/>
      <c r="AC268" s="208"/>
      <c r="AD268" s="208"/>
      <c r="AE268" s="208"/>
      <c r="AF268" s="208"/>
      <c r="AG268" s="208"/>
      <c r="AH268" s="208"/>
      <c r="AN268" s="208"/>
      <c r="AO268" s="208"/>
      <c r="AP268" s="208"/>
      <c r="AQ268" s="208"/>
    </row>
    <row r="269" spans="2:43">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c r="AA269" s="208"/>
      <c r="AB269" s="208"/>
      <c r="AC269" s="208"/>
      <c r="AD269" s="208"/>
      <c r="AE269" s="208"/>
      <c r="AF269" s="208"/>
      <c r="AG269" s="208"/>
      <c r="AH269" s="208"/>
      <c r="AN269" s="208"/>
      <c r="AO269" s="208"/>
      <c r="AP269" s="208"/>
      <c r="AQ269" s="208"/>
    </row>
    <row r="270" spans="2:43">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c r="AA270" s="208"/>
      <c r="AB270" s="208"/>
      <c r="AC270" s="208"/>
      <c r="AD270" s="208"/>
      <c r="AE270" s="208"/>
      <c r="AF270" s="208"/>
      <c r="AG270" s="208"/>
      <c r="AH270" s="208"/>
      <c r="AN270" s="208"/>
      <c r="AO270" s="208"/>
      <c r="AP270" s="208"/>
      <c r="AQ270" s="208"/>
    </row>
    <row r="271" spans="2:43">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c r="AA271" s="208"/>
      <c r="AB271" s="208"/>
      <c r="AC271" s="208"/>
      <c r="AD271" s="208"/>
      <c r="AE271" s="208"/>
      <c r="AF271" s="208"/>
      <c r="AG271" s="208"/>
      <c r="AH271" s="208"/>
      <c r="AN271" s="208"/>
      <c r="AO271" s="208"/>
      <c r="AP271" s="208"/>
      <c r="AQ271" s="208"/>
    </row>
    <row r="272" spans="2:43">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c r="AA272" s="208"/>
      <c r="AB272" s="208"/>
      <c r="AC272" s="208"/>
      <c r="AD272" s="208"/>
      <c r="AE272" s="208"/>
      <c r="AF272" s="208"/>
      <c r="AG272" s="208"/>
      <c r="AH272" s="208"/>
      <c r="AN272" s="208"/>
      <c r="AO272" s="208"/>
      <c r="AP272" s="208"/>
      <c r="AQ272" s="208"/>
    </row>
    <row r="273" spans="2:43">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c r="AA273" s="208"/>
      <c r="AB273" s="208"/>
      <c r="AC273" s="208"/>
      <c r="AD273" s="208"/>
      <c r="AE273" s="208"/>
      <c r="AF273" s="208"/>
      <c r="AG273" s="208"/>
      <c r="AH273" s="208"/>
      <c r="AN273" s="208"/>
      <c r="AO273" s="208"/>
      <c r="AP273" s="208"/>
      <c r="AQ273" s="208"/>
    </row>
    <row r="274" spans="2:43">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c r="AA274" s="208"/>
      <c r="AB274" s="208"/>
      <c r="AC274" s="208"/>
      <c r="AD274" s="208"/>
      <c r="AE274" s="208"/>
      <c r="AF274" s="208"/>
      <c r="AG274" s="208"/>
      <c r="AH274" s="208"/>
      <c r="AN274" s="208"/>
      <c r="AO274" s="208"/>
      <c r="AP274" s="208"/>
      <c r="AQ274" s="208"/>
    </row>
    <row r="275" spans="2:43">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c r="AA275" s="208"/>
      <c r="AB275" s="208"/>
      <c r="AC275" s="208"/>
      <c r="AD275" s="208"/>
      <c r="AE275" s="208"/>
      <c r="AF275" s="208"/>
      <c r="AG275" s="208"/>
      <c r="AH275" s="208"/>
      <c r="AN275" s="208"/>
      <c r="AO275" s="208"/>
      <c r="AP275" s="208"/>
      <c r="AQ275" s="208"/>
    </row>
    <row r="276" spans="2:43">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c r="AA276" s="208"/>
      <c r="AB276" s="208"/>
      <c r="AC276" s="208"/>
      <c r="AD276" s="208"/>
      <c r="AE276" s="208"/>
      <c r="AF276" s="208"/>
      <c r="AG276" s="208"/>
      <c r="AH276" s="208"/>
      <c r="AN276" s="208"/>
      <c r="AO276" s="208"/>
      <c r="AP276" s="208"/>
      <c r="AQ276" s="208"/>
    </row>
    <row r="277" spans="2:43">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c r="AA277" s="208"/>
      <c r="AB277" s="208"/>
      <c r="AC277" s="208"/>
      <c r="AD277" s="208"/>
      <c r="AE277" s="208"/>
      <c r="AF277" s="208"/>
      <c r="AG277" s="208"/>
      <c r="AH277" s="208"/>
      <c r="AN277" s="208"/>
      <c r="AO277" s="208"/>
      <c r="AP277" s="208"/>
      <c r="AQ277" s="208"/>
    </row>
    <row r="278" spans="2:43">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c r="AA278" s="208"/>
      <c r="AB278" s="208"/>
      <c r="AC278" s="208"/>
      <c r="AD278" s="208"/>
      <c r="AE278" s="208"/>
      <c r="AF278" s="208"/>
      <c r="AG278" s="208"/>
      <c r="AH278" s="208"/>
      <c r="AN278" s="208"/>
      <c r="AO278" s="208"/>
      <c r="AP278" s="208"/>
      <c r="AQ278" s="208"/>
    </row>
    <row r="279" spans="2:43">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c r="AA279" s="208"/>
      <c r="AB279" s="208"/>
      <c r="AC279" s="208"/>
      <c r="AD279" s="208"/>
      <c r="AE279" s="208"/>
      <c r="AF279" s="208"/>
      <c r="AG279" s="208"/>
      <c r="AH279" s="208"/>
      <c r="AN279" s="208"/>
      <c r="AO279" s="208"/>
      <c r="AP279" s="208"/>
      <c r="AQ279" s="208"/>
    </row>
    <row r="280" spans="2:43">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c r="AA280" s="208"/>
      <c r="AB280" s="208"/>
      <c r="AC280" s="208"/>
      <c r="AD280" s="208"/>
      <c r="AE280" s="208"/>
      <c r="AF280" s="208"/>
      <c r="AG280" s="208"/>
      <c r="AH280" s="208"/>
      <c r="AN280" s="208"/>
      <c r="AO280" s="208"/>
      <c r="AP280" s="208"/>
      <c r="AQ280" s="208"/>
    </row>
    <row r="281" spans="2:43">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c r="AA281" s="208"/>
      <c r="AB281" s="208"/>
      <c r="AC281" s="208"/>
      <c r="AD281" s="208"/>
      <c r="AE281" s="208"/>
      <c r="AF281" s="208"/>
      <c r="AG281" s="208"/>
      <c r="AH281" s="208"/>
      <c r="AN281" s="208"/>
      <c r="AO281" s="208"/>
      <c r="AP281" s="208"/>
      <c r="AQ281" s="208"/>
    </row>
    <row r="282" spans="2:43">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c r="AA282" s="208"/>
      <c r="AB282" s="208"/>
      <c r="AC282" s="208"/>
      <c r="AD282" s="208"/>
      <c r="AE282" s="208"/>
      <c r="AF282" s="208"/>
      <c r="AG282" s="208"/>
      <c r="AH282" s="208"/>
      <c r="AN282" s="208"/>
      <c r="AO282" s="208"/>
      <c r="AP282" s="208"/>
      <c r="AQ282" s="208"/>
    </row>
    <row r="283" spans="2:43">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c r="AA283" s="208"/>
      <c r="AB283" s="208"/>
      <c r="AC283" s="208"/>
      <c r="AD283" s="208"/>
      <c r="AE283" s="208"/>
      <c r="AF283" s="208"/>
      <c r="AG283" s="208"/>
      <c r="AH283" s="208"/>
      <c r="AN283" s="208"/>
      <c r="AO283" s="208"/>
      <c r="AP283" s="208"/>
      <c r="AQ283" s="208"/>
    </row>
    <row r="284" spans="2:43">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c r="AA284" s="208"/>
      <c r="AB284" s="208"/>
      <c r="AC284" s="208"/>
      <c r="AD284" s="208"/>
      <c r="AE284" s="208"/>
      <c r="AF284" s="208"/>
      <c r="AG284" s="208"/>
      <c r="AH284" s="208"/>
      <c r="AN284" s="208"/>
      <c r="AO284" s="208"/>
      <c r="AP284" s="208"/>
      <c r="AQ284" s="208"/>
    </row>
    <row r="285" spans="2:43">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c r="AA285" s="208"/>
      <c r="AB285" s="208"/>
      <c r="AC285" s="208"/>
      <c r="AD285" s="208"/>
      <c r="AE285" s="208"/>
      <c r="AF285" s="208"/>
      <c r="AG285" s="208"/>
      <c r="AH285" s="208"/>
      <c r="AN285" s="208"/>
      <c r="AO285" s="208"/>
      <c r="AP285" s="208"/>
      <c r="AQ285" s="208"/>
    </row>
    <row r="286" spans="2:43">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c r="AA286" s="208"/>
      <c r="AB286" s="208"/>
      <c r="AC286" s="208"/>
      <c r="AD286" s="208"/>
      <c r="AE286" s="208"/>
      <c r="AF286" s="208"/>
      <c r="AG286" s="208"/>
      <c r="AH286" s="208"/>
      <c r="AN286" s="208"/>
      <c r="AO286" s="208"/>
      <c r="AP286" s="208"/>
      <c r="AQ286" s="208"/>
    </row>
    <row r="287" spans="2:43">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c r="AA287" s="208"/>
      <c r="AB287" s="208"/>
      <c r="AC287" s="208"/>
      <c r="AD287" s="208"/>
      <c r="AE287" s="208"/>
      <c r="AF287" s="208"/>
      <c r="AG287" s="208"/>
      <c r="AH287" s="208"/>
      <c r="AN287" s="208"/>
      <c r="AO287" s="208"/>
      <c r="AP287" s="208"/>
      <c r="AQ287" s="208"/>
    </row>
    <row r="288" spans="2:43">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N288" s="208"/>
      <c r="AO288" s="208"/>
      <c r="AP288" s="208"/>
      <c r="AQ288" s="208"/>
    </row>
    <row r="289" spans="2:43">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c r="AA289" s="208"/>
      <c r="AB289" s="208"/>
      <c r="AC289" s="208"/>
      <c r="AD289" s="208"/>
      <c r="AE289" s="208"/>
      <c r="AF289" s="208"/>
      <c r="AG289" s="208"/>
      <c r="AH289" s="208"/>
      <c r="AN289" s="208"/>
      <c r="AO289" s="208"/>
      <c r="AP289" s="208"/>
      <c r="AQ289" s="208"/>
    </row>
    <row r="290" spans="2:43">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c r="AA290" s="208"/>
      <c r="AB290" s="208"/>
      <c r="AC290" s="208"/>
      <c r="AD290" s="208"/>
      <c r="AE290" s="208"/>
      <c r="AF290" s="208"/>
      <c r="AG290" s="208"/>
      <c r="AH290" s="208"/>
      <c r="AN290" s="208"/>
      <c r="AO290" s="208"/>
      <c r="AP290" s="208"/>
      <c r="AQ290" s="208"/>
    </row>
    <row r="291" spans="2:43">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c r="AA291" s="208"/>
      <c r="AB291" s="208"/>
      <c r="AC291" s="208"/>
      <c r="AD291" s="208"/>
      <c r="AE291" s="208"/>
      <c r="AF291" s="208"/>
      <c r="AG291" s="208"/>
      <c r="AH291" s="208"/>
      <c r="AN291" s="208"/>
      <c r="AO291" s="208"/>
      <c r="AP291" s="208"/>
      <c r="AQ291" s="208"/>
    </row>
    <row r="292" spans="2:43">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c r="AA292" s="208"/>
      <c r="AB292" s="208"/>
      <c r="AC292" s="208"/>
      <c r="AD292" s="208"/>
      <c r="AE292" s="208"/>
      <c r="AF292" s="208"/>
      <c r="AG292" s="208"/>
      <c r="AH292" s="208"/>
      <c r="AN292" s="208"/>
      <c r="AO292" s="208"/>
      <c r="AP292" s="208"/>
      <c r="AQ292" s="208"/>
    </row>
    <row r="293" spans="2:43">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c r="AA293" s="208"/>
      <c r="AB293" s="208"/>
      <c r="AC293" s="208"/>
      <c r="AD293" s="208"/>
      <c r="AE293" s="208"/>
      <c r="AF293" s="208"/>
      <c r="AG293" s="208"/>
      <c r="AH293" s="208"/>
      <c r="AN293" s="208"/>
      <c r="AO293" s="208"/>
      <c r="AP293" s="208"/>
      <c r="AQ293" s="208"/>
    </row>
    <row r="294" spans="2:43">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c r="AA294" s="208"/>
      <c r="AB294" s="208"/>
      <c r="AC294" s="208"/>
      <c r="AD294" s="208"/>
      <c r="AE294" s="208"/>
      <c r="AF294" s="208"/>
      <c r="AG294" s="208"/>
      <c r="AH294" s="208"/>
      <c r="AN294" s="208"/>
      <c r="AO294" s="208"/>
      <c r="AP294" s="208"/>
      <c r="AQ294" s="208"/>
    </row>
    <row r="295" spans="2:43">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c r="AA295" s="208"/>
      <c r="AB295" s="208"/>
      <c r="AC295" s="208"/>
      <c r="AD295" s="208"/>
      <c r="AE295" s="208"/>
      <c r="AF295" s="208"/>
      <c r="AG295" s="208"/>
      <c r="AH295" s="208"/>
      <c r="AN295" s="208"/>
      <c r="AO295" s="208"/>
      <c r="AP295" s="208"/>
      <c r="AQ295" s="208"/>
    </row>
    <row r="296" spans="2:43">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c r="AA296" s="208"/>
      <c r="AB296" s="208"/>
      <c r="AC296" s="208"/>
      <c r="AD296" s="208"/>
      <c r="AE296" s="208"/>
      <c r="AF296" s="208"/>
      <c r="AG296" s="208"/>
      <c r="AH296" s="208"/>
      <c r="AN296" s="208"/>
      <c r="AO296" s="208"/>
      <c r="AP296" s="208"/>
      <c r="AQ296" s="208"/>
    </row>
    <row r="297" spans="2:43">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c r="AA297" s="208"/>
      <c r="AB297" s="208"/>
      <c r="AC297" s="208"/>
      <c r="AD297" s="208"/>
      <c r="AE297" s="208"/>
      <c r="AF297" s="208"/>
      <c r="AG297" s="208"/>
      <c r="AH297" s="208"/>
      <c r="AN297" s="208"/>
      <c r="AO297" s="208"/>
      <c r="AP297" s="208"/>
      <c r="AQ297" s="208"/>
    </row>
    <row r="298" spans="2:43">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c r="AA298" s="208"/>
      <c r="AB298" s="208"/>
      <c r="AC298" s="208"/>
      <c r="AD298" s="208"/>
      <c r="AE298" s="208"/>
      <c r="AF298" s="208"/>
      <c r="AG298" s="208"/>
      <c r="AH298" s="208"/>
      <c r="AN298" s="208"/>
      <c r="AO298" s="208"/>
      <c r="AP298" s="208"/>
      <c r="AQ298" s="208"/>
    </row>
    <row r="299" spans="2:43">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c r="AA299" s="208"/>
      <c r="AB299" s="208"/>
      <c r="AC299" s="208"/>
      <c r="AD299" s="208"/>
      <c r="AE299" s="208"/>
      <c r="AF299" s="208"/>
      <c r="AG299" s="208"/>
      <c r="AH299" s="208"/>
      <c r="AN299" s="208"/>
      <c r="AO299" s="208"/>
      <c r="AP299" s="208"/>
      <c r="AQ299" s="208"/>
    </row>
    <row r="300" spans="2:43">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c r="AA300" s="208"/>
      <c r="AB300" s="208"/>
      <c r="AC300" s="208"/>
      <c r="AD300" s="208"/>
      <c r="AE300" s="208"/>
      <c r="AF300" s="208"/>
      <c r="AG300" s="208"/>
      <c r="AH300" s="208"/>
      <c r="AN300" s="208"/>
      <c r="AO300" s="208"/>
      <c r="AP300" s="208"/>
      <c r="AQ300" s="208"/>
    </row>
    <row r="301" spans="2:43">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c r="AA301" s="208"/>
      <c r="AB301" s="208"/>
      <c r="AC301" s="208"/>
      <c r="AD301" s="208"/>
      <c r="AE301" s="208"/>
      <c r="AF301" s="208"/>
      <c r="AG301" s="208"/>
      <c r="AH301" s="208"/>
      <c r="AN301" s="208"/>
      <c r="AO301" s="208"/>
      <c r="AP301" s="208"/>
      <c r="AQ301" s="208"/>
    </row>
    <row r="302" spans="2:43">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c r="AA302" s="208"/>
      <c r="AB302" s="208"/>
      <c r="AC302" s="208"/>
      <c r="AD302" s="208"/>
      <c r="AE302" s="208"/>
      <c r="AF302" s="208"/>
      <c r="AG302" s="208"/>
      <c r="AH302" s="208"/>
      <c r="AN302" s="208"/>
      <c r="AO302" s="208"/>
      <c r="AP302" s="208"/>
      <c r="AQ302" s="208"/>
    </row>
    <row r="303" spans="2:43">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c r="AA303" s="208"/>
      <c r="AB303" s="208"/>
      <c r="AC303" s="208"/>
      <c r="AD303" s="208"/>
      <c r="AE303" s="208"/>
      <c r="AF303" s="208"/>
      <c r="AG303" s="208"/>
      <c r="AH303" s="208"/>
      <c r="AN303" s="208"/>
      <c r="AO303" s="208"/>
      <c r="AP303" s="208"/>
      <c r="AQ303" s="208"/>
    </row>
    <row r="304" spans="2:43">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c r="AA304" s="208"/>
      <c r="AB304" s="208"/>
      <c r="AC304" s="208"/>
      <c r="AD304" s="208"/>
      <c r="AE304" s="208"/>
      <c r="AF304" s="208"/>
      <c r="AG304" s="208"/>
      <c r="AH304" s="208"/>
      <c r="AN304" s="208"/>
      <c r="AO304" s="208"/>
      <c r="AP304" s="208"/>
      <c r="AQ304" s="208"/>
    </row>
    <row r="305" spans="2:19">
      <c r="B305" s="1"/>
      <c r="C305" s="1"/>
      <c r="D305" s="8"/>
      <c r="E305" s="8"/>
      <c r="F305" s="8"/>
      <c r="G305" s="8"/>
      <c r="H305" s="8"/>
      <c r="I305" s="5"/>
      <c r="J305" s="5"/>
      <c r="K305" s="5"/>
      <c r="R305"/>
      <c r="S305" s="11"/>
    </row>
    <row r="306" spans="2:19">
      <c r="B306" s="1"/>
      <c r="C306" s="1"/>
      <c r="D306" s="8"/>
      <c r="E306" s="8"/>
      <c r="F306" s="8"/>
      <c r="G306" s="8"/>
      <c r="H306" s="8"/>
      <c r="I306" s="5"/>
      <c r="J306" s="5"/>
      <c r="K306" s="5"/>
      <c r="R306"/>
      <c r="S306" s="11"/>
    </row>
    <row r="307" spans="2:19">
      <c r="B307" s="1"/>
      <c r="C307" s="1"/>
      <c r="D307" s="8"/>
      <c r="E307" s="8"/>
      <c r="F307" s="8"/>
      <c r="G307" s="8"/>
      <c r="H307" s="8"/>
      <c r="I307" s="5"/>
      <c r="J307" s="5"/>
      <c r="K307" s="5"/>
      <c r="R307"/>
      <c r="S307" s="11"/>
    </row>
    <row r="308" spans="2:19">
      <c r="B308" s="1"/>
      <c r="C308" s="1"/>
      <c r="D308" s="8"/>
      <c r="E308" s="8"/>
      <c r="F308" s="8"/>
      <c r="G308" s="8"/>
      <c r="H308" s="8"/>
      <c r="I308" s="5"/>
      <c r="J308" s="5"/>
      <c r="K308" s="5"/>
      <c r="R308"/>
      <c r="S308" s="11"/>
    </row>
    <row r="309" spans="2:19">
      <c r="B309" s="1"/>
      <c r="C309" s="1"/>
      <c r="D309" s="8"/>
      <c r="E309" s="8"/>
      <c r="F309" s="8"/>
      <c r="G309" s="8"/>
      <c r="H309" s="8"/>
      <c r="I309" s="5"/>
      <c r="J309" s="5"/>
      <c r="K309" s="5"/>
      <c r="R309"/>
      <c r="S309" s="11"/>
    </row>
    <row r="310" spans="2:19">
      <c r="B310" s="1"/>
      <c r="C310" s="1"/>
      <c r="D310" s="8"/>
      <c r="E310" s="8"/>
      <c r="F310" s="8"/>
      <c r="G310" s="8"/>
      <c r="H310" s="8"/>
      <c r="I310" s="5"/>
      <c r="J310" s="5"/>
      <c r="K310" s="5"/>
      <c r="R310"/>
      <c r="S310" s="11"/>
    </row>
    <row r="311" spans="2:19">
      <c r="B311" s="1"/>
      <c r="C311" s="1"/>
      <c r="D311" s="8"/>
      <c r="E311" s="8"/>
      <c r="F311" s="8"/>
      <c r="G311" s="8"/>
      <c r="H311" s="8"/>
      <c r="I311" s="5"/>
      <c r="J311" s="5"/>
      <c r="K311" s="5"/>
      <c r="R311"/>
      <c r="S311" s="11"/>
    </row>
    <row r="312" spans="2:19">
      <c r="B312" s="1"/>
      <c r="C312" s="1"/>
      <c r="D312" s="8"/>
      <c r="E312" s="8"/>
      <c r="F312" s="8"/>
      <c r="G312" s="8"/>
      <c r="H312" s="8"/>
      <c r="I312" s="5"/>
      <c r="J312" s="5"/>
      <c r="K312" s="5"/>
      <c r="R312"/>
      <c r="S312" s="11"/>
    </row>
    <row r="313" spans="2:19">
      <c r="B313" s="1"/>
      <c r="C313" s="1"/>
      <c r="D313" s="8"/>
      <c r="E313" s="8"/>
      <c r="F313" s="8"/>
      <c r="G313" s="8"/>
      <c r="H313" s="8"/>
      <c r="I313" s="5"/>
      <c r="J313" s="5"/>
      <c r="K313" s="5"/>
      <c r="R313"/>
      <c r="S313" s="11"/>
    </row>
    <row r="314" spans="2:19">
      <c r="B314" s="1"/>
      <c r="C314" s="1"/>
      <c r="D314" s="8"/>
      <c r="E314" s="8"/>
      <c r="F314" s="8"/>
      <c r="G314" s="8"/>
      <c r="H314" s="8"/>
      <c r="I314" s="5"/>
      <c r="J314" s="5"/>
      <c r="K314" s="5"/>
      <c r="R314"/>
      <c r="S314" s="11"/>
    </row>
    <row r="315" spans="2:19">
      <c r="B315" s="1"/>
      <c r="C315" s="1"/>
      <c r="D315" s="8"/>
      <c r="E315" s="8"/>
      <c r="F315" s="8"/>
      <c r="G315" s="8"/>
      <c r="H315" s="8"/>
      <c r="I315" s="5"/>
      <c r="J315" s="5"/>
      <c r="K315" s="5"/>
      <c r="R315"/>
      <c r="S315" s="11"/>
    </row>
    <row r="316" spans="2:19">
      <c r="B316" s="1"/>
      <c r="C316" s="1"/>
      <c r="D316" s="8"/>
      <c r="E316" s="8"/>
      <c r="F316" s="8"/>
      <c r="G316" s="8"/>
      <c r="H316" s="8"/>
      <c r="I316" s="5"/>
      <c r="J316" s="5"/>
      <c r="K316" s="5"/>
      <c r="R316"/>
      <c r="S316" s="11"/>
    </row>
    <row r="317" spans="2:19">
      <c r="B317" s="1"/>
      <c r="C317" s="1"/>
      <c r="D317" s="8"/>
      <c r="E317" s="8"/>
      <c r="F317" s="8"/>
      <c r="G317" s="8"/>
      <c r="H317" s="8"/>
      <c r="I317" s="5"/>
      <c r="J317" s="5"/>
      <c r="K317" s="5"/>
      <c r="R317"/>
      <c r="S317" s="11"/>
    </row>
    <row r="318" spans="2:19">
      <c r="B318" s="1"/>
      <c r="C318" s="1"/>
      <c r="D318" s="8"/>
      <c r="E318" s="8"/>
      <c r="F318" s="8"/>
      <c r="G318" s="8"/>
      <c r="H318" s="8"/>
      <c r="I318" s="5"/>
      <c r="J318" s="5"/>
      <c r="K318" s="5"/>
      <c r="R318"/>
      <c r="S318" s="11"/>
    </row>
    <row r="319" spans="2:19">
      <c r="B319" s="1"/>
      <c r="C319" s="1"/>
      <c r="D319" s="8"/>
      <c r="E319" s="8"/>
      <c r="F319" s="8"/>
      <c r="G319" s="8"/>
      <c r="H319" s="8"/>
      <c r="I319" s="5"/>
      <c r="J319" s="5"/>
      <c r="K319" s="5"/>
      <c r="R319"/>
      <c r="S319" s="11"/>
    </row>
    <row r="320" spans="2:19">
      <c r="B320" s="1"/>
      <c r="C320" s="1"/>
      <c r="D320" s="8"/>
      <c r="E320" s="8"/>
      <c r="F320" s="8"/>
      <c r="G320" s="8"/>
      <c r="H320" s="8"/>
      <c r="I320" s="5"/>
      <c r="J320" s="5"/>
      <c r="K320" s="5"/>
      <c r="R320"/>
      <c r="S320" s="11"/>
    </row>
    <row r="321" spans="2:19">
      <c r="B321" s="1"/>
      <c r="C321" s="1"/>
      <c r="D321" s="8"/>
      <c r="E321" s="8"/>
      <c r="F321" s="8"/>
      <c r="G321" s="8"/>
      <c r="H321" s="8"/>
      <c r="I321" s="5"/>
      <c r="J321" s="5"/>
      <c r="K321" s="5"/>
      <c r="R321"/>
      <c r="S321" s="11"/>
    </row>
    <row r="322" spans="2:19">
      <c r="B322" s="1"/>
      <c r="C322" s="1"/>
      <c r="D322" s="8"/>
      <c r="E322" s="8"/>
      <c r="F322" s="8"/>
      <c r="G322" s="8"/>
      <c r="H322" s="8"/>
      <c r="I322" s="5"/>
      <c r="J322" s="5"/>
      <c r="K322" s="5"/>
      <c r="R322"/>
      <c r="S322" s="11"/>
    </row>
    <row r="323" spans="2:19">
      <c r="B323" s="1"/>
      <c r="C323" s="1"/>
      <c r="D323" s="8"/>
      <c r="E323" s="8"/>
      <c r="F323" s="8"/>
      <c r="G323" s="8"/>
      <c r="H323" s="8"/>
      <c r="I323" s="5"/>
      <c r="J323" s="5"/>
      <c r="K323" s="5"/>
      <c r="R323"/>
      <c r="S323" s="11"/>
    </row>
    <row r="324" spans="2:19">
      <c r="B324" s="1"/>
      <c r="C324" s="1"/>
      <c r="D324" s="8"/>
      <c r="E324" s="8"/>
      <c r="F324" s="8"/>
      <c r="G324" s="8"/>
      <c r="H324" s="8"/>
      <c r="I324" s="5"/>
      <c r="J324" s="5"/>
      <c r="K324" s="5"/>
      <c r="R324"/>
      <c r="S324" s="11"/>
    </row>
    <row r="325" spans="2:19">
      <c r="B325" s="1"/>
      <c r="C325" s="1"/>
      <c r="D325" s="8"/>
      <c r="E325" s="8"/>
      <c r="F325" s="8"/>
      <c r="G325" s="8"/>
      <c r="H325" s="8"/>
      <c r="I325" s="5"/>
      <c r="J325" s="5"/>
      <c r="K325" s="5"/>
      <c r="R325"/>
      <c r="S325" s="11"/>
    </row>
    <row r="326" spans="2:19">
      <c r="B326" s="1"/>
      <c r="C326" s="1"/>
      <c r="D326" s="8"/>
      <c r="E326" s="8"/>
      <c r="F326" s="8"/>
      <c r="G326" s="8"/>
      <c r="H326" s="8"/>
      <c r="I326" s="5"/>
      <c r="J326" s="5"/>
      <c r="K326" s="5"/>
      <c r="R326"/>
      <c r="S326" s="11"/>
    </row>
    <row r="327" spans="2:19">
      <c r="B327" s="1"/>
      <c r="C327" s="1"/>
      <c r="D327" s="8"/>
      <c r="E327" s="8"/>
      <c r="F327" s="8"/>
      <c r="G327" s="8"/>
      <c r="H327" s="8"/>
      <c r="I327" s="5"/>
      <c r="J327" s="5"/>
      <c r="K327" s="5"/>
      <c r="R327"/>
      <c r="S327" s="11"/>
    </row>
    <row r="328" spans="2:19">
      <c r="B328" s="1"/>
      <c r="C328" s="1"/>
      <c r="D328" s="8"/>
      <c r="E328" s="8"/>
      <c r="F328" s="8"/>
      <c r="G328" s="8"/>
      <c r="H328" s="8"/>
      <c r="I328" s="5"/>
      <c r="J328" s="5"/>
      <c r="K328" s="5"/>
      <c r="R328"/>
      <c r="S328" s="11"/>
    </row>
    <row r="329" spans="2:19">
      <c r="B329" s="1"/>
      <c r="C329" s="1"/>
      <c r="D329" s="8"/>
      <c r="E329" s="8"/>
      <c r="F329" s="8"/>
      <c r="G329" s="8"/>
      <c r="H329" s="5"/>
      <c r="I329" s="5"/>
      <c r="J329" s="5"/>
    </row>
    <row r="330" spans="2:19">
      <c r="B330" s="1"/>
      <c r="C330" s="1"/>
      <c r="D330" s="8"/>
      <c r="E330" s="8"/>
      <c r="F330" s="8"/>
      <c r="G330" s="8"/>
      <c r="H330" s="5"/>
      <c r="I330" s="5"/>
      <c r="J330" s="5"/>
    </row>
    <row r="331" spans="2:19">
      <c r="B331" s="1"/>
      <c r="C331" s="1"/>
      <c r="D331" s="8"/>
      <c r="E331" s="8"/>
      <c r="F331" s="8"/>
      <c r="G331" s="8"/>
      <c r="H331" s="5"/>
      <c r="I331" s="5"/>
      <c r="J331" s="5"/>
    </row>
    <row r="332" spans="2:19">
      <c r="B332" s="1"/>
      <c r="C332" s="1"/>
      <c r="D332" s="8"/>
      <c r="E332" s="8"/>
      <c r="F332" s="8"/>
      <c r="G332" s="8"/>
      <c r="H332" s="5"/>
      <c r="I332" s="5"/>
      <c r="J332" s="5"/>
    </row>
    <row r="333" spans="2:19">
      <c r="B333" s="1"/>
      <c r="C333" s="1"/>
      <c r="D333" s="8"/>
      <c r="E333" s="8"/>
      <c r="F333" s="8"/>
      <c r="G333" s="8"/>
      <c r="H333" s="5"/>
      <c r="I333" s="5"/>
      <c r="J333" s="5"/>
    </row>
    <row r="334" spans="2:19">
      <c r="B334" s="1"/>
      <c r="C334" s="1"/>
      <c r="D334" s="8"/>
      <c r="E334" s="8"/>
      <c r="F334" s="8"/>
      <c r="G334" s="8"/>
      <c r="H334" s="5"/>
      <c r="I334" s="5"/>
      <c r="J334" s="5"/>
    </row>
    <row r="335" spans="2:19">
      <c r="B335" s="1"/>
      <c r="C335" s="1"/>
      <c r="D335" s="8"/>
      <c r="E335" s="8"/>
      <c r="F335" s="8"/>
      <c r="G335" s="8"/>
      <c r="H335" s="5"/>
      <c r="I335" s="5"/>
      <c r="J335" s="5"/>
    </row>
    <row r="336" spans="2:19">
      <c r="B336" s="1"/>
      <c r="C336" s="1"/>
      <c r="D336" s="8"/>
      <c r="E336" s="8"/>
      <c r="F336" s="8"/>
      <c r="G336" s="8"/>
      <c r="H336" s="5"/>
      <c r="I336" s="5"/>
      <c r="J336" s="5"/>
    </row>
    <row r="337" spans="2:10">
      <c r="B337" s="1"/>
      <c r="C337" s="1"/>
      <c r="D337" s="8"/>
      <c r="E337" s="8"/>
      <c r="F337" s="8"/>
      <c r="G337" s="8"/>
      <c r="H337" s="5"/>
      <c r="I337" s="5"/>
      <c r="J337" s="5"/>
    </row>
    <row r="338" spans="2:10">
      <c r="B338" s="1"/>
      <c r="C338" s="1"/>
      <c r="D338" s="8"/>
      <c r="E338" s="8"/>
      <c r="F338" s="8"/>
      <c r="G338" s="8"/>
      <c r="H338" s="5"/>
      <c r="I338" s="5"/>
      <c r="J338" s="5"/>
    </row>
    <row r="339" spans="2:10">
      <c r="B339" s="1"/>
      <c r="C339" s="1"/>
      <c r="D339" s="8"/>
      <c r="E339" s="8"/>
      <c r="F339" s="8"/>
      <c r="G339" s="8"/>
      <c r="H339" s="5"/>
      <c r="I339" s="5"/>
      <c r="J339" s="5"/>
    </row>
    <row r="340" spans="2:10">
      <c r="B340" s="1"/>
      <c r="C340" s="1"/>
      <c r="D340" s="8"/>
      <c r="E340" s="8"/>
      <c r="F340" s="8"/>
      <c r="G340" s="8"/>
      <c r="H340" s="5"/>
      <c r="I340" s="5"/>
      <c r="J340" s="5"/>
    </row>
    <row r="341" spans="2:10">
      <c r="B341" s="1"/>
      <c r="C341" s="1"/>
      <c r="D341" s="8"/>
      <c r="E341" s="8"/>
      <c r="F341" s="8"/>
      <c r="G341" s="8"/>
      <c r="H341" s="5"/>
      <c r="I341" s="5"/>
      <c r="J341" s="5"/>
    </row>
    <row r="342" spans="2:10">
      <c r="B342" s="1"/>
      <c r="C342" s="1"/>
      <c r="D342" s="8"/>
      <c r="E342" s="8"/>
      <c r="F342" s="8"/>
      <c r="G342" s="8"/>
      <c r="H342" s="5"/>
      <c r="I342" s="5"/>
      <c r="J342" s="5"/>
    </row>
    <row r="343" spans="2:10">
      <c r="B343" s="1"/>
      <c r="C343" s="1"/>
      <c r="D343" s="8"/>
      <c r="E343" s="8"/>
      <c r="F343" s="8"/>
      <c r="G343" s="8"/>
      <c r="H343" s="5"/>
      <c r="I343" s="5"/>
      <c r="J343" s="5"/>
    </row>
    <row r="344" spans="2:10">
      <c r="B344" s="1"/>
      <c r="C344" s="1"/>
      <c r="D344" s="8"/>
      <c r="E344" s="8"/>
      <c r="F344" s="8"/>
      <c r="G344" s="8"/>
      <c r="H344" s="5"/>
      <c r="I344" s="5"/>
      <c r="J344" s="5"/>
    </row>
    <row r="345" spans="2:10">
      <c r="B345" s="1"/>
      <c r="C345" s="1"/>
      <c r="D345" s="8"/>
      <c r="E345" s="8"/>
      <c r="F345" s="8"/>
      <c r="G345" s="8"/>
      <c r="H345" s="5"/>
      <c r="I345" s="5"/>
      <c r="J345" s="5"/>
    </row>
    <row r="346" spans="2:10">
      <c r="B346" s="1"/>
      <c r="C346" s="1"/>
      <c r="D346" s="8"/>
      <c r="E346" s="8"/>
      <c r="F346" s="8"/>
      <c r="G346" s="8"/>
      <c r="H346" s="5"/>
      <c r="I346" s="5"/>
      <c r="J346" s="5"/>
    </row>
    <row r="347" spans="2:10">
      <c r="B347" s="1"/>
      <c r="C347" s="1"/>
      <c r="D347" s="8"/>
      <c r="E347" s="8"/>
      <c r="F347" s="8"/>
      <c r="G347" s="8"/>
      <c r="H347" s="5"/>
      <c r="I347" s="5"/>
      <c r="J347" s="5"/>
    </row>
    <row r="348" spans="2:10">
      <c r="B348" s="1"/>
      <c r="C348" s="1"/>
      <c r="D348" s="8"/>
      <c r="E348" s="8"/>
      <c r="F348" s="8"/>
      <c r="G348" s="8"/>
      <c r="H348" s="5"/>
      <c r="I348" s="5"/>
      <c r="J348" s="5"/>
    </row>
    <row r="349" spans="2:10">
      <c r="B349" s="1"/>
      <c r="C349" s="1"/>
      <c r="D349" s="8"/>
      <c r="E349" s="8"/>
      <c r="F349" s="8"/>
      <c r="G349" s="8"/>
      <c r="H349" s="5"/>
      <c r="I349" s="5"/>
      <c r="J349" s="5"/>
    </row>
    <row r="350" spans="2:10">
      <c r="B350" s="1"/>
      <c r="C350" s="1"/>
      <c r="D350" s="8"/>
      <c r="E350" s="8"/>
      <c r="F350" s="8"/>
      <c r="G350" s="8"/>
      <c r="H350" s="5"/>
      <c r="I350" s="5"/>
      <c r="J350" s="5"/>
    </row>
    <row r="351" spans="2:10">
      <c r="B351" s="1"/>
      <c r="C351" s="1"/>
      <c r="D351" s="8"/>
      <c r="E351" s="8"/>
      <c r="F351" s="8"/>
      <c r="G351" s="8"/>
      <c r="H351" s="5"/>
      <c r="I351" s="5"/>
      <c r="J351" s="5"/>
    </row>
    <row r="352" spans="2:10">
      <c r="B352" s="1"/>
      <c r="C352" s="1"/>
      <c r="D352" s="8"/>
      <c r="E352" s="8"/>
      <c r="F352" s="8"/>
      <c r="G352" s="8"/>
      <c r="H352" s="5"/>
      <c r="I352" s="5"/>
      <c r="J352" s="5"/>
    </row>
    <row r="353" spans="2:10">
      <c r="B353" s="1"/>
      <c r="C353" s="1"/>
      <c r="D353" s="8"/>
      <c r="E353" s="8"/>
      <c r="F353" s="8"/>
      <c r="G353" s="8"/>
      <c r="H353" s="5"/>
      <c r="I353" s="5"/>
      <c r="J353" s="5"/>
    </row>
    <row r="354" spans="2:10">
      <c r="B354" s="1"/>
      <c r="C354" s="1"/>
      <c r="D354" s="8"/>
      <c r="E354" s="8"/>
      <c r="F354" s="8"/>
      <c r="G354" s="8"/>
      <c r="H354" s="5"/>
      <c r="I354" s="5"/>
      <c r="J354" s="5"/>
    </row>
    <row r="355" spans="2:10">
      <c r="B355" s="1"/>
      <c r="C355" s="1"/>
      <c r="D355" s="8"/>
      <c r="E355" s="8"/>
      <c r="F355" s="8"/>
      <c r="G355" s="8"/>
      <c r="H355" s="5"/>
      <c r="I355" s="5"/>
      <c r="J355" s="5"/>
    </row>
    <row r="356" spans="2:10">
      <c r="B356" s="1"/>
      <c r="C356" s="1"/>
      <c r="D356" s="8"/>
      <c r="E356" s="8"/>
      <c r="F356" s="8"/>
      <c r="G356" s="8"/>
      <c r="H356" s="5"/>
      <c r="I356" s="5"/>
      <c r="J356" s="5"/>
    </row>
    <row r="357" spans="2:10">
      <c r="B357" s="1"/>
      <c r="C357" s="1"/>
      <c r="D357" s="8"/>
      <c r="E357" s="8"/>
      <c r="F357" s="8"/>
      <c r="G357" s="8"/>
      <c r="H357" s="5"/>
      <c r="I357" s="5"/>
      <c r="J357" s="5"/>
    </row>
    <row r="358" spans="2:10">
      <c r="B358" s="1"/>
      <c r="C358" s="1"/>
      <c r="D358" s="8"/>
      <c r="E358" s="8"/>
      <c r="F358" s="8"/>
      <c r="G358" s="8"/>
      <c r="H358" s="5"/>
      <c r="I358" s="5"/>
      <c r="J358" s="5"/>
    </row>
    <row r="359" spans="2:10">
      <c r="B359" s="1"/>
      <c r="C359" s="1"/>
      <c r="D359" s="8"/>
      <c r="E359" s="8"/>
      <c r="F359" s="8"/>
      <c r="G359" s="8"/>
      <c r="H359" s="5"/>
      <c r="I359" s="5"/>
      <c r="J359" s="5"/>
    </row>
    <row r="360" spans="2:10">
      <c r="B360" s="1"/>
      <c r="C360" s="1"/>
      <c r="D360" s="8"/>
      <c r="E360" s="8"/>
      <c r="F360" s="8"/>
      <c r="G360" s="8"/>
      <c r="H360" s="5"/>
      <c r="I360" s="5"/>
      <c r="J360" s="5"/>
    </row>
    <row r="361" spans="2:10">
      <c r="B361" s="1"/>
      <c r="C361" s="1"/>
      <c r="D361" s="8"/>
      <c r="E361" s="8"/>
      <c r="F361" s="8"/>
      <c r="G361" s="8"/>
      <c r="H361" s="5"/>
      <c r="I361" s="5"/>
      <c r="J361" s="5"/>
    </row>
    <row r="362" spans="2:10">
      <c r="B362" s="1"/>
      <c r="C362" s="1"/>
      <c r="D362" s="8"/>
      <c r="E362" s="8"/>
      <c r="F362" s="8"/>
      <c r="G362" s="8"/>
      <c r="H362" s="5"/>
      <c r="I362" s="5"/>
      <c r="J362" s="5"/>
    </row>
    <row r="363" spans="2:10">
      <c r="B363" s="1"/>
      <c r="C363" s="1"/>
      <c r="D363" s="8"/>
      <c r="E363" s="8"/>
      <c r="F363" s="8"/>
      <c r="G363" s="8"/>
      <c r="H363" s="5"/>
      <c r="I363" s="5"/>
      <c r="J363" s="5"/>
    </row>
    <row r="364" spans="2:10">
      <c r="B364" s="1"/>
      <c r="C364" s="1"/>
      <c r="D364" s="8"/>
      <c r="E364" s="8"/>
      <c r="F364" s="8"/>
      <c r="G364" s="8"/>
      <c r="H364" s="5"/>
      <c r="I364" s="5"/>
      <c r="J364" s="5"/>
    </row>
    <row r="365" spans="2:10">
      <c r="B365" s="1"/>
      <c r="C365" s="1"/>
      <c r="D365" s="8"/>
      <c r="E365" s="8"/>
      <c r="F365" s="8"/>
      <c r="G365" s="8"/>
      <c r="H365" s="5"/>
      <c r="I365" s="5"/>
      <c r="J365" s="5"/>
    </row>
    <row r="366" spans="2:10">
      <c r="B366" s="1"/>
      <c r="C366" s="1"/>
      <c r="D366" s="8"/>
      <c r="E366" s="8"/>
      <c r="F366" s="8"/>
      <c r="G366" s="8"/>
      <c r="H366" s="5"/>
      <c r="I366" s="5"/>
      <c r="J366" s="5"/>
    </row>
    <row r="367" spans="2:10">
      <c r="B367" s="1"/>
      <c r="C367" s="1"/>
      <c r="D367" s="8"/>
      <c r="E367" s="8"/>
      <c r="F367" s="8"/>
      <c r="G367" s="8"/>
      <c r="H367" s="5"/>
      <c r="I367" s="5"/>
      <c r="J367" s="5"/>
    </row>
    <row r="368" spans="2:10">
      <c r="B368" s="1"/>
      <c r="C368" s="1"/>
      <c r="D368" s="8"/>
      <c r="E368" s="8"/>
      <c r="F368" s="8"/>
      <c r="G368" s="8"/>
      <c r="H368" s="5"/>
      <c r="I368" s="5"/>
      <c r="J368" s="5"/>
    </row>
    <row r="369" spans="2:10">
      <c r="B369" s="1"/>
      <c r="C369" s="1"/>
      <c r="D369" s="8"/>
      <c r="E369" s="8"/>
      <c r="F369" s="8"/>
      <c r="G369" s="8"/>
      <c r="H369" s="5"/>
      <c r="I369" s="5"/>
      <c r="J369" s="5"/>
    </row>
    <row r="370" spans="2:10">
      <c r="B370" s="1"/>
      <c r="C370" s="1"/>
      <c r="D370" s="8"/>
      <c r="E370" s="8"/>
      <c r="F370" s="8"/>
      <c r="G370" s="8"/>
      <c r="H370" s="5"/>
      <c r="I370" s="5"/>
      <c r="J370" s="5"/>
    </row>
    <row r="371" spans="2:10">
      <c r="B371" s="1"/>
      <c r="C371" s="1"/>
      <c r="D371" s="8"/>
      <c r="E371" s="8"/>
      <c r="F371" s="8"/>
      <c r="G371" s="8"/>
      <c r="H371" s="5"/>
      <c r="I371" s="5"/>
      <c r="J371" s="5"/>
    </row>
    <row r="372" spans="2:10">
      <c r="B372" s="1"/>
      <c r="C372" s="1"/>
      <c r="D372" s="8"/>
      <c r="E372" s="8"/>
      <c r="F372" s="8"/>
      <c r="G372" s="8"/>
      <c r="H372" s="5"/>
      <c r="I372" s="5"/>
      <c r="J372" s="5"/>
    </row>
    <row r="373" spans="2:10">
      <c r="B373" s="1"/>
      <c r="C373" s="1"/>
      <c r="D373" s="8"/>
      <c r="E373" s="8"/>
      <c r="F373" s="8"/>
      <c r="G373" s="8"/>
      <c r="H373" s="5"/>
      <c r="I373" s="5"/>
      <c r="J373" s="5"/>
    </row>
    <row r="374" spans="2:10">
      <c r="B374" s="1"/>
      <c r="C374" s="1"/>
      <c r="D374" s="8"/>
      <c r="E374" s="8"/>
      <c r="F374" s="8"/>
      <c r="G374" s="8"/>
      <c r="H374" s="5"/>
      <c r="I374" s="5"/>
      <c r="J374" s="5"/>
    </row>
    <row r="375" spans="2:10">
      <c r="B375" s="1"/>
      <c r="C375" s="1"/>
      <c r="D375" s="8"/>
      <c r="E375" s="8"/>
      <c r="F375" s="8"/>
      <c r="G375" s="8"/>
      <c r="H375" s="5"/>
      <c r="I375" s="5"/>
      <c r="J375" s="5"/>
    </row>
    <row r="376" spans="2:10">
      <c r="B376" s="1"/>
      <c r="C376" s="1"/>
      <c r="D376" s="8"/>
      <c r="E376" s="8"/>
      <c r="F376" s="8"/>
      <c r="G376" s="8"/>
      <c r="H376" s="5"/>
      <c r="I376" s="5"/>
      <c r="J376" s="5"/>
    </row>
    <row r="377" spans="2:10">
      <c r="B377" s="1"/>
      <c r="C377" s="1"/>
      <c r="D377" s="8"/>
      <c r="E377" s="8"/>
      <c r="F377" s="8"/>
      <c r="G377" s="8"/>
      <c r="H377" s="5"/>
      <c r="I377" s="5"/>
      <c r="J377" s="5"/>
    </row>
    <row r="378" spans="2:10">
      <c r="B378" s="1"/>
      <c r="C378" s="1"/>
      <c r="D378" s="8"/>
      <c r="E378" s="8"/>
      <c r="F378" s="8"/>
      <c r="G378" s="8"/>
      <c r="H378" s="5"/>
      <c r="I378" s="5"/>
      <c r="J378" s="5"/>
    </row>
    <row r="379" spans="2:10">
      <c r="B379" s="1"/>
      <c r="C379" s="1"/>
      <c r="D379" s="8"/>
      <c r="E379" s="8"/>
      <c r="F379" s="8"/>
      <c r="G379" s="8"/>
      <c r="H379" s="5"/>
      <c r="I379" s="5"/>
      <c r="J379" s="5"/>
    </row>
    <row r="380" spans="2:10">
      <c r="B380" s="1"/>
      <c r="C380" s="1"/>
      <c r="D380" s="8"/>
      <c r="E380" s="8"/>
      <c r="F380" s="8"/>
      <c r="G380" s="8"/>
      <c r="H380" s="5"/>
      <c r="I380" s="5"/>
      <c r="J380" s="5"/>
    </row>
    <row r="381" spans="2:10">
      <c r="B381" s="1"/>
      <c r="C381" s="1"/>
      <c r="D381" s="8"/>
      <c r="E381" s="8"/>
      <c r="F381" s="8"/>
      <c r="G381" s="8"/>
      <c r="H381" s="5"/>
      <c r="I381" s="5"/>
      <c r="J381" s="5"/>
    </row>
    <row r="382" spans="2:10">
      <c r="B382" s="1"/>
      <c r="C382" s="1"/>
      <c r="D382" s="8"/>
      <c r="E382" s="8"/>
      <c r="F382" s="8"/>
      <c r="G382" s="8"/>
      <c r="H382" s="5"/>
      <c r="I382" s="5"/>
      <c r="J382" s="5"/>
    </row>
    <row r="383" spans="2:10">
      <c r="B383" s="1"/>
      <c r="C383" s="1"/>
      <c r="D383" s="8"/>
      <c r="E383" s="8"/>
      <c r="F383" s="8"/>
      <c r="G383" s="8"/>
      <c r="H383" s="5"/>
      <c r="I383" s="5"/>
      <c r="J383" s="5"/>
    </row>
    <row r="384" spans="2:10">
      <c r="B384" s="1"/>
      <c r="C384" s="1"/>
      <c r="D384" s="8"/>
      <c r="E384" s="8"/>
      <c r="F384" s="8"/>
      <c r="G384" s="8"/>
      <c r="H384" s="5"/>
      <c r="I384" s="5"/>
      <c r="J384" s="5"/>
    </row>
    <row r="385" spans="2:10">
      <c r="B385" s="1"/>
      <c r="C385" s="1"/>
      <c r="D385" s="8"/>
      <c r="E385" s="8"/>
      <c r="F385" s="8"/>
      <c r="G385" s="8"/>
      <c r="H385" s="5"/>
      <c r="I385" s="5"/>
      <c r="J385" s="5"/>
    </row>
    <row r="386" spans="2:10">
      <c r="B386" s="1"/>
      <c r="C386" s="1"/>
      <c r="D386" s="8"/>
      <c r="E386" s="8"/>
      <c r="F386" s="8"/>
      <c r="G386" s="8"/>
      <c r="H386" s="5"/>
      <c r="I386" s="5"/>
      <c r="J386" s="5"/>
    </row>
    <row r="387" spans="2:10">
      <c r="B387" s="1"/>
      <c r="C387" s="1"/>
      <c r="D387" s="8"/>
      <c r="E387" s="8"/>
      <c r="F387" s="8"/>
      <c r="G387" s="8"/>
      <c r="H387" s="5"/>
      <c r="I387" s="5"/>
      <c r="J387" s="5"/>
    </row>
    <row r="388" spans="2:10">
      <c r="B388" s="1"/>
      <c r="C388" s="1"/>
      <c r="D388" s="8"/>
      <c r="E388" s="8"/>
      <c r="F388" s="8"/>
      <c r="G388" s="8"/>
      <c r="H388" s="5"/>
      <c r="I388" s="5"/>
      <c r="J388" s="5"/>
    </row>
    <row r="389" spans="2:10">
      <c r="B389" s="1"/>
      <c r="C389" s="1"/>
      <c r="D389" s="8"/>
      <c r="E389" s="8"/>
      <c r="F389" s="8"/>
      <c r="G389" s="8"/>
      <c r="H389" s="5"/>
      <c r="I389" s="5"/>
      <c r="J389" s="5"/>
    </row>
    <row r="390" spans="2:10">
      <c r="B390" s="1"/>
      <c r="C390" s="1"/>
      <c r="D390" s="8"/>
      <c r="E390" s="8"/>
      <c r="F390" s="8"/>
      <c r="G390" s="8"/>
      <c r="H390" s="5"/>
      <c r="I390" s="5"/>
      <c r="J390" s="5"/>
    </row>
    <row r="391" spans="2:10">
      <c r="B391" s="1"/>
      <c r="C391" s="1"/>
      <c r="D391" s="8"/>
      <c r="E391" s="8"/>
      <c r="F391" s="8"/>
      <c r="G391" s="8"/>
      <c r="H391" s="5"/>
      <c r="I391" s="5"/>
      <c r="J391" s="5"/>
    </row>
    <row r="392" spans="2:10">
      <c r="B392" s="1"/>
      <c r="C392" s="1"/>
      <c r="D392" s="8"/>
      <c r="E392" s="8"/>
      <c r="F392" s="8"/>
      <c r="G392" s="8"/>
      <c r="H392" s="5"/>
      <c r="I392" s="5"/>
      <c r="J392" s="5"/>
    </row>
    <row r="393" spans="2:10">
      <c r="B393" s="1"/>
      <c r="C393" s="1"/>
      <c r="D393" s="8"/>
      <c r="E393" s="8"/>
      <c r="F393" s="8"/>
      <c r="G393" s="8"/>
      <c r="H393" s="5"/>
      <c r="I393" s="5"/>
      <c r="J393" s="5"/>
    </row>
    <row r="394" spans="2:10">
      <c r="B394" s="1"/>
      <c r="C394" s="1"/>
      <c r="D394" s="8"/>
      <c r="E394" s="8"/>
      <c r="F394" s="8"/>
      <c r="G394" s="8"/>
      <c r="H394" s="5"/>
      <c r="I394" s="5"/>
      <c r="J394" s="5"/>
    </row>
    <row r="395" spans="2:10">
      <c r="B395" s="1"/>
      <c r="C395" s="1"/>
      <c r="D395" s="8"/>
      <c r="E395" s="8"/>
      <c r="F395" s="8"/>
      <c r="G395" s="8"/>
      <c r="H395" s="5"/>
      <c r="I395" s="5"/>
      <c r="J395" s="5"/>
    </row>
    <row r="396" spans="2:10">
      <c r="B396" s="1"/>
      <c r="C396" s="1"/>
      <c r="D396" s="8"/>
      <c r="E396" s="8"/>
      <c r="F396" s="8"/>
      <c r="G396" s="8"/>
      <c r="H396" s="5"/>
      <c r="I396" s="5"/>
      <c r="J396" s="5"/>
    </row>
    <row r="397" spans="2:10">
      <c r="B397" s="1"/>
      <c r="C397" s="1"/>
      <c r="D397" s="8"/>
      <c r="E397" s="8"/>
      <c r="F397" s="8"/>
      <c r="G397" s="8"/>
      <c r="H397" s="5"/>
      <c r="I397" s="5"/>
      <c r="J397" s="5"/>
    </row>
    <row r="398" spans="2:10">
      <c r="B398" s="1"/>
      <c r="C398" s="1"/>
      <c r="D398" s="8"/>
      <c r="E398" s="8"/>
      <c r="F398" s="8"/>
      <c r="G398" s="8"/>
      <c r="H398" s="5"/>
      <c r="I398" s="5"/>
      <c r="J398" s="5"/>
    </row>
    <row r="399" spans="2:10">
      <c r="B399" s="1"/>
      <c r="C399" s="1"/>
      <c r="D399" s="8"/>
      <c r="E399" s="8"/>
      <c r="F399" s="8"/>
      <c r="G399" s="8"/>
      <c r="H399" s="5"/>
      <c r="I399" s="5"/>
      <c r="J399" s="5"/>
    </row>
    <row r="400" spans="2:10">
      <c r="B400" s="1"/>
      <c r="C400" s="1"/>
      <c r="D400" s="8"/>
      <c r="E400" s="8"/>
      <c r="F400" s="8"/>
      <c r="G400" s="8"/>
      <c r="H400" s="5"/>
      <c r="I400" s="5"/>
      <c r="J400" s="5"/>
    </row>
    <row r="401" spans="2:10">
      <c r="B401" s="1"/>
      <c r="C401" s="1"/>
      <c r="D401" s="8"/>
      <c r="E401" s="8"/>
      <c r="F401" s="8"/>
      <c r="G401" s="8"/>
      <c r="H401" s="5"/>
      <c r="I401" s="5"/>
      <c r="J401" s="5"/>
    </row>
    <row r="402" spans="2:10">
      <c r="B402" s="1"/>
      <c r="C402" s="1"/>
      <c r="D402" s="8"/>
      <c r="E402" s="8"/>
      <c r="F402" s="8"/>
      <c r="G402" s="8"/>
      <c r="H402" s="5"/>
      <c r="I402" s="5"/>
      <c r="J402" s="5"/>
    </row>
    <row r="403" spans="2:10">
      <c r="B403" s="1"/>
      <c r="C403" s="1"/>
      <c r="D403" s="8"/>
      <c r="E403" s="8"/>
      <c r="F403" s="8"/>
      <c r="G403" s="8"/>
      <c r="H403" s="5"/>
      <c r="I403" s="5"/>
      <c r="J403" s="5"/>
    </row>
    <row r="404" spans="2:10">
      <c r="B404" s="1"/>
      <c r="C404" s="1"/>
      <c r="D404" s="8"/>
      <c r="E404" s="8"/>
      <c r="F404" s="8"/>
      <c r="G404" s="8"/>
      <c r="H404" s="5"/>
      <c r="I404" s="5"/>
      <c r="J404" s="5"/>
    </row>
    <row r="405" spans="2:10">
      <c r="B405" s="1"/>
      <c r="C405" s="1"/>
      <c r="D405" s="8"/>
      <c r="E405" s="8"/>
      <c r="F405" s="8"/>
      <c r="G405" s="8"/>
      <c r="H405" s="5"/>
      <c r="I405" s="5"/>
      <c r="J405" s="5"/>
    </row>
    <row r="406" spans="2:10">
      <c r="B406" s="1"/>
      <c r="C406" s="1"/>
      <c r="D406" s="8"/>
      <c r="E406" s="8"/>
      <c r="F406" s="8"/>
      <c r="G406" s="8"/>
      <c r="H406" s="5"/>
      <c r="I406" s="5"/>
      <c r="J406" s="5"/>
    </row>
    <row r="407" spans="2:10">
      <c r="B407" s="1"/>
      <c r="C407" s="1"/>
      <c r="D407" s="8"/>
      <c r="E407" s="8"/>
      <c r="F407" s="8"/>
      <c r="G407" s="8"/>
      <c r="H407" s="5"/>
      <c r="I407" s="5"/>
      <c r="J407" s="5"/>
    </row>
    <row r="408" spans="2:10">
      <c r="B408" s="1"/>
      <c r="C408" s="1"/>
      <c r="D408" s="8"/>
      <c r="E408" s="8"/>
      <c r="F408" s="8"/>
      <c r="G408" s="8"/>
      <c r="H408" s="5"/>
      <c r="I408" s="5"/>
      <c r="J408" s="5"/>
    </row>
    <row r="409" spans="2:10">
      <c r="B409" s="1"/>
      <c r="C409" s="1"/>
      <c r="D409" s="8"/>
      <c r="E409" s="8"/>
      <c r="F409" s="8"/>
      <c r="G409" s="8"/>
      <c r="H409" s="5"/>
      <c r="I409" s="5"/>
      <c r="J409" s="5"/>
    </row>
    <row r="410" spans="2:10">
      <c r="B410" s="1"/>
      <c r="C410" s="1"/>
      <c r="D410" s="8"/>
      <c r="E410" s="8"/>
      <c r="F410" s="8"/>
      <c r="G410" s="8"/>
      <c r="H410" s="5"/>
      <c r="I410" s="5"/>
      <c r="J410" s="5"/>
    </row>
    <row r="411" spans="2:10">
      <c r="B411" s="1"/>
      <c r="C411" s="1"/>
      <c r="D411" s="8"/>
      <c r="E411" s="8"/>
      <c r="F411" s="8"/>
      <c r="G411" s="8"/>
      <c r="H411" s="5"/>
      <c r="I411" s="5"/>
      <c r="J411" s="5"/>
    </row>
    <row r="412" spans="2:10">
      <c r="B412" s="1"/>
      <c r="C412" s="1"/>
      <c r="D412" s="8"/>
      <c r="E412" s="8"/>
      <c r="F412" s="8"/>
      <c r="G412" s="8"/>
      <c r="H412" s="5"/>
      <c r="I412" s="5"/>
      <c r="J412" s="5"/>
    </row>
    <row r="413" spans="2:10">
      <c r="B413" s="1"/>
      <c r="C413" s="1"/>
      <c r="D413" s="8"/>
      <c r="E413" s="8"/>
      <c r="F413" s="8"/>
      <c r="G413" s="8"/>
      <c r="H413" s="5"/>
      <c r="I413" s="5"/>
      <c r="J413" s="5"/>
    </row>
    <row r="414" spans="2:10">
      <c r="B414" s="1"/>
      <c r="C414" s="1"/>
      <c r="D414" s="8"/>
      <c r="E414" s="8"/>
      <c r="F414" s="8"/>
      <c r="G414" s="8"/>
      <c r="H414" s="5"/>
      <c r="I414" s="5"/>
      <c r="J414" s="5"/>
    </row>
    <row r="415" spans="2:10">
      <c r="B415" s="1"/>
      <c r="C415" s="1"/>
      <c r="D415" s="8"/>
      <c r="E415" s="8"/>
      <c r="F415" s="8"/>
      <c r="G415" s="8"/>
      <c r="H415" s="5"/>
      <c r="I415" s="5"/>
      <c r="J415" s="5"/>
    </row>
    <row r="416" spans="2:10">
      <c r="B416" s="1"/>
      <c r="C416" s="1"/>
      <c r="D416" s="8"/>
      <c r="E416" s="8"/>
      <c r="F416" s="8"/>
      <c r="G416" s="8"/>
      <c r="H416" s="5"/>
      <c r="I416" s="5"/>
      <c r="J416" s="5"/>
    </row>
    <row r="417" spans="2:10">
      <c r="B417" s="1"/>
      <c r="C417" s="1"/>
      <c r="D417" s="8"/>
      <c r="E417" s="8"/>
      <c r="F417" s="8"/>
      <c r="G417" s="8"/>
      <c r="H417" s="5"/>
      <c r="I417" s="5"/>
      <c r="J417" s="5"/>
    </row>
    <row r="418" spans="2:10">
      <c r="B418" s="1"/>
      <c r="C418" s="1"/>
      <c r="D418" s="8"/>
      <c r="E418" s="8"/>
      <c r="F418" s="8"/>
      <c r="G418" s="8"/>
      <c r="H418" s="5"/>
      <c r="I418" s="5"/>
      <c r="J418" s="5"/>
    </row>
    <row r="419" spans="2:10">
      <c r="B419" s="1"/>
      <c r="C419" s="1"/>
      <c r="D419" s="8"/>
      <c r="E419" s="8"/>
      <c r="F419" s="8"/>
      <c r="G419" s="8"/>
      <c r="H419" s="5"/>
      <c r="I419" s="5"/>
      <c r="J419" s="5"/>
    </row>
    <row r="420" spans="2:10">
      <c r="B420" s="1"/>
      <c r="C420" s="1"/>
      <c r="D420" s="8"/>
      <c r="E420" s="8"/>
      <c r="F420" s="8"/>
      <c r="G420" s="8"/>
      <c r="H420" s="5"/>
      <c r="I420" s="5"/>
      <c r="J420" s="5"/>
    </row>
    <row r="421" spans="2:10">
      <c r="B421" s="1"/>
      <c r="C421" s="1"/>
      <c r="D421" s="8"/>
      <c r="E421" s="8"/>
      <c r="F421" s="8"/>
      <c r="G421" s="8"/>
      <c r="H421" s="5"/>
      <c r="I421" s="5"/>
      <c r="J421" s="5"/>
    </row>
    <row r="422" spans="2:10">
      <c r="B422" s="1"/>
      <c r="C422" s="1"/>
      <c r="D422" s="8"/>
      <c r="E422" s="8"/>
      <c r="F422" s="8"/>
      <c r="G422" s="8"/>
      <c r="H422" s="5"/>
      <c r="I422" s="5"/>
      <c r="J422" s="5"/>
    </row>
    <row r="423" spans="2:10">
      <c r="B423" s="1"/>
      <c r="C423" s="1"/>
      <c r="D423" s="8"/>
      <c r="E423" s="8"/>
      <c r="F423" s="8"/>
      <c r="G423" s="8"/>
      <c r="H423" s="5"/>
      <c r="I423" s="5"/>
      <c r="J423" s="5"/>
    </row>
    <row r="424" spans="2:10">
      <c r="B424" s="1"/>
      <c r="C424" s="1"/>
      <c r="D424" s="8"/>
      <c r="E424" s="8"/>
      <c r="F424" s="8"/>
      <c r="G424" s="8"/>
      <c r="H424" s="5"/>
      <c r="I424" s="5"/>
      <c r="J424" s="5"/>
    </row>
    <row r="425" spans="2:10">
      <c r="B425" s="1"/>
      <c r="C425" s="1"/>
      <c r="D425" s="8"/>
      <c r="E425" s="8"/>
      <c r="F425" s="8"/>
      <c r="G425" s="8"/>
      <c r="H425" s="5"/>
      <c r="I425" s="5"/>
      <c r="J425" s="5"/>
    </row>
    <row r="426" spans="2:10">
      <c r="B426" s="1"/>
      <c r="C426" s="1"/>
      <c r="D426" s="8"/>
      <c r="E426" s="8"/>
      <c r="F426" s="8"/>
      <c r="G426" s="8"/>
      <c r="H426" s="5"/>
      <c r="I426" s="5"/>
      <c r="J426" s="5"/>
    </row>
    <row r="427" spans="2:10">
      <c r="B427" s="1"/>
      <c r="C427" s="1"/>
      <c r="D427" s="8"/>
      <c r="E427" s="8"/>
      <c r="F427" s="8"/>
      <c r="G427" s="8"/>
      <c r="H427" s="5"/>
      <c r="I427" s="5"/>
      <c r="J427" s="5"/>
    </row>
    <row r="428" spans="2:10">
      <c r="B428" s="1"/>
      <c r="C428" s="1"/>
      <c r="D428" s="8"/>
      <c r="E428" s="8"/>
      <c r="F428" s="8"/>
      <c r="G428" s="8"/>
      <c r="H428" s="5"/>
      <c r="I428" s="5"/>
      <c r="J428" s="5"/>
    </row>
    <row r="429" spans="2:10">
      <c r="B429" s="1"/>
      <c r="C429" s="1"/>
      <c r="D429" s="8"/>
      <c r="E429" s="8"/>
      <c r="F429" s="8"/>
      <c r="G429" s="8"/>
      <c r="H429" s="5"/>
      <c r="I429" s="5"/>
      <c r="J429" s="5"/>
    </row>
    <row r="430" spans="2:10">
      <c r="B430" s="1"/>
      <c r="C430" s="1"/>
      <c r="D430" s="8"/>
      <c r="E430" s="8"/>
      <c r="F430" s="8"/>
      <c r="G430" s="8"/>
      <c r="H430" s="5"/>
      <c r="I430" s="5"/>
      <c r="J430" s="5"/>
    </row>
    <row r="431" spans="2:10">
      <c r="B431" s="1"/>
      <c r="C431" s="1"/>
      <c r="D431" s="8"/>
      <c r="E431" s="8"/>
      <c r="F431" s="8"/>
      <c r="G431" s="8"/>
      <c r="H431" s="5"/>
      <c r="I431" s="5"/>
      <c r="J431" s="5"/>
    </row>
    <row r="432" spans="2:10">
      <c r="B432" s="1"/>
      <c r="C432" s="1"/>
      <c r="D432" s="8"/>
      <c r="E432" s="8"/>
      <c r="F432" s="8"/>
      <c r="G432" s="8"/>
      <c r="H432" s="5"/>
      <c r="I432" s="5"/>
      <c r="J432" s="5"/>
    </row>
    <row r="433" spans="2:10">
      <c r="B433" s="1"/>
      <c r="C433" s="1"/>
      <c r="D433" s="8"/>
      <c r="E433" s="8"/>
      <c r="F433" s="8"/>
      <c r="G433" s="8"/>
      <c r="H433" s="5"/>
      <c r="I433" s="5"/>
      <c r="J433" s="5"/>
    </row>
    <row r="434" spans="2:10">
      <c r="B434" s="1"/>
      <c r="C434" s="1"/>
      <c r="D434" s="8"/>
      <c r="E434" s="8"/>
      <c r="F434" s="8"/>
      <c r="G434" s="8"/>
      <c r="H434" s="5"/>
      <c r="I434" s="5"/>
      <c r="J434" s="5"/>
    </row>
    <row r="435" spans="2:10">
      <c r="B435" s="1"/>
      <c r="C435" s="1"/>
      <c r="D435" s="8"/>
      <c r="E435" s="8"/>
      <c r="F435" s="8"/>
      <c r="G435" s="8"/>
      <c r="H435" s="5"/>
      <c r="I435" s="5"/>
      <c r="J435" s="5"/>
    </row>
    <row r="436" spans="2:10">
      <c r="B436" s="1"/>
      <c r="C436" s="1"/>
      <c r="D436" s="8"/>
      <c r="E436" s="8"/>
      <c r="F436" s="8"/>
      <c r="G436" s="8"/>
      <c r="H436" s="5"/>
      <c r="I436" s="5"/>
      <c r="J436" s="5"/>
    </row>
    <row r="437" spans="2:10">
      <c r="B437" s="1"/>
      <c r="C437" s="1"/>
      <c r="D437" s="8"/>
      <c r="E437" s="8"/>
      <c r="F437" s="8"/>
      <c r="G437" s="8"/>
      <c r="H437" s="5"/>
      <c r="I437" s="5"/>
      <c r="J437" s="5"/>
    </row>
    <row r="438" spans="2:10">
      <c r="B438" s="1"/>
      <c r="C438" s="1"/>
      <c r="D438" s="8"/>
      <c r="E438" s="8"/>
      <c r="F438" s="8"/>
      <c r="G438" s="8"/>
      <c r="H438" s="5"/>
      <c r="I438" s="5"/>
      <c r="J438" s="5"/>
    </row>
    <row r="439" spans="2:10">
      <c r="B439" s="1"/>
      <c r="C439" s="1"/>
      <c r="D439" s="8"/>
      <c r="E439" s="8"/>
      <c r="F439" s="8"/>
      <c r="G439" s="8"/>
      <c r="H439" s="5"/>
      <c r="I439" s="5"/>
      <c r="J439" s="5"/>
    </row>
    <row r="440" spans="2:10">
      <c r="B440" s="1"/>
      <c r="C440" s="1"/>
      <c r="D440" s="8"/>
      <c r="E440" s="8"/>
      <c r="F440" s="8"/>
      <c r="G440" s="8"/>
      <c r="H440" s="5"/>
      <c r="I440" s="5"/>
      <c r="J440" s="5"/>
    </row>
    <row r="441" spans="2:10">
      <c r="B441" s="1"/>
      <c r="C441" s="1"/>
      <c r="D441" s="8"/>
      <c r="E441" s="8"/>
      <c r="F441" s="8"/>
      <c r="G441" s="8"/>
      <c r="H441" s="5"/>
      <c r="I441" s="5"/>
      <c r="J441" s="5"/>
    </row>
    <row r="442" spans="2:10">
      <c r="B442" s="1"/>
      <c r="C442" s="1"/>
      <c r="D442" s="8"/>
      <c r="E442" s="8"/>
      <c r="F442" s="8"/>
      <c r="G442" s="8"/>
      <c r="H442" s="5"/>
      <c r="I442" s="5"/>
      <c r="J442" s="5"/>
    </row>
    <row r="443" spans="2:10">
      <c r="B443" s="1"/>
      <c r="C443" s="1"/>
      <c r="D443" s="8"/>
      <c r="E443" s="8"/>
      <c r="F443" s="8"/>
      <c r="G443" s="8"/>
      <c r="H443" s="5"/>
      <c r="I443" s="5"/>
      <c r="J443" s="5"/>
    </row>
    <row r="444" spans="2:10">
      <c r="B444" s="1"/>
      <c r="C444" s="1"/>
      <c r="D444" s="8"/>
      <c r="E444" s="8"/>
      <c r="F444" s="8"/>
      <c r="G444" s="8"/>
      <c r="H444" s="5"/>
      <c r="I444" s="5"/>
      <c r="J444" s="5"/>
    </row>
    <row r="445" spans="2:10">
      <c r="B445" s="1"/>
      <c r="C445" s="1"/>
      <c r="D445" s="8"/>
      <c r="E445" s="8"/>
      <c r="F445" s="8"/>
      <c r="G445" s="8"/>
      <c r="H445" s="5"/>
      <c r="I445" s="5"/>
      <c r="J445" s="5"/>
    </row>
    <row r="446" spans="2:10">
      <c r="B446" s="1"/>
      <c r="C446" s="1"/>
      <c r="D446" s="8"/>
      <c r="E446" s="8"/>
      <c r="F446" s="8"/>
      <c r="G446" s="8"/>
      <c r="H446" s="5"/>
      <c r="I446" s="5"/>
      <c r="J446" s="5"/>
    </row>
    <row r="447" spans="2:10">
      <c r="B447" s="1"/>
      <c r="C447" s="1"/>
      <c r="D447" s="8"/>
      <c r="E447" s="8"/>
      <c r="F447" s="8"/>
      <c r="G447" s="8"/>
      <c r="H447" s="5"/>
      <c r="I447" s="5"/>
      <c r="J447" s="5"/>
    </row>
    <row r="448" spans="2:10">
      <c r="B448" s="1"/>
      <c r="C448" s="1"/>
      <c r="D448" s="8"/>
      <c r="E448" s="8"/>
      <c r="F448" s="8"/>
      <c r="G448" s="8"/>
      <c r="H448" s="5"/>
      <c r="I448" s="5"/>
      <c r="J448" s="5"/>
    </row>
    <row r="449" spans="2:10">
      <c r="B449" s="1"/>
      <c r="C449" s="1"/>
      <c r="D449" s="8"/>
      <c r="E449" s="8"/>
      <c r="F449" s="8"/>
      <c r="G449" s="8"/>
      <c r="H449" s="5"/>
      <c r="I449" s="5"/>
      <c r="J449" s="5"/>
    </row>
    <row r="450" spans="2:10">
      <c r="B450" s="1"/>
      <c r="C450" s="1"/>
      <c r="D450" s="8"/>
      <c r="E450" s="8"/>
      <c r="F450" s="8"/>
      <c r="G450" s="8"/>
      <c r="H450" s="5"/>
      <c r="I450" s="5"/>
      <c r="J450" s="5"/>
    </row>
    <row r="451" spans="2:10">
      <c r="B451" s="1"/>
      <c r="C451" s="1"/>
      <c r="D451" s="8"/>
      <c r="E451" s="8"/>
      <c r="F451" s="8"/>
      <c r="G451" s="8"/>
      <c r="H451" s="5"/>
      <c r="I451" s="5"/>
      <c r="J451" s="5"/>
    </row>
    <row r="452" spans="2:10">
      <c r="B452" s="1"/>
      <c r="C452" s="1"/>
      <c r="D452" s="8"/>
      <c r="E452" s="8"/>
      <c r="F452" s="8"/>
      <c r="G452" s="8"/>
      <c r="H452" s="5"/>
      <c r="I452" s="5"/>
      <c r="J452" s="5"/>
    </row>
    <row r="453" spans="2:10">
      <c r="B453" s="1"/>
      <c r="C453" s="1"/>
      <c r="D453" s="8"/>
      <c r="E453" s="8"/>
      <c r="F453" s="8"/>
      <c r="G453" s="8"/>
      <c r="H453" s="5"/>
      <c r="I453" s="5"/>
      <c r="J453" s="5"/>
    </row>
    <row r="454" spans="2:10">
      <c r="B454" s="1"/>
      <c r="C454" s="1"/>
      <c r="D454" s="8"/>
      <c r="E454" s="8"/>
      <c r="F454" s="8"/>
      <c r="G454" s="8"/>
      <c r="H454" s="5"/>
      <c r="I454" s="5"/>
      <c r="J454" s="5"/>
    </row>
    <row r="455" spans="2:10">
      <c r="B455" s="1"/>
      <c r="C455" s="1"/>
      <c r="D455" s="8"/>
      <c r="E455" s="8"/>
      <c r="F455" s="8"/>
      <c r="G455" s="8"/>
      <c r="H455" s="5"/>
      <c r="I455" s="5"/>
      <c r="J455" s="5"/>
    </row>
    <row r="456" spans="2:10">
      <c r="B456" s="1"/>
      <c r="C456" s="1"/>
      <c r="D456" s="8"/>
      <c r="E456" s="8"/>
      <c r="F456" s="8"/>
      <c r="G456" s="8"/>
      <c r="H456" s="5"/>
      <c r="I456" s="5"/>
      <c r="J456" s="5"/>
    </row>
    <row r="457" spans="2:10">
      <c r="B457" s="1"/>
      <c r="C457" s="1"/>
      <c r="D457" s="8"/>
      <c r="E457" s="8"/>
      <c r="F457" s="8"/>
      <c r="G457" s="8"/>
      <c r="H457" s="5"/>
      <c r="I457" s="5"/>
      <c r="J457" s="5"/>
    </row>
    <row r="458" spans="2:10">
      <c r="B458" s="1"/>
      <c r="C458" s="1"/>
      <c r="D458" s="8"/>
      <c r="E458" s="8"/>
      <c r="F458" s="8"/>
      <c r="G458" s="8"/>
      <c r="H458" s="5"/>
      <c r="I458" s="5"/>
      <c r="J458" s="5"/>
    </row>
    <row r="459" spans="2:10">
      <c r="B459" s="1"/>
      <c r="C459" s="1"/>
      <c r="D459" s="8"/>
      <c r="E459" s="8"/>
      <c r="F459" s="8"/>
      <c r="G459" s="8"/>
      <c r="H459" s="5"/>
      <c r="I459" s="5"/>
      <c r="J459" s="5"/>
    </row>
    <row r="460" spans="2:10">
      <c r="B460" s="1"/>
      <c r="C460" s="1"/>
      <c r="D460" s="8"/>
      <c r="E460" s="8"/>
      <c r="F460" s="8"/>
      <c r="G460" s="8"/>
      <c r="H460" s="5"/>
      <c r="I460" s="5"/>
      <c r="J460" s="5"/>
    </row>
    <row r="461" spans="2:10">
      <c r="B461" s="1"/>
      <c r="C461" s="1"/>
      <c r="D461" s="8"/>
      <c r="E461" s="8"/>
      <c r="F461" s="8"/>
      <c r="G461" s="8"/>
      <c r="H461" s="5"/>
      <c r="I461" s="5"/>
      <c r="J461" s="5"/>
    </row>
    <row r="462" spans="2:10">
      <c r="B462" s="1"/>
      <c r="C462" s="1"/>
      <c r="D462" s="8"/>
      <c r="E462" s="8"/>
      <c r="F462" s="8"/>
      <c r="G462" s="8"/>
      <c r="H462" s="5"/>
      <c r="I462" s="5"/>
      <c r="J462" s="5"/>
    </row>
    <row r="463" spans="2:10">
      <c r="B463" s="1"/>
      <c r="C463" s="1"/>
      <c r="D463" s="8"/>
      <c r="E463" s="8"/>
      <c r="F463" s="8"/>
      <c r="G463" s="8"/>
      <c r="H463" s="5"/>
      <c r="I463" s="5"/>
      <c r="J463" s="5"/>
    </row>
    <row r="464" spans="2:10">
      <c r="B464" s="1"/>
      <c r="C464" s="1"/>
      <c r="D464" s="8"/>
      <c r="E464" s="8"/>
      <c r="F464" s="8"/>
      <c r="G464" s="8"/>
      <c r="H464" s="5"/>
      <c r="I464" s="5"/>
      <c r="J464" s="5"/>
    </row>
    <row r="465" spans="2:10">
      <c r="B465" s="1"/>
      <c r="C465" s="1"/>
      <c r="D465" s="8"/>
      <c r="E465" s="8"/>
      <c r="F465" s="8"/>
      <c r="G465" s="8"/>
      <c r="H465" s="5"/>
      <c r="I465" s="5"/>
      <c r="J465" s="5"/>
    </row>
    <row r="466" spans="2:10">
      <c r="B466" s="1"/>
      <c r="C466" s="1"/>
      <c r="D466" s="8"/>
      <c r="E466" s="8"/>
      <c r="F466" s="8"/>
      <c r="G466" s="8"/>
      <c r="H466" s="5"/>
      <c r="I466" s="5"/>
      <c r="J466" s="5"/>
    </row>
    <row r="467" spans="2:10">
      <c r="B467" s="1"/>
      <c r="C467" s="1"/>
      <c r="D467" s="8"/>
      <c r="E467" s="8"/>
      <c r="F467" s="8"/>
      <c r="G467" s="8"/>
      <c r="H467" s="5"/>
      <c r="I467" s="5"/>
      <c r="J467" s="5"/>
    </row>
    <row r="468" spans="2:10">
      <c r="B468" s="1"/>
      <c r="C468" s="1"/>
      <c r="D468" s="8"/>
      <c r="E468" s="8"/>
      <c r="F468" s="8"/>
      <c r="G468" s="8"/>
      <c r="H468" s="5"/>
      <c r="I468" s="5"/>
      <c r="J468" s="5"/>
    </row>
    <row r="469" spans="2:10">
      <c r="B469" s="1"/>
      <c r="C469" s="1"/>
      <c r="D469" s="8"/>
      <c r="E469" s="8"/>
      <c r="F469" s="8"/>
      <c r="G469" s="8"/>
      <c r="H469" s="5"/>
      <c r="I469" s="5"/>
      <c r="J469" s="5"/>
    </row>
    <row r="470" spans="2:10">
      <c r="B470" s="1"/>
      <c r="C470" s="1"/>
      <c r="D470" s="8"/>
      <c r="E470" s="8"/>
      <c r="F470" s="8"/>
      <c r="G470" s="8"/>
      <c r="H470" s="5"/>
      <c r="I470" s="5"/>
      <c r="J470" s="5"/>
    </row>
    <row r="471" spans="2:10">
      <c r="B471" s="1"/>
      <c r="C471" s="1"/>
      <c r="D471" s="8"/>
      <c r="E471" s="8"/>
      <c r="F471" s="8"/>
      <c r="G471" s="8"/>
      <c r="H471" s="5"/>
      <c r="I471" s="5"/>
      <c r="J471" s="5"/>
    </row>
    <row r="472" spans="2:10">
      <c r="B472" s="1"/>
      <c r="C472" s="1"/>
      <c r="D472" s="8"/>
      <c r="E472" s="8"/>
      <c r="F472" s="8"/>
      <c r="G472" s="8"/>
      <c r="H472" s="5"/>
      <c r="I472" s="5"/>
      <c r="J472" s="5"/>
    </row>
    <row r="473" spans="2:10">
      <c r="B473" s="1"/>
      <c r="C473" s="1"/>
      <c r="D473" s="8"/>
      <c r="E473" s="8"/>
      <c r="F473" s="8"/>
      <c r="G473" s="8"/>
      <c r="H473" s="5"/>
      <c r="I473" s="5"/>
      <c r="J473" s="5"/>
    </row>
    <row r="474" spans="2:10">
      <c r="B474" s="1"/>
      <c r="C474" s="1"/>
      <c r="D474" s="8"/>
      <c r="E474" s="8"/>
      <c r="F474" s="8"/>
      <c r="G474" s="8"/>
      <c r="H474" s="5"/>
      <c r="I474" s="5"/>
      <c r="J474" s="5"/>
    </row>
    <row r="475" spans="2:10">
      <c r="B475" s="1"/>
      <c r="C475" s="1"/>
      <c r="D475" s="8"/>
      <c r="E475" s="8"/>
      <c r="F475" s="8"/>
      <c r="G475" s="8"/>
      <c r="H475" s="5"/>
      <c r="I475" s="5"/>
      <c r="J475" s="5"/>
    </row>
    <row r="476" spans="2:10">
      <c r="B476" s="1"/>
      <c r="C476" s="1"/>
      <c r="D476" s="8"/>
      <c r="E476" s="8"/>
      <c r="F476" s="8"/>
      <c r="G476" s="8"/>
      <c r="H476" s="5"/>
      <c r="I476" s="5"/>
      <c r="J476" s="5"/>
    </row>
    <row r="477" spans="2:10">
      <c r="B477" s="1"/>
      <c r="C477" s="1"/>
      <c r="D477" s="8"/>
      <c r="E477" s="8"/>
      <c r="F477" s="8"/>
      <c r="G477" s="8"/>
      <c r="H477" s="5"/>
      <c r="I477" s="5"/>
      <c r="J477" s="5"/>
    </row>
    <row r="478" spans="2:10">
      <c r="B478" s="1"/>
      <c r="C478" s="1"/>
      <c r="D478" s="8"/>
      <c r="E478" s="8"/>
      <c r="F478" s="8"/>
      <c r="G478" s="8"/>
      <c r="H478" s="5"/>
      <c r="I478" s="5"/>
      <c r="J478" s="5"/>
    </row>
    <row r="479" spans="2:10">
      <c r="B479" s="1"/>
      <c r="C479" s="1"/>
      <c r="D479" s="8"/>
      <c r="E479" s="8"/>
      <c r="F479" s="8"/>
      <c r="G479" s="8"/>
      <c r="H479" s="5"/>
      <c r="I479" s="5"/>
      <c r="J479" s="5"/>
    </row>
    <row r="480" spans="2:10">
      <c r="B480" s="1"/>
      <c r="C480" s="1"/>
      <c r="D480" s="8"/>
      <c r="E480" s="8"/>
      <c r="F480" s="8"/>
      <c r="G480" s="8"/>
      <c r="H480" s="5"/>
      <c r="I480" s="5"/>
      <c r="J480" s="5"/>
    </row>
    <row r="481" spans="2:10">
      <c r="B481" s="1"/>
      <c r="C481" s="1"/>
      <c r="D481" s="8"/>
      <c r="E481" s="8"/>
      <c r="F481" s="8"/>
      <c r="G481" s="8"/>
      <c r="H481" s="5"/>
      <c r="I481" s="5"/>
      <c r="J481" s="5"/>
    </row>
    <row r="482" spans="2:10">
      <c r="B482" s="1"/>
      <c r="C482" s="1"/>
      <c r="D482" s="8"/>
      <c r="E482" s="8"/>
      <c r="F482" s="8"/>
      <c r="G482" s="8"/>
      <c r="H482" s="5"/>
      <c r="I482" s="5"/>
      <c r="J482" s="5"/>
    </row>
    <row r="483" spans="2:10">
      <c r="B483" s="1"/>
      <c r="C483" s="1"/>
      <c r="D483" s="8"/>
      <c r="E483" s="8"/>
      <c r="F483" s="8"/>
      <c r="G483" s="8"/>
      <c r="H483" s="5"/>
      <c r="I483" s="5"/>
      <c r="J483" s="5"/>
    </row>
    <row r="484" spans="2:10">
      <c r="B484" s="1"/>
      <c r="C484" s="1"/>
      <c r="D484" s="8"/>
      <c r="E484" s="8"/>
      <c r="F484" s="8"/>
      <c r="G484" s="8"/>
      <c r="H484" s="5"/>
      <c r="I484" s="5"/>
      <c r="J484" s="5"/>
    </row>
    <row r="485" spans="2:10">
      <c r="B485" s="1"/>
      <c r="C485" s="1"/>
      <c r="D485" s="8"/>
      <c r="E485" s="8"/>
      <c r="F485" s="8"/>
      <c r="G485" s="8"/>
      <c r="H485" s="5"/>
      <c r="I485" s="5"/>
      <c r="J485" s="5"/>
    </row>
    <row r="486" spans="2:10">
      <c r="B486" s="1"/>
      <c r="C486" s="1"/>
      <c r="D486" s="8"/>
      <c r="E486" s="8"/>
      <c r="F486" s="8"/>
      <c r="G486" s="8"/>
      <c r="H486" s="5"/>
      <c r="I486" s="5"/>
      <c r="J486" s="5"/>
    </row>
    <row r="487" spans="2:10">
      <c r="B487" s="1"/>
      <c r="C487" s="1"/>
      <c r="D487" s="8"/>
      <c r="E487" s="8"/>
      <c r="F487" s="8"/>
      <c r="G487" s="8"/>
      <c r="H487" s="5"/>
      <c r="I487" s="5"/>
      <c r="J487" s="5"/>
    </row>
    <row r="488" spans="2:10">
      <c r="B488" s="1"/>
      <c r="C488" s="1"/>
      <c r="D488" s="8"/>
      <c r="E488" s="8"/>
      <c r="F488" s="8"/>
      <c r="G488" s="8"/>
      <c r="H488" s="5"/>
      <c r="I488" s="5"/>
      <c r="J488" s="5"/>
    </row>
    <row r="489" spans="2:10">
      <c r="B489" s="1"/>
      <c r="C489" s="1"/>
      <c r="D489" s="8"/>
      <c r="E489" s="8"/>
      <c r="F489" s="8"/>
      <c r="G489" s="8"/>
      <c r="H489" s="5"/>
      <c r="I489" s="5"/>
      <c r="J489" s="5"/>
    </row>
    <row r="490" spans="2:10">
      <c r="B490" s="1"/>
      <c r="C490" s="1"/>
      <c r="D490" s="8"/>
      <c r="E490" s="8"/>
      <c r="F490" s="8"/>
      <c r="G490" s="8"/>
      <c r="H490" s="5"/>
      <c r="I490" s="5"/>
      <c r="J490" s="5"/>
    </row>
    <row r="491" spans="2:10">
      <c r="B491" s="1"/>
      <c r="C491" s="1"/>
      <c r="D491" s="8"/>
      <c r="E491" s="8"/>
      <c r="F491" s="8"/>
      <c r="G491" s="8"/>
      <c r="H491" s="5"/>
      <c r="I491" s="5"/>
      <c r="J491" s="5"/>
    </row>
    <row r="492" spans="2:10">
      <c r="B492" s="1"/>
      <c r="C492" s="1"/>
      <c r="D492" s="8"/>
      <c r="E492" s="8"/>
      <c r="F492" s="8"/>
      <c r="G492" s="8"/>
      <c r="H492" s="5"/>
      <c r="I492" s="5"/>
      <c r="J492" s="5"/>
    </row>
    <row r="493" spans="2:10">
      <c r="B493" s="1"/>
      <c r="C493" s="1"/>
      <c r="D493" s="8"/>
      <c r="E493" s="8"/>
      <c r="F493" s="8"/>
      <c r="G493" s="8"/>
      <c r="H493" s="5"/>
      <c r="I493" s="5"/>
      <c r="J493" s="5"/>
    </row>
    <row r="494" spans="2:10">
      <c r="B494" s="1"/>
      <c r="C494" s="1"/>
      <c r="D494" s="8"/>
      <c r="E494" s="8"/>
      <c r="F494" s="8"/>
      <c r="G494" s="8"/>
      <c r="H494" s="5"/>
      <c r="I494" s="5"/>
      <c r="J494" s="5"/>
    </row>
    <row r="495" spans="2:10">
      <c r="B495" s="1"/>
      <c r="C495" s="1"/>
      <c r="D495" s="8"/>
      <c r="E495" s="8"/>
      <c r="F495" s="8"/>
      <c r="G495" s="8"/>
      <c r="H495" s="5"/>
      <c r="I495" s="5"/>
      <c r="J495" s="5"/>
    </row>
    <row r="496" spans="2:10">
      <c r="B496" s="1"/>
      <c r="C496" s="1"/>
      <c r="D496" s="8"/>
      <c r="E496" s="8"/>
      <c r="F496" s="8"/>
      <c r="G496" s="8"/>
      <c r="H496" s="5"/>
      <c r="I496" s="5"/>
      <c r="J496" s="5"/>
    </row>
    <row r="497" spans="2:10">
      <c r="B497" s="1"/>
      <c r="C497" s="1"/>
      <c r="D497" s="8"/>
      <c r="E497" s="8"/>
      <c r="F497" s="8"/>
      <c r="G497" s="8"/>
      <c r="H497" s="5"/>
      <c r="I497" s="5"/>
      <c r="J497" s="5"/>
    </row>
    <row r="498" spans="2:10">
      <c r="B498" s="1"/>
      <c r="C498" s="1"/>
      <c r="D498" s="8"/>
      <c r="E498" s="8"/>
      <c r="F498" s="8"/>
      <c r="G498" s="8"/>
      <c r="H498" s="5"/>
      <c r="I498" s="5"/>
      <c r="J498" s="5"/>
    </row>
    <row r="499" spans="2:10">
      <c r="B499" s="1"/>
      <c r="C499" s="1"/>
      <c r="D499" s="8"/>
      <c r="E499" s="8"/>
      <c r="F499" s="8"/>
      <c r="G499" s="8"/>
      <c r="H499" s="5"/>
      <c r="I499" s="5"/>
      <c r="J499" s="5"/>
    </row>
    <row r="500" spans="2:10">
      <c r="B500" s="1"/>
      <c r="C500" s="1"/>
      <c r="D500" s="8"/>
      <c r="E500" s="8"/>
      <c r="F500" s="8"/>
      <c r="G500" s="8"/>
      <c r="H500" s="5"/>
      <c r="I500" s="5"/>
      <c r="J500" s="5"/>
    </row>
    <row r="501" spans="2:10">
      <c r="B501" s="1"/>
      <c r="C501" s="1"/>
      <c r="D501" s="8"/>
      <c r="E501" s="8"/>
      <c r="F501" s="8"/>
      <c r="G501" s="8"/>
      <c r="H501" s="5"/>
      <c r="I501" s="5"/>
      <c r="J501" s="5"/>
    </row>
    <row r="502" spans="2:10">
      <c r="B502" s="1"/>
      <c r="C502" s="1"/>
      <c r="D502" s="8"/>
      <c r="E502" s="8"/>
      <c r="F502" s="8"/>
      <c r="G502" s="8"/>
      <c r="H502" s="5"/>
      <c r="I502" s="5"/>
      <c r="J502" s="5"/>
    </row>
    <row r="503" spans="2:10">
      <c r="B503" s="1"/>
      <c r="C503" s="1"/>
      <c r="D503" s="8"/>
      <c r="E503" s="8"/>
      <c r="F503" s="8"/>
      <c r="G503" s="8"/>
      <c r="H503" s="5"/>
      <c r="I503" s="5"/>
      <c r="J503" s="5"/>
    </row>
    <row r="504" spans="2:10">
      <c r="B504" s="1"/>
      <c r="C504" s="1"/>
      <c r="D504" s="8"/>
      <c r="E504" s="8"/>
      <c r="F504" s="8"/>
      <c r="G504" s="8"/>
      <c r="H504" s="5"/>
      <c r="I504" s="5"/>
      <c r="J504" s="5"/>
    </row>
    <row r="505" spans="2:10">
      <c r="B505" s="1"/>
      <c r="C505" s="1"/>
      <c r="D505" s="8"/>
      <c r="E505" s="8"/>
      <c r="F505" s="8"/>
      <c r="G505" s="8"/>
      <c r="H505" s="5"/>
      <c r="I505" s="5"/>
      <c r="J505" s="5"/>
    </row>
    <row r="506" spans="2:10">
      <c r="B506" s="1"/>
      <c r="C506" s="1"/>
      <c r="D506" s="8"/>
      <c r="E506" s="8"/>
      <c r="F506" s="8"/>
      <c r="G506" s="8"/>
      <c r="H506" s="5"/>
      <c r="I506" s="5"/>
      <c r="J506" s="5"/>
    </row>
    <row r="507" spans="2:10">
      <c r="B507" s="1"/>
      <c r="C507" s="1"/>
      <c r="D507" s="8"/>
      <c r="E507" s="8"/>
      <c r="F507" s="8"/>
      <c r="G507" s="8"/>
      <c r="H507" s="5"/>
      <c r="I507" s="5"/>
      <c r="J507" s="5"/>
    </row>
    <row r="508" spans="2:10">
      <c r="B508" s="1"/>
      <c r="C508" s="1"/>
      <c r="D508" s="8"/>
      <c r="E508" s="8"/>
      <c r="F508" s="8"/>
      <c r="G508" s="8"/>
      <c r="H508" s="5"/>
      <c r="I508" s="5"/>
      <c r="J508" s="5"/>
    </row>
    <row r="509" spans="2:10">
      <c r="B509" s="1"/>
      <c r="C509" s="1"/>
      <c r="D509" s="8"/>
      <c r="E509" s="8"/>
      <c r="F509" s="8"/>
      <c r="G509" s="8"/>
      <c r="H509" s="5"/>
      <c r="I509" s="5"/>
      <c r="J509" s="5"/>
    </row>
    <row r="510" spans="2:10">
      <c r="B510" s="1"/>
      <c r="C510" s="1"/>
      <c r="D510" s="8"/>
      <c r="E510" s="8"/>
      <c r="F510" s="8"/>
      <c r="G510" s="8"/>
      <c r="H510" s="5"/>
      <c r="I510" s="5"/>
      <c r="J510" s="5"/>
    </row>
    <row r="511" spans="2:10">
      <c r="B511" s="1"/>
      <c r="C511" s="1"/>
      <c r="D511" s="8"/>
      <c r="E511" s="8"/>
      <c r="F511" s="8"/>
      <c r="G511" s="8"/>
      <c r="H511" s="5"/>
      <c r="I511" s="5"/>
      <c r="J511" s="5"/>
    </row>
    <row r="512" spans="2:10">
      <c r="B512" s="1"/>
      <c r="C512" s="1"/>
      <c r="D512" s="8"/>
      <c r="E512" s="8"/>
      <c r="F512" s="8"/>
      <c r="G512" s="8"/>
      <c r="H512" s="5"/>
      <c r="I512" s="5"/>
      <c r="J512" s="5"/>
    </row>
    <row r="513" spans="2:10">
      <c r="B513" s="1"/>
      <c r="C513" s="1"/>
      <c r="D513" s="8"/>
      <c r="E513" s="8"/>
      <c r="F513" s="8"/>
      <c r="G513" s="8"/>
      <c r="H513" s="5"/>
      <c r="I513" s="5"/>
      <c r="J513" s="5"/>
    </row>
    <row r="514" spans="2:10">
      <c r="B514" s="1"/>
      <c r="C514" s="1"/>
      <c r="D514" s="8"/>
      <c r="E514" s="8"/>
      <c r="F514" s="8"/>
      <c r="G514" s="8"/>
      <c r="H514" s="5"/>
      <c r="I514" s="5"/>
      <c r="J514" s="5"/>
    </row>
    <row r="515" spans="2:10">
      <c r="B515" s="1"/>
      <c r="C515" s="1"/>
      <c r="D515" s="8"/>
      <c r="E515" s="8"/>
      <c r="F515" s="8"/>
      <c r="G515" s="8"/>
      <c r="H515" s="5"/>
      <c r="I515" s="5"/>
      <c r="J515" s="5"/>
    </row>
    <row r="516" spans="2:10">
      <c r="B516" s="1"/>
      <c r="C516" s="1"/>
      <c r="D516" s="8"/>
      <c r="E516" s="8"/>
      <c r="F516" s="8"/>
      <c r="G516" s="8"/>
      <c r="H516" s="5"/>
      <c r="I516" s="5"/>
      <c r="J516" s="5"/>
    </row>
    <row r="517" spans="2:10">
      <c r="B517" s="1"/>
      <c r="C517" s="1"/>
      <c r="D517" s="8"/>
      <c r="E517" s="8"/>
      <c r="F517" s="8"/>
      <c r="G517" s="8"/>
      <c r="H517" s="5"/>
      <c r="I517" s="5"/>
      <c r="J517" s="5"/>
    </row>
    <row r="518" spans="2:10">
      <c r="B518" s="1"/>
      <c r="C518" s="1"/>
      <c r="D518" s="8"/>
      <c r="E518" s="8"/>
      <c r="F518" s="8"/>
      <c r="G518" s="8"/>
      <c r="H518" s="5"/>
      <c r="I518" s="5"/>
      <c r="J518" s="5"/>
    </row>
    <row r="519" spans="2:10">
      <c r="B519" s="1"/>
      <c r="C519" s="1"/>
      <c r="D519" s="8"/>
      <c r="E519" s="8"/>
      <c r="F519" s="8"/>
      <c r="G519" s="8"/>
      <c r="H519" s="5"/>
      <c r="I519" s="5"/>
      <c r="J519" s="5"/>
    </row>
    <row r="520" spans="2:10">
      <c r="B520" s="1"/>
      <c r="C520" s="1"/>
      <c r="D520" s="8"/>
      <c r="E520" s="8"/>
      <c r="F520" s="8"/>
      <c r="G520" s="8"/>
      <c r="H520" s="5"/>
      <c r="I520" s="5"/>
      <c r="J520" s="5"/>
    </row>
    <row r="521" spans="2:10">
      <c r="B521" s="1"/>
      <c r="C521" s="1"/>
      <c r="D521" s="8"/>
      <c r="E521" s="8"/>
      <c r="F521" s="8"/>
      <c r="G521" s="8"/>
      <c r="H521" s="5"/>
      <c r="I521" s="5"/>
      <c r="J521" s="5"/>
    </row>
    <row r="522" spans="2:10">
      <c r="B522" s="1"/>
      <c r="C522" s="1"/>
      <c r="D522" s="8"/>
      <c r="E522" s="8"/>
      <c r="F522" s="8"/>
      <c r="G522" s="8"/>
      <c r="H522" s="5"/>
      <c r="I522" s="5"/>
      <c r="J522" s="5"/>
    </row>
    <row r="523" spans="2:10">
      <c r="B523" s="1"/>
      <c r="C523" s="1"/>
      <c r="D523" s="8"/>
      <c r="E523" s="8"/>
      <c r="F523" s="8"/>
      <c r="G523" s="8"/>
      <c r="H523" s="5"/>
      <c r="I523" s="5"/>
      <c r="J523" s="5"/>
    </row>
    <row r="524" spans="2:10">
      <c r="B524" s="1"/>
      <c r="C524" s="1"/>
      <c r="D524" s="8"/>
      <c r="E524" s="8"/>
      <c r="F524" s="8"/>
      <c r="G524" s="8"/>
      <c r="H524" s="5"/>
      <c r="I524" s="5"/>
      <c r="J524" s="5"/>
    </row>
    <row r="525" spans="2:10">
      <c r="B525" s="1"/>
      <c r="C525" s="1"/>
      <c r="D525" s="8"/>
      <c r="E525" s="8"/>
      <c r="F525" s="8"/>
      <c r="G525" s="8"/>
      <c r="H525" s="5"/>
      <c r="I525" s="5"/>
      <c r="J525" s="5"/>
    </row>
    <row r="526" spans="2:10">
      <c r="B526" s="1"/>
      <c r="C526" s="1"/>
      <c r="D526" s="8"/>
      <c r="E526" s="8"/>
      <c r="F526" s="8"/>
      <c r="G526" s="8"/>
      <c r="H526" s="5"/>
      <c r="I526" s="5"/>
      <c r="J526" s="5"/>
    </row>
    <row r="527" spans="2:10">
      <c r="B527" s="1"/>
      <c r="C527" s="1"/>
      <c r="D527" s="8"/>
      <c r="E527" s="8"/>
      <c r="F527" s="8"/>
      <c r="G527" s="8"/>
      <c r="H527" s="5"/>
      <c r="I527" s="5"/>
      <c r="J527" s="5"/>
    </row>
    <row r="528" spans="2:10">
      <c r="B528" s="1"/>
      <c r="C528" s="1"/>
      <c r="D528" s="8"/>
      <c r="E528" s="8"/>
      <c r="F528" s="8"/>
      <c r="G528" s="8"/>
      <c r="H528" s="5"/>
      <c r="I528" s="5"/>
      <c r="J528" s="5"/>
    </row>
    <row r="529" spans="2:10">
      <c r="B529" s="1"/>
      <c r="C529" s="1"/>
      <c r="D529" s="8"/>
      <c r="E529" s="8"/>
      <c r="F529" s="8"/>
      <c r="G529" s="8"/>
      <c r="H529" s="5"/>
      <c r="I529" s="5"/>
      <c r="J529" s="5"/>
    </row>
    <row r="530" spans="2:10">
      <c r="B530" s="1"/>
      <c r="C530" s="1"/>
      <c r="D530" s="8"/>
      <c r="E530" s="8"/>
      <c r="F530" s="8"/>
      <c r="G530" s="8"/>
      <c r="H530" s="5"/>
      <c r="I530" s="5"/>
      <c r="J530" s="5"/>
    </row>
    <row r="531" spans="2:10">
      <c r="B531" s="1"/>
      <c r="C531" s="1"/>
      <c r="D531" s="8"/>
      <c r="E531" s="8"/>
      <c r="F531" s="8"/>
      <c r="G531" s="8"/>
      <c r="H531" s="5"/>
      <c r="I531" s="5"/>
      <c r="J531" s="5"/>
    </row>
    <row r="532" spans="2:10">
      <c r="B532" s="1"/>
      <c r="C532" s="1"/>
      <c r="D532" s="8"/>
      <c r="E532" s="8"/>
      <c r="F532" s="8"/>
      <c r="G532" s="8"/>
      <c r="H532" s="5"/>
      <c r="I532" s="5"/>
      <c r="J532" s="5"/>
    </row>
    <row r="533" spans="2:10">
      <c r="B533" s="1"/>
      <c r="C533" s="1"/>
      <c r="D533" s="8"/>
      <c r="E533" s="8"/>
      <c r="F533" s="8"/>
      <c r="G533" s="8"/>
      <c r="H533" s="5"/>
      <c r="I533" s="5"/>
      <c r="J533" s="5"/>
    </row>
    <row r="534" spans="2:10">
      <c r="B534" s="1"/>
      <c r="C534" s="1"/>
      <c r="D534" s="8"/>
      <c r="E534" s="8"/>
      <c r="F534" s="8"/>
      <c r="G534" s="8"/>
      <c r="H534" s="5"/>
      <c r="I534" s="5"/>
      <c r="J534" s="5"/>
    </row>
    <row r="535" spans="2:10">
      <c r="B535" s="1"/>
      <c r="C535" s="1"/>
      <c r="D535" s="8"/>
      <c r="E535" s="8"/>
      <c r="F535" s="8"/>
      <c r="G535" s="8"/>
      <c r="H535" s="5"/>
      <c r="I535" s="5"/>
      <c r="J535" s="5"/>
    </row>
    <row r="536" spans="2:10">
      <c r="B536" s="1"/>
      <c r="C536" s="1"/>
      <c r="D536" s="8"/>
      <c r="E536" s="8"/>
      <c r="F536" s="8"/>
      <c r="G536" s="8"/>
      <c r="H536" s="5"/>
      <c r="I536" s="5"/>
      <c r="J536" s="5"/>
    </row>
    <row r="537" spans="2:10">
      <c r="B537" s="1"/>
      <c r="C537" s="1"/>
      <c r="D537" s="8"/>
      <c r="E537" s="8"/>
      <c r="F537" s="8"/>
      <c r="G537" s="8"/>
      <c r="H537" s="5"/>
      <c r="I537" s="5"/>
      <c r="J537" s="5"/>
    </row>
    <row r="538" spans="2:10">
      <c r="B538" s="1"/>
      <c r="C538" s="1"/>
      <c r="D538" s="8"/>
      <c r="E538" s="8"/>
      <c r="F538" s="8"/>
      <c r="G538" s="8"/>
      <c r="H538" s="5"/>
      <c r="I538" s="5"/>
      <c r="J538" s="5"/>
    </row>
    <row r="539" spans="2:10">
      <c r="B539" s="1"/>
      <c r="C539" s="1"/>
      <c r="D539" s="8"/>
      <c r="E539" s="8"/>
      <c r="F539" s="8"/>
      <c r="G539" s="8"/>
      <c r="H539" s="5"/>
      <c r="I539" s="5"/>
      <c r="J539" s="5"/>
    </row>
    <row r="540" spans="2:10">
      <c r="B540" s="1"/>
      <c r="C540" s="1"/>
      <c r="D540" s="8"/>
      <c r="E540" s="8"/>
      <c r="F540" s="8"/>
      <c r="G540" s="8"/>
      <c r="H540" s="5"/>
      <c r="I540" s="5"/>
      <c r="J540" s="5"/>
    </row>
    <row r="541" spans="2:10">
      <c r="B541" s="1"/>
      <c r="C541" s="1"/>
      <c r="D541" s="8"/>
      <c r="E541" s="8"/>
      <c r="F541" s="8"/>
      <c r="G541" s="8"/>
      <c r="H541" s="5"/>
      <c r="I541" s="5"/>
      <c r="J541" s="5"/>
    </row>
    <row r="542" spans="2:10">
      <c r="B542" s="1"/>
      <c r="C542" s="1"/>
      <c r="D542" s="8"/>
      <c r="E542" s="8"/>
      <c r="F542" s="8"/>
      <c r="G542" s="8"/>
      <c r="H542" s="5"/>
      <c r="I542" s="5"/>
      <c r="J542" s="5"/>
    </row>
    <row r="543" spans="2:10">
      <c r="B543" s="1"/>
      <c r="C543" s="1"/>
      <c r="D543" s="8"/>
      <c r="E543" s="8"/>
      <c r="F543" s="8"/>
      <c r="G543" s="8"/>
      <c r="H543" s="5"/>
      <c r="I543" s="5"/>
      <c r="J543" s="5"/>
    </row>
    <row r="544" spans="2:10">
      <c r="B544" s="1"/>
      <c r="C544" s="1"/>
      <c r="D544" s="8"/>
      <c r="E544" s="8"/>
      <c r="F544" s="8"/>
      <c r="G544" s="8"/>
      <c r="H544" s="5"/>
      <c r="I544" s="5"/>
      <c r="J544" s="5"/>
    </row>
    <row r="545" spans="2:10">
      <c r="B545" s="1"/>
      <c r="C545" s="1"/>
      <c r="D545" s="8"/>
      <c r="E545" s="8"/>
      <c r="F545" s="8"/>
      <c r="G545" s="8"/>
      <c r="H545" s="5"/>
      <c r="I545" s="5"/>
      <c r="J545" s="5"/>
    </row>
    <row r="546" spans="2:10">
      <c r="B546" s="1"/>
      <c r="C546" s="1"/>
      <c r="D546" s="8"/>
      <c r="E546" s="8"/>
      <c r="F546" s="8"/>
      <c r="G546" s="8"/>
      <c r="H546" s="5"/>
      <c r="I546" s="5"/>
      <c r="J546" s="5"/>
    </row>
    <row r="547" spans="2:10">
      <c r="B547" s="1"/>
      <c r="C547" s="1"/>
      <c r="D547" s="8"/>
      <c r="E547" s="8"/>
      <c r="F547" s="8"/>
      <c r="G547" s="8"/>
      <c r="H547" s="5"/>
      <c r="I547" s="5"/>
      <c r="J547" s="5"/>
    </row>
    <row r="548" spans="2:10">
      <c r="B548" s="1"/>
      <c r="C548" s="1"/>
      <c r="D548" s="8"/>
      <c r="E548" s="8"/>
      <c r="F548" s="8"/>
      <c r="G548" s="8"/>
      <c r="H548" s="5"/>
      <c r="I548" s="5"/>
      <c r="J548" s="5"/>
    </row>
    <row r="549" spans="2:10">
      <c r="B549" s="1"/>
      <c r="C549" s="1"/>
      <c r="D549" s="8"/>
      <c r="E549" s="8"/>
      <c r="F549" s="8"/>
      <c r="G549" s="8"/>
      <c r="H549" s="5"/>
      <c r="I549" s="5"/>
      <c r="J549" s="5"/>
    </row>
    <row r="550" spans="2:10">
      <c r="B550" s="1"/>
      <c r="C550" s="1"/>
      <c r="D550" s="8"/>
      <c r="E550" s="8"/>
      <c r="F550" s="8"/>
      <c r="G550" s="8"/>
      <c r="H550" s="5"/>
      <c r="I550" s="5"/>
      <c r="J550" s="5"/>
    </row>
    <row r="551" spans="2:10">
      <c r="B551" s="1"/>
      <c r="C551" s="1"/>
      <c r="D551" s="8"/>
      <c r="E551" s="8"/>
      <c r="F551" s="8"/>
      <c r="G551" s="8"/>
      <c r="H551" s="5"/>
      <c r="I551" s="5"/>
      <c r="J551" s="5"/>
    </row>
    <row r="552" spans="2:10">
      <c r="B552" s="1"/>
      <c r="C552" s="1"/>
      <c r="D552" s="8"/>
      <c r="E552" s="8"/>
      <c r="F552" s="8"/>
      <c r="G552" s="8"/>
      <c r="H552" s="5"/>
      <c r="I552" s="5"/>
      <c r="J552" s="5"/>
    </row>
    <row r="553" spans="2:10">
      <c r="B553" s="1"/>
      <c r="C553" s="1"/>
      <c r="D553" s="8"/>
      <c r="E553" s="8"/>
      <c r="F553" s="8"/>
      <c r="G553" s="8"/>
      <c r="H553" s="5"/>
      <c r="I553" s="5"/>
      <c r="J553" s="5"/>
    </row>
    <row r="554" spans="2:10">
      <c r="B554" s="1"/>
      <c r="C554" s="1"/>
      <c r="D554" s="8"/>
      <c r="E554" s="8"/>
      <c r="F554" s="8"/>
      <c r="G554" s="8"/>
      <c r="H554" s="5"/>
      <c r="I554" s="5"/>
      <c r="J554" s="5"/>
    </row>
    <row r="555" spans="2:10">
      <c r="B555" s="1"/>
      <c r="C555" s="1"/>
      <c r="D555" s="8"/>
      <c r="E555" s="8"/>
      <c r="F555" s="8"/>
      <c r="G555" s="8"/>
      <c r="H555" s="5"/>
      <c r="I555" s="5"/>
      <c r="J555" s="5"/>
    </row>
    <row r="556" spans="2:10">
      <c r="B556" s="1"/>
      <c r="C556" s="1"/>
      <c r="D556" s="8"/>
      <c r="E556" s="8"/>
      <c r="F556" s="8"/>
      <c r="G556" s="8"/>
      <c r="H556" s="5"/>
      <c r="I556" s="5"/>
      <c r="J556" s="5"/>
    </row>
    <row r="557" spans="2:10">
      <c r="B557" s="1"/>
      <c r="C557" s="1"/>
      <c r="D557" s="8"/>
      <c r="E557" s="8"/>
      <c r="F557" s="8"/>
      <c r="G557" s="8"/>
      <c r="H557" s="5"/>
      <c r="I557" s="5"/>
      <c r="J557" s="5"/>
    </row>
    <row r="558" spans="2:10">
      <c r="B558" s="1"/>
      <c r="C558" s="1"/>
      <c r="D558" s="8"/>
      <c r="E558" s="8"/>
      <c r="F558" s="8"/>
      <c r="G558" s="8"/>
      <c r="H558" s="5"/>
      <c r="I558" s="5"/>
      <c r="J558" s="5"/>
    </row>
    <row r="559" spans="2:10">
      <c r="B559" s="1"/>
      <c r="C559" s="1"/>
      <c r="D559" s="8"/>
      <c r="E559" s="8"/>
      <c r="F559" s="8"/>
      <c r="G559" s="8"/>
      <c r="H559" s="5"/>
      <c r="I559" s="5"/>
      <c r="J559" s="5"/>
    </row>
    <row r="560" spans="2:10">
      <c r="B560" s="1"/>
      <c r="C560" s="1"/>
      <c r="D560" s="8"/>
      <c r="E560" s="8"/>
      <c r="F560" s="8"/>
      <c r="G560" s="8"/>
      <c r="H560" s="5"/>
      <c r="I560" s="5"/>
      <c r="J560" s="5"/>
    </row>
    <row r="561" spans="2:10">
      <c r="B561" s="1"/>
      <c r="C561" s="1"/>
      <c r="D561" s="8"/>
      <c r="E561" s="8"/>
      <c r="F561" s="8"/>
      <c r="G561" s="8"/>
      <c r="H561" s="5"/>
      <c r="I561" s="5"/>
      <c r="J561" s="5"/>
    </row>
    <row r="562" spans="2:10">
      <c r="B562" s="1"/>
      <c r="C562" s="1"/>
      <c r="D562" s="8"/>
      <c r="E562" s="8"/>
      <c r="F562" s="8"/>
      <c r="G562" s="8"/>
      <c r="H562" s="5"/>
      <c r="I562" s="5"/>
      <c r="J562" s="5"/>
    </row>
    <row r="563" spans="2:10">
      <c r="B563" s="1"/>
      <c r="C563" s="1"/>
      <c r="D563" s="8"/>
      <c r="E563" s="8"/>
      <c r="F563" s="8"/>
      <c r="G563" s="8"/>
      <c r="H563" s="5"/>
      <c r="I563" s="5"/>
      <c r="J563" s="5"/>
    </row>
    <row r="564" spans="2:10">
      <c r="B564" s="1"/>
      <c r="C564" s="1"/>
      <c r="D564" s="8"/>
      <c r="E564" s="8"/>
      <c r="F564" s="8"/>
      <c r="G564" s="8"/>
      <c r="H564" s="5"/>
      <c r="I564" s="5"/>
      <c r="J564" s="5"/>
    </row>
    <row r="565" spans="2:10">
      <c r="B565" s="1"/>
      <c r="C565" s="1"/>
      <c r="D565" s="8"/>
      <c r="E565" s="8"/>
      <c r="F565" s="8"/>
      <c r="G565" s="8"/>
      <c r="H565" s="5"/>
      <c r="I565" s="5"/>
      <c r="J565" s="5"/>
    </row>
    <row r="566" spans="2:10">
      <c r="B566" s="1"/>
      <c r="C566" s="1"/>
      <c r="D566" s="8"/>
      <c r="E566" s="8"/>
      <c r="F566" s="8"/>
      <c r="G566" s="8"/>
      <c r="H566" s="5"/>
      <c r="I566" s="5"/>
      <c r="J566" s="5"/>
    </row>
    <row r="567" spans="2:10">
      <c r="B567" s="1"/>
      <c r="C567" s="1"/>
      <c r="D567" s="8"/>
      <c r="E567" s="8"/>
      <c r="F567" s="8"/>
      <c r="G567" s="8"/>
      <c r="H567" s="5"/>
      <c r="I567" s="5"/>
      <c r="J567" s="5"/>
    </row>
    <row r="568" spans="2:10">
      <c r="B568" s="1"/>
      <c r="C568" s="1"/>
      <c r="D568" s="8"/>
      <c r="E568" s="8"/>
      <c r="F568" s="8"/>
      <c r="G568" s="8"/>
      <c r="H568" s="5"/>
      <c r="I568" s="5"/>
      <c r="J568" s="5"/>
    </row>
    <row r="569" spans="2:10">
      <c r="B569" s="1"/>
      <c r="C569" s="1"/>
      <c r="D569" s="8"/>
      <c r="E569" s="8"/>
      <c r="F569" s="8"/>
      <c r="G569" s="8"/>
      <c r="H569" s="5"/>
      <c r="I569" s="5"/>
      <c r="J569" s="5"/>
    </row>
    <row r="570" spans="2:10">
      <c r="B570" s="1"/>
      <c r="C570" s="1"/>
      <c r="D570" s="8"/>
      <c r="E570" s="8"/>
      <c r="F570" s="8"/>
      <c r="G570" s="8"/>
      <c r="H570" s="5"/>
      <c r="I570" s="5"/>
      <c r="J570" s="5"/>
    </row>
    <row r="571" spans="2:10">
      <c r="B571" s="1"/>
      <c r="C571" s="1"/>
      <c r="D571" s="8"/>
      <c r="E571" s="8"/>
      <c r="F571" s="8"/>
      <c r="G571" s="8"/>
      <c r="H571" s="5"/>
      <c r="I571" s="5"/>
      <c r="J571" s="5"/>
    </row>
    <row r="572" spans="2:10">
      <c r="B572" s="1"/>
      <c r="C572" s="1"/>
      <c r="D572" s="8"/>
      <c r="E572" s="8"/>
      <c r="F572" s="8"/>
      <c r="G572" s="8"/>
      <c r="H572" s="5"/>
      <c r="I572" s="5"/>
      <c r="J572" s="5"/>
    </row>
    <row r="573" spans="2:10">
      <c r="B573" s="1"/>
      <c r="C573" s="1"/>
      <c r="D573" s="8"/>
      <c r="E573" s="8"/>
      <c r="F573" s="8"/>
      <c r="G573" s="8"/>
      <c r="H573" s="5"/>
      <c r="I573" s="5"/>
      <c r="J573" s="5"/>
    </row>
    <row r="574" spans="2:10">
      <c r="B574" s="1"/>
      <c r="C574" s="1"/>
      <c r="D574" s="8"/>
      <c r="E574" s="8"/>
      <c r="F574" s="8"/>
      <c r="G574" s="8"/>
      <c r="H574" s="5"/>
      <c r="I574" s="5"/>
      <c r="J574" s="5"/>
    </row>
    <row r="575" spans="2:10">
      <c r="B575" s="1"/>
      <c r="C575" s="1"/>
      <c r="D575" s="8"/>
      <c r="E575" s="8"/>
      <c r="F575" s="8"/>
      <c r="G575" s="8"/>
      <c r="H575" s="5"/>
      <c r="I575" s="5"/>
      <c r="J575" s="5"/>
    </row>
    <row r="576" spans="2:10">
      <c r="B576" s="1"/>
      <c r="C576" s="1"/>
      <c r="D576" s="8"/>
      <c r="E576" s="8"/>
      <c r="F576" s="8"/>
      <c r="G576" s="8"/>
      <c r="H576" s="5"/>
      <c r="I576" s="5"/>
      <c r="J576" s="5"/>
    </row>
    <row r="577" spans="2:10">
      <c r="B577" s="1"/>
      <c r="C577" s="1"/>
      <c r="D577" s="8"/>
      <c r="E577" s="8"/>
      <c r="F577" s="8"/>
      <c r="G577" s="8"/>
      <c r="H577" s="5"/>
      <c r="I577" s="5"/>
      <c r="J577" s="5"/>
    </row>
    <row r="578" spans="2:10">
      <c r="B578" s="1"/>
      <c r="C578" s="1"/>
      <c r="D578" s="8"/>
      <c r="E578" s="8"/>
      <c r="F578" s="8"/>
      <c r="G578" s="8"/>
      <c r="H578" s="5"/>
      <c r="I578" s="5"/>
      <c r="J578" s="5"/>
    </row>
    <row r="579" spans="2:10">
      <c r="B579" s="1"/>
      <c r="C579" s="1"/>
      <c r="D579" s="8"/>
      <c r="E579" s="8"/>
      <c r="F579" s="8"/>
      <c r="G579" s="8"/>
      <c r="H579" s="5"/>
      <c r="I579" s="5"/>
      <c r="J579" s="5"/>
    </row>
    <row r="580" spans="2:10">
      <c r="B580" s="1"/>
      <c r="C580" s="1"/>
      <c r="D580" s="8"/>
      <c r="E580" s="8"/>
      <c r="F580" s="8"/>
      <c r="G580" s="8"/>
      <c r="H580" s="5"/>
      <c r="I580" s="5"/>
      <c r="J580" s="5"/>
    </row>
    <row r="581" spans="2:10">
      <c r="B581" s="1"/>
      <c r="C581" s="1"/>
      <c r="D581" s="8"/>
      <c r="E581" s="8"/>
      <c r="F581" s="8"/>
      <c r="G581" s="8"/>
      <c r="H581" s="5"/>
      <c r="I581" s="5"/>
      <c r="J581" s="5"/>
    </row>
    <row r="582" spans="2:10">
      <c r="B582" s="1"/>
      <c r="C582" s="1"/>
      <c r="D582" s="8"/>
      <c r="E582" s="8"/>
      <c r="F582" s="8"/>
      <c r="G582" s="8"/>
      <c r="H582" s="5"/>
      <c r="I582" s="5"/>
      <c r="J582" s="5"/>
    </row>
    <row r="583" spans="2:10">
      <c r="B583" s="1"/>
      <c r="C583" s="1"/>
      <c r="D583" s="8"/>
      <c r="E583" s="8"/>
      <c r="F583" s="8"/>
      <c r="G583" s="8"/>
      <c r="H583" s="5"/>
      <c r="I583" s="5"/>
      <c r="J583" s="5"/>
    </row>
    <row r="584" spans="2:10">
      <c r="B584" s="1"/>
      <c r="C584" s="1"/>
      <c r="D584" s="8"/>
      <c r="E584" s="8"/>
      <c r="F584" s="8"/>
      <c r="G584" s="8"/>
      <c r="H584" s="5"/>
      <c r="I584" s="5"/>
      <c r="J584" s="5"/>
    </row>
    <row r="585" spans="2:10">
      <c r="B585" s="1"/>
      <c r="C585" s="1"/>
      <c r="D585" s="8"/>
      <c r="E585" s="8"/>
      <c r="F585" s="8"/>
      <c r="G585" s="8"/>
      <c r="H585" s="5"/>
      <c r="I585" s="5"/>
      <c r="J585" s="5"/>
    </row>
    <row r="586" spans="2:10">
      <c r="B586" s="1"/>
      <c r="C586" s="1"/>
      <c r="D586" s="8"/>
      <c r="E586" s="8"/>
      <c r="F586" s="8"/>
      <c r="G586" s="8"/>
      <c r="H586" s="5"/>
      <c r="I586" s="5"/>
      <c r="J586" s="5"/>
    </row>
    <row r="587" spans="2:10">
      <c r="B587" s="1"/>
      <c r="C587" s="1"/>
      <c r="D587" s="8"/>
      <c r="E587" s="8"/>
      <c r="F587" s="8"/>
      <c r="G587" s="8"/>
      <c r="H587" s="5"/>
      <c r="I587" s="5"/>
      <c r="J587" s="5"/>
    </row>
    <row r="588" spans="2:10">
      <c r="B588" s="1"/>
      <c r="C588" s="1"/>
      <c r="D588" s="8"/>
      <c r="E588" s="8"/>
      <c r="F588" s="8"/>
      <c r="G588" s="8"/>
      <c r="H588" s="5"/>
      <c r="I588" s="5"/>
      <c r="J588" s="5"/>
    </row>
    <row r="589" spans="2:10">
      <c r="B589" s="1"/>
      <c r="C589" s="1"/>
      <c r="D589" s="8"/>
      <c r="E589" s="8"/>
      <c r="F589" s="8"/>
      <c r="G589" s="8"/>
      <c r="H589" s="5"/>
      <c r="I589" s="5"/>
      <c r="J589" s="5"/>
    </row>
    <row r="590" spans="2:10">
      <c r="B590" s="1"/>
      <c r="C590" s="1"/>
      <c r="D590" s="8"/>
      <c r="E590" s="8"/>
      <c r="F590" s="8"/>
      <c r="G590" s="8"/>
      <c r="H590" s="5"/>
      <c r="I590" s="5"/>
      <c r="J590" s="5"/>
    </row>
    <row r="591" spans="2:10">
      <c r="B591" s="1"/>
      <c r="C591" s="1"/>
      <c r="D591" s="8"/>
      <c r="E591" s="8"/>
      <c r="F591" s="8"/>
      <c r="G591" s="8"/>
      <c r="H591" s="5"/>
      <c r="I591" s="5"/>
      <c r="J591" s="5"/>
    </row>
    <row r="592" spans="2:10">
      <c r="B592" s="1"/>
      <c r="C592" s="1"/>
      <c r="D592" s="8"/>
      <c r="E592" s="8"/>
      <c r="F592" s="8"/>
      <c r="G592" s="8"/>
      <c r="H592" s="5"/>
      <c r="I592" s="5"/>
      <c r="J592" s="5"/>
    </row>
    <row r="593" spans="2:10">
      <c r="B593" s="1"/>
      <c r="C593" s="1"/>
      <c r="D593" s="8"/>
      <c r="E593" s="8"/>
      <c r="F593" s="8"/>
      <c r="G593" s="8"/>
      <c r="H593" s="5"/>
      <c r="I593" s="5"/>
      <c r="J593" s="5"/>
    </row>
    <row r="594" spans="2:10">
      <c r="B594" s="1"/>
      <c r="C594" s="1"/>
      <c r="D594" s="8"/>
      <c r="E594" s="8"/>
      <c r="F594" s="8"/>
      <c r="G594" s="8"/>
      <c r="H594" s="5"/>
      <c r="I594" s="5"/>
      <c r="J594" s="5"/>
    </row>
    <row r="595" spans="2:10">
      <c r="B595" s="1"/>
      <c r="C595" s="1"/>
      <c r="D595" s="8"/>
      <c r="E595" s="8"/>
      <c r="F595" s="8"/>
      <c r="G595" s="8"/>
      <c r="H595" s="5"/>
      <c r="I595" s="5"/>
      <c r="J595" s="5"/>
    </row>
    <row r="596" spans="2:10">
      <c r="B596" s="1"/>
      <c r="C596" s="1"/>
      <c r="D596" s="8"/>
      <c r="E596" s="8"/>
      <c r="F596" s="8"/>
      <c r="G596" s="8"/>
      <c r="H596" s="5"/>
      <c r="I596" s="5"/>
      <c r="J596" s="5"/>
    </row>
    <row r="597" spans="2:10">
      <c r="B597" s="1"/>
      <c r="C597" s="1"/>
      <c r="D597" s="8"/>
      <c r="E597" s="8"/>
      <c r="F597" s="8"/>
      <c r="G597" s="8"/>
      <c r="H597" s="5"/>
      <c r="I597" s="5"/>
      <c r="J597" s="5"/>
    </row>
    <row r="598" spans="2:10">
      <c r="B598" s="1"/>
      <c r="C598" s="1"/>
      <c r="D598" s="8"/>
      <c r="E598" s="8"/>
      <c r="F598" s="8"/>
      <c r="G598" s="8"/>
      <c r="H598" s="5"/>
      <c r="I598" s="5"/>
      <c r="J598" s="5"/>
    </row>
    <row r="599" spans="2:10">
      <c r="B599" s="1"/>
      <c r="C599" s="1"/>
      <c r="D599" s="8"/>
      <c r="E599" s="8"/>
      <c r="F599" s="8"/>
      <c r="G599" s="8"/>
      <c r="H599" s="5"/>
      <c r="I599" s="5"/>
      <c r="J599" s="5"/>
    </row>
    <row r="600" spans="2:10">
      <c r="B600" s="1"/>
      <c r="C600" s="1"/>
      <c r="D600" s="8"/>
      <c r="E600" s="8"/>
      <c r="F600" s="8"/>
      <c r="G600" s="8"/>
      <c r="H600" s="5"/>
      <c r="I600" s="5"/>
      <c r="J600" s="5"/>
    </row>
    <row r="601" spans="2:10">
      <c r="B601" s="1"/>
      <c r="C601" s="1"/>
      <c r="D601" s="8"/>
      <c r="E601" s="8"/>
      <c r="F601" s="8"/>
      <c r="G601" s="8"/>
      <c r="H601" s="5"/>
      <c r="I601" s="5"/>
      <c r="J601" s="5"/>
    </row>
    <row r="602" spans="2:10">
      <c r="B602" s="1"/>
      <c r="C602" s="1"/>
      <c r="D602" s="8"/>
      <c r="E602" s="8"/>
      <c r="F602" s="8"/>
      <c r="G602" s="8"/>
      <c r="H602" s="5"/>
      <c r="I602" s="5"/>
      <c r="J602" s="5"/>
    </row>
    <row r="603" spans="2:10">
      <c r="B603" s="1"/>
      <c r="C603" s="1"/>
      <c r="D603" s="8"/>
      <c r="E603" s="8"/>
      <c r="F603" s="8"/>
      <c r="G603" s="8"/>
      <c r="H603" s="5"/>
      <c r="I603" s="5"/>
      <c r="J603" s="5"/>
    </row>
    <row r="604" spans="2:10">
      <c r="B604" s="1"/>
      <c r="C604" s="1"/>
      <c r="D604" s="8"/>
      <c r="E604" s="8"/>
      <c r="F604" s="8"/>
      <c r="G604" s="8"/>
      <c r="H604" s="5"/>
      <c r="I604" s="5"/>
      <c r="J604" s="5"/>
    </row>
    <row r="605" spans="2:10">
      <c r="B605" s="1"/>
      <c r="C605" s="1"/>
      <c r="D605" s="8"/>
      <c r="E605" s="8"/>
      <c r="F605" s="8"/>
      <c r="G605" s="8"/>
      <c r="H605" s="5"/>
      <c r="I605" s="5"/>
      <c r="J605" s="5"/>
    </row>
    <row r="606" spans="2:10">
      <c r="B606" s="1"/>
      <c r="C606" s="1"/>
      <c r="D606" s="8"/>
      <c r="E606" s="8"/>
      <c r="F606" s="8"/>
      <c r="G606" s="8"/>
      <c r="H606" s="5"/>
      <c r="I606" s="5"/>
      <c r="J606" s="5"/>
    </row>
    <row r="607" spans="2:10">
      <c r="B607" s="1"/>
      <c r="C607" s="1"/>
      <c r="D607" s="8"/>
      <c r="E607" s="8"/>
      <c r="F607" s="8"/>
      <c r="G607" s="8"/>
      <c r="H607" s="5"/>
      <c r="I607" s="5"/>
      <c r="J607" s="5"/>
    </row>
    <row r="608" spans="2:10">
      <c r="B608" s="1"/>
      <c r="C608" s="1"/>
      <c r="D608" s="8"/>
      <c r="E608" s="8"/>
      <c r="F608" s="8"/>
      <c r="G608" s="8"/>
      <c r="H608" s="5"/>
      <c r="I608" s="5"/>
      <c r="J608" s="5"/>
    </row>
    <row r="609" spans="2:10">
      <c r="B609" s="1"/>
      <c r="C609" s="1"/>
      <c r="D609" s="8"/>
      <c r="E609" s="8"/>
      <c r="F609" s="8"/>
      <c r="G609" s="8"/>
      <c r="H609" s="5"/>
      <c r="I609" s="5"/>
      <c r="J609" s="5"/>
    </row>
    <row r="610" spans="2:10">
      <c r="B610" s="1"/>
      <c r="C610" s="1"/>
      <c r="D610" s="8"/>
      <c r="E610" s="8"/>
      <c r="F610" s="8"/>
      <c r="G610" s="8"/>
      <c r="H610" s="5"/>
      <c r="I610" s="5"/>
      <c r="J610" s="5"/>
    </row>
    <row r="611" spans="2:10">
      <c r="B611" s="1"/>
      <c r="C611" s="1"/>
      <c r="D611" s="8"/>
      <c r="E611" s="8"/>
      <c r="F611" s="8"/>
      <c r="G611" s="8"/>
      <c r="H611" s="5"/>
      <c r="I611" s="5"/>
      <c r="J611" s="5"/>
    </row>
    <row r="612" spans="2:10">
      <c r="B612" s="1"/>
      <c r="C612" s="1"/>
      <c r="D612" s="8"/>
      <c r="E612" s="8"/>
      <c r="F612" s="8"/>
      <c r="G612" s="8"/>
      <c r="H612" s="5"/>
      <c r="I612" s="5"/>
      <c r="J612" s="5"/>
    </row>
    <row r="613" spans="2:10">
      <c r="B613" s="1"/>
      <c r="C613" s="1"/>
      <c r="D613" s="8"/>
      <c r="E613" s="8"/>
      <c r="F613" s="8"/>
      <c r="G613" s="8"/>
      <c r="H613" s="5"/>
      <c r="I613" s="5"/>
      <c r="J613" s="5"/>
    </row>
    <row r="614" spans="2:10">
      <c r="B614" s="1"/>
      <c r="C614" s="1"/>
      <c r="D614" s="8"/>
      <c r="E614" s="8"/>
      <c r="F614" s="8"/>
      <c r="G614" s="8"/>
      <c r="H614" s="5"/>
      <c r="I614" s="5"/>
      <c r="J614" s="5"/>
    </row>
    <row r="615" spans="2:10">
      <c r="B615" s="1"/>
      <c r="C615" s="1"/>
      <c r="D615" s="8"/>
      <c r="E615" s="8"/>
      <c r="F615" s="8"/>
      <c r="G615" s="8"/>
      <c r="H615" s="5"/>
      <c r="I615" s="5"/>
      <c r="J615" s="5"/>
    </row>
    <row r="616" spans="2:10">
      <c r="B616" s="1"/>
      <c r="C616" s="1"/>
      <c r="D616" s="8"/>
      <c r="E616" s="8"/>
      <c r="F616" s="8"/>
      <c r="G616" s="8"/>
      <c r="H616" s="5"/>
      <c r="I616" s="5"/>
      <c r="J616" s="5"/>
    </row>
    <row r="617" spans="2:10">
      <c r="B617" s="1"/>
      <c r="C617" s="1"/>
      <c r="D617" s="8"/>
      <c r="E617" s="8"/>
      <c r="F617" s="8"/>
      <c r="G617" s="8"/>
      <c r="H617" s="5"/>
      <c r="I617" s="5"/>
      <c r="J617" s="5"/>
    </row>
    <row r="618" spans="2:10">
      <c r="B618" s="1"/>
      <c r="C618" s="1"/>
      <c r="D618" s="8"/>
      <c r="E618" s="8"/>
      <c r="F618" s="8"/>
      <c r="G618" s="8"/>
      <c r="H618" s="5"/>
      <c r="I618" s="5"/>
      <c r="J618" s="5"/>
    </row>
    <row r="619" spans="2:10">
      <c r="B619" s="1"/>
      <c r="C619" s="1"/>
      <c r="D619" s="8"/>
      <c r="E619" s="8"/>
      <c r="F619" s="8"/>
      <c r="G619" s="8"/>
      <c r="H619" s="5"/>
      <c r="I619" s="5"/>
      <c r="J619" s="5"/>
    </row>
    <row r="620" spans="2:10">
      <c r="B620" s="1"/>
      <c r="C620" s="1"/>
      <c r="D620" s="8"/>
      <c r="E620" s="8"/>
      <c r="F620" s="8"/>
      <c r="G620" s="8"/>
      <c r="H620" s="5"/>
      <c r="I620" s="5"/>
      <c r="J620" s="5"/>
    </row>
    <row r="621" spans="2:10">
      <c r="B621" s="1"/>
      <c r="C621" s="1"/>
      <c r="D621" s="8"/>
      <c r="E621" s="8"/>
      <c r="F621" s="8"/>
      <c r="G621" s="8"/>
      <c r="H621" s="5"/>
      <c r="I621" s="5"/>
      <c r="J621" s="5"/>
    </row>
    <row r="622" spans="2:10">
      <c r="B622" s="1"/>
      <c r="C622" s="1"/>
      <c r="D622" s="8"/>
      <c r="E622" s="8"/>
      <c r="F622" s="8"/>
      <c r="G622" s="8"/>
      <c r="H622" s="5"/>
      <c r="I622" s="5"/>
      <c r="J622" s="5"/>
    </row>
    <row r="623" spans="2:10">
      <c r="B623" s="1"/>
      <c r="C623" s="1"/>
      <c r="D623" s="8"/>
      <c r="E623" s="8"/>
      <c r="F623" s="8"/>
      <c r="G623" s="8"/>
      <c r="H623" s="5"/>
      <c r="I623" s="5"/>
      <c r="J623" s="5"/>
    </row>
    <row r="624" spans="2:10">
      <c r="B624" s="1"/>
      <c r="C624" s="1"/>
      <c r="D624" s="8"/>
      <c r="E624" s="8"/>
      <c r="F624" s="8"/>
      <c r="G624" s="8"/>
      <c r="H624" s="5"/>
      <c r="I624" s="5"/>
      <c r="J624" s="5"/>
    </row>
    <row r="625" spans="2:10">
      <c r="B625" s="1"/>
      <c r="C625" s="1"/>
      <c r="D625" s="8"/>
      <c r="E625" s="8"/>
      <c r="F625" s="8"/>
      <c r="G625" s="8"/>
      <c r="H625" s="5"/>
      <c r="I625" s="5"/>
      <c r="J625" s="5"/>
    </row>
    <row r="626" spans="2:10">
      <c r="B626" s="1"/>
      <c r="C626" s="1"/>
      <c r="D626" s="8"/>
      <c r="E626" s="8"/>
      <c r="F626" s="8"/>
      <c r="G626" s="8"/>
      <c r="H626" s="5"/>
      <c r="I626" s="5"/>
      <c r="J626" s="5"/>
    </row>
    <row r="627" spans="2:10">
      <c r="B627" s="1"/>
      <c r="C627" s="1"/>
      <c r="D627" s="8"/>
      <c r="E627" s="8"/>
      <c r="F627" s="8"/>
      <c r="G627" s="8"/>
      <c r="H627" s="5"/>
      <c r="I627" s="5"/>
      <c r="J627" s="5"/>
    </row>
    <row r="628" spans="2:10">
      <c r="B628" s="1"/>
      <c r="C628" s="1"/>
      <c r="D628" s="8"/>
      <c r="E628" s="8"/>
      <c r="F628" s="8"/>
      <c r="G628" s="8"/>
      <c r="H628" s="5"/>
      <c r="I628" s="5"/>
      <c r="J628" s="5"/>
    </row>
    <row r="629" spans="2:10">
      <c r="B629" s="1"/>
      <c r="C629" s="1"/>
      <c r="D629" s="8"/>
      <c r="E629" s="8"/>
      <c r="F629" s="8"/>
      <c r="G629" s="8"/>
      <c r="H629" s="5"/>
      <c r="I629" s="5"/>
      <c r="J629" s="5"/>
    </row>
    <row r="630" spans="2:10">
      <c r="B630" s="1"/>
      <c r="C630" s="1"/>
      <c r="D630" s="8"/>
      <c r="E630" s="8"/>
      <c r="F630" s="8"/>
      <c r="G630" s="8"/>
      <c r="H630" s="5"/>
      <c r="I630" s="5"/>
      <c r="J630" s="5"/>
    </row>
    <row r="631" spans="2:10">
      <c r="B631" s="1"/>
      <c r="C631" s="1"/>
      <c r="D631" s="8"/>
      <c r="E631" s="8"/>
      <c r="F631" s="8"/>
      <c r="G631" s="8"/>
      <c r="H631" s="5"/>
      <c r="I631" s="5"/>
      <c r="J631" s="5"/>
    </row>
    <row r="632" spans="2:10">
      <c r="B632" s="1"/>
      <c r="C632" s="1"/>
      <c r="D632" s="8"/>
      <c r="E632" s="8"/>
      <c r="F632" s="8"/>
      <c r="G632" s="8"/>
      <c r="H632" s="5"/>
      <c r="I632" s="5"/>
      <c r="J632" s="5"/>
    </row>
    <row r="633" spans="2:10">
      <c r="B633" s="1"/>
      <c r="C633" s="1"/>
      <c r="D633" s="8"/>
      <c r="E633" s="8"/>
      <c r="F633" s="8"/>
      <c r="G633" s="8"/>
      <c r="H633" s="5"/>
      <c r="I633" s="5"/>
      <c r="J633" s="5"/>
    </row>
    <row r="634" spans="2:10">
      <c r="B634" s="1"/>
      <c r="C634" s="1"/>
      <c r="D634" s="8"/>
      <c r="E634" s="8"/>
      <c r="F634" s="8"/>
      <c r="G634" s="8"/>
      <c r="H634" s="5"/>
      <c r="I634" s="5"/>
      <c r="J634" s="5"/>
    </row>
    <row r="635" spans="2:10">
      <c r="B635" s="1"/>
      <c r="C635" s="1"/>
      <c r="D635" s="8"/>
      <c r="E635" s="8"/>
      <c r="F635" s="8"/>
      <c r="G635" s="8"/>
      <c r="H635" s="5"/>
      <c r="I635" s="5"/>
      <c r="J635" s="5"/>
    </row>
    <row r="636" spans="2:10">
      <c r="B636" s="1"/>
      <c r="C636" s="1"/>
      <c r="D636" s="8"/>
      <c r="E636" s="8"/>
      <c r="F636" s="8"/>
      <c r="G636" s="8"/>
      <c r="H636" s="5"/>
      <c r="I636" s="5"/>
      <c r="J636" s="5"/>
    </row>
    <row r="637" spans="2:10">
      <c r="B637" s="1"/>
      <c r="C637" s="1"/>
      <c r="D637" s="8"/>
      <c r="E637" s="8"/>
      <c r="F637" s="8"/>
      <c r="G637" s="8"/>
      <c r="H637" s="5"/>
      <c r="I637" s="5"/>
      <c r="J637" s="5"/>
    </row>
    <row r="638" spans="2:10">
      <c r="B638" s="1"/>
      <c r="C638" s="1"/>
      <c r="D638" s="8"/>
      <c r="E638" s="8"/>
      <c r="F638" s="8"/>
      <c r="G638" s="8"/>
      <c r="H638" s="5"/>
      <c r="I638" s="5"/>
      <c r="J638" s="5"/>
    </row>
    <row r="639" spans="2:10">
      <c r="B639" s="1"/>
      <c r="C639" s="1"/>
      <c r="D639" s="8"/>
      <c r="E639" s="8"/>
      <c r="F639" s="8"/>
      <c r="G639" s="8"/>
      <c r="H639" s="5"/>
      <c r="I639" s="5"/>
      <c r="J639" s="5"/>
    </row>
    <row r="640" spans="2:10">
      <c r="B640" s="1"/>
      <c r="C640" s="1"/>
      <c r="D640" s="8"/>
      <c r="E640" s="8"/>
      <c r="F640" s="8"/>
      <c r="G640" s="8"/>
      <c r="H640" s="5"/>
      <c r="I640" s="5"/>
      <c r="J640" s="5"/>
    </row>
    <row r="641" spans="2:10">
      <c r="B641" s="1"/>
      <c r="C641" s="1"/>
      <c r="D641" s="8"/>
      <c r="E641" s="8"/>
      <c r="F641" s="8"/>
      <c r="G641" s="8"/>
      <c r="H641" s="5"/>
      <c r="I641" s="5"/>
      <c r="J641" s="5"/>
    </row>
    <row r="642" spans="2:10">
      <c r="B642" s="1"/>
      <c r="C642" s="1"/>
      <c r="D642" s="8"/>
      <c r="E642" s="8"/>
      <c r="F642" s="8"/>
      <c r="G642" s="8"/>
      <c r="H642" s="5"/>
      <c r="I642" s="5"/>
      <c r="J642" s="5"/>
    </row>
    <row r="643" spans="2:10">
      <c r="B643" s="1"/>
      <c r="C643" s="1"/>
      <c r="D643" s="8"/>
      <c r="E643" s="8"/>
      <c r="F643" s="8"/>
      <c r="G643" s="8"/>
      <c r="H643" s="5"/>
      <c r="I643" s="5"/>
      <c r="J643" s="5"/>
    </row>
    <row r="644" spans="2:10">
      <c r="B644" s="1"/>
      <c r="C644" s="1"/>
      <c r="D644" s="8"/>
      <c r="E644" s="8"/>
      <c r="F644" s="8"/>
      <c r="G644" s="8"/>
      <c r="H644" s="5"/>
      <c r="I644" s="5"/>
      <c r="J644" s="5"/>
    </row>
    <row r="645" spans="2:10">
      <c r="B645" s="1"/>
      <c r="C645" s="1"/>
      <c r="D645" s="8"/>
      <c r="E645" s="8"/>
      <c r="F645" s="8"/>
      <c r="G645" s="8"/>
      <c r="H645" s="5"/>
      <c r="I645" s="5"/>
      <c r="J645" s="5"/>
    </row>
    <row r="646" spans="2:10">
      <c r="B646" s="1"/>
      <c r="C646" s="1"/>
      <c r="D646" s="8"/>
      <c r="E646" s="8"/>
      <c r="F646" s="8"/>
      <c r="G646" s="8"/>
      <c r="H646" s="5"/>
      <c r="I646" s="5"/>
      <c r="J646" s="5"/>
    </row>
    <row r="647" spans="2:10">
      <c r="B647" s="1"/>
      <c r="C647" s="1"/>
      <c r="D647" s="8"/>
      <c r="E647" s="8"/>
      <c r="F647" s="8"/>
      <c r="G647" s="8"/>
      <c r="H647" s="5"/>
      <c r="I647" s="5"/>
      <c r="J647" s="5"/>
    </row>
    <row r="648" spans="2:10">
      <c r="B648" s="1"/>
      <c r="C648" s="1"/>
      <c r="D648" s="8"/>
      <c r="E648" s="8"/>
      <c r="F648" s="8"/>
      <c r="G648" s="8"/>
      <c r="H648" s="5"/>
      <c r="I648" s="5"/>
      <c r="J648" s="5"/>
    </row>
    <row r="649" spans="2:10">
      <c r="B649" s="1"/>
      <c r="C649" s="1"/>
      <c r="D649" s="8"/>
      <c r="E649" s="8"/>
      <c r="F649" s="8"/>
      <c r="G649" s="8"/>
      <c r="H649" s="5"/>
      <c r="I649" s="5"/>
      <c r="J649" s="5"/>
    </row>
    <row r="650" spans="2:10">
      <c r="B650" s="1"/>
      <c r="C650" s="1"/>
      <c r="D650" s="8"/>
      <c r="E650" s="8"/>
      <c r="F650" s="8"/>
      <c r="G650" s="8"/>
      <c r="H650" s="5"/>
      <c r="I650" s="5"/>
      <c r="J650" s="5"/>
    </row>
    <row r="651" spans="2:10">
      <c r="B651" s="1"/>
      <c r="C651" s="1"/>
      <c r="D651" s="8"/>
      <c r="E651" s="8"/>
      <c r="F651" s="8"/>
      <c r="G651" s="8"/>
      <c r="H651" s="5"/>
      <c r="I651" s="5"/>
      <c r="J651" s="5"/>
    </row>
    <row r="652" spans="2:10">
      <c r="B652" s="1"/>
      <c r="C652" s="1"/>
      <c r="D652" s="8"/>
      <c r="E652" s="8"/>
      <c r="F652" s="8"/>
      <c r="G652" s="8"/>
      <c r="H652" s="5"/>
      <c r="I652" s="5"/>
      <c r="J652" s="5"/>
    </row>
    <row r="653" spans="2:10">
      <c r="B653" s="1"/>
      <c r="C653" s="1"/>
      <c r="D653" s="8"/>
      <c r="E653" s="8"/>
      <c r="F653" s="8"/>
      <c r="G653" s="8"/>
      <c r="H653" s="5"/>
      <c r="I653" s="5"/>
      <c r="J653" s="5"/>
    </row>
    <row r="654" spans="2:10">
      <c r="B654" s="1"/>
      <c r="C654" s="1"/>
      <c r="D654" s="8"/>
      <c r="E654" s="8"/>
      <c r="F654" s="8"/>
      <c r="G654" s="8"/>
      <c r="H654" s="5"/>
      <c r="I654" s="5"/>
      <c r="J654" s="5"/>
    </row>
    <row r="655" spans="2:10">
      <c r="B655" s="1"/>
      <c r="C655" s="1"/>
      <c r="D655" s="8"/>
      <c r="E655" s="8"/>
      <c r="F655" s="8"/>
      <c r="G655" s="8"/>
      <c r="H655" s="5"/>
      <c r="I655" s="5"/>
      <c r="J655" s="5"/>
    </row>
    <row r="656" spans="2:10">
      <c r="B656" s="1"/>
      <c r="C656" s="1"/>
      <c r="D656" s="8"/>
      <c r="E656" s="8"/>
      <c r="F656" s="8"/>
      <c r="G656" s="8"/>
      <c r="H656" s="5"/>
      <c r="I656" s="5"/>
      <c r="J656" s="5"/>
    </row>
    <row r="657" spans="2:10">
      <c r="B657" s="1"/>
      <c r="C657" s="1"/>
      <c r="D657" s="8"/>
      <c r="E657" s="8"/>
      <c r="F657" s="8"/>
      <c r="G657" s="8"/>
      <c r="H657" s="5"/>
      <c r="I657" s="5"/>
      <c r="J657" s="5"/>
    </row>
    <row r="658" spans="2:10">
      <c r="B658" s="1"/>
      <c r="C658" s="1"/>
      <c r="D658" s="8"/>
      <c r="E658" s="8"/>
      <c r="F658" s="8"/>
      <c r="G658" s="8"/>
      <c r="H658" s="5"/>
      <c r="I658" s="5"/>
      <c r="J658" s="5"/>
    </row>
    <row r="659" spans="2:10">
      <c r="B659" s="1"/>
      <c r="C659" s="1"/>
      <c r="D659" s="8"/>
      <c r="E659" s="8"/>
      <c r="F659" s="8"/>
      <c r="G659" s="8"/>
      <c r="H659" s="5"/>
      <c r="I659" s="5"/>
      <c r="J659" s="5"/>
    </row>
    <row r="660" spans="2:10">
      <c r="B660" s="1"/>
      <c r="C660" s="1"/>
      <c r="D660" s="8"/>
      <c r="E660" s="8"/>
      <c r="F660" s="8"/>
      <c r="G660" s="8"/>
      <c r="H660" s="5"/>
      <c r="I660" s="5"/>
      <c r="J660" s="5"/>
    </row>
    <row r="661" spans="2:10">
      <c r="B661" s="1"/>
      <c r="C661" s="1"/>
      <c r="D661" s="8"/>
      <c r="E661" s="8"/>
      <c r="F661" s="8"/>
      <c r="G661" s="8"/>
      <c r="H661" s="5"/>
      <c r="I661" s="5"/>
      <c r="J661" s="5"/>
    </row>
    <row r="662" spans="2:10">
      <c r="B662" s="1"/>
      <c r="C662" s="1"/>
      <c r="D662" s="8"/>
      <c r="E662" s="8"/>
      <c r="F662" s="8"/>
      <c r="G662" s="8"/>
      <c r="H662" s="5"/>
      <c r="I662" s="5"/>
      <c r="J662" s="5"/>
    </row>
    <row r="663" spans="2:10">
      <c r="B663" s="1"/>
      <c r="C663" s="1"/>
      <c r="D663" s="8"/>
      <c r="E663" s="8"/>
      <c r="F663" s="8"/>
      <c r="G663" s="8"/>
      <c r="H663" s="5"/>
      <c r="I663" s="5"/>
      <c r="J663" s="5"/>
    </row>
    <row r="664" spans="2:10">
      <c r="B664" s="1"/>
      <c r="C664" s="1"/>
      <c r="D664" s="8"/>
      <c r="E664" s="8"/>
      <c r="F664" s="8"/>
      <c r="G664" s="8"/>
      <c r="H664" s="5"/>
      <c r="I664" s="5"/>
      <c r="J664" s="5"/>
    </row>
    <row r="665" spans="2:10">
      <c r="B665" s="1"/>
      <c r="C665" s="1"/>
      <c r="D665" s="8"/>
      <c r="E665" s="8"/>
      <c r="F665" s="8"/>
      <c r="G665" s="8"/>
      <c r="H665" s="5"/>
      <c r="I665" s="5"/>
      <c r="J665" s="5"/>
    </row>
    <row r="666" spans="2:10">
      <c r="B666" s="1"/>
      <c r="C666" s="1"/>
      <c r="D666" s="8"/>
      <c r="E666" s="8"/>
      <c r="F666" s="8"/>
      <c r="G666" s="8"/>
      <c r="H666" s="5"/>
      <c r="I666" s="5"/>
      <c r="J666" s="5"/>
    </row>
    <row r="667" spans="2:10">
      <c r="B667" s="1"/>
      <c r="C667" s="1"/>
      <c r="D667" s="8"/>
      <c r="E667" s="8"/>
      <c r="F667" s="8"/>
      <c r="G667" s="8"/>
      <c r="H667" s="5"/>
      <c r="I667" s="5"/>
      <c r="J667" s="5"/>
    </row>
    <row r="668" spans="2:10">
      <c r="B668" s="1"/>
      <c r="C668" s="1"/>
      <c r="D668" s="8"/>
      <c r="E668" s="8"/>
      <c r="F668" s="8"/>
      <c r="G668" s="8"/>
      <c r="H668" s="5"/>
      <c r="I668" s="5"/>
      <c r="J668" s="5"/>
    </row>
    <row r="669" spans="2:10">
      <c r="B669" s="1"/>
      <c r="C669" s="1"/>
      <c r="D669" s="8"/>
      <c r="E669" s="8"/>
      <c r="F669" s="8"/>
      <c r="G669" s="8"/>
      <c r="H669" s="5"/>
      <c r="I669" s="5"/>
      <c r="J669" s="5"/>
    </row>
    <row r="670" spans="2:10">
      <c r="B670" s="1"/>
      <c r="C670" s="1"/>
      <c r="D670" s="8"/>
      <c r="E670" s="8"/>
      <c r="F670" s="8"/>
      <c r="G670" s="8"/>
      <c r="H670" s="5"/>
      <c r="I670" s="5"/>
      <c r="J670" s="5"/>
    </row>
    <row r="671" spans="2:10">
      <c r="B671" s="1"/>
      <c r="C671" s="1"/>
      <c r="D671" s="8"/>
      <c r="E671" s="8"/>
      <c r="F671" s="8"/>
      <c r="G671" s="8"/>
      <c r="H671" s="5"/>
      <c r="I671" s="5"/>
      <c r="J671" s="5"/>
    </row>
    <row r="672" spans="2:10">
      <c r="B672" s="1"/>
      <c r="C672" s="1"/>
      <c r="D672" s="8"/>
      <c r="E672" s="8"/>
      <c r="F672" s="8"/>
      <c r="G672" s="8"/>
      <c r="H672" s="5"/>
      <c r="I672" s="5"/>
      <c r="J672" s="5"/>
    </row>
    <row r="673" spans="2:10">
      <c r="B673" s="1"/>
      <c r="C673" s="1"/>
      <c r="D673" s="8"/>
      <c r="E673" s="8"/>
      <c r="F673" s="8"/>
      <c r="G673" s="8"/>
      <c r="H673" s="5"/>
      <c r="I673" s="5"/>
      <c r="J673" s="5"/>
    </row>
    <row r="674" spans="2:10">
      <c r="B674" s="1"/>
      <c r="C674" s="1"/>
      <c r="D674" s="8"/>
      <c r="E674" s="8"/>
      <c r="F674" s="8"/>
      <c r="G674" s="8"/>
      <c r="H674" s="5"/>
      <c r="I674" s="5"/>
      <c r="J674" s="5"/>
    </row>
    <row r="675" spans="2:10">
      <c r="B675" s="1"/>
      <c r="C675" s="1"/>
      <c r="D675" s="8"/>
      <c r="E675" s="8"/>
      <c r="F675" s="8"/>
      <c r="G675" s="8"/>
      <c r="H675" s="5"/>
      <c r="I675" s="5"/>
      <c r="J675" s="5"/>
    </row>
    <row r="676" spans="2:10">
      <c r="B676" s="1"/>
      <c r="C676" s="1"/>
      <c r="D676" s="8"/>
      <c r="E676" s="8"/>
      <c r="F676" s="8"/>
      <c r="G676" s="8"/>
      <c r="H676" s="5"/>
      <c r="I676" s="5"/>
      <c r="J676" s="5"/>
    </row>
    <row r="677" spans="2:10">
      <c r="B677" s="1"/>
      <c r="C677" s="1"/>
      <c r="D677" s="8"/>
      <c r="E677" s="8"/>
      <c r="F677" s="8"/>
      <c r="G677" s="8"/>
      <c r="H677" s="5"/>
      <c r="I677" s="5"/>
      <c r="J677" s="5"/>
    </row>
    <row r="678" spans="2:10">
      <c r="B678" s="1"/>
      <c r="C678" s="1"/>
      <c r="D678" s="8"/>
      <c r="E678" s="8"/>
      <c r="F678" s="8"/>
      <c r="G678" s="8"/>
      <c r="H678" s="5"/>
      <c r="I678" s="5"/>
      <c r="J678" s="5"/>
    </row>
    <row r="679" spans="2:10">
      <c r="B679" s="1"/>
      <c r="C679" s="1"/>
      <c r="D679" s="8"/>
      <c r="E679" s="8"/>
      <c r="F679" s="8"/>
      <c r="G679" s="8"/>
      <c r="H679" s="5"/>
      <c r="I679" s="5"/>
      <c r="J679" s="5"/>
    </row>
    <row r="680" spans="2:10">
      <c r="B680" s="1"/>
      <c r="C680" s="1"/>
      <c r="D680" s="8"/>
      <c r="E680" s="8"/>
      <c r="F680" s="8"/>
      <c r="G680" s="8"/>
      <c r="H680" s="5"/>
      <c r="I680" s="5"/>
      <c r="J680" s="5"/>
    </row>
    <row r="681" spans="2:10">
      <c r="B681" s="1"/>
      <c r="C681" s="1"/>
      <c r="D681" s="8"/>
      <c r="E681" s="8"/>
      <c r="F681" s="8"/>
      <c r="G681" s="8"/>
      <c r="H681" s="5"/>
      <c r="I681" s="5"/>
      <c r="J681" s="5"/>
    </row>
    <row r="682" spans="2:10">
      <c r="B682" s="1"/>
      <c r="C682" s="1"/>
      <c r="D682" s="8"/>
      <c r="E682" s="8"/>
      <c r="F682" s="8"/>
      <c r="G682" s="8"/>
      <c r="H682" s="5"/>
      <c r="I682" s="5"/>
      <c r="J682" s="5"/>
    </row>
    <row r="683" spans="2:10">
      <c r="B683" s="1"/>
      <c r="C683" s="1"/>
      <c r="D683" s="8"/>
      <c r="E683" s="8"/>
      <c r="F683" s="8"/>
      <c r="G683" s="8"/>
      <c r="H683" s="5"/>
      <c r="I683" s="5"/>
      <c r="J683" s="5"/>
    </row>
    <row r="684" spans="2:10">
      <c r="B684" s="1"/>
      <c r="C684" s="1"/>
      <c r="D684" s="8"/>
      <c r="E684" s="8"/>
      <c r="F684" s="8"/>
      <c r="G684" s="8"/>
      <c r="H684" s="5"/>
      <c r="I684" s="5"/>
      <c r="J684" s="5"/>
    </row>
    <row r="685" spans="2:10">
      <c r="B685" s="1"/>
      <c r="C685" s="1"/>
      <c r="D685" s="8"/>
      <c r="E685" s="8"/>
      <c r="F685" s="8"/>
      <c r="G685" s="8"/>
      <c r="H685" s="5"/>
      <c r="I685" s="5"/>
      <c r="J685" s="5"/>
    </row>
    <row r="686" spans="2:10">
      <c r="B686" s="1"/>
      <c r="C686" s="1"/>
      <c r="D686" s="8"/>
      <c r="E686" s="8"/>
      <c r="F686" s="8"/>
      <c r="G686" s="8"/>
      <c r="H686" s="5"/>
      <c r="I686" s="5"/>
      <c r="J686" s="5"/>
    </row>
    <row r="687" spans="2:10">
      <c r="B687" s="1"/>
      <c r="C687" s="1"/>
      <c r="D687" s="8"/>
      <c r="E687" s="8"/>
      <c r="F687" s="8"/>
      <c r="G687" s="8"/>
      <c r="H687" s="5"/>
      <c r="I687" s="5"/>
      <c r="J687" s="5"/>
    </row>
    <row r="688" spans="2:10">
      <c r="B688" s="1"/>
      <c r="C688" s="1"/>
      <c r="D688" s="8"/>
      <c r="E688" s="8"/>
      <c r="F688" s="8"/>
      <c r="G688" s="8"/>
      <c r="H688" s="5"/>
      <c r="I688" s="5"/>
      <c r="J688" s="5"/>
    </row>
    <row r="689" spans="2:10">
      <c r="B689" s="1"/>
      <c r="C689" s="1"/>
      <c r="D689" s="8"/>
      <c r="E689" s="8"/>
      <c r="F689" s="8"/>
      <c r="G689" s="8"/>
      <c r="H689" s="5"/>
      <c r="I689" s="5"/>
      <c r="J689" s="5"/>
    </row>
    <row r="690" spans="2:10">
      <c r="B690" s="1"/>
      <c r="C690" s="1"/>
      <c r="D690" s="8"/>
      <c r="E690" s="8"/>
      <c r="F690" s="8"/>
      <c r="G690" s="8"/>
      <c r="H690" s="5"/>
      <c r="I690" s="5"/>
      <c r="J690" s="5"/>
    </row>
    <row r="691" spans="2:10">
      <c r="B691" s="1"/>
      <c r="C691" s="1"/>
      <c r="D691" s="8"/>
      <c r="E691" s="8"/>
      <c r="F691" s="8"/>
      <c r="G691" s="8"/>
      <c r="H691" s="5"/>
      <c r="I691" s="5"/>
      <c r="J691" s="5"/>
    </row>
    <row r="692" spans="2:10">
      <c r="B692" s="1"/>
      <c r="C692" s="1"/>
      <c r="D692" s="8"/>
      <c r="E692" s="8"/>
      <c r="F692" s="8"/>
      <c r="G692" s="8"/>
      <c r="H692" s="5"/>
      <c r="I692" s="5"/>
      <c r="J692" s="5"/>
    </row>
    <row r="693" spans="2:10">
      <c r="B693" s="1"/>
      <c r="C693" s="1"/>
      <c r="D693" s="8"/>
      <c r="E693" s="8"/>
      <c r="F693" s="8"/>
      <c r="G693" s="8"/>
      <c r="H693" s="5"/>
      <c r="I693" s="5"/>
      <c r="J693" s="5"/>
    </row>
    <row r="694" spans="2:10">
      <c r="B694" s="1"/>
      <c r="C694" s="1"/>
      <c r="D694" s="8"/>
      <c r="E694" s="8"/>
      <c r="F694" s="8"/>
      <c r="G694" s="8"/>
      <c r="H694" s="5"/>
      <c r="I694" s="5"/>
      <c r="J694" s="5"/>
    </row>
    <row r="695" spans="2:10">
      <c r="B695" s="1"/>
      <c r="C695" s="1"/>
      <c r="D695" s="8"/>
      <c r="E695" s="8"/>
      <c r="F695" s="8"/>
      <c r="G695" s="8"/>
      <c r="H695" s="5"/>
      <c r="I695" s="5"/>
      <c r="J695" s="5"/>
    </row>
    <row r="696" spans="2:10">
      <c r="B696" s="1"/>
      <c r="C696" s="1"/>
      <c r="D696" s="8"/>
      <c r="E696" s="8"/>
      <c r="F696" s="8"/>
      <c r="G696" s="8"/>
      <c r="H696" s="5"/>
      <c r="I696" s="5"/>
      <c r="J696" s="5"/>
    </row>
    <row r="697" spans="2:10">
      <c r="B697" s="1"/>
      <c r="C697" s="1"/>
      <c r="D697" s="8"/>
      <c r="E697" s="8"/>
      <c r="F697" s="8"/>
      <c r="G697" s="8"/>
      <c r="H697" s="5"/>
      <c r="I697" s="5"/>
      <c r="J697" s="5"/>
    </row>
    <row r="698" spans="2:10">
      <c r="B698" s="1"/>
      <c r="C698" s="1"/>
      <c r="D698" s="8"/>
      <c r="E698" s="8"/>
      <c r="F698" s="8"/>
      <c r="G698" s="8"/>
      <c r="H698" s="5"/>
      <c r="I698" s="5"/>
      <c r="J698" s="5"/>
    </row>
    <row r="699" spans="2:10">
      <c r="B699" s="1"/>
      <c r="C699" s="1"/>
      <c r="D699" s="8"/>
      <c r="E699" s="8"/>
      <c r="F699" s="8"/>
      <c r="G699" s="8"/>
      <c r="H699" s="5"/>
      <c r="I699" s="5"/>
      <c r="J699" s="5"/>
    </row>
    <row r="700" spans="2:10">
      <c r="B700" s="1"/>
      <c r="C700" s="1"/>
      <c r="D700" s="8"/>
      <c r="E700" s="8"/>
      <c r="F700" s="8"/>
      <c r="G700" s="8"/>
      <c r="H700" s="5"/>
      <c r="I700" s="5"/>
      <c r="J700" s="5"/>
    </row>
    <row r="701" spans="2:10">
      <c r="B701" s="1"/>
      <c r="C701" s="1"/>
      <c r="D701" s="8"/>
      <c r="E701" s="8"/>
      <c r="F701" s="8"/>
      <c r="G701" s="8"/>
      <c r="H701" s="5"/>
      <c r="I701" s="5"/>
      <c r="J701" s="5"/>
    </row>
    <row r="702" spans="2:10">
      <c r="B702" s="1"/>
      <c r="C702" s="1"/>
      <c r="D702" s="8"/>
      <c r="E702" s="8"/>
      <c r="F702" s="8"/>
      <c r="G702" s="8"/>
      <c r="H702" s="5"/>
      <c r="I702" s="5"/>
      <c r="J702" s="5"/>
    </row>
    <row r="703" spans="2:10">
      <c r="B703" s="1"/>
      <c r="C703" s="1"/>
      <c r="D703" s="8"/>
      <c r="E703" s="8"/>
      <c r="F703" s="8"/>
      <c r="G703" s="8"/>
      <c r="H703" s="5"/>
      <c r="I703" s="5"/>
      <c r="J703" s="5"/>
    </row>
    <row r="704" spans="2:10">
      <c r="B704" s="1"/>
      <c r="C704" s="1"/>
      <c r="D704" s="8"/>
      <c r="E704" s="8"/>
      <c r="F704" s="8"/>
      <c r="G704" s="8"/>
      <c r="H704" s="5"/>
      <c r="I704" s="5"/>
      <c r="J704" s="5"/>
    </row>
    <row r="705" spans="2:10">
      <c r="B705" s="1"/>
      <c r="C705" s="1"/>
      <c r="D705" s="8"/>
      <c r="E705" s="8"/>
      <c r="F705" s="8"/>
      <c r="G705" s="8"/>
      <c r="H705" s="5"/>
      <c r="I705" s="5"/>
      <c r="J705" s="5"/>
    </row>
    <row r="706" spans="2:10">
      <c r="B706" s="1"/>
      <c r="C706" s="1"/>
      <c r="D706" s="8"/>
      <c r="E706" s="8"/>
      <c r="F706" s="8"/>
      <c r="G706" s="8"/>
      <c r="H706" s="5"/>
      <c r="I706" s="5"/>
      <c r="J706" s="5"/>
    </row>
    <row r="707" spans="2:10">
      <c r="B707" s="1"/>
      <c r="C707" s="1"/>
      <c r="D707" s="8"/>
      <c r="E707" s="8"/>
      <c r="F707" s="8"/>
      <c r="G707" s="8"/>
      <c r="H707" s="5"/>
      <c r="I707" s="5"/>
      <c r="J707" s="5"/>
    </row>
    <row r="708" spans="2:10">
      <c r="B708" s="1"/>
      <c r="C708" s="1"/>
      <c r="D708" s="8"/>
      <c r="E708" s="8"/>
      <c r="F708" s="8"/>
      <c r="G708" s="8"/>
      <c r="H708" s="5"/>
      <c r="I708" s="5"/>
      <c r="J708" s="5"/>
    </row>
    <row r="709" spans="2:10">
      <c r="B709" s="1"/>
      <c r="C709" s="1"/>
      <c r="D709" s="8"/>
      <c r="E709" s="8"/>
      <c r="F709" s="8"/>
      <c r="G709" s="8"/>
      <c r="H709" s="5"/>
      <c r="I709" s="5"/>
      <c r="J709" s="5"/>
    </row>
    <row r="710" spans="2:10">
      <c r="B710" s="1"/>
      <c r="C710" s="1"/>
      <c r="D710" s="8"/>
      <c r="E710" s="8"/>
      <c r="F710" s="8"/>
      <c r="G710" s="8"/>
      <c r="H710" s="5"/>
      <c r="I710" s="5"/>
      <c r="J710" s="5"/>
    </row>
    <row r="711" spans="2:10">
      <c r="B711" s="1"/>
      <c r="C711" s="1"/>
      <c r="D711" s="8"/>
      <c r="E711" s="8"/>
      <c r="F711" s="8"/>
      <c r="G711" s="8"/>
      <c r="H711" s="5"/>
      <c r="I711" s="5"/>
      <c r="J711" s="5"/>
    </row>
    <row r="712" spans="2:10">
      <c r="B712" s="1"/>
      <c r="C712" s="1"/>
      <c r="D712" s="8"/>
      <c r="E712" s="8"/>
      <c r="F712" s="8"/>
      <c r="G712" s="8"/>
      <c r="H712" s="5"/>
      <c r="I712" s="5"/>
      <c r="J712" s="5"/>
    </row>
    <row r="713" spans="2:10">
      <c r="B713" s="1"/>
      <c r="C713" s="1"/>
      <c r="D713" s="8"/>
      <c r="E713" s="8"/>
      <c r="F713" s="8"/>
      <c r="G713" s="8"/>
      <c r="H713" s="5"/>
      <c r="I713" s="5"/>
      <c r="J713" s="5"/>
    </row>
    <row r="714" spans="2:10">
      <c r="B714" s="1"/>
      <c r="C714" s="1"/>
      <c r="D714" s="8"/>
      <c r="E714" s="8"/>
      <c r="F714" s="8"/>
      <c r="G714" s="8"/>
      <c r="H714" s="5"/>
      <c r="I714" s="5"/>
      <c r="J714" s="5"/>
    </row>
    <row r="715" spans="2:10">
      <c r="B715" s="1"/>
      <c r="C715" s="1"/>
      <c r="D715" s="8"/>
      <c r="E715" s="8"/>
      <c r="F715" s="8"/>
      <c r="G715" s="8"/>
      <c r="H715" s="5"/>
      <c r="I715" s="5"/>
      <c r="J715" s="5"/>
    </row>
    <row r="716" spans="2:10">
      <c r="B716" s="1"/>
      <c r="C716" s="1"/>
      <c r="D716" s="8"/>
      <c r="E716" s="8"/>
      <c r="F716" s="8"/>
      <c r="G716" s="8"/>
      <c r="H716" s="5"/>
      <c r="I716" s="5"/>
      <c r="J716" s="5"/>
    </row>
    <row r="717" spans="2:10">
      <c r="B717" s="1"/>
      <c r="C717" s="1"/>
      <c r="D717" s="8"/>
      <c r="E717" s="8"/>
      <c r="F717" s="8"/>
      <c r="G717" s="8"/>
      <c r="H717" s="5"/>
      <c r="I717" s="5"/>
      <c r="J717" s="5"/>
    </row>
    <row r="718" spans="2:10">
      <c r="B718" s="1"/>
      <c r="C718" s="1"/>
      <c r="D718" s="8"/>
      <c r="E718" s="8"/>
      <c r="F718" s="8"/>
      <c r="G718" s="8"/>
      <c r="H718" s="5"/>
      <c r="I718" s="5"/>
      <c r="J718" s="5"/>
    </row>
    <row r="719" spans="2:10">
      <c r="B719" s="1"/>
      <c r="C719" s="1"/>
      <c r="D719" s="8"/>
      <c r="E719" s="8"/>
      <c r="F719" s="8"/>
      <c r="G719" s="8"/>
      <c r="H719" s="5"/>
      <c r="I719" s="5"/>
      <c r="J719" s="5"/>
    </row>
    <row r="720" spans="2:10">
      <c r="B720" s="1"/>
      <c r="C720" s="1"/>
      <c r="D720" s="8"/>
      <c r="E720" s="8"/>
      <c r="F720" s="8"/>
      <c r="G720" s="8"/>
      <c r="H720" s="5"/>
      <c r="I720" s="5"/>
      <c r="J720" s="5"/>
    </row>
    <row r="721" spans="2:10">
      <c r="B721" s="1"/>
      <c r="C721" s="1"/>
      <c r="D721" s="8"/>
      <c r="E721" s="8"/>
      <c r="F721" s="8"/>
      <c r="G721" s="8"/>
      <c r="H721" s="5"/>
      <c r="I721" s="5"/>
      <c r="J721" s="5"/>
    </row>
    <row r="722" spans="2:10">
      <c r="B722" s="1"/>
      <c r="C722" s="1"/>
      <c r="D722" s="8"/>
      <c r="E722" s="8"/>
      <c r="F722" s="8"/>
      <c r="G722" s="8"/>
      <c r="H722" s="5"/>
      <c r="I722" s="5"/>
      <c r="J722" s="5"/>
    </row>
    <row r="723" spans="2:10">
      <c r="B723" s="1"/>
      <c r="C723" s="1"/>
      <c r="D723" s="8"/>
      <c r="E723" s="8"/>
      <c r="F723" s="8"/>
      <c r="G723" s="8"/>
      <c r="H723" s="5"/>
      <c r="I723" s="5"/>
      <c r="J723" s="5"/>
    </row>
    <row r="724" spans="2:10">
      <c r="B724" s="1"/>
      <c r="C724" s="1"/>
      <c r="D724" s="8"/>
      <c r="E724" s="8"/>
      <c r="F724" s="8"/>
      <c r="G724" s="8"/>
      <c r="H724" s="5"/>
      <c r="I724" s="5"/>
      <c r="J724" s="5"/>
    </row>
    <row r="725" spans="2:10">
      <c r="B725" s="1"/>
      <c r="C725" s="1"/>
      <c r="D725" s="8"/>
      <c r="E725" s="8"/>
      <c r="F725" s="8"/>
      <c r="G725" s="8"/>
      <c r="H725" s="5"/>
      <c r="I725" s="5"/>
      <c r="J725" s="5"/>
    </row>
    <row r="726" spans="2:10">
      <c r="B726" s="1"/>
      <c r="C726" s="1"/>
      <c r="D726" s="8"/>
      <c r="E726" s="8"/>
      <c r="F726" s="8"/>
      <c r="G726" s="8"/>
      <c r="H726" s="5"/>
      <c r="I726" s="5"/>
      <c r="J726" s="5"/>
    </row>
    <row r="727" spans="2:10">
      <c r="B727" s="1"/>
      <c r="C727" s="1"/>
      <c r="D727" s="8"/>
      <c r="E727" s="8"/>
      <c r="F727" s="8"/>
      <c r="G727" s="8"/>
      <c r="H727" s="5"/>
      <c r="I727" s="5"/>
      <c r="J727" s="5"/>
    </row>
    <row r="728" spans="2:10">
      <c r="B728" s="1"/>
      <c r="C728" s="1"/>
      <c r="D728" s="8"/>
      <c r="E728" s="8"/>
      <c r="F728" s="8"/>
      <c r="G728" s="8"/>
      <c r="H728" s="5"/>
      <c r="I728" s="5"/>
      <c r="J728" s="5"/>
    </row>
    <row r="729" spans="2:10">
      <c r="B729" s="1"/>
      <c r="C729" s="1"/>
      <c r="D729" s="8"/>
      <c r="E729" s="8"/>
      <c r="F729" s="8"/>
      <c r="G729" s="8"/>
      <c r="H729" s="5"/>
      <c r="I729" s="5"/>
      <c r="J729" s="5"/>
    </row>
    <row r="730" spans="2:10">
      <c r="B730" s="1"/>
      <c r="C730" s="1"/>
      <c r="D730" s="8"/>
      <c r="E730" s="8"/>
      <c r="F730" s="8"/>
      <c r="G730" s="8"/>
      <c r="H730" s="5"/>
      <c r="I730" s="5"/>
      <c r="J730" s="5"/>
    </row>
    <row r="731" spans="2:10">
      <c r="B731" s="1"/>
      <c r="C731" s="1"/>
      <c r="D731" s="8"/>
      <c r="E731" s="8"/>
      <c r="F731" s="8"/>
      <c r="G731" s="8"/>
      <c r="H731" s="5"/>
      <c r="I731" s="5"/>
      <c r="J731" s="5"/>
    </row>
    <row r="732" spans="2:10">
      <c r="B732" s="1"/>
      <c r="C732" s="1"/>
      <c r="D732" s="8"/>
      <c r="E732" s="8"/>
      <c r="F732" s="8"/>
      <c r="G732" s="8"/>
      <c r="H732" s="5"/>
      <c r="I732" s="5"/>
      <c r="J732" s="5"/>
    </row>
    <row r="733" spans="2:10">
      <c r="B733" s="1"/>
      <c r="C733" s="1"/>
      <c r="D733" s="8"/>
      <c r="E733" s="8"/>
      <c r="F733" s="8"/>
      <c r="G733" s="8"/>
      <c r="H733" s="5"/>
      <c r="I733" s="5"/>
      <c r="J733" s="5"/>
    </row>
    <row r="734" spans="2:10">
      <c r="B734" s="1"/>
      <c r="C734" s="1"/>
      <c r="D734" s="8"/>
      <c r="E734" s="8"/>
      <c r="F734" s="8"/>
      <c r="G734" s="8"/>
      <c r="H734" s="5"/>
      <c r="I734" s="5"/>
      <c r="J734" s="5"/>
    </row>
    <row r="735" spans="2:10">
      <c r="B735" s="1"/>
      <c r="C735" s="1"/>
      <c r="D735" s="8"/>
      <c r="E735" s="8"/>
      <c r="F735" s="8"/>
      <c r="G735" s="8"/>
      <c r="H735" s="5"/>
      <c r="I735" s="5"/>
      <c r="J735" s="5"/>
    </row>
    <row r="736" spans="2:10">
      <c r="B736" s="1"/>
      <c r="C736" s="1"/>
      <c r="D736" s="8"/>
      <c r="E736" s="8"/>
      <c r="F736" s="8"/>
      <c r="G736" s="8"/>
      <c r="H736" s="5"/>
      <c r="I736" s="5"/>
      <c r="J736" s="5"/>
    </row>
    <row r="737" spans="2:10">
      <c r="B737" s="1"/>
      <c r="C737" s="1"/>
      <c r="D737" s="8"/>
      <c r="E737" s="8"/>
      <c r="F737" s="8"/>
      <c r="G737" s="8"/>
      <c r="H737" s="5"/>
      <c r="I737" s="5"/>
      <c r="J737" s="5"/>
    </row>
    <row r="738" spans="2:10">
      <c r="B738" s="1"/>
      <c r="C738" s="1"/>
      <c r="D738" s="8"/>
      <c r="E738" s="8"/>
      <c r="F738" s="8"/>
      <c r="G738" s="8"/>
      <c r="H738" s="5"/>
      <c r="I738" s="5"/>
      <c r="J738" s="5"/>
    </row>
    <row r="739" spans="2:10">
      <c r="B739" s="1"/>
      <c r="C739" s="1"/>
      <c r="D739" s="8"/>
      <c r="E739" s="8"/>
      <c r="F739" s="8"/>
      <c r="G739" s="8"/>
      <c r="H739" s="5"/>
      <c r="I739" s="5"/>
      <c r="J739" s="5"/>
    </row>
    <row r="740" spans="2:10">
      <c r="B740" s="1"/>
      <c r="C740" s="1"/>
      <c r="D740" s="8"/>
      <c r="E740" s="8"/>
      <c r="F740" s="8"/>
      <c r="G740" s="8"/>
      <c r="H740" s="5"/>
      <c r="I740" s="5"/>
      <c r="J740" s="5"/>
    </row>
    <row r="741" spans="2:10">
      <c r="B741" s="1"/>
      <c r="C741" s="1"/>
      <c r="D741" s="8"/>
      <c r="E741" s="8"/>
      <c r="F741" s="8"/>
      <c r="G741" s="8"/>
      <c r="H741" s="5"/>
      <c r="I741" s="5"/>
      <c r="J741" s="5"/>
    </row>
    <row r="742" spans="2:10">
      <c r="B742" s="1"/>
      <c r="C742" s="1"/>
      <c r="D742" s="8"/>
      <c r="E742" s="8"/>
      <c r="F742" s="8"/>
      <c r="G742" s="8"/>
      <c r="H742" s="5"/>
      <c r="I742" s="5"/>
      <c r="J742" s="5"/>
    </row>
    <row r="743" spans="2:10">
      <c r="B743" s="1"/>
      <c r="C743" s="1"/>
      <c r="D743" s="8"/>
      <c r="E743" s="8"/>
      <c r="F743" s="8"/>
      <c r="G743" s="8"/>
      <c r="H743" s="5"/>
      <c r="I743" s="5"/>
      <c r="J743" s="5"/>
    </row>
    <row r="744" spans="2:10">
      <c r="B744" s="1"/>
      <c r="C744" s="1"/>
      <c r="D744" s="8"/>
      <c r="E744" s="8"/>
      <c r="F744" s="8"/>
      <c r="G744" s="8"/>
      <c r="H744" s="5"/>
      <c r="I744" s="5"/>
      <c r="J744" s="5"/>
    </row>
    <row r="745" spans="2:10">
      <c r="B745" s="1"/>
      <c r="C745" s="1"/>
      <c r="D745" s="8"/>
      <c r="E745" s="8"/>
      <c r="F745" s="8"/>
      <c r="G745" s="8"/>
      <c r="H745" s="5"/>
      <c r="I745" s="5"/>
      <c r="J745" s="5"/>
    </row>
    <row r="746" spans="2:10">
      <c r="B746" s="1"/>
      <c r="C746" s="1"/>
      <c r="D746" s="8"/>
      <c r="E746" s="8"/>
      <c r="F746" s="8"/>
      <c r="G746" s="8"/>
      <c r="H746" s="5"/>
      <c r="I746" s="5"/>
      <c r="J746" s="5"/>
    </row>
    <row r="747" spans="2:10">
      <c r="B747" s="1"/>
      <c r="C747" s="1"/>
      <c r="D747" s="8"/>
      <c r="E747" s="8"/>
      <c r="F747" s="8"/>
      <c r="G747" s="8"/>
      <c r="H747" s="5"/>
      <c r="I747" s="5"/>
      <c r="J747" s="5"/>
    </row>
    <row r="748" spans="2:10">
      <c r="B748" s="1"/>
      <c r="C748" s="1"/>
      <c r="D748" s="8"/>
      <c r="E748" s="8"/>
      <c r="F748" s="8"/>
      <c r="G748" s="8"/>
      <c r="H748" s="5"/>
      <c r="I748" s="5"/>
      <c r="J748" s="5"/>
    </row>
    <row r="749" spans="2:10">
      <c r="B749" s="1"/>
      <c r="C749" s="1"/>
      <c r="D749" s="8"/>
      <c r="E749" s="8"/>
      <c r="F749" s="8"/>
      <c r="G749" s="8"/>
      <c r="H749" s="5"/>
      <c r="I749" s="5"/>
      <c r="J749" s="5"/>
    </row>
    <row r="750" spans="2:10">
      <c r="B750" s="1"/>
      <c r="C750" s="1"/>
      <c r="D750" s="8"/>
      <c r="E750" s="8"/>
      <c r="F750" s="8"/>
      <c r="G750" s="8"/>
      <c r="H750" s="5"/>
      <c r="I750" s="5"/>
      <c r="J750" s="5"/>
    </row>
    <row r="751" spans="2:10">
      <c r="B751" s="1"/>
      <c r="C751" s="1"/>
      <c r="D751" s="8"/>
      <c r="E751" s="8"/>
      <c r="F751" s="8"/>
      <c r="G751" s="8"/>
      <c r="H751" s="5"/>
      <c r="I751" s="5"/>
      <c r="J751" s="5"/>
    </row>
    <row r="752" spans="2:10">
      <c r="B752" s="1"/>
      <c r="C752" s="1"/>
      <c r="D752" s="8"/>
      <c r="E752" s="8"/>
      <c r="F752" s="8"/>
      <c r="G752" s="8"/>
      <c r="H752" s="5"/>
      <c r="I752" s="5"/>
      <c r="J752" s="5"/>
    </row>
    <row r="753" spans="2:10">
      <c r="B753" s="1"/>
      <c r="C753" s="1"/>
      <c r="D753" s="8"/>
      <c r="E753" s="8"/>
      <c r="F753" s="8"/>
      <c r="G753" s="8"/>
      <c r="H753" s="5"/>
      <c r="I753" s="5"/>
      <c r="J753" s="5"/>
    </row>
    <row r="754" spans="2:10">
      <c r="B754" s="1"/>
      <c r="C754" s="1"/>
      <c r="D754" s="8"/>
      <c r="E754" s="8"/>
      <c r="F754" s="8"/>
      <c r="G754" s="8"/>
      <c r="H754" s="5"/>
      <c r="I754" s="5"/>
      <c r="J754" s="5"/>
    </row>
    <row r="755" spans="2:10">
      <c r="B755" s="1"/>
      <c r="C755" s="1"/>
      <c r="D755" s="8"/>
      <c r="E755" s="8"/>
      <c r="F755" s="8"/>
      <c r="G755" s="8"/>
      <c r="H755" s="5"/>
      <c r="I755" s="5"/>
      <c r="J755" s="5"/>
    </row>
    <row r="756" spans="2:10">
      <c r="B756" s="1"/>
      <c r="C756" s="1"/>
      <c r="D756" s="8"/>
      <c r="E756" s="8"/>
      <c r="F756" s="8"/>
      <c r="G756" s="8"/>
      <c r="H756" s="5"/>
      <c r="I756" s="5"/>
      <c r="J756" s="5"/>
    </row>
    <row r="757" spans="2:10">
      <c r="B757" s="1"/>
      <c r="C757" s="1"/>
      <c r="D757" s="8"/>
      <c r="E757" s="8"/>
      <c r="F757" s="8"/>
      <c r="G757" s="8"/>
      <c r="H757" s="5"/>
      <c r="I757" s="5"/>
      <c r="J757" s="5"/>
    </row>
    <row r="758" spans="2:10">
      <c r="B758" s="1"/>
      <c r="C758" s="1"/>
      <c r="D758" s="8"/>
      <c r="E758" s="8"/>
      <c r="F758" s="8"/>
      <c r="G758" s="8"/>
      <c r="H758" s="5"/>
      <c r="I758" s="5"/>
      <c r="J758" s="5"/>
    </row>
    <row r="759" spans="2:10">
      <c r="B759" s="1"/>
      <c r="C759" s="1"/>
      <c r="D759" s="8"/>
      <c r="E759" s="8"/>
      <c r="F759" s="8"/>
      <c r="G759" s="8"/>
      <c r="H759" s="5"/>
      <c r="I759" s="5"/>
      <c r="J759" s="5"/>
    </row>
    <row r="760" spans="2:10">
      <c r="B760" s="1"/>
      <c r="C760" s="1"/>
      <c r="D760" s="8"/>
      <c r="E760" s="8"/>
      <c r="F760" s="8"/>
      <c r="G760" s="8"/>
      <c r="H760" s="5"/>
      <c r="I760" s="5"/>
      <c r="J760" s="5"/>
    </row>
    <row r="761" spans="2:10">
      <c r="B761" s="1"/>
      <c r="C761" s="1"/>
      <c r="D761" s="8"/>
      <c r="E761" s="8"/>
      <c r="F761" s="8"/>
      <c r="G761" s="8"/>
      <c r="H761" s="5"/>
      <c r="I761" s="5"/>
      <c r="J761" s="5"/>
    </row>
    <row r="762" spans="2:10">
      <c r="B762" s="1"/>
      <c r="C762" s="1"/>
      <c r="D762" s="8"/>
      <c r="E762" s="8"/>
      <c r="F762" s="8"/>
      <c r="G762" s="8"/>
      <c r="H762" s="5"/>
      <c r="I762" s="5"/>
      <c r="J762" s="5"/>
    </row>
    <row r="763" spans="2:10">
      <c r="B763" s="1"/>
      <c r="C763" s="1"/>
      <c r="D763" s="8"/>
      <c r="E763" s="8"/>
      <c r="F763" s="8"/>
      <c r="G763" s="8"/>
      <c r="H763" s="5"/>
      <c r="I763" s="5"/>
      <c r="J763" s="5"/>
    </row>
    <row r="764" spans="2:10">
      <c r="B764" s="1"/>
      <c r="C764" s="1"/>
      <c r="D764" s="8"/>
      <c r="E764" s="8"/>
      <c r="F764" s="8"/>
      <c r="G764" s="8"/>
      <c r="H764" s="5"/>
      <c r="I764" s="5"/>
      <c r="J764" s="5"/>
    </row>
    <row r="765" spans="2:10">
      <c r="B765" s="1"/>
      <c r="C765" s="1"/>
      <c r="D765" s="8"/>
      <c r="E765" s="8"/>
      <c r="F765" s="8"/>
      <c r="G765" s="8"/>
      <c r="H765" s="5"/>
      <c r="I765" s="5"/>
      <c r="J765" s="5"/>
    </row>
    <row r="766" spans="2:10">
      <c r="B766" s="1"/>
      <c r="C766" s="1"/>
      <c r="D766" s="8"/>
      <c r="E766" s="8"/>
      <c r="F766" s="8"/>
      <c r="G766" s="8"/>
      <c r="H766" s="5"/>
      <c r="I766" s="5"/>
      <c r="J766" s="5"/>
    </row>
    <row r="767" spans="2:10">
      <c r="B767" s="1"/>
      <c r="C767" s="1"/>
      <c r="D767" s="8"/>
      <c r="E767" s="8"/>
      <c r="F767" s="8"/>
      <c r="G767" s="8"/>
      <c r="H767" s="5"/>
      <c r="I767" s="5"/>
      <c r="J767" s="5"/>
    </row>
    <row r="768" spans="2:10">
      <c r="B768" s="1"/>
      <c r="C768" s="1"/>
      <c r="D768" s="8"/>
      <c r="E768" s="8"/>
      <c r="F768" s="8"/>
      <c r="G768" s="8"/>
      <c r="H768" s="5"/>
      <c r="I768" s="5"/>
      <c r="J768" s="5"/>
    </row>
    <row r="769" spans="2:10">
      <c r="B769" s="1"/>
      <c r="C769" s="1"/>
      <c r="D769" s="8"/>
      <c r="E769" s="8"/>
      <c r="F769" s="8"/>
      <c r="G769" s="8"/>
      <c r="H769" s="5"/>
      <c r="I769" s="5"/>
      <c r="J769" s="5"/>
    </row>
    <row r="770" spans="2:10">
      <c r="B770" s="1"/>
      <c r="C770" s="1"/>
      <c r="D770" s="8"/>
      <c r="E770" s="8"/>
      <c r="F770" s="8"/>
      <c r="G770" s="8"/>
      <c r="H770" s="5"/>
      <c r="I770" s="5"/>
      <c r="J770" s="5"/>
    </row>
    <row r="771" spans="2:10">
      <c r="B771" s="1"/>
      <c r="C771" s="1"/>
      <c r="D771" s="8"/>
      <c r="E771" s="8"/>
      <c r="F771" s="8"/>
      <c r="G771" s="8"/>
      <c r="H771" s="5"/>
      <c r="I771" s="5"/>
      <c r="J771" s="5"/>
    </row>
    <row r="772" spans="2:10">
      <c r="B772" s="1"/>
      <c r="C772" s="1"/>
      <c r="D772" s="8"/>
      <c r="E772" s="8"/>
      <c r="F772" s="8"/>
      <c r="G772" s="8"/>
      <c r="H772" s="5"/>
      <c r="I772" s="5"/>
      <c r="J772" s="5"/>
    </row>
    <row r="773" spans="2:10">
      <c r="B773" s="1"/>
      <c r="C773" s="1"/>
      <c r="D773" s="8"/>
      <c r="E773" s="8"/>
      <c r="F773" s="8"/>
      <c r="G773" s="8"/>
      <c r="H773" s="5"/>
      <c r="I773" s="5"/>
      <c r="J773" s="5"/>
    </row>
    <row r="774" spans="2:10">
      <c r="B774" s="1"/>
      <c r="C774" s="1"/>
      <c r="D774" s="8"/>
      <c r="E774" s="8"/>
      <c r="F774" s="8"/>
      <c r="G774" s="8"/>
      <c r="H774" s="5"/>
      <c r="I774" s="5"/>
      <c r="J774" s="5"/>
    </row>
    <row r="775" spans="2:10">
      <c r="B775" s="1"/>
      <c r="C775" s="1"/>
      <c r="D775" s="8"/>
      <c r="E775" s="8"/>
      <c r="F775" s="8"/>
      <c r="G775" s="8"/>
      <c r="H775" s="5"/>
      <c r="I775" s="5"/>
      <c r="J775" s="5"/>
    </row>
    <row r="776" spans="2:10">
      <c r="B776" s="1"/>
      <c r="C776" s="1"/>
      <c r="D776" s="8"/>
      <c r="E776" s="8"/>
      <c r="F776" s="8"/>
      <c r="G776" s="8"/>
      <c r="H776" s="5"/>
      <c r="I776" s="5"/>
      <c r="J776" s="5"/>
    </row>
    <row r="777" spans="2:10">
      <c r="B777" s="1"/>
      <c r="C777" s="1"/>
      <c r="D777" s="8"/>
      <c r="E777" s="8"/>
      <c r="F777" s="8"/>
      <c r="G777" s="8"/>
      <c r="H777" s="5"/>
      <c r="I777" s="5"/>
      <c r="J777" s="5"/>
    </row>
    <row r="778" spans="2:10">
      <c r="B778" s="1"/>
      <c r="C778" s="1"/>
      <c r="D778" s="8"/>
      <c r="E778" s="8"/>
      <c r="F778" s="8"/>
      <c r="G778" s="8"/>
      <c r="H778" s="5"/>
      <c r="I778" s="5"/>
      <c r="J778" s="5"/>
    </row>
    <row r="779" spans="2:10">
      <c r="B779" s="1"/>
      <c r="C779" s="1"/>
      <c r="D779" s="8"/>
      <c r="E779" s="8"/>
      <c r="F779" s="8"/>
      <c r="G779" s="8"/>
      <c r="H779" s="5"/>
      <c r="I779" s="5"/>
      <c r="J779" s="5"/>
    </row>
    <row r="780" spans="2:10">
      <c r="B780" s="1"/>
      <c r="C780" s="1"/>
      <c r="D780" s="8"/>
      <c r="E780" s="8"/>
      <c r="F780" s="8"/>
      <c r="G780" s="8"/>
      <c r="H780" s="5"/>
      <c r="I780" s="5"/>
      <c r="J780" s="5"/>
    </row>
    <row r="781" spans="2:10">
      <c r="B781" s="1"/>
      <c r="C781" s="1"/>
      <c r="D781" s="8"/>
      <c r="E781" s="8"/>
      <c r="F781" s="8"/>
      <c r="G781" s="8"/>
      <c r="H781" s="5"/>
      <c r="I781" s="5"/>
      <c r="J781" s="5"/>
    </row>
    <row r="782" spans="2:10">
      <c r="B782" s="1"/>
      <c r="C782" s="1"/>
      <c r="D782" s="8"/>
      <c r="E782" s="8"/>
      <c r="F782" s="8"/>
      <c r="G782" s="8"/>
      <c r="H782" s="5"/>
      <c r="I782" s="5"/>
      <c r="J782" s="5"/>
    </row>
    <row r="783" spans="2:10">
      <c r="B783" s="1"/>
      <c r="C783" s="1"/>
      <c r="D783" s="8"/>
      <c r="E783" s="8"/>
      <c r="F783" s="8"/>
      <c r="G783" s="8"/>
      <c r="H783" s="5"/>
      <c r="I783" s="5"/>
      <c r="J783" s="5"/>
    </row>
    <row r="784" spans="2:10">
      <c r="B784" s="1"/>
      <c r="C784" s="1"/>
      <c r="D784" s="8"/>
      <c r="E784" s="8"/>
      <c r="F784" s="8"/>
      <c r="G784" s="8"/>
      <c r="H784" s="5"/>
      <c r="I784" s="5"/>
      <c r="J784" s="5"/>
    </row>
    <row r="785" spans="2:10">
      <c r="B785" s="1"/>
      <c r="C785" s="1"/>
      <c r="D785" s="8"/>
      <c r="E785" s="8"/>
      <c r="F785" s="8"/>
      <c r="G785" s="8"/>
      <c r="H785" s="5"/>
      <c r="I785" s="5"/>
      <c r="J785" s="5"/>
    </row>
    <row r="786" spans="2:10">
      <c r="B786" s="1"/>
      <c r="C786" s="1"/>
      <c r="D786" s="8"/>
      <c r="E786" s="8"/>
      <c r="F786" s="8"/>
      <c r="G786" s="8"/>
      <c r="H786" s="5"/>
      <c r="I786" s="5"/>
      <c r="J786" s="5"/>
    </row>
    <row r="787" spans="2:10">
      <c r="B787" s="1"/>
      <c r="C787" s="1"/>
      <c r="D787" s="8"/>
      <c r="E787" s="8"/>
      <c r="F787" s="8"/>
      <c r="G787" s="8"/>
      <c r="H787" s="5"/>
      <c r="I787" s="5"/>
      <c r="J787" s="5"/>
    </row>
    <row r="788" spans="2:10">
      <c r="B788" s="1"/>
      <c r="C788" s="1"/>
      <c r="D788" s="8"/>
      <c r="E788" s="8"/>
      <c r="F788" s="8"/>
      <c r="G788" s="8"/>
      <c r="H788" s="5"/>
      <c r="I788" s="5"/>
      <c r="J788" s="5"/>
    </row>
    <row r="789" spans="2:10">
      <c r="B789" s="1"/>
      <c r="C789" s="1"/>
      <c r="D789" s="8"/>
      <c r="E789" s="8"/>
      <c r="F789" s="8"/>
      <c r="G789" s="8"/>
      <c r="H789" s="5"/>
      <c r="I789" s="5"/>
      <c r="J789" s="5"/>
    </row>
    <row r="790" spans="2:10">
      <c r="B790" s="1"/>
      <c r="C790" s="1"/>
      <c r="D790" s="8"/>
      <c r="E790" s="8"/>
      <c r="F790" s="8"/>
      <c r="G790" s="8"/>
      <c r="H790" s="5"/>
      <c r="I790" s="5"/>
      <c r="J790" s="5"/>
    </row>
    <row r="791" spans="2:10">
      <c r="B791" s="1"/>
      <c r="C791" s="1"/>
      <c r="D791" s="8"/>
      <c r="E791" s="8"/>
      <c r="F791" s="8"/>
      <c r="G791" s="8"/>
      <c r="H791" s="5"/>
      <c r="I791" s="5"/>
      <c r="J791" s="5"/>
    </row>
    <row r="792" spans="2:10">
      <c r="B792" s="1"/>
      <c r="C792" s="1"/>
      <c r="D792" s="8"/>
      <c r="E792" s="8"/>
      <c r="F792" s="8"/>
      <c r="G792" s="8"/>
      <c r="H792" s="5"/>
      <c r="I792" s="5"/>
      <c r="J792" s="5"/>
    </row>
    <row r="793" spans="2:10">
      <c r="B793" s="1"/>
      <c r="C793" s="1"/>
      <c r="D793" s="8"/>
      <c r="E793" s="8"/>
      <c r="F793" s="8"/>
      <c r="G793" s="8"/>
      <c r="H793" s="5"/>
      <c r="I793" s="5"/>
      <c r="J793" s="5"/>
    </row>
    <row r="794" spans="2:10">
      <c r="B794" s="1"/>
      <c r="C794" s="1"/>
      <c r="D794" s="8"/>
      <c r="E794" s="8"/>
      <c r="F794" s="8"/>
      <c r="G794" s="8"/>
      <c r="H794" s="5"/>
      <c r="I794" s="5"/>
      <c r="J794" s="5"/>
    </row>
    <row r="795" spans="2:10">
      <c r="B795" s="1"/>
      <c r="C795" s="1"/>
      <c r="D795" s="8"/>
      <c r="E795" s="8"/>
      <c r="F795" s="8"/>
      <c r="G795" s="8"/>
      <c r="H795" s="5"/>
      <c r="I795" s="5"/>
      <c r="J795" s="5"/>
    </row>
    <row r="796" spans="2:10">
      <c r="B796" s="1"/>
      <c r="C796" s="1"/>
      <c r="D796" s="8"/>
      <c r="E796" s="8"/>
      <c r="F796" s="8"/>
      <c r="G796" s="8"/>
      <c r="H796" s="5"/>
      <c r="I796" s="5"/>
      <c r="J796" s="5"/>
    </row>
    <row r="797" spans="2:10">
      <c r="B797" s="1"/>
      <c r="C797" s="1"/>
      <c r="D797" s="8"/>
      <c r="E797" s="8"/>
      <c r="F797" s="8"/>
      <c r="G797" s="8"/>
      <c r="H797" s="5"/>
      <c r="I797" s="5"/>
      <c r="J797" s="5"/>
    </row>
    <row r="798" spans="2:10">
      <c r="B798" s="1"/>
      <c r="C798" s="1"/>
      <c r="D798" s="8"/>
      <c r="E798" s="8"/>
      <c r="F798" s="8"/>
      <c r="G798" s="8"/>
      <c r="H798" s="5"/>
      <c r="I798" s="5"/>
      <c r="J798" s="5"/>
    </row>
    <row r="799" spans="2:10">
      <c r="B799" s="1"/>
      <c r="C799" s="1"/>
      <c r="D799" s="8"/>
      <c r="E799" s="8"/>
      <c r="F799" s="8"/>
      <c r="G799" s="8"/>
      <c r="H799" s="5"/>
      <c r="I799" s="5"/>
      <c r="J799" s="5"/>
    </row>
    <row r="800" spans="2:10">
      <c r="B800" s="1"/>
      <c r="C800" s="1"/>
      <c r="D800" s="8"/>
      <c r="E800" s="8"/>
      <c r="F800" s="8"/>
      <c r="G800" s="8"/>
      <c r="H800" s="5"/>
      <c r="I800" s="5"/>
      <c r="J800" s="5"/>
    </row>
    <row r="801" spans="2:10">
      <c r="B801" s="1"/>
      <c r="C801" s="1"/>
      <c r="D801" s="8"/>
      <c r="E801" s="8"/>
      <c r="F801" s="8"/>
      <c r="G801" s="8"/>
      <c r="H801" s="5"/>
      <c r="I801" s="5"/>
      <c r="J801" s="5"/>
    </row>
    <row r="802" spans="2:10">
      <c r="B802" s="1"/>
      <c r="C802" s="1"/>
      <c r="D802" s="8"/>
      <c r="E802" s="8"/>
      <c r="F802" s="8"/>
      <c r="G802" s="8"/>
      <c r="H802" s="5"/>
      <c r="I802" s="5"/>
      <c r="J802" s="5"/>
    </row>
    <row r="803" spans="2:10">
      <c r="B803" s="1"/>
      <c r="C803" s="1"/>
      <c r="D803" s="8"/>
      <c r="E803" s="8"/>
      <c r="F803" s="8"/>
      <c r="G803" s="8"/>
      <c r="H803" s="5"/>
      <c r="I803" s="5"/>
      <c r="J803" s="5"/>
    </row>
    <row r="804" spans="2:10">
      <c r="B804" s="1"/>
      <c r="C804" s="1"/>
      <c r="D804" s="8"/>
      <c r="E804" s="8"/>
      <c r="F804" s="8"/>
      <c r="G804" s="8"/>
      <c r="H804" s="5"/>
      <c r="I804" s="5"/>
      <c r="J804" s="5"/>
    </row>
    <row r="805" spans="2:10">
      <c r="B805" s="1"/>
      <c r="C805" s="1"/>
      <c r="D805" s="8"/>
      <c r="E805" s="8"/>
      <c r="F805" s="8"/>
      <c r="G805" s="8"/>
      <c r="H805" s="5"/>
      <c r="I805" s="5"/>
      <c r="J805" s="5"/>
    </row>
    <row r="806" spans="2:10">
      <c r="B806" s="1"/>
      <c r="C806" s="1"/>
      <c r="D806" s="8"/>
      <c r="E806" s="8"/>
      <c r="F806" s="8"/>
      <c r="G806" s="8"/>
      <c r="H806" s="5"/>
      <c r="I806" s="5"/>
      <c r="J806" s="5"/>
    </row>
    <row r="807" spans="2:10">
      <c r="B807" s="1"/>
      <c r="C807" s="1"/>
      <c r="D807" s="8"/>
      <c r="E807" s="8"/>
      <c r="F807" s="8"/>
      <c r="G807" s="8"/>
      <c r="H807" s="5"/>
      <c r="I807" s="5"/>
      <c r="J807" s="5"/>
    </row>
    <row r="808" spans="2:10">
      <c r="B808" s="1"/>
      <c r="C808" s="1"/>
      <c r="D808" s="8"/>
      <c r="E808" s="8"/>
      <c r="F808" s="8"/>
      <c r="G808" s="8"/>
      <c r="H808" s="5"/>
      <c r="I808" s="5"/>
      <c r="J808" s="5"/>
    </row>
    <row r="809" spans="2:10">
      <c r="B809" s="1"/>
      <c r="C809" s="1"/>
      <c r="D809" s="8"/>
      <c r="E809" s="8"/>
      <c r="F809" s="8"/>
      <c r="G809" s="8"/>
      <c r="H809" s="5"/>
      <c r="I809" s="5"/>
      <c r="J809" s="5"/>
    </row>
    <row r="810" spans="2:10">
      <c r="B810" s="1"/>
      <c r="C810" s="1"/>
      <c r="D810" s="8"/>
      <c r="E810" s="8"/>
      <c r="F810" s="8"/>
      <c r="G810" s="8"/>
      <c r="H810" s="5"/>
      <c r="I810" s="5"/>
      <c r="J810" s="5"/>
    </row>
    <row r="811" spans="2:10">
      <c r="B811" s="1"/>
      <c r="C811" s="1"/>
      <c r="D811" s="8"/>
      <c r="E811" s="8"/>
      <c r="F811" s="8"/>
      <c r="G811" s="8"/>
      <c r="H811" s="5"/>
      <c r="I811" s="5"/>
      <c r="J811" s="5"/>
    </row>
    <row r="812" spans="2:10">
      <c r="B812" s="1"/>
      <c r="C812" s="1"/>
      <c r="D812" s="8"/>
      <c r="E812" s="8"/>
      <c r="F812" s="8"/>
      <c r="G812" s="8"/>
      <c r="H812" s="5"/>
      <c r="I812" s="5"/>
      <c r="J812" s="5"/>
    </row>
    <row r="813" spans="2:10">
      <c r="B813" s="1"/>
      <c r="C813" s="1"/>
      <c r="D813" s="8"/>
      <c r="E813" s="8"/>
      <c r="F813" s="8"/>
      <c r="G813" s="8"/>
      <c r="H813" s="5"/>
      <c r="I813" s="5"/>
      <c r="J813" s="5"/>
    </row>
    <row r="814" spans="2:10">
      <c r="B814" s="1"/>
      <c r="C814" s="1"/>
      <c r="D814" s="8"/>
      <c r="E814" s="8"/>
      <c r="F814" s="8"/>
      <c r="G814" s="8"/>
      <c r="H814" s="5"/>
      <c r="I814" s="5"/>
      <c r="J814" s="5"/>
    </row>
    <row r="815" spans="2:10">
      <c r="B815" s="1"/>
      <c r="C815" s="1"/>
      <c r="D815" s="8"/>
      <c r="E815" s="8"/>
      <c r="F815" s="8"/>
      <c r="G815" s="8"/>
      <c r="H815" s="5"/>
      <c r="I815" s="5"/>
      <c r="J815" s="5"/>
    </row>
    <row r="816" spans="2:10">
      <c r="B816" s="1"/>
      <c r="C816" s="1"/>
      <c r="D816" s="8"/>
      <c r="E816" s="8"/>
      <c r="F816" s="8"/>
      <c r="G816" s="8"/>
      <c r="H816" s="5"/>
      <c r="I816" s="5"/>
      <c r="J816" s="5"/>
    </row>
    <row r="817" spans="2:10">
      <c r="B817" s="1"/>
      <c r="C817" s="1"/>
      <c r="D817" s="8"/>
      <c r="E817" s="8"/>
      <c r="F817" s="8"/>
      <c r="G817" s="8"/>
      <c r="H817" s="5"/>
      <c r="I817" s="5"/>
      <c r="J817" s="5"/>
    </row>
    <row r="818" spans="2:10">
      <c r="B818" s="1"/>
      <c r="C818" s="1"/>
      <c r="D818" s="8"/>
      <c r="E818" s="8"/>
      <c r="F818" s="8"/>
      <c r="G818" s="8"/>
      <c r="H818" s="5"/>
      <c r="I818" s="5"/>
      <c r="J818" s="5"/>
    </row>
    <row r="819" spans="2:10">
      <c r="B819" s="1"/>
      <c r="C819" s="1"/>
      <c r="D819" s="8"/>
      <c r="E819" s="8"/>
      <c r="F819" s="8"/>
      <c r="G819" s="8"/>
      <c r="H819" s="5"/>
      <c r="I819" s="5"/>
      <c r="J819" s="5"/>
    </row>
    <row r="820" spans="2:10">
      <c r="B820" s="1"/>
      <c r="C820" s="1"/>
      <c r="D820" s="8"/>
      <c r="E820" s="8"/>
      <c r="F820" s="8"/>
      <c r="G820" s="8"/>
      <c r="H820" s="5"/>
      <c r="I820" s="5"/>
      <c r="J820" s="5"/>
    </row>
    <row r="821" spans="2:10">
      <c r="B821" s="1"/>
      <c r="C821" s="1"/>
      <c r="D821" s="8"/>
      <c r="E821" s="8"/>
      <c r="F821" s="8"/>
      <c r="G821" s="8"/>
      <c r="H821" s="5"/>
      <c r="I821" s="5"/>
      <c r="J821" s="5"/>
    </row>
    <row r="822" spans="2:10">
      <c r="B822" s="1"/>
      <c r="C822" s="1"/>
      <c r="D822" s="8"/>
      <c r="E822" s="8"/>
      <c r="F822" s="8"/>
      <c r="G822" s="8"/>
      <c r="H822" s="5"/>
      <c r="I822" s="5"/>
      <c r="J822" s="5"/>
    </row>
    <row r="823" spans="2:10">
      <c r="B823" s="1"/>
      <c r="C823" s="1"/>
      <c r="D823" s="8"/>
      <c r="E823" s="8"/>
      <c r="F823" s="8"/>
      <c r="G823" s="8"/>
      <c r="H823" s="5"/>
      <c r="I823" s="5"/>
      <c r="J823" s="5"/>
    </row>
    <row r="824" spans="2:10">
      <c r="B824" s="1"/>
      <c r="C824" s="1"/>
      <c r="D824" s="8"/>
      <c r="E824" s="8"/>
      <c r="F824" s="8"/>
      <c r="G824" s="8"/>
      <c r="H824" s="5"/>
      <c r="I824" s="5"/>
      <c r="J824" s="5"/>
    </row>
    <row r="825" spans="2:10">
      <c r="B825" s="1"/>
      <c r="C825" s="1"/>
      <c r="D825" s="8"/>
      <c r="E825" s="8"/>
      <c r="F825" s="8"/>
      <c r="G825" s="8"/>
      <c r="H825" s="5"/>
      <c r="I825" s="5"/>
      <c r="J825" s="5"/>
    </row>
    <row r="826" spans="2:10">
      <c r="B826" s="1"/>
      <c r="C826" s="1"/>
      <c r="D826" s="8"/>
      <c r="E826" s="8"/>
      <c r="F826" s="8"/>
      <c r="G826" s="8"/>
      <c r="H826" s="5"/>
      <c r="I826" s="5"/>
      <c r="J826" s="5"/>
    </row>
    <row r="827" spans="2:10">
      <c r="B827" s="1"/>
      <c r="C827" s="1"/>
      <c r="D827" s="8"/>
      <c r="E827" s="8"/>
      <c r="F827" s="8"/>
      <c r="G827" s="8"/>
      <c r="H827" s="5"/>
      <c r="I827" s="5"/>
      <c r="J827" s="5"/>
    </row>
    <row r="828" spans="2:10">
      <c r="B828" s="1"/>
      <c r="C828" s="1"/>
      <c r="D828" s="8"/>
      <c r="E828" s="8"/>
      <c r="F828" s="8"/>
      <c r="G828" s="8"/>
      <c r="H828" s="5"/>
      <c r="I828" s="5"/>
      <c r="J828" s="5"/>
    </row>
    <row r="829" spans="2:10">
      <c r="B829" s="1"/>
      <c r="C829" s="1"/>
      <c r="D829" s="8"/>
      <c r="E829" s="8"/>
      <c r="F829" s="8"/>
      <c r="G829" s="8"/>
      <c r="H829" s="5"/>
      <c r="I829" s="5"/>
      <c r="J829" s="5"/>
    </row>
    <row r="830" spans="2:10">
      <c r="B830" s="1"/>
      <c r="C830" s="1"/>
      <c r="D830" s="8"/>
      <c r="E830" s="8"/>
      <c r="F830" s="8"/>
      <c r="G830" s="8"/>
      <c r="H830" s="5"/>
      <c r="I830" s="5"/>
      <c r="J830" s="5"/>
    </row>
    <row r="831" spans="2:10">
      <c r="B831" s="1"/>
      <c r="C831" s="1"/>
      <c r="D831" s="8"/>
      <c r="E831" s="8"/>
      <c r="F831" s="8"/>
      <c r="G831" s="8"/>
      <c r="H831" s="5"/>
      <c r="I831" s="5"/>
      <c r="J831" s="5"/>
    </row>
    <row r="832" spans="2:10">
      <c r="B832" s="1"/>
      <c r="C832" s="1"/>
      <c r="D832" s="8"/>
      <c r="E832" s="8"/>
      <c r="F832" s="8"/>
      <c r="G832" s="8"/>
      <c r="H832" s="5"/>
      <c r="I832" s="5"/>
      <c r="J832" s="5"/>
    </row>
    <row r="833" spans="2:10">
      <c r="B833" s="1"/>
      <c r="C833" s="1"/>
      <c r="D833" s="8"/>
      <c r="E833" s="8"/>
      <c r="F833" s="8"/>
      <c r="G833" s="8"/>
      <c r="H833" s="5"/>
      <c r="I833" s="5"/>
      <c r="J833" s="5"/>
    </row>
    <row r="834" spans="2:10">
      <c r="B834" s="1"/>
      <c r="C834" s="1"/>
      <c r="D834" s="8"/>
      <c r="E834" s="8"/>
      <c r="F834" s="8"/>
      <c r="G834" s="8"/>
      <c r="H834" s="5"/>
      <c r="I834" s="5"/>
      <c r="J834" s="5"/>
    </row>
    <row r="835" spans="2:10">
      <c r="B835" s="1"/>
      <c r="C835" s="1"/>
      <c r="D835" s="8"/>
      <c r="E835" s="8"/>
      <c r="F835" s="8"/>
      <c r="G835" s="8"/>
      <c r="H835" s="5"/>
      <c r="I835" s="5"/>
      <c r="J835" s="5"/>
    </row>
    <row r="836" spans="2:10">
      <c r="B836" s="1"/>
      <c r="C836" s="1"/>
      <c r="D836" s="8"/>
      <c r="E836" s="8"/>
      <c r="F836" s="8"/>
      <c r="G836" s="8"/>
      <c r="H836" s="5"/>
      <c r="I836" s="5"/>
      <c r="J836" s="5"/>
    </row>
    <row r="837" spans="2:10">
      <c r="B837" s="1"/>
      <c r="C837" s="1"/>
      <c r="D837" s="8"/>
      <c r="E837" s="8"/>
      <c r="F837" s="8"/>
      <c r="G837" s="8"/>
      <c r="H837" s="5"/>
      <c r="I837" s="5"/>
      <c r="J837" s="5"/>
    </row>
    <row r="838" spans="2:10">
      <c r="B838" s="1"/>
      <c r="C838" s="1"/>
      <c r="D838" s="8"/>
      <c r="E838" s="8"/>
      <c r="F838" s="8"/>
      <c r="G838" s="8"/>
      <c r="H838" s="5"/>
      <c r="I838" s="5"/>
      <c r="J838" s="5"/>
    </row>
    <row r="839" spans="2:10">
      <c r="B839" s="1"/>
      <c r="C839" s="1"/>
      <c r="D839" s="8"/>
      <c r="E839" s="8"/>
      <c r="F839" s="8"/>
      <c r="G839" s="8"/>
      <c r="H839" s="5"/>
      <c r="I839" s="5"/>
      <c r="J839" s="5"/>
    </row>
    <row r="840" spans="2:10">
      <c r="B840" s="1"/>
      <c r="C840" s="1"/>
      <c r="D840" s="8"/>
      <c r="E840" s="8"/>
      <c r="F840" s="8"/>
      <c r="G840" s="8"/>
      <c r="H840" s="5"/>
      <c r="I840" s="5"/>
      <c r="J840" s="5"/>
    </row>
    <row r="841" spans="2:10">
      <c r="B841" s="1"/>
      <c r="C841" s="1"/>
      <c r="D841" s="8"/>
      <c r="E841" s="8"/>
      <c r="F841" s="8"/>
      <c r="G841" s="8"/>
      <c r="H841" s="5"/>
      <c r="I841" s="5"/>
      <c r="J841" s="5"/>
    </row>
    <row r="842" spans="2:10">
      <c r="B842" s="1"/>
      <c r="C842" s="1"/>
      <c r="D842" s="8"/>
      <c r="E842" s="8"/>
      <c r="F842" s="8"/>
      <c r="G842" s="8"/>
      <c r="H842" s="5"/>
      <c r="I842" s="5"/>
      <c r="J842" s="5"/>
    </row>
    <row r="843" spans="2:10">
      <c r="B843" s="1"/>
      <c r="C843" s="1"/>
      <c r="D843" s="8"/>
      <c r="E843" s="8"/>
      <c r="F843" s="8"/>
      <c r="G843" s="8"/>
      <c r="H843" s="5"/>
      <c r="I843" s="5"/>
      <c r="J843" s="5"/>
    </row>
    <row r="844" spans="2:10">
      <c r="B844" s="1"/>
      <c r="C844" s="1"/>
      <c r="D844" s="8"/>
      <c r="E844" s="8"/>
      <c r="F844" s="8"/>
      <c r="G844" s="8"/>
      <c r="H844" s="5"/>
      <c r="I844" s="5"/>
      <c r="J844" s="5"/>
    </row>
    <row r="845" spans="2:10">
      <c r="B845" s="1"/>
      <c r="C845" s="1"/>
      <c r="D845" s="8"/>
      <c r="E845" s="8"/>
      <c r="F845" s="8"/>
      <c r="G845" s="8"/>
      <c r="H845" s="5"/>
      <c r="I845" s="5"/>
      <c r="J845" s="5"/>
    </row>
    <row r="846" spans="2:10">
      <c r="B846" s="1"/>
      <c r="C846" s="1"/>
      <c r="D846" s="8"/>
      <c r="E846" s="8"/>
      <c r="F846" s="8"/>
      <c r="G846" s="8"/>
      <c r="H846" s="5"/>
      <c r="I846" s="5"/>
      <c r="J846" s="5"/>
    </row>
    <row r="847" spans="2:10">
      <c r="B847" s="1"/>
      <c r="C847" s="1"/>
      <c r="D847" s="8"/>
      <c r="E847" s="8"/>
      <c r="F847" s="8"/>
      <c r="G847" s="8"/>
      <c r="H847" s="5"/>
      <c r="I847" s="5"/>
      <c r="J847" s="5"/>
    </row>
    <row r="848" spans="2:10">
      <c r="B848" s="1"/>
      <c r="C848" s="1"/>
      <c r="D848" s="8"/>
      <c r="E848" s="8"/>
      <c r="F848" s="8"/>
      <c r="G848" s="8"/>
      <c r="H848" s="5"/>
      <c r="I848" s="5"/>
      <c r="J848" s="5"/>
    </row>
    <row r="849" spans="2:10">
      <c r="B849" s="1"/>
      <c r="C849" s="1"/>
      <c r="D849" s="8"/>
      <c r="E849" s="8"/>
      <c r="F849" s="8"/>
      <c r="G849" s="8"/>
      <c r="H849" s="5"/>
      <c r="I849" s="5"/>
      <c r="J849" s="5"/>
    </row>
    <row r="850" spans="2:10">
      <c r="B850" s="1"/>
      <c r="C850" s="1"/>
      <c r="D850" s="8"/>
      <c r="E850" s="8"/>
      <c r="F850" s="8"/>
      <c r="G850" s="8"/>
      <c r="H850" s="5"/>
      <c r="I850" s="5"/>
      <c r="J850" s="5"/>
    </row>
    <row r="851" spans="2:10">
      <c r="B851" s="1"/>
      <c r="C851" s="1"/>
      <c r="D851" s="8"/>
      <c r="E851" s="8"/>
      <c r="F851" s="8"/>
      <c r="G851" s="8"/>
      <c r="H851" s="5"/>
      <c r="I851" s="5"/>
      <c r="J851" s="5"/>
    </row>
    <row r="852" spans="2:10">
      <c r="B852" s="1"/>
      <c r="C852" s="1"/>
      <c r="D852" s="8"/>
      <c r="E852" s="8"/>
      <c r="F852" s="8"/>
      <c r="G852" s="8"/>
      <c r="H852" s="5"/>
      <c r="I852" s="5"/>
      <c r="J852" s="5"/>
    </row>
    <row r="853" spans="2:10">
      <c r="B853" s="1"/>
      <c r="C853" s="1"/>
      <c r="D853" s="8"/>
      <c r="E853" s="8"/>
      <c r="F853" s="8"/>
      <c r="G853" s="8"/>
      <c r="H853" s="5"/>
      <c r="I853" s="5"/>
      <c r="J853" s="5"/>
    </row>
    <row r="854" spans="2:10">
      <c r="B854" s="1"/>
      <c r="C854" s="1"/>
      <c r="D854" s="8"/>
      <c r="E854" s="8"/>
      <c r="F854" s="8"/>
      <c r="G854" s="8"/>
      <c r="H854" s="5"/>
      <c r="I854" s="5"/>
      <c r="J854" s="5"/>
    </row>
    <row r="855" spans="2:10">
      <c r="B855" s="1"/>
      <c r="C855" s="1"/>
      <c r="D855" s="8"/>
      <c r="E855" s="8"/>
      <c r="F855" s="8"/>
      <c r="G855" s="8"/>
      <c r="H855" s="5"/>
      <c r="I855" s="5"/>
      <c r="J855" s="5"/>
    </row>
    <row r="856" spans="2:10">
      <c r="B856" s="1"/>
      <c r="C856" s="1"/>
      <c r="D856" s="8"/>
      <c r="E856" s="8"/>
      <c r="F856" s="8"/>
      <c r="G856" s="8"/>
      <c r="H856" s="5"/>
      <c r="I856" s="5"/>
      <c r="J856" s="5"/>
    </row>
    <row r="857" spans="2:10">
      <c r="B857" s="1"/>
      <c r="C857" s="1"/>
      <c r="D857" s="8"/>
      <c r="E857" s="8"/>
      <c r="F857" s="8"/>
      <c r="G857" s="8"/>
      <c r="H857" s="5"/>
      <c r="I857" s="5"/>
      <c r="J857" s="5"/>
    </row>
    <row r="858" spans="2:10">
      <c r="B858" s="1"/>
      <c r="C858" s="1"/>
      <c r="D858" s="8"/>
      <c r="E858" s="8"/>
      <c r="F858" s="8"/>
      <c r="G858" s="8"/>
      <c r="H858" s="5"/>
      <c r="I858" s="5"/>
      <c r="J858" s="5"/>
    </row>
    <row r="859" spans="2:10">
      <c r="B859" s="1"/>
      <c r="C859" s="1"/>
      <c r="D859" s="8"/>
      <c r="E859" s="8"/>
      <c r="F859" s="8"/>
      <c r="G859" s="8"/>
      <c r="H859" s="5"/>
      <c r="I859" s="5"/>
      <c r="J859" s="5"/>
    </row>
    <row r="860" spans="2:10">
      <c r="B860" s="1"/>
      <c r="C860" s="1"/>
      <c r="D860" s="8"/>
      <c r="E860" s="8"/>
      <c r="F860" s="8"/>
      <c r="G860" s="8"/>
      <c r="H860" s="5"/>
      <c r="I860" s="5"/>
      <c r="J860" s="5"/>
    </row>
    <row r="861" spans="2:10">
      <c r="B861" s="1"/>
      <c r="C861" s="1"/>
      <c r="D861" s="8"/>
      <c r="E861" s="8"/>
      <c r="F861" s="8"/>
      <c r="G861" s="8"/>
      <c r="H861" s="5"/>
      <c r="I861" s="5"/>
      <c r="J861" s="5"/>
    </row>
    <row r="862" spans="2:10">
      <c r="B862" s="1"/>
      <c r="C862" s="1"/>
      <c r="D862" s="8"/>
      <c r="E862" s="8"/>
      <c r="F862" s="8"/>
      <c r="G862" s="8"/>
      <c r="H862" s="5"/>
      <c r="I862" s="5"/>
      <c r="J862" s="5"/>
    </row>
    <row r="863" spans="2:10">
      <c r="B863" s="1"/>
      <c r="C863" s="1"/>
      <c r="D863" s="8"/>
      <c r="E863" s="8"/>
      <c r="F863" s="8"/>
      <c r="G863" s="8"/>
      <c r="H863" s="5"/>
      <c r="I863" s="5"/>
      <c r="J863" s="5"/>
    </row>
    <row r="864" spans="2:10">
      <c r="B864" s="1"/>
      <c r="C864" s="1"/>
      <c r="D864" s="8"/>
      <c r="E864" s="8"/>
      <c r="F864" s="8"/>
      <c r="G864" s="8"/>
      <c r="H864" s="5"/>
      <c r="I864" s="5"/>
      <c r="J864" s="5"/>
    </row>
    <row r="865" spans="2:10">
      <c r="B865" s="1"/>
      <c r="C865" s="1"/>
      <c r="D865" s="8"/>
      <c r="E865" s="8"/>
      <c r="F865" s="8"/>
      <c r="G865" s="8"/>
      <c r="H865" s="5"/>
      <c r="I865" s="5"/>
      <c r="J865" s="5"/>
    </row>
    <row r="866" spans="2:10">
      <c r="B866" s="1"/>
      <c r="C866" s="1"/>
      <c r="D866" s="8"/>
      <c r="E866" s="8"/>
      <c r="F866" s="8"/>
      <c r="G866" s="8"/>
      <c r="H866" s="5"/>
      <c r="I866" s="5"/>
      <c r="J866" s="5"/>
    </row>
    <row r="867" spans="2:10">
      <c r="B867" s="1"/>
      <c r="C867" s="1"/>
      <c r="D867" s="8"/>
      <c r="E867" s="8"/>
      <c r="F867" s="8"/>
      <c r="G867" s="8"/>
      <c r="H867" s="5"/>
      <c r="I867" s="5"/>
      <c r="J867" s="5"/>
    </row>
    <row r="868" spans="2:10">
      <c r="B868" s="1"/>
      <c r="C868" s="1"/>
      <c r="D868" s="8"/>
      <c r="E868" s="8"/>
      <c r="F868" s="8"/>
      <c r="G868" s="8"/>
      <c r="H868" s="5"/>
      <c r="I868" s="5"/>
      <c r="J868" s="5"/>
    </row>
    <row r="869" spans="2:10">
      <c r="B869" s="1"/>
      <c r="C869" s="1"/>
      <c r="D869" s="8"/>
      <c r="E869" s="8"/>
      <c r="F869" s="8"/>
      <c r="G869" s="8"/>
      <c r="H869" s="5"/>
      <c r="I869" s="5"/>
      <c r="J869" s="5"/>
    </row>
    <row r="870" spans="2:10">
      <c r="B870" s="1"/>
      <c r="C870" s="1"/>
      <c r="D870" s="8"/>
      <c r="E870" s="8"/>
      <c r="F870" s="8"/>
      <c r="G870" s="8"/>
      <c r="H870" s="5"/>
      <c r="I870" s="5"/>
      <c r="J870" s="5"/>
    </row>
    <row r="871" spans="2:10">
      <c r="B871" s="1"/>
      <c r="C871" s="1"/>
      <c r="D871" s="8"/>
      <c r="E871" s="8"/>
      <c r="F871" s="8"/>
      <c r="G871" s="8"/>
      <c r="H871" s="5"/>
      <c r="I871" s="5"/>
      <c r="J871" s="5"/>
    </row>
    <row r="872" spans="2:10">
      <c r="B872" s="1"/>
      <c r="C872" s="1"/>
      <c r="D872" s="8"/>
      <c r="E872" s="8"/>
      <c r="F872" s="8"/>
      <c r="G872" s="8"/>
      <c r="H872" s="5"/>
      <c r="I872" s="5"/>
      <c r="J872" s="5"/>
    </row>
    <row r="873" spans="2:10">
      <c r="B873" s="1"/>
      <c r="C873" s="1"/>
      <c r="D873" s="8"/>
      <c r="E873" s="8"/>
      <c r="F873" s="8"/>
      <c r="G873" s="8"/>
      <c r="H873" s="5"/>
      <c r="I873" s="5"/>
      <c r="J873" s="5"/>
    </row>
    <row r="874" spans="2:10">
      <c r="B874" s="1"/>
      <c r="C874" s="1"/>
      <c r="D874" s="8"/>
      <c r="E874" s="8"/>
      <c r="F874" s="8"/>
      <c r="G874" s="8"/>
      <c r="H874" s="5"/>
      <c r="I874" s="5"/>
      <c r="J874" s="5"/>
    </row>
    <row r="875" spans="2:10">
      <c r="B875" s="1"/>
      <c r="C875" s="1"/>
      <c r="D875" s="8"/>
      <c r="E875" s="8"/>
      <c r="F875" s="8"/>
      <c r="G875" s="8"/>
      <c r="H875" s="5"/>
      <c r="I875" s="5"/>
      <c r="J875" s="5"/>
    </row>
    <row r="876" spans="2:10">
      <c r="B876" s="1"/>
      <c r="C876" s="1"/>
      <c r="D876" s="8"/>
      <c r="E876" s="8"/>
      <c r="F876" s="8"/>
      <c r="G876" s="8"/>
      <c r="H876" s="5"/>
      <c r="I876" s="5"/>
      <c r="J876" s="5"/>
    </row>
    <row r="877" spans="2:10">
      <c r="B877" s="1"/>
      <c r="C877" s="1"/>
      <c r="D877" s="8"/>
      <c r="E877" s="8"/>
      <c r="F877" s="8"/>
      <c r="G877" s="8"/>
      <c r="H877" s="5"/>
      <c r="I877" s="5"/>
      <c r="J877" s="5"/>
    </row>
    <row r="878" spans="2:10">
      <c r="B878" s="1"/>
      <c r="C878" s="1"/>
      <c r="D878" s="8"/>
      <c r="E878" s="8"/>
      <c r="F878" s="8"/>
      <c r="G878" s="8"/>
      <c r="H878" s="5"/>
      <c r="I878" s="5"/>
      <c r="J878" s="5"/>
    </row>
    <row r="879" spans="2:10">
      <c r="B879" s="1"/>
      <c r="C879" s="1"/>
      <c r="D879" s="8"/>
      <c r="E879" s="8"/>
      <c r="F879" s="8"/>
      <c r="G879" s="8"/>
      <c r="H879" s="5"/>
      <c r="I879" s="5"/>
      <c r="J879" s="5"/>
    </row>
    <row r="880" spans="2:10">
      <c r="B880" s="1"/>
      <c r="C880" s="1"/>
      <c r="D880" s="8"/>
      <c r="E880" s="8"/>
      <c r="F880" s="8"/>
      <c r="G880" s="8"/>
      <c r="H880" s="5"/>
      <c r="I880" s="5"/>
      <c r="J880" s="5"/>
    </row>
    <row r="881" spans="2:10">
      <c r="B881" s="1"/>
      <c r="C881" s="1"/>
      <c r="D881" s="8"/>
      <c r="E881" s="8"/>
      <c r="F881" s="8"/>
      <c r="G881" s="8"/>
      <c r="H881" s="5"/>
      <c r="I881" s="5"/>
      <c r="J881" s="5"/>
    </row>
    <row r="882" spans="2:10">
      <c r="B882" s="1"/>
      <c r="C882" s="1"/>
      <c r="D882" s="8"/>
      <c r="E882" s="8"/>
      <c r="F882" s="8"/>
      <c r="G882" s="8"/>
      <c r="H882" s="5"/>
      <c r="I882" s="5"/>
      <c r="J882" s="5"/>
    </row>
    <row r="883" spans="2:10">
      <c r="B883" s="1"/>
      <c r="C883" s="1"/>
      <c r="D883" s="8"/>
      <c r="E883" s="8"/>
      <c r="F883" s="8"/>
      <c r="G883" s="8"/>
      <c r="H883" s="5"/>
      <c r="I883" s="5"/>
      <c r="J883" s="5"/>
    </row>
    <row r="884" spans="2:10">
      <c r="B884" s="1"/>
      <c r="C884" s="1"/>
      <c r="D884" s="8"/>
      <c r="E884" s="8"/>
      <c r="F884" s="8"/>
      <c r="G884" s="8"/>
      <c r="H884" s="5"/>
      <c r="I884" s="5"/>
      <c r="J884" s="5"/>
    </row>
    <row r="885" spans="2:10">
      <c r="B885" s="1"/>
      <c r="C885" s="1"/>
      <c r="D885" s="8"/>
      <c r="E885" s="8"/>
      <c r="F885" s="8"/>
      <c r="G885" s="8"/>
      <c r="H885" s="5"/>
      <c r="I885" s="5"/>
      <c r="J885" s="5"/>
    </row>
    <row r="886" spans="2:10">
      <c r="B886" s="1"/>
      <c r="C886" s="1"/>
      <c r="D886" s="8"/>
      <c r="E886" s="8"/>
      <c r="F886" s="8"/>
      <c r="G886" s="8"/>
      <c r="H886" s="5"/>
      <c r="I886" s="5"/>
      <c r="J886" s="5"/>
    </row>
    <row r="887" spans="2:10">
      <c r="B887" s="1"/>
      <c r="C887" s="1"/>
      <c r="D887" s="8"/>
      <c r="E887" s="8"/>
      <c r="F887" s="8"/>
      <c r="G887" s="8"/>
      <c r="H887" s="5"/>
      <c r="I887" s="5"/>
      <c r="J887" s="5"/>
    </row>
    <row r="888" spans="2:10">
      <c r="B888" s="1"/>
      <c r="C888" s="1"/>
      <c r="D888" s="8"/>
      <c r="E888" s="8"/>
      <c r="F888" s="8"/>
      <c r="G888" s="8"/>
      <c r="H888" s="5"/>
      <c r="I888" s="5"/>
      <c r="J888" s="5"/>
    </row>
    <row r="889" spans="2:10">
      <c r="B889" s="1"/>
      <c r="C889" s="1"/>
      <c r="D889" s="8"/>
      <c r="E889" s="8"/>
      <c r="F889" s="8"/>
      <c r="G889" s="8"/>
      <c r="H889" s="5"/>
      <c r="I889" s="5"/>
      <c r="J889" s="5"/>
    </row>
    <row r="890" spans="2:10">
      <c r="B890" s="1"/>
      <c r="C890" s="1"/>
      <c r="D890" s="8"/>
      <c r="E890" s="8"/>
      <c r="F890" s="8"/>
      <c r="G890" s="8"/>
      <c r="H890" s="5"/>
      <c r="I890" s="5"/>
      <c r="J890" s="5"/>
    </row>
    <row r="891" spans="2:10">
      <c r="B891" s="1"/>
      <c r="C891" s="1"/>
      <c r="D891" s="8"/>
      <c r="E891" s="8"/>
      <c r="F891" s="8"/>
      <c r="G891" s="8"/>
      <c r="H891" s="5"/>
      <c r="I891" s="5"/>
      <c r="J891" s="5"/>
    </row>
    <row r="892" spans="2:10">
      <c r="B892" s="1"/>
      <c r="C892" s="1"/>
      <c r="D892" s="8"/>
      <c r="E892" s="8"/>
      <c r="F892" s="8"/>
      <c r="G892" s="8"/>
      <c r="H892" s="5"/>
      <c r="I892" s="5"/>
      <c r="J892" s="5"/>
    </row>
    <row r="893" spans="2:10">
      <c r="B893" s="1"/>
      <c r="C893" s="1"/>
      <c r="D893" s="8"/>
      <c r="E893" s="8"/>
      <c r="F893" s="8"/>
      <c r="G893" s="8"/>
      <c r="H893" s="5"/>
      <c r="I893" s="5"/>
      <c r="J893" s="5"/>
    </row>
    <row r="894" spans="2:10">
      <c r="B894" s="1"/>
      <c r="C894" s="1"/>
      <c r="D894" s="8"/>
      <c r="E894" s="8"/>
      <c r="F894" s="8"/>
      <c r="G894" s="8"/>
      <c r="H894" s="5"/>
      <c r="I894" s="5"/>
      <c r="J894" s="5"/>
    </row>
    <row r="895" spans="2:10">
      <c r="B895" s="1"/>
      <c r="C895" s="1"/>
      <c r="D895" s="8"/>
      <c r="E895" s="8"/>
      <c r="F895" s="8"/>
      <c r="G895" s="8"/>
      <c r="H895" s="5"/>
      <c r="I895" s="5"/>
      <c r="J895" s="5"/>
    </row>
    <row r="896" spans="2:10">
      <c r="B896" s="1"/>
      <c r="C896" s="1"/>
      <c r="D896" s="8"/>
      <c r="E896" s="8"/>
      <c r="F896" s="8"/>
      <c r="G896" s="8"/>
      <c r="H896" s="5"/>
      <c r="I896" s="5"/>
      <c r="J896" s="5"/>
    </row>
    <row r="897" spans="2:10">
      <c r="B897" s="1"/>
      <c r="C897" s="1"/>
      <c r="D897" s="8"/>
      <c r="E897" s="8"/>
      <c r="F897" s="8"/>
      <c r="G897" s="8"/>
      <c r="H897" s="5"/>
      <c r="I897" s="5"/>
      <c r="J897" s="5"/>
    </row>
    <row r="898" spans="2:10">
      <c r="B898" s="1"/>
      <c r="C898" s="1"/>
      <c r="D898" s="8"/>
      <c r="E898" s="8"/>
      <c r="F898" s="8"/>
      <c r="G898" s="8"/>
      <c r="H898" s="5"/>
      <c r="I898" s="5"/>
      <c r="J898" s="5"/>
    </row>
    <row r="899" spans="2:10">
      <c r="B899" s="1"/>
      <c r="C899" s="1"/>
      <c r="D899" s="8"/>
      <c r="E899" s="8"/>
      <c r="F899" s="8"/>
      <c r="G899" s="8"/>
      <c r="H899" s="5"/>
      <c r="I899" s="5"/>
      <c r="J899" s="5"/>
    </row>
    <row r="900" spans="2:10">
      <c r="B900" s="1"/>
      <c r="C900" s="1"/>
      <c r="D900" s="8"/>
      <c r="E900" s="8"/>
      <c r="F900" s="8"/>
      <c r="G900" s="8"/>
      <c r="H900" s="5"/>
      <c r="I900" s="5"/>
      <c r="J900" s="5"/>
    </row>
    <row r="901" spans="2:10">
      <c r="B901" s="1"/>
      <c r="C901" s="1"/>
      <c r="D901" s="8"/>
      <c r="E901" s="8"/>
      <c r="F901" s="8"/>
      <c r="G901" s="8"/>
      <c r="H901" s="5"/>
      <c r="I901" s="5"/>
      <c r="J901" s="5"/>
    </row>
    <row r="902" spans="2:10">
      <c r="B902" s="1"/>
      <c r="C902" s="1"/>
      <c r="D902" s="8"/>
      <c r="E902" s="8"/>
      <c r="F902" s="8"/>
      <c r="G902" s="8"/>
      <c r="H902" s="5"/>
      <c r="I902" s="5"/>
      <c r="J902" s="5"/>
    </row>
    <row r="903" spans="2:10">
      <c r="B903" s="1"/>
      <c r="C903" s="1"/>
      <c r="D903" s="8"/>
      <c r="E903" s="8"/>
      <c r="F903" s="8"/>
      <c r="G903" s="8"/>
      <c r="H903" s="5"/>
      <c r="I903" s="5"/>
      <c r="J903" s="5"/>
    </row>
    <row r="904" spans="2:10">
      <c r="B904" s="1"/>
      <c r="C904" s="1"/>
      <c r="D904" s="8"/>
      <c r="E904" s="8"/>
      <c r="F904" s="8"/>
      <c r="G904" s="8"/>
      <c r="H904" s="5"/>
      <c r="I904" s="5"/>
      <c r="J904" s="5"/>
    </row>
    <row r="905" spans="2:10">
      <c r="B905" s="1"/>
      <c r="C905" s="1"/>
      <c r="D905" s="8"/>
      <c r="E905" s="8"/>
      <c r="F905" s="8"/>
      <c r="G905" s="8"/>
      <c r="H905" s="5"/>
      <c r="I905" s="5"/>
      <c r="J905" s="5"/>
    </row>
    <row r="906" spans="2:10">
      <c r="B906" s="1"/>
      <c r="C906" s="1"/>
      <c r="D906" s="8"/>
      <c r="E906" s="8"/>
      <c r="F906" s="8"/>
      <c r="G906" s="8"/>
      <c r="H906" s="5"/>
      <c r="I906" s="5"/>
      <c r="J906" s="5"/>
    </row>
    <row r="907" spans="2:10">
      <c r="B907" s="1"/>
      <c r="C907" s="1"/>
      <c r="D907" s="8"/>
      <c r="E907" s="8"/>
      <c r="F907" s="8"/>
      <c r="G907" s="8"/>
      <c r="H907" s="5"/>
      <c r="I907" s="5"/>
      <c r="J907" s="5"/>
    </row>
    <row r="908" spans="2:10">
      <c r="B908" s="1"/>
      <c r="C908" s="1"/>
      <c r="D908" s="8"/>
      <c r="E908" s="8"/>
      <c r="F908" s="8"/>
      <c r="G908" s="8"/>
      <c r="H908" s="5"/>
      <c r="I908" s="5"/>
      <c r="J908" s="5"/>
    </row>
    <row r="909" spans="2:10">
      <c r="B909" s="1"/>
      <c r="C909" s="1"/>
      <c r="D909" s="8"/>
      <c r="E909" s="8"/>
      <c r="F909" s="8"/>
      <c r="G909" s="8"/>
      <c r="H909" s="5"/>
      <c r="I909" s="5"/>
      <c r="J909" s="5"/>
    </row>
    <row r="910" spans="2:10">
      <c r="B910" s="1"/>
      <c r="C910" s="1"/>
      <c r="D910" s="8"/>
      <c r="E910" s="8"/>
      <c r="F910" s="8"/>
      <c r="G910" s="8"/>
      <c r="H910" s="5"/>
      <c r="I910" s="5"/>
      <c r="J910" s="5"/>
    </row>
    <row r="911" spans="2:10">
      <c r="B911" s="1"/>
      <c r="C911" s="1"/>
      <c r="D911" s="8"/>
      <c r="E911" s="8"/>
      <c r="F911" s="8"/>
      <c r="G911" s="8"/>
      <c r="H911" s="5"/>
      <c r="I911" s="5"/>
      <c r="J911" s="5"/>
    </row>
    <row r="912" spans="2:10">
      <c r="B912" s="1"/>
      <c r="C912" s="1"/>
      <c r="D912" s="8"/>
      <c r="E912" s="8"/>
      <c r="F912" s="8"/>
      <c r="G912" s="8"/>
      <c r="H912" s="5"/>
      <c r="I912" s="5"/>
      <c r="J912" s="5"/>
    </row>
    <row r="913" spans="2:10">
      <c r="B913" s="1"/>
      <c r="C913" s="1"/>
      <c r="D913" s="8"/>
      <c r="E913" s="8"/>
      <c r="F913" s="8"/>
      <c r="G913" s="8"/>
      <c r="H913" s="5"/>
      <c r="I913" s="5"/>
      <c r="J913" s="5"/>
    </row>
    <row r="914" spans="2:10">
      <c r="B914" s="1"/>
      <c r="C914" s="1"/>
      <c r="D914" s="8"/>
      <c r="E914" s="8"/>
      <c r="F914" s="8"/>
      <c r="G914" s="8"/>
      <c r="H914" s="5"/>
      <c r="I914" s="5"/>
      <c r="J914" s="5"/>
    </row>
    <row r="915" spans="2:10">
      <c r="B915" s="1"/>
      <c r="C915" s="1"/>
      <c r="D915" s="8"/>
      <c r="E915" s="8"/>
      <c r="F915" s="8"/>
      <c r="G915" s="8"/>
      <c r="H915" s="5"/>
      <c r="I915" s="5"/>
      <c r="J915" s="5"/>
    </row>
    <row r="916" spans="2:10">
      <c r="B916" s="1"/>
      <c r="C916" s="1"/>
      <c r="D916" s="8"/>
      <c r="E916" s="8"/>
      <c r="F916" s="8"/>
      <c r="G916" s="8"/>
      <c r="H916" s="5"/>
      <c r="I916" s="5"/>
      <c r="J916" s="5"/>
    </row>
    <row r="917" spans="2:10">
      <c r="B917" s="1"/>
      <c r="C917" s="1"/>
      <c r="D917" s="8"/>
      <c r="E917" s="8"/>
      <c r="F917" s="8"/>
      <c r="G917" s="8"/>
      <c r="H917" s="5"/>
      <c r="I917" s="5"/>
      <c r="J917" s="5"/>
    </row>
    <row r="918" spans="2:10">
      <c r="B918" s="1"/>
      <c r="C918" s="1"/>
      <c r="D918" s="8"/>
      <c r="E918" s="8"/>
      <c r="F918" s="8"/>
      <c r="G918" s="8"/>
      <c r="H918" s="5"/>
      <c r="I918" s="5"/>
      <c r="J918" s="5"/>
    </row>
    <row r="919" spans="2:10">
      <c r="B919" s="1"/>
      <c r="C919" s="1"/>
      <c r="D919" s="8"/>
      <c r="E919" s="8"/>
      <c r="F919" s="8"/>
      <c r="G919" s="8"/>
      <c r="H919" s="5"/>
      <c r="I919" s="5"/>
      <c r="J919" s="5"/>
    </row>
    <row r="920" spans="2:10">
      <c r="B920" s="1"/>
      <c r="C920" s="1"/>
      <c r="D920" s="8"/>
      <c r="E920" s="8"/>
      <c r="F920" s="8"/>
      <c r="G920" s="8"/>
      <c r="H920" s="5"/>
      <c r="I920" s="5"/>
      <c r="J920" s="5"/>
    </row>
    <row r="921" spans="2:10">
      <c r="B921" s="1"/>
      <c r="C921" s="1"/>
      <c r="D921" s="8"/>
      <c r="E921" s="8"/>
      <c r="F921" s="8"/>
      <c r="G921" s="8"/>
      <c r="H921" s="5"/>
      <c r="I921" s="5"/>
      <c r="J921" s="5"/>
    </row>
    <row r="922" spans="2:10">
      <c r="B922" s="1"/>
      <c r="C922" s="1"/>
      <c r="D922" s="8"/>
      <c r="E922" s="8"/>
      <c r="F922" s="8"/>
      <c r="G922" s="8"/>
      <c r="H922" s="5"/>
      <c r="I922" s="5"/>
      <c r="J922" s="5"/>
    </row>
    <row r="923" spans="2:10">
      <c r="B923" s="1"/>
      <c r="C923" s="1"/>
      <c r="D923" s="8"/>
      <c r="E923" s="8"/>
      <c r="F923" s="8"/>
      <c r="G923" s="8"/>
      <c r="H923" s="5"/>
      <c r="I923" s="5"/>
      <c r="J923" s="5"/>
    </row>
    <row r="924" spans="2:10">
      <c r="B924" s="1"/>
      <c r="C924" s="1"/>
      <c r="D924" s="8"/>
      <c r="E924" s="8"/>
      <c r="F924" s="8"/>
      <c r="G924" s="8"/>
      <c r="H924" s="5"/>
      <c r="I924" s="5"/>
      <c r="J924" s="5"/>
    </row>
    <row r="925" spans="2:10">
      <c r="B925" s="1"/>
      <c r="C925" s="1"/>
      <c r="D925" s="8"/>
      <c r="E925" s="8"/>
      <c r="F925" s="8"/>
      <c r="G925" s="8"/>
      <c r="H925" s="5"/>
      <c r="I925" s="5"/>
      <c r="J925" s="5"/>
    </row>
    <row r="926" spans="2:10">
      <c r="B926" s="1"/>
      <c r="C926" s="1"/>
      <c r="D926" s="8"/>
      <c r="E926" s="8"/>
      <c r="F926" s="8"/>
      <c r="G926" s="8"/>
      <c r="H926" s="5"/>
      <c r="I926" s="5"/>
      <c r="J926" s="5"/>
    </row>
    <row r="927" spans="2:10">
      <c r="B927" s="1"/>
      <c r="C927" s="1"/>
      <c r="D927" s="8"/>
      <c r="E927" s="8"/>
      <c r="F927" s="8"/>
      <c r="G927" s="8"/>
      <c r="H927" s="5"/>
      <c r="I927" s="5"/>
      <c r="J927" s="5"/>
    </row>
    <row r="928" spans="2:10">
      <c r="B928" s="1"/>
      <c r="C928" s="1"/>
      <c r="D928" s="8"/>
      <c r="E928" s="8"/>
      <c r="F928" s="8"/>
      <c r="G928" s="8"/>
      <c r="H928" s="5"/>
      <c r="I928" s="5"/>
      <c r="J928" s="5"/>
    </row>
    <row r="929" spans="2:10">
      <c r="B929" s="1"/>
      <c r="C929" s="1"/>
      <c r="D929" s="8"/>
      <c r="E929" s="8"/>
      <c r="F929" s="8"/>
      <c r="G929" s="8"/>
      <c r="H929" s="5"/>
      <c r="I929" s="5"/>
      <c r="J929" s="5"/>
    </row>
    <row r="930" spans="2:10">
      <c r="B930" s="1"/>
      <c r="C930" s="1"/>
      <c r="D930" s="8"/>
      <c r="E930" s="8"/>
      <c r="F930" s="8"/>
      <c r="G930" s="8"/>
      <c r="H930" s="5"/>
      <c r="I930" s="5"/>
      <c r="J930" s="5"/>
    </row>
    <row r="931" spans="2:10">
      <c r="B931" s="1"/>
      <c r="C931" s="1"/>
      <c r="D931" s="8"/>
      <c r="E931" s="8"/>
      <c r="F931" s="8"/>
      <c r="G931" s="8"/>
      <c r="H931" s="5"/>
      <c r="I931" s="5"/>
      <c r="J931" s="5"/>
    </row>
    <row r="932" spans="2:10">
      <c r="B932" s="1"/>
      <c r="C932" s="1"/>
      <c r="D932" s="8"/>
      <c r="E932" s="8"/>
      <c r="F932" s="8"/>
      <c r="G932" s="8"/>
      <c r="H932" s="5"/>
      <c r="I932" s="5"/>
      <c r="J932" s="5"/>
    </row>
    <row r="933" spans="2:10">
      <c r="B933" s="1"/>
      <c r="C933" s="1"/>
      <c r="D933" s="8"/>
      <c r="E933" s="8"/>
      <c r="F933" s="8"/>
      <c r="G933" s="8"/>
      <c r="H933" s="5"/>
      <c r="I933" s="5"/>
      <c r="J933" s="5"/>
    </row>
    <row r="934" spans="2:10">
      <c r="B934" s="1"/>
      <c r="C934" s="1"/>
      <c r="D934" s="8"/>
      <c r="E934" s="8"/>
      <c r="F934" s="8"/>
      <c r="G934" s="8"/>
      <c r="H934" s="5"/>
      <c r="I934" s="5"/>
      <c r="J934" s="5"/>
    </row>
    <row r="935" spans="2:10">
      <c r="B935" s="1"/>
      <c r="C935" s="1"/>
      <c r="D935" s="8"/>
      <c r="E935" s="8"/>
      <c r="F935" s="8"/>
      <c r="G935" s="8"/>
      <c r="H935" s="5"/>
      <c r="I935" s="5"/>
      <c r="J935" s="5"/>
    </row>
    <row r="936" spans="2:10">
      <c r="B936" s="1"/>
      <c r="C936" s="1"/>
      <c r="D936" s="8"/>
      <c r="E936" s="8"/>
      <c r="F936" s="8"/>
      <c r="G936" s="8"/>
      <c r="H936" s="5"/>
      <c r="I936" s="5"/>
      <c r="J936" s="5"/>
    </row>
    <row r="937" spans="2:10">
      <c r="B937" s="1"/>
      <c r="C937" s="1"/>
      <c r="D937" s="8"/>
      <c r="E937" s="8"/>
      <c r="F937" s="8"/>
      <c r="G937" s="8"/>
      <c r="H937" s="5"/>
      <c r="I937" s="5"/>
      <c r="J937" s="5"/>
    </row>
    <row r="938" spans="2:10">
      <c r="B938" s="1"/>
      <c r="C938" s="1"/>
      <c r="D938" s="8"/>
      <c r="E938" s="8"/>
      <c r="F938" s="8"/>
      <c r="G938" s="8"/>
      <c r="H938" s="5"/>
      <c r="I938" s="5"/>
      <c r="J938" s="5"/>
    </row>
    <row r="939" spans="2:10">
      <c r="B939" s="1"/>
      <c r="C939" s="1"/>
      <c r="D939" s="8"/>
      <c r="E939" s="8"/>
      <c r="F939" s="8"/>
      <c r="G939" s="8"/>
      <c r="H939" s="5"/>
      <c r="I939" s="5"/>
      <c r="J939" s="5"/>
    </row>
    <row r="940" spans="2:10">
      <c r="B940" s="1"/>
      <c r="C940" s="1"/>
      <c r="D940" s="8"/>
      <c r="E940" s="8"/>
      <c r="F940" s="8"/>
      <c r="G940" s="8"/>
      <c r="H940" s="5"/>
      <c r="I940" s="5"/>
      <c r="J940" s="5"/>
    </row>
    <row r="941" spans="2:10">
      <c r="B941" s="1"/>
      <c r="C941" s="1"/>
      <c r="D941" s="8"/>
      <c r="E941" s="8"/>
      <c r="F941" s="8"/>
      <c r="G941" s="8"/>
      <c r="H941" s="5"/>
      <c r="I941" s="5"/>
      <c r="J941" s="5"/>
    </row>
    <row r="942" spans="2:10">
      <c r="B942" s="1"/>
      <c r="C942" s="1"/>
      <c r="D942" s="8"/>
      <c r="E942" s="8"/>
      <c r="F942" s="8"/>
      <c r="G942" s="8"/>
      <c r="H942" s="5"/>
      <c r="I942" s="5"/>
      <c r="J942" s="5"/>
    </row>
    <row r="943" spans="2:10">
      <c r="B943" s="1"/>
      <c r="C943" s="1"/>
      <c r="D943" s="8"/>
      <c r="E943" s="8"/>
      <c r="F943" s="8"/>
      <c r="G943" s="8"/>
      <c r="H943" s="5"/>
      <c r="I943" s="5"/>
      <c r="J943" s="5"/>
    </row>
    <row r="944" spans="2:10">
      <c r="B944" s="1"/>
      <c r="C944" s="1"/>
      <c r="D944" s="8"/>
      <c r="E944" s="8"/>
      <c r="F944" s="8"/>
      <c r="G944" s="8"/>
      <c r="H944" s="5"/>
      <c r="I944" s="5"/>
      <c r="J944" s="5"/>
    </row>
    <row r="945" spans="2:10">
      <c r="B945" s="1"/>
      <c r="C945" s="1"/>
      <c r="D945" s="8"/>
      <c r="E945" s="8"/>
      <c r="F945" s="8"/>
      <c r="G945" s="8"/>
      <c r="H945" s="5"/>
      <c r="I945" s="5"/>
      <c r="J945" s="5"/>
    </row>
    <row r="946" spans="2:10">
      <c r="B946" s="1"/>
      <c r="C946" s="1"/>
      <c r="D946" s="8"/>
      <c r="E946" s="8"/>
      <c r="F946" s="8"/>
      <c r="G946" s="8"/>
      <c r="H946" s="5"/>
      <c r="I946" s="5"/>
      <c r="J946" s="5"/>
    </row>
    <row r="947" spans="2:10">
      <c r="B947" s="1"/>
      <c r="C947" s="1"/>
      <c r="D947" s="8"/>
      <c r="E947" s="8"/>
      <c r="F947" s="8"/>
      <c r="G947" s="8"/>
      <c r="H947" s="5"/>
      <c r="I947" s="5"/>
      <c r="J947" s="5"/>
    </row>
    <row r="948" spans="2:10">
      <c r="B948" s="1"/>
      <c r="C948" s="1"/>
      <c r="D948" s="8"/>
      <c r="E948" s="8"/>
      <c r="F948" s="8"/>
      <c r="G948" s="8"/>
      <c r="H948" s="5"/>
      <c r="I948" s="5"/>
      <c r="J948" s="5"/>
    </row>
    <row r="949" spans="2:10">
      <c r="B949" s="1"/>
      <c r="C949" s="1"/>
      <c r="D949" s="8"/>
      <c r="E949" s="8"/>
      <c r="F949" s="8"/>
      <c r="G949" s="8"/>
      <c r="H949" s="5"/>
      <c r="I949" s="5"/>
      <c r="J949" s="5"/>
    </row>
    <row r="950" spans="2:10">
      <c r="B950" s="1"/>
      <c r="C950" s="1"/>
      <c r="D950" s="8"/>
      <c r="E950" s="8"/>
      <c r="F950" s="8"/>
      <c r="G950" s="8"/>
      <c r="H950" s="5"/>
      <c r="I950" s="5"/>
      <c r="J950" s="5"/>
    </row>
    <row r="951" spans="2:10">
      <c r="B951" s="1"/>
      <c r="C951" s="1"/>
      <c r="D951" s="8"/>
      <c r="E951" s="8"/>
      <c r="F951" s="8"/>
      <c r="G951" s="8"/>
      <c r="H951" s="5"/>
      <c r="I951" s="5"/>
      <c r="J951" s="5"/>
    </row>
    <row r="952" spans="2:10">
      <c r="B952" s="1"/>
      <c r="C952" s="1"/>
      <c r="D952" s="8"/>
      <c r="E952" s="8"/>
      <c r="F952" s="8"/>
      <c r="G952" s="8"/>
      <c r="H952" s="5"/>
      <c r="I952" s="5"/>
      <c r="J952" s="5"/>
    </row>
    <row r="953" spans="2:10">
      <c r="B953" s="1"/>
      <c r="C953" s="1"/>
      <c r="D953" s="8"/>
      <c r="E953" s="8"/>
      <c r="F953" s="8"/>
      <c r="G953" s="8"/>
      <c r="H953" s="5"/>
      <c r="I953" s="5"/>
      <c r="J953" s="5"/>
    </row>
    <row r="954" spans="2:10">
      <c r="B954" s="1"/>
      <c r="C954" s="1"/>
      <c r="D954" s="8"/>
      <c r="E954" s="8"/>
      <c r="F954" s="8"/>
      <c r="G954" s="8"/>
      <c r="H954" s="5"/>
      <c r="I954" s="5"/>
      <c r="J954" s="5"/>
    </row>
    <row r="955" spans="2:10">
      <c r="B955" s="1"/>
      <c r="C955" s="1"/>
      <c r="D955" s="8"/>
      <c r="E955" s="8"/>
      <c r="F955" s="8"/>
      <c r="G955" s="8"/>
      <c r="H955" s="5"/>
      <c r="I955" s="5"/>
      <c r="J955" s="5"/>
    </row>
    <row r="956" spans="2:10">
      <c r="B956" s="1"/>
      <c r="C956" s="1"/>
      <c r="D956" s="8"/>
      <c r="E956" s="8"/>
      <c r="F956" s="8"/>
      <c r="G956" s="8"/>
      <c r="H956" s="5"/>
      <c r="I956" s="5"/>
      <c r="J956" s="5"/>
    </row>
    <row r="957" spans="2:10">
      <c r="B957" s="1"/>
      <c r="C957" s="1"/>
      <c r="D957" s="8"/>
      <c r="E957" s="8"/>
      <c r="F957" s="8"/>
      <c r="G957" s="8"/>
      <c r="H957" s="5"/>
      <c r="I957" s="5"/>
      <c r="J957" s="5"/>
    </row>
    <row r="958" spans="2:10">
      <c r="B958" s="1"/>
      <c r="C958" s="1"/>
      <c r="D958" s="8"/>
      <c r="E958" s="8"/>
      <c r="F958" s="8"/>
      <c r="G958" s="8"/>
      <c r="H958" s="5"/>
      <c r="I958" s="5"/>
      <c r="J958" s="5"/>
    </row>
    <row r="959" spans="2:10">
      <c r="B959" s="1"/>
      <c r="C959" s="1"/>
      <c r="D959" s="8"/>
      <c r="E959" s="8"/>
      <c r="F959" s="8"/>
      <c r="G959" s="8"/>
      <c r="H959" s="5"/>
      <c r="I959" s="5"/>
      <c r="J959" s="5"/>
    </row>
    <row r="960" spans="2:10">
      <c r="B960" s="1"/>
      <c r="C960" s="1"/>
      <c r="D960" s="8"/>
      <c r="E960" s="8"/>
      <c r="F960" s="8"/>
      <c r="G960" s="8"/>
      <c r="H960" s="5"/>
      <c r="I960" s="5"/>
      <c r="J960" s="5"/>
    </row>
    <row r="961" spans="2:10">
      <c r="B961" s="1"/>
      <c r="C961" s="1"/>
      <c r="D961" s="8"/>
      <c r="E961" s="8"/>
      <c r="F961" s="8"/>
      <c r="G961" s="8"/>
      <c r="H961" s="5"/>
      <c r="I961" s="5"/>
      <c r="J961" s="5"/>
    </row>
    <row r="962" spans="2:10">
      <c r="B962" s="1"/>
      <c r="C962" s="1"/>
      <c r="D962" s="8"/>
      <c r="E962" s="8"/>
      <c r="F962" s="8"/>
      <c r="G962" s="8"/>
      <c r="H962" s="5"/>
      <c r="I962" s="5"/>
      <c r="J962" s="5"/>
    </row>
    <row r="963" spans="2:10">
      <c r="B963" s="1"/>
      <c r="C963" s="1"/>
      <c r="D963" s="8"/>
      <c r="E963" s="8"/>
      <c r="F963" s="8"/>
      <c r="G963" s="8"/>
      <c r="H963" s="5"/>
      <c r="I963" s="5"/>
      <c r="J963" s="5"/>
    </row>
    <row r="964" spans="2:10">
      <c r="B964" s="1"/>
      <c r="C964" s="1"/>
      <c r="D964" s="8"/>
      <c r="E964" s="8"/>
      <c r="F964" s="8"/>
      <c r="G964" s="8"/>
      <c r="H964" s="5"/>
      <c r="I964" s="5"/>
      <c r="J964" s="5"/>
    </row>
    <row r="965" spans="2:10">
      <c r="B965" s="1"/>
      <c r="C965" s="1"/>
      <c r="D965" s="8"/>
      <c r="E965" s="8"/>
      <c r="F965" s="8"/>
      <c r="G965" s="8"/>
      <c r="H965" s="5"/>
      <c r="I965" s="5"/>
      <c r="J965" s="5"/>
    </row>
    <row r="966" spans="2:10">
      <c r="B966" s="1"/>
      <c r="C966" s="1"/>
      <c r="D966" s="8"/>
      <c r="E966" s="8"/>
      <c r="F966" s="8"/>
      <c r="G966" s="8"/>
      <c r="H966" s="5"/>
      <c r="I966" s="5"/>
      <c r="J966" s="5"/>
    </row>
    <row r="967" spans="2:10">
      <c r="B967" s="1"/>
      <c r="C967" s="1"/>
      <c r="D967" s="8"/>
      <c r="E967" s="8"/>
      <c r="F967" s="8"/>
      <c r="G967" s="8"/>
      <c r="H967" s="5"/>
      <c r="I967" s="5"/>
      <c r="J967" s="5"/>
    </row>
    <row r="968" spans="2:10">
      <c r="B968" s="1"/>
      <c r="C968" s="1"/>
      <c r="D968" s="8"/>
      <c r="E968" s="8"/>
      <c r="F968" s="8"/>
      <c r="G968" s="8"/>
      <c r="H968" s="5"/>
      <c r="I968" s="5"/>
      <c r="J968" s="5"/>
    </row>
    <row r="969" spans="2:10">
      <c r="B969" s="1"/>
      <c r="C969" s="1"/>
      <c r="D969" s="8"/>
      <c r="E969" s="8"/>
      <c r="F969" s="8"/>
      <c r="G969" s="8"/>
      <c r="H969" s="5"/>
      <c r="I969" s="5"/>
      <c r="J969" s="5"/>
    </row>
    <row r="970" spans="2:10">
      <c r="B970" s="1"/>
      <c r="C970" s="1"/>
      <c r="D970" s="8"/>
      <c r="E970" s="8"/>
      <c r="F970" s="8"/>
      <c r="G970" s="8"/>
      <c r="H970" s="5"/>
      <c r="I970" s="5"/>
      <c r="J970" s="5"/>
    </row>
    <row r="971" spans="2:10">
      <c r="B971" s="1"/>
      <c r="C971" s="1"/>
      <c r="D971" s="8"/>
      <c r="E971" s="8"/>
      <c r="F971" s="8"/>
      <c r="G971" s="8"/>
      <c r="H971" s="5"/>
      <c r="I971" s="5"/>
      <c r="J971" s="5"/>
    </row>
    <row r="972" spans="2:10">
      <c r="B972" s="1"/>
      <c r="C972" s="1"/>
      <c r="D972" s="8"/>
      <c r="E972" s="8"/>
      <c r="F972" s="8"/>
      <c r="G972" s="8"/>
      <c r="H972" s="5"/>
      <c r="I972" s="5"/>
      <c r="J972" s="5"/>
    </row>
    <row r="973" spans="2:10">
      <c r="B973" s="1"/>
      <c r="C973" s="1"/>
      <c r="D973" s="8"/>
      <c r="E973" s="8"/>
      <c r="F973" s="8"/>
      <c r="G973" s="8"/>
      <c r="H973" s="5"/>
      <c r="I973" s="5"/>
      <c r="J973" s="5"/>
    </row>
    <row r="974" spans="2:10">
      <c r="B974" s="1"/>
      <c r="C974" s="1"/>
      <c r="D974" s="8"/>
      <c r="E974" s="8"/>
      <c r="F974" s="8"/>
      <c r="G974" s="8"/>
      <c r="H974" s="5"/>
      <c r="I974" s="5"/>
      <c r="J974" s="5"/>
    </row>
    <row r="975" spans="2:10">
      <c r="B975" s="1"/>
      <c r="C975" s="1"/>
      <c r="D975" s="8"/>
      <c r="E975" s="8"/>
      <c r="F975" s="8"/>
      <c r="G975" s="8"/>
      <c r="H975" s="5"/>
      <c r="I975" s="5"/>
      <c r="J975" s="5"/>
    </row>
    <row r="976" spans="2:10">
      <c r="B976" s="1"/>
      <c r="C976" s="1"/>
      <c r="D976" s="8"/>
      <c r="E976" s="8"/>
      <c r="F976" s="8"/>
      <c r="G976" s="8"/>
      <c r="H976" s="5"/>
      <c r="I976" s="5"/>
      <c r="J976" s="5"/>
    </row>
    <row r="977" spans="2:10">
      <c r="B977" s="1"/>
      <c r="C977" s="1"/>
      <c r="D977" s="8"/>
      <c r="E977" s="8"/>
      <c r="F977" s="8"/>
      <c r="G977" s="8"/>
      <c r="H977" s="5"/>
      <c r="I977" s="5"/>
      <c r="J977" s="5"/>
    </row>
    <row r="978" spans="2:10">
      <c r="B978" s="1"/>
      <c r="C978" s="1"/>
      <c r="D978" s="8"/>
      <c r="E978" s="8"/>
      <c r="F978" s="8"/>
      <c r="G978" s="8"/>
      <c r="H978" s="5"/>
      <c r="I978" s="5"/>
      <c r="J978" s="5"/>
    </row>
    <row r="979" spans="2:10">
      <c r="B979" s="1"/>
      <c r="C979" s="1"/>
      <c r="D979" s="8"/>
      <c r="E979" s="8"/>
      <c r="F979" s="8"/>
      <c r="G979" s="8"/>
      <c r="H979" s="5"/>
      <c r="I979" s="5"/>
      <c r="J979" s="5"/>
    </row>
    <row r="980" spans="2:10">
      <c r="B980" s="1"/>
      <c r="C980" s="1"/>
      <c r="D980" s="8"/>
      <c r="E980" s="8"/>
      <c r="F980" s="8"/>
      <c r="G980" s="8"/>
      <c r="H980" s="5"/>
      <c r="I980" s="5"/>
      <c r="J980" s="5"/>
    </row>
    <row r="981" spans="2:10">
      <c r="B981" s="1"/>
      <c r="C981" s="1"/>
      <c r="D981" s="8"/>
      <c r="E981" s="8"/>
      <c r="F981" s="8"/>
      <c r="G981" s="8"/>
      <c r="H981" s="5"/>
      <c r="I981" s="5"/>
      <c r="J981" s="5"/>
    </row>
    <row r="982" spans="2:10">
      <c r="B982" s="1"/>
      <c r="C982" s="1"/>
      <c r="D982" s="8"/>
      <c r="E982" s="8"/>
      <c r="F982" s="8"/>
      <c r="G982" s="8"/>
      <c r="H982" s="5"/>
      <c r="I982" s="5"/>
      <c r="J982" s="5"/>
    </row>
    <row r="983" spans="2:10">
      <c r="B983" s="1"/>
      <c r="C983" s="1"/>
      <c r="D983" s="8"/>
      <c r="E983" s="8"/>
      <c r="F983" s="8"/>
      <c r="G983" s="8"/>
      <c r="H983" s="5"/>
      <c r="I983" s="5"/>
      <c r="J983" s="5"/>
    </row>
    <row r="984" spans="2:10">
      <c r="B984" s="1"/>
      <c r="C984" s="1"/>
      <c r="D984" s="8"/>
      <c r="E984" s="8"/>
      <c r="F984" s="8"/>
      <c r="G984" s="8"/>
      <c r="H984" s="5"/>
      <c r="I984" s="5"/>
      <c r="J984" s="5"/>
    </row>
    <row r="985" spans="2:10">
      <c r="B985" s="1"/>
      <c r="C985" s="1"/>
      <c r="D985" s="8"/>
      <c r="E985" s="8"/>
      <c r="F985" s="8"/>
      <c r="G985" s="8"/>
      <c r="H985" s="5"/>
      <c r="I985" s="5"/>
      <c r="J985" s="5"/>
    </row>
    <row r="986" spans="2:10">
      <c r="B986" s="1"/>
      <c r="C986" s="1"/>
      <c r="D986" s="8"/>
      <c r="E986" s="8"/>
      <c r="F986" s="8"/>
      <c r="G986" s="8"/>
      <c r="H986" s="5"/>
      <c r="I986" s="5"/>
      <c r="J986" s="5"/>
    </row>
    <row r="987" spans="2:10">
      <c r="B987" s="1"/>
      <c r="C987" s="1"/>
      <c r="D987" s="8"/>
      <c r="E987" s="8"/>
      <c r="F987" s="8"/>
      <c r="G987" s="8"/>
      <c r="H987" s="5"/>
      <c r="I987" s="5"/>
      <c r="J987" s="5"/>
    </row>
    <row r="988" spans="2:10">
      <c r="B988" s="1"/>
      <c r="C988" s="1"/>
      <c r="D988" s="8"/>
      <c r="E988" s="8"/>
      <c r="F988" s="8"/>
      <c r="G988" s="8"/>
      <c r="H988" s="5"/>
      <c r="I988" s="5"/>
      <c r="J988" s="5"/>
    </row>
    <row r="989" spans="2:10">
      <c r="B989" s="1"/>
      <c r="C989" s="1"/>
      <c r="D989" s="8"/>
      <c r="E989" s="8"/>
      <c r="F989" s="8"/>
      <c r="G989" s="8"/>
      <c r="H989" s="5"/>
      <c r="I989" s="5"/>
      <c r="J989" s="5"/>
    </row>
    <row r="990" spans="2:10">
      <c r="B990" s="1"/>
      <c r="C990" s="1"/>
      <c r="D990" s="8"/>
      <c r="E990" s="8"/>
      <c r="F990" s="8"/>
      <c r="G990" s="8"/>
      <c r="H990" s="5"/>
      <c r="I990" s="5"/>
      <c r="J990" s="5"/>
    </row>
    <row r="991" spans="2:10">
      <c r="B991" s="1"/>
      <c r="C991" s="1"/>
      <c r="D991" s="8"/>
      <c r="E991" s="8"/>
      <c r="F991" s="8"/>
      <c r="G991" s="8"/>
      <c r="H991" s="5"/>
      <c r="I991" s="5"/>
      <c r="J991" s="5"/>
    </row>
    <row r="992" spans="2:10">
      <c r="B992" s="1"/>
      <c r="C992" s="1"/>
      <c r="D992" s="8"/>
      <c r="E992" s="8"/>
      <c r="F992" s="8"/>
      <c r="G992" s="8"/>
      <c r="H992" s="5"/>
      <c r="I992" s="5"/>
      <c r="J992" s="5"/>
    </row>
    <row r="993" spans="2:10">
      <c r="B993" s="1"/>
      <c r="C993" s="1"/>
      <c r="D993" s="8"/>
      <c r="E993" s="8"/>
      <c r="F993" s="8"/>
      <c r="G993" s="8"/>
      <c r="H993" s="5"/>
      <c r="I993" s="5"/>
      <c r="J993" s="5"/>
    </row>
    <row r="994" spans="2:10">
      <c r="B994" s="1"/>
      <c r="C994" s="1"/>
      <c r="D994" s="8"/>
      <c r="E994" s="8"/>
      <c r="F994" s="8"/>
      <c r="G994" s="8"/>
      <c r="H994" s="5"/>
      <c r="I994" s="5"/>
      <c r="J994" s="5"/>
    </row>
    <row r="995" spans="2:10">
      <c r="B995" s="1"/>
      <c r="C995" s="1"/>
      <c r="D995" s="8"/>
      <c r="E995" s="8"/>
      <c r="F995" s="8"/>
      <c r="G995" s="8"/>
      <c r="H995" s="5"/>
      <c r="I995" s="5"/>
      <c r="J995" s="5"/>
    </row>
    <row r="996" spans="2:10">
      <c r="B996" s="1"/>
      <c r="C996" s="1"/>
      <c r="D996" s="8"/>
      <c r="E996" s="8"/>
      <c r="F996" s="8"/>
      <c r="G996" s="8"/>
      <c r="H996" s="5"/>
      <c r="I996" s="5"/>
      <c r="J996" s="5"/>
    </row>
    <row r="997" spans="2:10">
      <c r="B997" s="1"/>
      <c r="C997" s="1"/>
      <c r="D997" s="8"/>
      <c r="E997" s="8"/>
      <c r="F997" s="8"/>
      <c r="G997" s="8"/>
      <c r="H997" s="5"/>
      <c r="I997" s="5"/>
      <c r="J997" s="5"/>
    </row>
    <row r="998" spans="2:10">
      <c r="B998" s="1"/>
      <c r="C998" s="1"/>
      <c r="D998" s="8"/>
      <c r="E998" s="8"/>
      <c r="F998" s="8"/>
      <c r="G998" s="8"/>
      <c r="H998" s="5"/>
      <c r="I998" s="5"/>
      <c r="J998" s="5"/>
    </row>
    <row r="999" spans="2:10">
      <c r="B999" s="1"/>
      <c r="C999" s="1"/>
      <c r="D999" s="8"/>
      <c r="E999" s="8"/>
      <c r="F999" s="8"/>
      <c r="G999" s="8"/>
      <c r="H999" s="5"/>
      <c r="I999" s="5"/>
      <c r="J999" s="5"/>
    </row>
    <row r="1000" spans="2:10">
      <c r="B1000" s="1"/>
      <c r="C1000" s="1"/>
      <c r="D1000" s="8"/>
      <c r="E1000" s="8"/>
      <c r="F1000" s="8"/>
      <c r="G1000" s="8"/>
      <c r="H1000" s="5"/>
      <c r="I1000" s="5"/>
      <c r="J1000" s="5"/>
    </row>
    <row r="1001" spans="2:10">
      <c r="B1001" s="1"/>
      <c r="C1001" s="1"/>
      <c r="D1001" s="8"/>
      <c r="E1001" s="8"/>
      <c r="F1001" s="8"/>
      <c r="G1001" s="8"/>
      <c r="H1001" s="5"/>
      <c r="I1001" s="5"/>
      <c r="J1001" s="5"/>
    </row>
    <row r="1002" spans="2:10">
      <c r="B1002" s="1"/>
      <c r="C1002" s="1"/>
      <c r="D1002" s="8"/>
      <c r="E1002" s="8"/>
      <c r="F1002" s="8"/>
      <c r="G1002" s="8"/>
      <c r="H1002" s="5"/>
      <c r="I1002" s="5"/>
      <c r="J1002" s="5"/>
    </row>
    <row r="1003" spans="2:10">
      <c r="B1003" s="1"/>
      <c r="C1003" s="1"/>
      <c r="D1003" s="8"/>
      <c r="E1003" s="8"/>
      <c r="F1003" s="8"/>
      <c r="G1003" s="8"/>
      <c r="H1003" s="5"/>
      <c r="I1003" s="5"/>
      <c r="J1003" s="5"/>
    </row>
    <row r="1004" spans="2:10">
      <c r="B1004" s="1"/>
      <c r="C1004" s="1"/>
      <c r="D1004" s="8"/>
      <c r="E1004" s="8"/>
      <c r="F1004" s="8"/>
      <c r="G1004" s="8"/>
      <c r="H1004" s="5"/>
      <c r="I1004" s="5"/>
      <c r="J1004" s="5"/>
    </row>
    <row r="1005" spans="2:10">
      <c r="B1005" s="1"/>
      <c r="C1005" s="1"/>
      <c r="D1005" s="8"/>
      <c r="E1005" s="8"/>
      <c r="F1005" s="8"/>
      <c r="G1005" s="8"/>
      <c r="H1005" s="5"/>
      <c r="I1005" s="5"/>
      <c r="J1005" s="5"/>
    </row>
    <row r="1006" spans="2:10">
      <c r="B1006" s="1"/>
      <c r="C1006" s="1"/>
      <c r="D1006" s="8"/>
      <c r="E1006" s="8"/>
      <c r="F1006" s="8"/>
      <c r="G1006" s="8"/>
      <c r="H1006" s="5"/>
      <c r="I1006" s="5"/>
      <c r="J1006" s="5"/>
    </row>
    <row r="1007" spans="2:10">
      <c r="B1007" s="1"/>
      <c r="C1007" s="1"/>
      <c r="D1007" s="8"/>
      <c r="E1007" s="8"/>
      <c r="F1007" s="8"/>
      <c r="G1007" s="8"/>
      <c r="H1007" s="5"/>
      <c r="I1007" s="5"/>
      <c r="J1007" s="5"/>
    </row>
    <row r="1008" spans="2:10">
      <c r="B1008" s="1"/>
      <c r="C1008" s="1"/>
      <c r="D1008" s="8"/>
      <c r="E1008" s="8"/>
      <c r="F1008" s="8"/>
      <c r="G1008" s="8"/>
      <c r="H1008" s="5"/>
      <c r="I1008" s="5"/>
      <c r="J1008" s="5"/>
    </row>
    <row r="1009" spans="2:10">
      <c r="B1009" s="1"/>
      <c r="C1009" s="1"/>
      <c r="D1009" s="8"/>
      <c r="E1009" s="8"/>
      <c r="F1009" s="8"/>
      <c r="G1009" s="8"/>
      <c r="H1009" s="5"/>
      <c r="I1009" s="5"/>
      <c r="J1009" s="5"/>
    </row>
    <row r="1010" spans="2:10">
      <c r="B1010" s="1"/>
      <c r="C1010" s="1"/>
      <c r="D1010" s="8"/>
      <c r="E1010" s="8"/>
      <c r="F1010" s="8"/>
      <c r="G1010" s="8"/>
      <c r="H1010" s="5"/>
      <c r="I1010" s="5"/>
      <c r="J1010" s="5"/>
    </row>
    <row r="1011" spans="2:10">
      <c r="B1011" s="1"/>
      <c r="C1011" s="1"/>
      <c r="D1011" s="8"/>
      <c r="E1011" s="8"/>
      <c r="F1011" s="8"/>
      <c r="G1011" s="8"/>
      <c r="H1011" s="5"/>
      <c r="I1011" s="5"/>
      <c r="J1011" s="5"/>
    </row>
    <row r="1012" spans="2:10">
      <c r="B1012" s="1"/>
      <c r="C1012" s="1"/>
      <c r="D1012" s="8"/>
      <c r="E1012" s="8"/>
      <c r="F1012" s="8"/>
      <c r="G1012" s="8"/>
      <c r="H1012" s="5"/>
      <c r="I1012" s="5"/>
      <c r="J1012" s="5"/>
    </row>
    <row r="1013" spans="2:10">
      <c r="B1013" s="1"/>
      <c r="C1013" s="1"/>
      <c r="D1013" s="8"/>
      <c r="E1013" s="8"/>
      <c r="F1013" s="8"/>
      <c r="G1013" s="8"/>
      <c r="H1013" s="5"/>
      <c r="I1013" s="5"/>
      <c r="J1013" s="5"/>
    </row>
    <row r="1014" spans="2:10">
      <c r="B1014" s="1"/>
      <c r="C1014" s="1"/>
      <c r="D1014" s="8"/>
      <c r="E1014" s="8"/>
      <c r="F1014" s="8"/>
      <c r="G1014" s="8"/>
      <c r="H1014" s="5"/>
      <c r="I1014" s="5"/>
      <c r="J1014" s="5"/>
    </row>
    <row r="1015" spans="2:10">
      <c r="B1015" s="1"/>
      <c r="C1015" s="1"/>
      <c r="D1015" s="8"/>
      <c r="E1015" s="8"/>
      <c r="F1015" s="8"/>
      <c r="G1015" s="8"/>
      <c r="H1015" s="5"/>
      <c r="I1015" s="5"/>
      <c r="J1015" s="5"/>
    </row>
    <row r="1016" spans="2:10">
      <c r="B1016" s="1"/>
      <c r="C1016" s="1"/>
      <c r="D1016" s="8"/>
      <c r="E1016" s="8"/>
      <c r="F1016" s="8"/>
      <c r="G1016" s="8"/>
      <c r="H1016" s="5"/>
      <c r="I1016" s="5"/>
      <c r="J1016" s="5"/>
    </row>
    <row r="1017" spans="2:10">
      <c r="B1017" s="1"/>
      <c r="C1017" s="1"/>
      <c r="D1017" s="8"/>
      <c r="E1017" s="8"/>
      <c r="F1017" s="8"/>
      <c r="G1017" s="8"/>
      <c r="H1017" s="5"/>
      <c r="I1017" s="5"/>
      <c r="J1017" s="5"/>
    </row>
    <row r="1018" spans="2:10">
      <c r="B1018" s="1"/>
      <c r="C1018" s="1"/>
      <c r="D1018" s="8"/>
      <c r="E1018" s="8"/>
      <c r="F1018" s="8"/>
      <c r="G1018" s="8"/>
      <c r="H1018" s="5"/>
      <c r="I1018" s="5"/>
      <c r="J1018" s="5"/>
    </row>
    <row r="1019" spans="2:10">
      <c r="B1019" s="1"/>
      <c r="C1019" s="1"/>
      <c r="D1019" s="8"/>
      <c r="E1019" s="8"/>
      <c r="F1019" s="8"/>
      <c r="G1019" s="8"/>
      <c r="H1019" s="5"/>
      <c r="I1019" s="5"/>
      <c r="J1019" s="5"/>
    </row>
    <row r="1020" spans="2:10">
      <c r="B1020" s="1"/>
      <c r="C1020" s="1"/>
      <c r="D1020" s="8"/>
      <c r="E1020" s="8"/>
      <c r="F1020" s="8"/>
      <c r="G1020" s="8"/>
      <c r="H1020" s="5"/>
      <c r="I1020" s="5"/>
      <c r="J1020" s="5"/>
    </row>
    <row r="1021" spans="2:10">
      <c r="B1021" s="1"/>
      <c r="C1021" s="1"/>
      <c r="D1021" s="8"/>
      <c r="E1021" s="8"/>
      <c r="F1021" s="8"/>
      <c r="G1021" s="8"/>
      <c r="H1021" s="5"/>
      <c r="I1021" s="5"/>
      <c r="J1021" s="5"/>
    </row>
    <row r="1022" spans="2:10">
      <c r="B1022" s="1"/>
      <c r="C1022" s="1"/>
      <c r="D1022" s="8"/>
      <c r="E1022" s="8"/>
      <c r="F1022" s="8"/>
      <c r="G1022" s="8"/>
      <c r="H1022" s="5"/>
      <c r="I1022" s="5"/>
      <c r="J1022" s="5"/>
    </row>
    <row r="1023" spans="2:10">
      <c r="B1023" s="1"/>
      <c r="C1023" s="1"/>
      <c r="D1023" s="8"/>
      <c r="E1023" s="8"/>
      <c r="F1023" s="8"/>
      <c r="G1023" s="8"/>
      <c r="H1023" s="5"/>
      <c r="I1023" s="5"/>
      <c r="J1023" s="5"/>
    </row>
    <row r="1024" spans="2:10">
      <c r="B1024" s="1"/>
      <c r="C1024" s="1"/>
      <c r="D1024" s="8"/>
      <c r="E1024" s="8"/>
      <c r="F1024" s="8"/>
      <c r="G1024" s="8"/>
      <c r="H1024" s="5"/>
      <c r="I1024" s="5"/>
      <c r="J1024" s="5"/>
    </row>
    <row r="1025" spans="2:10">
      <c r="B1025" s="1"/>
      <c r="C1025" s="1"/>
      <c r="D1025" s="8"/>
      <c r="E1025" s="8"/>
      <c r="F1025" s="8"/>
      <c r="G1025" s="8"/>
      <c r="H1025" s="5"/>
      <c r="I1025" s="5"/>
      <c r="J1025" s="5"/>
    </row>
    <row r="1026" spans="2:10">
      <c r="B1026" s="1"/>
      <c r="C1026" s="1"/>
      <c r="D1026" s="8"/>
      <c r="E1026" s="8"/>
      <c r="F1026" s="8"/>
      <c r="G1026" s="8"/>
      <c r="H1026" s="5"/>
      <c r="I1026" s="5"/>
      <c r="J1026" s="5"/>
    </row>
    <row r="1027" spans="2:10">
      <c r="B1027" s="1"/>
      <c r="C1027" s="1"/>
      <c r="D1027" s="8"/>
      <c r="E1027" s="8"/>
      <c r="F1027" s="8"/>
      <c r="G1027" s="8"/>
      <c r="H1027" s="5"/>
      <c r="I1027" s="5"/>
      <c r="J1027" s="5"/>
    </row>
    <row r="1028" spans="2:10">
      <c r="B1028" s="1"/>
      <c r="C1028" s="1"/>
      <c r="D1028" s="8"/>
      <c r="E1028" s="8"/>
      <c r="F1028" s="8"/>
      <c r="G1028" s="8"/>
      <c r="H1028" s="5"/>
      <c r="I1028" s="5"/>
      <c r="J1028" s="5"/>
    </row>
    <row r="1029" spans="2:10">
      <c r="B1029" s="1"/>
      <c r="C1029" s="1"/>
      <c r="D1029" s="8"/>
      <c r="E1029" s="8"/>
      <c r="F1029" s="8"/>
      <c r="G1029" s="8"/>
      <c r="H1029" s="5"/>
      <c r="I1029" s="5"/>
      <c r="J1029" s="5"/>
    </row>
    <row r="1030" spans="2:10">
      <c r="B1030" s="1"/>
      <c r="C1030" s="1"/>
      <c r="D1030" s="8"/>
      <c r="E1030" s="8"/>
      <c r="F1030" s="8"/>
      <c r="G1030" s="8"/>
      <c r="H1030" s="5"/>
      <c r="I1030" s="5"/>
      <c r="J1030" s="5"/>
    </row>
    <row r="1031" spans="2:10">
      <c r="B1031" s="1"/>
      <c r="C1031" s="1"/>
      <c r="D1031" s="8"/>
      <c r="E1031" s="8"/>
      <c r="F1031" s="8"/>
      <c r="G1031" s="8"/>
      <c r="H1031" s="5"/>
      <c r="I1031" s="5"/>
      <c r="J1031" s="5"/>
    </row>
    <row r="1032" spans="2:10">
      <c r="B1032" s="1"/>
      <c r="C1032" s="1"/>
      <c r="D1032" s="8"/>
      <c r="E1032" s="8"/>
      <c r="F1032" s="8"/>
      <c r="G1032" s="8"/>
      <c r="H1032" s="5"/>
      <c r="I1032" s="5"/>
      <c r="J1032" s="5"/>
    </row>
    <row r="1033" spans="2:10">
      <c r="B1033" s="1"/>
      <c r="C1033" s="1"/>
      <c r="D1033" s="8"/>
      <c r="E1033" s="8"/>
      <c r="F1033" s="8"/>
      <c r="G1033" s="8"/>
      <c r="H1033" s="5"/>
      <c r="I1033" s="5"/>
      <c r="J1033" s="5"/>
    </row>
    <row r="1034" spans="2:10">
      <c r="B1034" s="1"/>
      <c r="C1034" s="1"/>
      <c r="D1034" s="8"/>
      <c r="E1034" s="8"/>
      <c r="F1034" s="8"/>
      <c r="G1034" s="8"/>
      <c r="H1034" s="5"/>
      <c r="I1034" s="5"/>
      <c r="J1034" s="5"/>
    </row>
    <row r="1035" spans="2:10">
      <c r="B1035" s="1"/>
      <c r="C1035" s="1"/>
      <c r="D1035" s="8"/>
      <c r="E1035" s="8"/>
      <c r="F1035" s="8"/>
      <c r="G1035" s="8"/>
      <c r="H1035" s="5"/>
      <c r="I1035" s="5"/>
      <c r="J1035" s="5"/>
    </row>
    <row r="1036" spans="2:10">
      <c r="B1036" s="1"/>
      <c r="C1036" s="1"/>
      <c r="D1036" s="8"/>
      <c r="E1036" s="8"/>
      <c r="F1036" s="8"/>
      <c r="G1036" s="8"/>
      <c r="H1036" s="5"/>
      <c r="I1036" s="5"/>
      <c r="J1036" s="5"/>
    </row>
    <row r="1037" spans="2:10">
      <c r="B1037" s="1"/>
      <c r="C1037" s="1"/>
      <c r="D1037" s="8"/>
      <c r="E1037" s="8"/>
      <c r="F1037" s="8"/>
      <c r="G1037" s="8"/>
      <c r="H1037" s="5"/>
      <c r="I1037" s="5"/>
      <c r="J1037" s="5"/>
    </row>
    <row r="1038" spans="2:10">
      <c r="B1038" s="1"/>
      <c r="C1038" s="1"/>
      <c r="D1038" s="8"/>
      <c r="E1038" s="8"/>
      <c r="F1038" s="8"/>
      <c r="G1038" s="8"/>
      <c r="H1038" s="5"/>
      <c r="I1038" s="5"/>
      <c r="J1038" s="5"/>
    </row>
    <row r="1039" spans="2:10">
      <c r="B1039" s="1"/>
      <c r="C1039" s="1"/>
      <c r="D1039" s="8"/>
      <c r="E1039" s="8"/>
      <c r="F1039" s="8"/>
      <c r="G1039" s="8"/>
      <c r="H1039" s="5"/>
      <c r="I1039" s="5"/>
      <c r="J1039" s="5"/>
    </row>
    <row r="1040" spans="2:10">
      <c r="B1040" s="1"/>
      <c r="C1040" s="1"/>
      <c r="D1040" s="8"/>
      <c r="E1040" s="8"/>
      <c r="F1040" s="8"/>
      <c r="G1040" s="8"/>
      <c r="H1040" s="5"/>
      <c r="I1040" s="5"/>
      <c r="J1040" s="5"/>
    </row>
    <row r="1041" spans="2:10">
      <c r="B1041" s="1"/>
      <c r="C1041" s="1"/>
      <c r="D1041" s="8"/>
      <c r="E1041" s="8"/>
      <c r="F1041" s="8"/>
      <c r="G1041" s="8"/>
      <c r="H1041" s="5"/>
      <c r="I1041" s="5"/>
      <c r="J1041" s="5"/>
    </row>
    <row r="1042" spans="2:10">
      <c r="B1042" s="1"/>
      <c r="C1042" s="1"/>
      <c r="D1042" s="8"/>
      <c r="E1042" s="8"/>
      <c r="F1042" s="8"/>
      <c r="G1042" s="8"/>
      <c r="H1042" s="5"/>
      <c r="I1042" s="5"/>
      <c r="J1042" s="5"/>
    </row>
    <row r="1043" spans="2:10">
      <c r="B1043" s="1"/>
      <c r="C1043" s="1"/>
      <c r="D1043" s="8"/>
      <c r="E1043" s="8"/>
      <c r="F1043" s="8"/>
      <c r="G1043" s="8"/>
      <c r="H1043" s="5"/>
      <c r="I1043" s="5"/>
      <c r="J1043" s="5"/>
    </row>
    <row r="1044" spans="2:10">
      <c r="B1044" s="1"/>
      <c r="C1044" s="1"/>
      <c r="D1044" s="8"/>
      <c r="E1044" s="8"/>
      <c r="F1044" s="8"/>
      <c r="G1044" s="8"/>
      <c r="H1044" s="5"/>
      <c r="I1044" s="5"/>
      <c r="J1044" s="5"/>
    </row>
    <row r="1045" spans="2:10">
      <c r="B1045" s="1"/>
      <c r="C1045" s="1"/>
      <c r="D1045" s="8"/>
      <c r="E1045" s="8"/>
      <c r="F1045" s="8"/>
      <c r="G1045" s="8"/>
      <c r="H1045" s="5"/>
      <c r="I1045" s="5"/>
      <c r="J1045" s="5"/>
    </row>
    <row r="1046" spans="2:10">
      <c r="B1046" s="1"/>
      <c r="C1046" s="1"/>
      <c r="D1046" s="8"/>
      <c r="E1046" s="8"/>
      <c r="F1046" s="8"/>
      <c r="G1046" s="8"/>
      <c r="H1046" s="5"/>
      <c r="I1046" s="5"/>
      <c r="J1046" s="5"/>
    </row>
    <row r="1047" spans="2:10">
      <c r="B1047" s="1"/>
      <c r="C1047" s="1"/>
      <c r="D1047" s="8"/>
      <c r="E1047" s="8"/>
      <c r="F1047" s="8"/>
      <c r="G1047" s="8"/>
      <c r="H1047" s="5"/>
      <c r="I1047" s="5"/>
      <c r="J1047" s="5"/>
    </row>
    <row r="1048" spans="2:10">
      <c r="B1048" s="1"/>
      <c r="C1048" s="1"/>
      <c r="D1048" s="8"/>
      <c r="E1048" s="8"/>
      <c r="F1048" s="8"/>
      <c r="G1048" s="8"/>
      <c r="H1048" s="5"/>
      <c r="I1048" s="5"/>
      <c r="J1048" s="5"/>
    </row>
    <row r="1049" spans="2:10">
      <c r="B1049" s="1"/>
      <c r="C1049" s="1"/>
      <c r="D1049" s="8"/>
      <c r="E1049" s="8"/>
      <c r="F1049" s="8"/>
      <c r="G1049" s="8"/>
      <c r="H1049" s="5"/>
      <c r="I1049" s="5"/>
      <c r="J1049" s="5"/>
    </row>
    <row r="1050" spans="2:10">
      <c r="B1050" s="1"/>
      <c r="C1050" s="1"/>
      <c r="D1050" s="8"/>
      <c r="E1050" s="8"/>
      <c r="F1050" s="8"/>
      <c r="G1050" s="8"/>
      <c r="H1050" s="5"/>
      <c r="I1050" s="5"/>
      <c r="J1050" s="5"/>
    </row>
    <row r="1051" spans="2:10">
      <c r="B1051" s="1"/>
      <c r="C1051" s="1"/>
      <c r="D1051" s="8"/>
      <c r="E1051" s="8"/>
      <c r="F1051" s="8"/>
      <c r="G1051" s="8"/>
      <c r="H1051" s="5"/>
      <c r="I1051" s="5"/>
      <c r="J1051" s="5"/>
    </row>
    <row r="1052" spans="2:10">
      <c r="B1052" s="1"/>
      <c r="C1052" s="1"/>
      <c r="D1052" s="8"/>
      <c r="E1052" s="8"/>
      <c r="F1052" s="8"/>
      <c r="G1052" s="8"/>
      <c r="H1052" s="5"/>
      <c r="I1052" s="5"/>
      <c r="J1052" s="5"/>
    </row>
    <row r="1053" spans="2:10">
      <c r="B1053" s="1"/>
      <c r="C1053" s="1"/>
      <c r="D1053" s="8"/>
      <c r="E1053" s="8"/>
      <c r="F1053" s="8"/>
      <c r="G1053" s="8"/>
      <c r="H1053" s="5"/>
      <c r="I1053" s="5"/>
      <c r="J1053" s="5"/>
    </row>
    <row r="1054" spans="2:10">
      <c r="B1054" s="1"/>
      <c r="C1054" s="1"/>
      <c r="D1054" s="8"/>
      <c r="E1054" s="8"/>
      <c r="F1054" s="8"/>
      <c r="G1054" s="8"/>
      <c r="H1054" s="5"/>
      <c r="I1054" s="5"/>
      <c r="J1054" s="5"/>
    </row>
    <row r="1055" spans="2:10">
      <c r="B1055" s="1"/>
      <c r="C1055" s="1"/>
      <c r="D1055" s="8"/>
      <c r="E1055" s="8"/>
      <c r="F1055" s="8"/>
      <c r="G1055" s="8"/>
      <c r="H1055" s="5"/>
      <c r="I1055" s="5"/>
      <c r="J1055" s="5"/>
    </row>
    <row r="1056" spans="2:10">
      <c r="B1056" s="1"/>
      <c r="C1056" s="1"/>
      <c r="D1056" s="8"/>
      <c r="E1056" s="8"/>
      <c r="F1056" s="8"/>
      <c r="G1056" s="8"/>
      <c r="H1056" s="5"/>
      <c r="I1056" s="5"/>
      <c r="J1056" s="5"/>
    </row>
    <row r="1057" spans="2:10">
      <c r="B1057" s="1"/>
      <c r="C1057" s="1"/>
      <c r="D1057" s="8"/>
      <c r="E1057" s="8"/>
      <c r="F1057" s="8"/>
      <c r="G1057" s="8"/>
      <c r="H1057" s="5"/>
      <c r="I1057" s="5"/>
      <c r="J1057" s="5"/>
    </row>
    <row r="1058" spans="2:10">
      <c r="B1058" s="1"/>
      <c r="C1058" s="1"/>
      <c r="D1058" s="8"/>
      <c r="E1058" s="8"/>
      <c r="F1058" s="8"/>
      <c r="G1058" s="8"/>
      <c r="H1058" s="5"/>
      <c r="I1058" s="5"/>
      <c r="J1058" s="5"/>
    </row>
    <row r="1059" spans="2:10">
      <c r="B1059" s="1"/>
      <c r="C1059" s="1"/>
      <c r="D1059" s="8"/>
      <c r="E1059" s="8"/>
      <c r="F1059" s="8"/>
      <c r="G1059" s="8"/>
      <c r="H1059" s="5"/>
      <c r="I1059" s="5"/>
      <c r="J1059" s="5"/>
    </row>
    <row r="1060" spans="2:10">
      <c r="B1060" s="1"/>
      <c r="C1060" s="1"/>
      <c r="D1060" s="8"/>
      <c r="E1060" s="8"/>
      <c r="F1060" s="8"/>
      <c r="G1060" s="8"/>
      <c r="H1060" s="5"/>
      <c r="I1060" s="5"/>
      <c r="J1060" s="5"/>
    </row>
    <row r="1061" spans="2:10">
      <c r="B1061" s="1"/>
      <c r="C1061" s="1"/>
      <c r="D1061" s="8"/>
      <c r="E1061" s="8"/>
      <c r="F1061" s="8"/>
      <c r="G1061" s="8"/>
      <c r="H1061" s="5"/>
      <c r="I1061" s="5"/>
      <c r="J1061" s="5"/>
    </row>
    <row r="1062" spans="2:10">
      <c r="B1062" s="1"/>
      <c r="C1062" s="1"/>
      <c r="D1062" s="8"/>
      <c r="E1062" s="8"/>
      <c r="F1062" s="8"/>
      <c r="G1062" s="8"/>
      <c r="H1062" s="5"/>
      <c r="I1062" s="5"/>
      <c r="J1062" s="5"/>
    </row>
    <row r="1063" spans="2:10">
      <c r="B1063" s="1"/>
      <c r="C1063" s="1"/>
      <c r="D1063" s="8"/>
      <c r="E1063" s="8"/>
      <c r="F1063" s="8"/>
      <c r="G1063" s="8"/>
      <c r="H1063" s="5"/>
      <c r="I1063" s="5"/>
      <c r="J1063" s="5"/>
    </row>
    <row r="1064" spans="2:10">
      <c r="B1064" s="1"/>
      <c r="C1064" s="1"/>
      <c r="D1064" s="8"/>
      <c r="E1064" s="8"/>
      <c r="F1064" s="8"/>
      <c r="G1064" s="8"/>
      <c r="H1064" s="5"/>
      <c r="I1064" s="5"/>
      <c r="J1064" s="5"/>
    </row>
    <row r="1065" spans="2:10">
      <c r="B1065" s="1"/>
      <c r="C1065" s="1"/>
      <c r="D1065" s="8"/>
      <c r="E1065" s="8"/>
      <c r="F1065" s="8"/>
      <c r="G1065" s="8"/>
      <c r="H1065" s="5"/>
      <c r="I1065" s="5"/>
      <c r="J1065" s="5"/>
    </row>
    <row r="1066" spans="2:10">
      <c r="B1066" s="1"/>
      <c r="C1066" s="1"/>
      <c r="D1066" s="8"/>
      <c r="E1066" s="8"/>
      <c r="F1066" s="8"/>
      <c r="G1066" s="8"/>
      <c r="H1066" s="5"/>
      <c r="I1066" s="5"/>
      <c r="J1066" s="5"/>
    </row>
    <row r="1067" spans="2:10">
      <c r="B1067" s="1"/>
      <c r="C1067" s="1"/>
      <c r="D1067" s="8"/>
      <c r="E1067" s="8"/>
      <c r="F1067" s="8"/>
      <c r="G1067" s="8"/>
      <c r="H1067" s="5"/>
      <c r="I1067" s="5"/>
      <c r="J1067" s="5"/>
    </row>
    <row r="1068" spans="2:10">
      <c r="B1068" s="1"/>
      <c r="C1068" s="1"/>
      <c r="D1068" s="8"/>
      <c r="E1068" s="8"/>
      <c r="F1068" s="8"/>
      <c r="G1068" s="8"/>
      <c r="H1068" s="5"/>
      <c r="I1068" s="5"/>
      <c r="J1068" s="5"/>
    </row>
    <row r="1069" spans="2:10">
      <c r="B1069" s="1"/>
      <c r="C1069" s="1"/>
      <c r="D1069" s="8"/>
      <c r="E1069" s="8"/>
      <c r="F1069" s="8"/>
      <c r="G1069" s="8"/>
      <c r="H1069" s="5"/>
      <c r="I1069" s="5"/>
      <c r="J1069" s="5"/>
    </row>
    <row r="1070" spans="2:10">
      <c r="B1070" s="1"/>
      <c r="C1070" s="1"/>
      <c r="D1070" s="8"/>
      <c r="E1070" s="8"/>
      <c r="F1070" s="8"/>
      <c r="G1070" s="8"/>
      <c r="H1070" s="5"/>
      <c r="I1070" s="5"/>
      <c r="J1070" s="5"/>
    </row>
    <row r="1071" spans="2:10">
      <c r="B1071" s="1"/>
      <c r="C1071" s="1"/>
      <c r="D1071" s="8"/>
      <c r="E1071" s="8"/>
      <c r="F1071" s="8"/>
      <c r="G1071" s="8"/>
      <c r="H1071" s="5"/>
      <c r="I1071" s="5"/>
      <c r="J1071" s="5"/>
    </row>
    <row r="1072" spans="2:10">
      <c r="B1072" s="1"/>
      <c r="C1072" s="1"/>
      <c r="D1072" s="8"/>
      <c r="E1072" s="8"/>
      <c r="F1072" s="8"/>
      <c r="G1072" s="8"/>
      <c r="H1072" s="5"/>
      <c r="I1072" s="5"/>
      <c r="J1072" s="5"/>
    </row>
    <row r="1073" spans="2:10">
      <c r="B1073" s="1"/>
      <c r="C1073" s="1"/>
      <c r="D1073" s="8"/>
      <c r="E1073" s="8"/>
      <c r="F1073" s="8"/>
      <c r="G1073" s="8"/>
      <c r="H1073" s="5"/>
      <c r="I1073" s="5"/>
      <c r="J1073" s="5"/>
    </row>
    <row r="1074" spans="2:10">
      <c r="B1074" s="1"/>
      <c r="C1074" s="1"/>
      <c r="D1074" s="8"/>
      <c r="E1074" s="8"/>
      <c r="F1074" s="8"/>
      <c r="G1074" s="8"/>
      <c r="H1074" s="5"/>
      <c r="I1074" s="5"/>
      <c r="J1074" s="5"/>
    </row>
    <row r="1075" spans="2:10">
      <c r="B1075" s="1"/>
      <c r="C1075" s="1"/>
      <c r="D1075" s="8"/>
      <c r="E1075" s="8"/>
      <c r="F1075" s="8"/>
      <c r="G1075" s="8"/>
      <c r="H1075" s="5"/>
      <c r="I1075" s="5"/>
      <c r="J1075" s="5"/>
    </row>
    <row r="1076" spans="2:10">
      <c r="B1076" s="1"/>
      <c r="C1076" s="1"/>
      <c r="D1076" s="8"/>
      <c r="E1076" s="8"/>
      <c r="F1076" s="8"/>
      <c r="G1076" s="8"/>
      <c r="H1076" s="5"/>
      <c r="I1076" s="5"/>
      <c r="J1076" s="5"/>
    </row>
    <row r="1077" spans="2:10">
      <c r="B1077" s="1"/>
      <c r="C1077" s="1"/>
      <c r="D1077" s="8"/>
      <c r="E1077" s="8"/>
      <c r="F1077" s="8"/>
      <c r="G1077" s="8"/>
      <c r="H1077" s="5"/>
      <c r="I1077" s="5"/>
      <c r="J1077" s="5"/>
    </row>
    <row r="1078" spans="2:10">
      <c r="B1078" s="1"/>
      <c r="C1078" s="1"/>
      <c r="D1078" s="8"/>
      <c r="E1078" s="8"/>
      <c r="F1078" s="8"/>
      <c r="G1078" s="8"/>
      <c r="H1078" s="5"/>
      <c r="I1078" s="5"/>
      <c r="J1078" s="5"/>
    </row>
    <row r="1079" spans="2:10">
      <c r="B1079" s="1"/>
      <c r="C1079" s="1"/>
      <c r="D1079" s="8"/>
      <c r="E1079" s="8"/>
      <c r="F1079" s="8"/>
      <c r="G1079" s="8"/>
      <c r="H1079" s="5"/>
      <c r="I1079" s="5"/>
      <c r="J1079" s="5"/>
    </row>
    <row r="1080" spans="2:10">
      <c r="B1080" s="1"/>
      <c r="C1080" s="1"/>
      <c r="D1080" s="8"/>
      <c r="E1080" s="8"/>
      <c r="F1080" s="8"/>
      <c r="G1080" s="8"/>
      <c r="H1080" s="5"/>
      <c r="I1080" s="5"/>
      <c r="J1080" s="5"/>
    </row>
    <row r="1081" spans="2:10">
      <c r="B1081" s="1"/>
      <c r="C1081" s="1"/>
      <c r="D1081" s="8"/>
      <c r="E1081" s="8"/>
      <c r="F1081" s="8"/>
      <c r="G1081" s="8"/>
      <c r="H1081" s="5"/>
      <c r="I1081" s="5"/>
      <c r="J1081" s="5"/>
    </row>
    <row r="1082" spans="2:10">
      <c r="B1082" s="1"/>
      <c r="C1082" s="1"/>
      <c r="D1082" s="8"/>
      <c r="E1082" s="8"/>
      <c r="F1082" s="8"/>
      <c r="G1082" s="8"/>
      <c r="H1082" s="5"/>
      <c r="I1082" s="5"/>
      <c r="J1082" s="5"/>
    </row>
    <row r="1083" spans="2:10">
      <c r="B1083" s="1"/>
      <c r="C1083" s="1"/>
      <c r="D1083" s="8"/>
      <c r="E1083" s="8"/>
      <c r="F1083" s="8"/>
      <c r="G1083" s="8"/>
      <c r="H1083" s="5"/>
      <c r="I1083" s="5"/>
      <c r="J1083" s="5"/>
    </row>
    <row r="1084" spans="2:10">
      <c r="B1084" s="1"/>
      <c r="C1084" s="1"/>
      <c r="D1084" s="8"/>
      <c r="E1084" s="8"/>
      <c r="F1084" s="8"/>
      <c r="G1084" s="8"/>
      <c r="H1084" s="5"/>
      <c r="I1084" s="5"/>
      <c r="J1084" s="5"/>
    </row>
    <row r="1085" spans="2:10">
      <c r="B1085" s="1"/>
      <c r="C1085" s="1"/>
      <c r="D1085" s="8"/>
      <c r="E1085" s="8"/>
      <c r="F1085" s="8"/>
      <c r="G1085" s="8"/>
      <c r="H1085" s="5"/>
      <c r="I1085" s="5"/>
      <c r="J1085" s="5"/>
    </row>
    <row r="1086" spans="2:10">
      <c r="B1086" s="1"/>
      <c r="C1086" s="1"/>
      <c r="D1086" s="8"/>
      <c r="E1086" s="8"/>
      <c r="F1086" s="8"/>
      <c r="G1086" s="8"/>
      <c r="H1086" s="5"/>
      <c r="I1086" s="5"/>
      <c r="J1086" s="5"/>
    </row>
    <row r="1087" spans="2:10">
      <c r="B1087" s="1"/>
      <c r="C1087" s="1"/>
      <c r="D1087" s="8"/>
      <c r="E1087" s="8"/>
      <c r="F1087" s="8"/>
      <c r="G1087" s="8"/>
      <c r="H1087" s="5"/>
      <c r="I1087" s="5"/>
      <c r="J1087" s="5"/>
    </row>
    <row r="1088" spans="2:10">
      <c r="B1088" s="1"/>
      <c r="C1088" s="1"/>
      <c r="D1088" s="8"/>
      <c r="E1088" s="8"/>
      <c r="F1088" s="8"/>
      <c r="G1088" s="8"/>
      <c r="H1088" s="5"/>
      <c r="I1088" s="5"/>
      <c r="J1088" s="5"/>
    </row>
    <row r="1089" spans="2:10">
      <c r="B1089" s="1"/>
      <c r="C1089" s="1"/>
      <c r="D1089" s="8"/>
      <c r="E1089" s="8"/>
      <c r="F1089" s="8"/>
      <c r="G1089" s="8"/>
      <c r="H1089" s="5"/>
      <c r="I1089" s="5"/>
      <c r="J1089" s="5"/>
    </row>
    <row r="1090" spans="2:10">
      <c r="B1090" s="1"/>
      <c r="C1090" s="1"/>
      <c r="D1090" s="8"/>
      <c r="E1090" s="8"/>
      <c r="F1090" s="8"/>
      <c r="G1090" s="8"/>
      <c r="H1090" s="5"/>
      <c r="I1090" s="5"/>
      <c r="J1090" s="5"/>
    </row>
    <row r="1091" spans="2:10">
      <c r="B1091" s="1"/>
      <c r="C1091" s="1"/>
      <c r="D1091" s="8"/>
      <c r="E1091" s="8"/>
      <c r="F1091" s="8"/>
      <c r="G1091" s="8"/>
      <c r="H1091" s="5"/>
      <c r="I1091" s="5"/>
      <c r="J1091" s="5"/>
    </row>
    <row r="1092" spans="2:10">
      <c r="B1092" s="1"/>
      <c r="C1092" s="1"/>
      <c r="D1092" s="8"/>
      <c r="E1092" s="8"/>
      <c r="F1092" s="8"/>
      <c r="G1092" s="8"/>
      <c r="H1092" s="5"/>
      <c r="I1092" s="5"/>
      <c r="J1092" s="5"/>
    </row>
    <row r="1093" spans="2:10">
      <c r="B1093" s="1"/>
      <c r="C1093" s="1"/>
      <c r="D1093" s="8"/>
      <c r="E1093" s="8"/>
      <c r="F1093" s="8"/>
      <c r="G1093" s="8"/>
      <c r="H1093" s="5"/>
      <c r="I1093" s="5"/>
      <c r="J1093" s="5"/>
    </row>
    <row r="1094" spans="2:10">
      <c r="B1094" s="1"/>
      <c r="C1094" s="1"/>
      <c r="D1094" s="8"/>
      <c r="E1094" s="8"/>
      <c r="F1094" s="8"/>
      <c r="G1094" s="8"/>
      <c r="H1094" s="5"/>
      <c r="I1094" s="5"/>
      <c r="J1094" s="5"/>
    </row>
    <row r="1095" spans="2:10">
      <c r="B1095" s="1"/>
      <c r="C1095" s="1"/>
      <c r="D1095" s="8"/>
      <c r="E1095" s="8"/>
      <c r="F1095" s="8"/>
      <c r="G1095" s="8"/>
      <c r="H1095" s="5"/>
      <c r="I1095" s="5"/>
      <c r="J1095" s="5"/>
    </row>
    <row r="1096" spans="2:10">
      <c r="B1096" s="1"/>
      <c r="C1096" s="1"/>
      <c r="D1096" s="8"/>
      <c r="E1096" s="8"/>
      <c r="F1096" s="8"/>
      <c r="G1096" s="8"/>
      <c r="H1096" s="5"/>
      <c r="I1096" s="5"/>
      <c r="J1096" s="5"/>
    </row>
    <row r="1097" spans="2:10">
      <c r="B1097" s="1"/>
      <c r="C1097" s="1"/>
      <c r="D1097" s="8"/>
      <c r="E1097" s="8"/>
      <c r="F1097" s="8"/>
      <c r="G1097" s="8"/>
      <c r="H1097" s="5"/>
      <c r="I1097" s="5"/>
      <c r="J1097" s="5"/>
    </row>
    <row r="1098" spans="2:10">
      <c r="B1098" s="1"/>
      <c r="C1098" s="1"/>
      <c r="D1098" s="8"/>
      <c r="E1098" s="8"/>
      <c r="F1098" s="8"/>
      <c r="G1098" s="8"/>
      <c r="H1098" s="5"/>
      <c r="I1098" s="5"/>
      <c r="J1098" s="5"/>
    </row>
    <row r="1099" spans="2:10">
      <c r="B1099" s="1"/>
      <c r="C1099" s="1"/>
      <c r="D1099" s="8"/>
      <c r="E1099" s="8"/>
      <c r="F1099" s="8"/>
      <c r="G1099" s="8"/>
      <c r="H1099" s="5"/>
      <c r="I1099" s="5"/>
      <c r="J1099" s="5"/>
    </row>
    <row r="1100" spans="2:10">
      <c r="B1100" s="1"/>
      <c r="C1100" s="1"/>
      <c r="D1100" s="8"/>
      <c r="E1100" s="8"/>
      <c r="F1100" s="8"/>
      <c r="G1100" s="8"/>
      <c r="H1100" s="5"/>
      <c r="I1100" s="5"/>
      <c r="J1100" s="5"/>
    </row>
    <row r="1101" spans="2:10">
      <c r="B1101" s="1"/>
      <c r="C1101" s="1"/>
      <c r="D1101" s="8"/>
      <c r="E1101" s="8"/>
      <c r="F1101" s="8"/>
      <c r="G1101" s="8"/>
      <c r="H1101" s="5"/>
      <c r="I1101" s="5"/>
      <c r="J1101" s="5"/>
    </row>
    <row r="1102" spans="2:10">
      <c r="B1102" s="1"/>
      <c r="C1102" s="1"/>
      <c r="D1102" s="8"/>
      <c r="E1102" s="8"/>
      <c r="F1102" s="8"/>
      <c r="G1102" s="8"/>
      <c r="H1102" s="5"/>
      <c r="I1102" s="5"/>
      <c r="J1102" s="5"/>
    </row>
    <row r="1103" spans="2:10">
      <c r="B1103" s="1"/>
      <c r="C1103" s="1"/>
      <c r="D1103" s="8"/>
      <c r="E1103" s="8"/>
      <c r="F1103" s="8"/>
      <c r="G1103" s="8"/>
      <c r="H1103" s="5"/>
      <c r="I1103" s="5"/>
      <c r="J1103" s="5"/>
    </row>
    <row r="1104" spans="2:10">
      <c r="B1104" s="1"/>
      <c r="C1104" s="1"/>
      <c r="D1104" s="8"/>
      <c r="E1104" s="8"/>
      <c r="F1104" s="8"/>
      <c r="G1104" s="8"/>
      <c r="H1104" s="5"/>
      <c r="I1104" s="5"/>
      <c r="J1104" s="5"/>
    </row>
    <row r="1105" spans="2:10">
      <c r="B1105" s="1"/>
      <c r="C1105" s="1"/>
      <c r="D1105" s="8"/>
      <c r="E1105" s="8"/>
      <c r="F1105" s="8"/>
      <c r="G1105" s="8"/>
      <c r="H1105" s="5"/>
      <c r="I1105" s="5"/>
      <c r="J1105" s="5"/>
    </row>
    <row r="1106" spans="2:10">
      <c r="B1106" s="1"/>
      <c r="C1106" s="1"/>
      <c r="D1106" s="8"/>
      <c r="E1106" s="8"/>
      <c r="F1106" s="8"/>
      <c r="G1106" s="8"/>
      <c r="H1106" s="5"/>
      <c r="I1106" s="5"/>
      <c r="J1106" s="5"/>
    </row>
    <row r="1107" spans="2:10">
      <c r="B1107" s="1"/>
      <c r="C1107" s="1"/>
      <c r="D1107" s="8"/>
      <c r="E1107" s="8"/>
      <c r="F1107" s="8"/>
      <c r="G1107" s="8"/>
      <c r="H1107" s="5"/>
      <c r="I1107" s="5"/>
      <c r="J1107" s="5"/>
    </row>
    <row r="1108" spans="2:10">
      <c r="B1108" s="1"/>
      <c r="C1108" s="1"/>
      <c r="D1108" s="8"/>
      <c r="E1108" s="8"/>
      <c r="F1108" s="8"/>
      <c r="G1108" s="8"/>
      <c r="H1108" s="5"/>
      <c r="I1108" s="5"/>
      <c r="J1108" s="5"/>
    </row>
    <row r="1109" spans="2:10">
      <c r="B1109" s="1"/>
      <c r="C1109" s="1"/>
      <c r="D1109" s="8"/>
      <c r="E1109" s="8"/>
      <c r="F1109" s="8"/>
      <c r="G1109" s="8"/>
      <c r="H1109" s="5"/>
      <c r="I1109" s="5"/>
      <c r="J1109" s="5"/>
    </row>
    <row r="1110" spans="2:10">
      <c r="B1110" s="1"/>
      <c r="C1110" s="1"/>
      <c r="D1110" s="8"/>
      <c r="E1110" s="8"/>
      <c r="F1110" s="8"/>
      <c r="G1110" s="8"/>
      <c r="H1110" s="5"/>
      <c r="I1110" s="5"/>
      <c r="J1110" s="5"/>
    </row>
    <row r="1111" spans="2:10">
      <c r="B1111" s="1"/>
      <c r="C1111" s="1"/>
      <c r="D1111" s="8"/>
      <c r="E1111" s="8"/>
      <c r="F1111" s="8"/>
      <c r="G1111" s="8"/>
      <c r="H1111" s="5"/>
      <c r="I1111" s="5"/>
      <c r="J1111" s="5"/>
    </row>
    <row r="1112" spans="2:10">
      <c r="B1112" s="1"/>
      <c r="C1112" s="1"/>
      <c r="D1112" s="8"/>
      <c r="E1112" s="8"/>
      <c r="F1112" s="8"/>
      <c r="G1112" s="8"/>
      <c r="H1112" s="5"/>
      <c r="I1112" s="5"/>
      <c r="J1112" s="5"/>
    </row>
    <row r="1113" spans="2:10">
      <c r="B1113" s="1"/>
      <c r="C1113" s="1"/>
      <c r="D1113" s="8"/>
      <c r="E1113" s="8"/>
      <c r="F1113" s="8"/>
      <c r="G1113" s="8"/>
      <c r="H1113" s="5"/>
      <c r="I1113" s="5"/>
      <c r="J1113" s="5"/>
    </row>
    <row r="1114" spans="2:10">
      <c r="B1114" s="1"/>
      <c r="C1114" s="1"/>
      <c r="D1114" s="8"/>
      <c r="E1114" s="8"/>
      <c r="F1114" s="8"/>
      <c r="G1114" s="8"/>
      <c r="H1114" s="5"/>
      <c r="I1114" s="5"/>
      <c r="J1114" s="5"/>
    </row>
    <row r="1115" spans="2:10">
      <c r="B1115" s="1"/>
      <c r="C1115" s="1"/>
      <c r="D1115" s="8"/>
      <c r="E1115" s="8"/>
      <c r="F1115" s="8"/>
      <c r="G1115" s="8"/>
      <c r="H1115" s="5"/>
      <c r="I1115" s="5"/>
      <c r="J1115" s="5"/>
    </row>
    <row r="1116" spans="2:10">
      <c r="B1116" s="1"/>
      <c r="C1116" s="1"/>
      <c r="D1116" s="8"/>
      <c r="E1116" s="8"/>
      <c r="F1116" s="8"/>
      <c r="G1116" s="8"/>
      <c r="H1116" s="5"/>
      <c r="I1116" s="5"/>
      <c r="J1116" s="5"/>
    </row>
    <row r="1117" spans="2:10">
      <c r="B1117" s="1"/>
      <c r="C1117" s="1"/>
      <c r="D1117" s="8"/>
      <c r="E1117" s="8"/>
      <c r="F1117" s="8"/>
      <c r="G1117" s="8"/>
      <c r="H1117" s="5"/>
      <c r="I1117" s="5"/>
      <c r="J1117" s="5"/>
    </row>
    <row r="1118" spans="2:10">
      <c r="B1118" s="1"/>
      <c r="C1118" s="1"/>
      <c r="D1118" s="8"/>
      <c r="E1118" s="8"/>
      <c r="F1118" s="8"/>
      <c r="G1118" s="8"/>
      <c r="H1118" s="5"/>
      <c r="I1118" s="5"/>
      <c r="J1118" s="5"/>
    </row>
    <row r="1119" spans="2:10">
      <c r="B1119" s="1"/>
      <c r="C1119" s="1"/>
      <c r="D1119" s="8"/>
      <c r="E1119" s="8"/>
      <c r="F1119" s="8"/>
      <c r="G1119" s="8"/>
      <c r="H1119" s="5"/>
      <c r="I1119" s="5"/>
      <c r="J1119" s="5"/>
    </row>
    <row r="1120" spans="2:10">
      <c r="B1120" s="1"/>
      <c r="C1120" s="1"/>
      <c r="D1120" s="8"/>
      <c r="E1120" s="8"/>
      <c r="F1120" s="8"/>
      <c r="G1120" s="8"/>
      <c r="H1120" s="5"/>
      <c r="I1120" s="5"/>
      <c r="J1120" s="5"/>
    </row>
    <row r="1121" spans="2:10">
      <c r="B1121" s="1"/>
      <c r="C1121" s="1"/>
      <c r="D1121" s="8"/>
      <c r="E1121" s="8"/>
      <c r="F1121" s="8"/>
      <c r="G1121" s="8"/>
      <c r="H1121" s="5"/>
      <c r="I1121" s="5"/>
      <c r="J1121" s="5"/>
    </row>
    <row r="1122" spans="2:10">
      <c r="B1122" s="1"/>
      <c r="C1122" s="1"/>
      <c r="D1122" s="8"/>
      <c r="E1122" s="8"/>
      <c r="F1122" s="8"/>
      <c r="G1122" s="8"/>
      <c r="H1122" s="5"/>
      <c r="I1122" s="5"/>
      <c r="J1122" s="5"/>
    </row>
    <row r="1123" spans="2:10">
      <c r="B1123" s="1"/>
      <c r="C1123" s="1"/>
      <c r="D1123" s="8"/>
      <c r="E1123" s="8"/>
      <c r="F1123" s="8"/>
      <c r="G1123" s="8"/>
      <c r="H1123" s="5"/>
      <c r="I1123" s="5"/>
      <c r="J1123" s="5"/>
    </row>
    <row r="1124" spans="2:10">
      <c r="B1124" s="1"/>
      <c r="C1124" s="1"/>
      <c r="D1124" s="8"/>
      <c r="E1124" s="8"/>
      <c r="F1124" s="8"/>
      <c r="G1124" s="8"/>
      <c r="H1124" s="5"/>
      <c r="I1124" s="5"/>
      <c r="J1124" s="5"/>
    </row>
    <row r="1125" spans="2:10">
      <c r="B1125" s="1"/>
      <c r="C1125" s="1"/>
      <c r="D1125" s="8"/>
      <c r="E1125" s="8"/>
      <c r="F1125" s="8"/>
      <c r="G1125" s="8"/>
      <c r="H1125" s="5"/>
      <c r="I1125" s="5"/>
      <c r="J1125" s="5"/>
    </row>
    <row r="1126" spans="2:10">
      <c r="B1126" s="1"/>
      <c r="C1126" s="1"/>
      <c r="D1126" s="8"/>
      <c r="E1126" s="8"/>
      <c r="F1126" s="8"/>
      <c r="G1126" s="8"/>
      <c r="H1126" s="5"/>
      <c r="I1126" s="5"/>
      <c r="J1126" s="5"/>
    </row>
    <row r="1127" spans="2:10">
      <c r="B1127" s="1"/>
      <c r="C1127" s="1"/>
      <c r="D1127" s="8"/>
      <c r="E1127" s="8"/>
      <c r="F1127" s="8"/>
      <c r="G1127" s="8"/>
      <c r="H1127" s="5"/>
      <c r="I1127" s="5"/>
      <c r="J1127" s="5"/>
    </row>
    <row r="1128" spans="2:10">
      <c r="B1128" s="1"/>
      <c r="C1128" s="1"/>
      <c r="D1128" s="8"/>
      <c r="E1128" s="8"/>
      <c r="F1128" s="8"/>
      <c r="G1128" s="8"/>
      <c r="H1128" s="5"/>
      <c r="I1128" s="5"/>
      <c r="J1128" s="5"/>
    </row>
    <row r="1129" spans="2:10">
      <c r="B1129" s="1"/>
      <c r="C1129" s="1"/>
      <c r="D1129" s="8"/>
      <c r="E1129" s="8"/>
      <c r="F1129" s="8"/>
      <c r="G1129" s="8"/>
      <c r="H1129" s="5"/>
      <c r="I1129" s="5"/>
      <c r="J1129" s="5"/>
    </row>
    <row r="1130" spans="2:10">
      <c r="B1130" s="1"/>
      <c r="C1130" s="1"/>
      <c r="D1130" s="8"/>
      <c r="E1130" s="8"/>
      <c r="F1130" s="8"/>
      <c r="G1130" s="8"/>
      <c r="H1130" s="5"/>
      <c r="I1130" s="5"/>
      <c r="J1130" s="5"/>
    </row>
    <row r="1131" spans="2:10">
      <c r="B1131" s="1"/>
      <c r="C1131" s="1"/>
      <c r="D1131" s="8"/>
      <c r="E1131" s="8"/>
      <c r="F1131" s="8"/>
      <c r="G1131" s="8"/>
      <c r="H1131" s="5"/>
      <c r="I1131" s="5"/>
      <c r="J1131" s="5"/>
    </row>
    <row r="1132" spans="2:10">
      <c r="B1132" s="1"/>
      <c r="C1132" s="1"/>
      <c r="D1132" s="8"/>
      <c r="E1132" s="8"/>
      <c r="F1132" s="8"/>
      <c r="G1132" s="8"/>
      <c r="H1132" s="5"/>
      <c r="I1132" s="5"/>
      <c r="J1132" s="5"/>
    </row>
    <row r="1133" spans="2:10">
      <c r="B1133" s="1"/>
      <c r="C1133" s="1"/>
      <c r="D1133" s="8"/>
      <c r="E1133" s="8"/>
      <c r="F1133" s="8"/>
      <c r="G1133" s="8"/>
      <c r="H1133" s="5"/>
      <c r="I1133" s="5"/>
      <c r="J1133" s="5"/>
    </row>
    <row r="1134" spans="2:10">
      <c r="B1134" s="1"/>
      <c r="C1134" s="1"/>
      <c r="D1134" s="8"/>
      <c r="E1134" s="8"/>
      <c r="F1134" s="8"/>
      <c r="G1134" s="8"/>
      <c r="H1134" s="5"/>
      <c r="I1134" s="5"/>
      <c r="J1134" s="5"/>
    </row>
    <row r="1135" spans="2:10">
      <c r="B1135" s="1"/>
      <c r="C1135" s="1"/>
      <c r="D1135" s="8"/>
      <c r="E1135" s="8"/>
      <c r="F1135" s="8"/>
      <c r="G1135" s="8"/>
      <c r="H1135" s="5"/>
      <c r="I1135" s="5"/>
      <c r="J1135" s="5"/>
    </row>
    <row r="1136" spans="2:10">
      <c r="B1136" s="1"/>
      <c r="C1136" s="1"/>
      <c r="D1136" s="8"/>
      <c r="E1136" s="8"/>
      <c r="F1136" s="8"/>
      <c r="G1136" s="8"/>
      <c r="H1136" s="5"/>
      <c r="I1136" s="5"/>
      <c r="J1136" s="5"/>
    </row>
    <row r="1137" spans="2:10">
      <c r="B1137" s="1"/>
      <c r="C1137" s="1"/>
      <c r="D1137" s="8"/>
      <c r="E1137" s="8"/>
      <c r="F1137" s="8"/>
      <c r="G1137" s="8"/>
      <c r="H1137" s="5"/>
      <c r="I1137" s="5"/>
      <c r="J1137" s="5"/>
    </row>
    <row r="1138" spans="2:10">
      <c r="B1138" s="1"/>
      <c r="C1138" s="1"/>
      <c r="D1138" s="8"/>
      <c r="E1138" s="8"/>
      <c r="F1138" s="8"/>
      <c r="G1138" s="8"/>
      <c r="H1138" s="5"/>
      <c r="I1138" s="5"/>
      <c r="J1138" s="5"/>
    </row>
    <row r="1139" spans="2:10">
      <c r="B1139" s="1"/>
      <c r="C1139" s="1"/>
      <c r="D1139" s="8"/>
      <c r="E1139" s="8"/>
      <c r="F1139" s="8"/>
      <c r="G1139" s="8"/>
      <c r="H1139" s="5"/>
      <c r="I1139" s="5"/>
      <c r="J1139" s="5"/>
    </row>
    <row r="1140" spans="2:10">
      <c r="B1140" s="1"/>
      <c r="C1140" s="1"/>
      <c r="D1140" s="8"/>
      <c r="E1140" s="8"/>
      <c r="F1140" s="8"/>
      <c r="G1140" s="8"/>
      <c r="H1140" s="5"/>
      <c r="I1140" s="5"/>
      <c r="J1140" s="5"/>
    </row>
    <row r="1141" spans="2:10">
      <c r="B1141" s="1"/>
      <c r="C1141" s="1"/>
      <c r="D1141" s="8"/>
      <c r="E1141" s="8"/>
      <c r="F1141" s="8"/>
      <c r="G1141" s="8"/>
      <c r="H1141" s="5"/>
      <c r="I1141" s="5"/>
      <c r="J1141" s="5"/>
    </row>
    <row r="1142" spans="2:10">
      <c r="B1142" s="1"/>
      <c r="C1142" s="1"/>
      <c r="D1142" s="8"/>
      <c r="E1142" s="8"/>
      <c r="F1142" s="8"/>
      <c r="G1142" s="8"/>
      <c r="H1142" s="5"/>
      <c r="I1142" s="5"/>
      <c r="J1142" s="5"/>
    </row>
    <row r="1143" spans="2:10">
      <c r="B1143" s="1"/>
      <c r="C1143" s="1"/>
      <c r="D1143" s="8"/>
      <c r="E1143" s="8"/>
      <c r="F1143" s="8"/>
      <c r="G1143" s="8"/>
      <c r="H1143" s="5"/>
      <c r="I1143" s="5"/>
      <c r="J1143" s="5"/>
    </row>
    <row r="1144" spans="2:10">
      <c r="B1144" s="1"/>
      <c r="C1144" s="1"/>
      <c r="D1144" s="8"/>
      <c r="E1144" s="8"/>
      <c r="F1144" s="8"/>
      <c r="G1144" s="8"/>
      <c r="H1144" s="5"/>
      <c r="I1144" s="5"/>
      <c r="J1144" s="5"/>
    </row>
    <row r="1145" spans="2:10">
      <c r="B1145" s="1"/>
      <c r="C1145" s="1"/>
      <c r="D1145" s="8"/>
      <c r="E1145" s="8"/>
      <c r="F1145" s="8"/>
      <c r="G1145" s="8"/>
      <c r="H1145" s="5"/>
      <c r="I1145" s="5"/>
      <c r="J1145" s="5"/>
    </row>
    <row r="1146" spans="2:10">
      <c r="B1146" s="1"/>
      <c r="C1146" s="1"/>
      <c r="D1146" s="8"/>
      <c r="E1146" s="8"/>
      <c r="F1146" s="8"/>
      <c r="G1146" s="8"/>
      <c r="H1146" s="5"/>
      <c r="I1146" s="5"/>
      <c r="J1146" s="5"/>
    </row>
    <row r="1147" spans="2:10">
      <c r="B1147" s="1"/>
      <c r="C1147" s="1"/>
      <c r="D1147" s="8"/>
      <c r="E1147" s="8"/>
      <c r="F1147" s="8"/>
      <c r="G1147" s="8"/>
      <c r="H1147" s="5"/>
      <c r="I1147" s="5"/>
      <c r="J1147" s="5"/>
    </row>
    <row r="1148" spans="2:10">
      <c r="B1148" s="1"/>
      <c r="C1148" s="1"/>
      <c r="D1148" s="8"/>
      <c r="E1148" s="8"/>
      <c r="F1148" s="8"/>
      <c r="G1148" s="8"/>
      <c r="H1148" s="5"/>
      <c r="I1148" s="5"/>
      <c r="J1148" s="5"/>
    </row>
    <row r="1149" spans="2:10">
      <c r="B1149" s="1"/>
      <c r="C1149" s="1"/>
      <c r="D1149" s="8"/>
      <c r="E1149" s="8"/>
      <c r="F1149" s="8"/>
      <c r="G1149" s="8"/>
      <c r="H1149" s="5"/>
      <c r="I1149" s="5"/>
      <c r="J1149" s="5"/>
    </row>
    <row r="1150" spans="2:10">
      <c r="B1150" s="1"/>
      <c r="C1150" s="1"/>
      <c r="D1150" s="8"/>
      <c r="E1150" s="8"/>
      <c r="F1150" s="8"/>
      <c r="G1150" s="8"/>
      <c r="H1150" s="5"/>
      <c r="I1150" s="5"/>
      <c r="J1150" s="5"/>
    </row>
    <row r="1151" spans="2:10">
      <c r="B1151" s="1"/>
      <c r="C1151" s="1"/>
      <c r="D1151" s="8"/>
      <c r="E1151" s="8"/>
      <c r="F1151" s="8"/>
      <c r="G1151" s="8"/>
      <c r="H1151" s="5"/>
      <c r="I1151" s="5"/>
      <c r="J1151" s="5"/>
    </row>
    <row r="1152" spans="2:10">
      <c r="B1152" s="1"/>
      <c r="C1152" s="1"/>
      <c r="D1152" s="8"/>
      <c r="E1152" s="8"/>
      <c r="F1152" s="8"/>
      <c r="G1152" s="8"/>
      <c r="H1152" s="5"/>
      <c r="I1152" s="5"/>
      <c r="J1152" s="5"/>
    </row>
    <row r="1153" spans="2:10">
      <c r="B1153" s="1"/>
      <c r="C1153" s="1"/>
      <c r="D1153" s="8"/>
      <c r="E1153" s="8"/>
      <c r="F1153" s="8"/>
      <c r="G1153" s="8"/>
      <c r="H1153" s="5"/>
      <c r="I1153" s="5"/>
      <c r="J1153" s="5"/>
    </row>
    <row r="1154" spans="2:10">
      <c r="B1154" s="1"/>
      <c r="C1154" s="1"/>
      <c r="D1154" s="8"/>
      <c r="E1154" s="8"/>
      <c r="F1154" s="8"/>
      <c r="G1154" s="8"/>
      <c r="H1154" s="5"/>
      <c r="I1154" s="5"/>
      <c r="J1154" s="5"/>
    </row>
    <row r="1155" spans="2:10">
      <c r="B1155" s="1"/>
      <c r="C1155" s="1"/>
      <c r="D1155" s="8"/>
      <c r="E1155" s="8"/>
      <c r="F1155" s="8"/>
      <c r="G1155" s="8"/>
      <c r="H1155" s="5"/>
      <c r="I1155" s="5"/>
      <c r="J1155" s="5"/>
    </row>
    <row r="1156" spans="2:10">
      <c r="B1156" s="1"/>
      <c r="C1156" s="1"/>
      <c r="D1156" s="8"/>
      <c r="E1156" s="8"/>
      <c r="F1156" s="8"/>
      <c r="G1156" s="8"/>
      <c r="H1156" s="5"/>
      <c r="I1156" s="5"/>
      <c r="J1156" s="5"/>
    </row>
    <row r="1157" spans="2:10">
      <c r="B1157" s="1"/>
      <c r="C1157" s="1"/>
      <c r="D1157" s="8"/>
      <c r="E1157" s="8"/>
      <c r="F1157" s="8"/>
      <c r="G1157" s="8"/>
      <c r="H1157" s="5"/>
      <c r="I1157" s="5"/>
      <c r="J1157" s="5"/>
    </row>
    <row r="1158" spans="2:10">
      <c r="B1158" s="1"/>
      <c r="C1158" s="1"/>
      <c r="D1158" s="8"/>
      <c r="E1158" s="8"/>
      <c r="F1158" s="8"/>
      <c r="G1158" s="8"/>
      <c r="H1158" s="5"/>
      <c r="I1158" s="5"/>
      <c r="J1158" s="5"/>
    </row>
    <row r="1159" spans="2:10">
      <c r="B1159" s="1"/>
      <c r="C1159" s="1"/>
      <c r="D1159" s="8"/>
      <c r="E1159" s="8"/>
      <c r="F1159" s="8"/>
      <c r="G1159" s="8"/>
      <c r="H1159" s="5"/>
      <c r="I1159" s="5"/>
      <c r="J1159" s="5"/>
    </row>
    <row r="1160" spans="2:10">
      <c r="B1160" s="1"/>
      <c r="C1160" s="1"/>
      <c r="D1160" s="8"/>
      <c r="E1160" s="8"/>
      <c r="F1160" s="8"/>
      <c r="G1160" s="8"/>
      <c r="H1160" s="5"/>
      <c r="I1160" s="5"/>
      <c r="J1160" s="5"/>
    </row>
    <row r="1161" spans="2:10">
      <c r="B1161" s="1"/>
      <c r="C1161" s="1"/>
      <c r="D1161" s="8"/>
      <c r="E1161" s="8"/>
      <c r="F1161" s="8"/>
      <c r="G1161" s="8"/>
      <c r="H1161" s="5"/>
      <c r="I1161" s="5"/>
      <c r="J1161" s="5"/>
    </row>
    <row r="1162" spans="2:10">
      <c r="B1162" s="1"/>
      <c r="C1162" s="1"/>
      <c r="D1162" s="8"/>
      <c r="E1162" s="8"/>
      <c r="F1162" s="8"/>
      <c r="G1162" s="8"/>
      <c r="H1162" s="5"/>
      <c r="I1162" s="5"/>
      <c r="J1162" s="5"/>
    </row>
    <row r="1163" spans="2:10">
      <c r="B1163" s="1"/>
      <c r="C1163" s="1"/>
      <c r="D1163" s="8"/>
      <c r="E1163" s="8"/>
      <c r="F1163" s="8"/>
      <c r="G1163" s="8"/>
      <c r="H1163" s="5"/>
      <c r="I1163" s="5"/>
      <c r="J1163" s="5"/>
    </row>
    <row r="1164" spans="2:10">
      <c r="B1164" s="1"/>
      <c r="C1164" s="1"/>
      <c r="D1164" s="8"/>
      <c r="E1164" s="8"/>
      <c r="F1164" s="8"/>
      <c r="G1164" s="8"/>
      <c r="H1164" s="5"/>
      <c r="I1164" s="5"/>
      <c r="J1164" s="5"/>
    </row>
    <row r="1165" spans="2:10">
      <c r="B1165" s="1"/>
      <c r="C1165" s="1"/>
      <c r="D1165" s="8"/>
      <c r="E1165" s="8"/>
      <c r="F1165" s="8"/>
      <c r="G1165" s="8"/>
      <c r="H1165" s="5"/>
      <c r="I1165" s="5"/>
      <c r="J1165" s="5"/>
    </row>
    <row r="1166" spans="2:10">
      <c r="B1166" s="1"/>
      <c r="C1166" s="1"/>
      <c r="D1166" s="8"/>
      <c r="E1166" s="8"/>
      <c r="F1166" s="8"/>
      <c r="G1166" s="8"/>
      <c r="H1166" s="5"/>
      <c r="I1166" s="5"/>
      <c r="J1166" s="5"/>
    </row>
    <row r="1167" spans="2:10">
      <c r="B1167" s="1"/>
      <c r="C1167" s="1"/>
      <c r="D1167" s="8"/>
      <c r="E1167" s="8"/>
      <c r="F1167" s="8"/>
      <c r="G1167" s="8"/>
      <c r="H1167" s="5"/>
      <c r="I1167" s="5"/>
      <c r="J1167" s="5"/>
    </row>
    <row r="1168" spans="2:10">
      <c r="B1168" s="1"/>
      <c r="C1168" s="1"/>
      <c r="D1168" s="8"/>
      <c r="E1168" s="8"/>
      <c r="F1168" s="8"/>
      <c r="G1168" s="8"/>
      <c r="H1168" s="5"/>
      <c r="I1168" s="5"/>
      <c r="J1168" s="5"/>
    </row>
    <row r="1169" spans="2:10">
      <c r="B1169" s="1"/>
      <c r="C1169" s="1"/>
      <c r="D1169" s="8"/>
      <c r="E1169" s="8"/>
      <c r="F1169" s="8"/>
      <c r="G1169" s="8"/>
      <c r="H1169" s="5"/>
      <c r="I1169" s="5"/>
      <c r="J1169" s="5"/>
    </row>
    <row r="1170" spans="2:10">
      <c r="B1170" s="1"/>
      <c r="C1170" s="1"/>
      <c r="D1170" s="8"/>
      <c r="E1170" s="8"/>
      <c r="F1170" s="8"/>
      <c r="G1170" s="8"/>
      <c r="H1170" s="5"/>
      <c r="I1170" s="5"/>
      <c r="J1170" s="5"/>
    </row>
    <row r="1171" spans="2:10">
      <c r="B1171" s="1"/>
      <c r="C1171" s="1"/>
      <c r="D1171" s="8"/>
      <c r="E1171" s="8"/>
      <c r="F1171" s="8"/>
      <c r="G1171" s="8"/>
      <c r="H1171" s="5"/>
      <c r="I1171" s="5"/>
      <c r="J1171" s="5"/>
    </row>
    <row r="1172" spans="2:10">
      <c r="B1172" s="1"/>
      <c r="C1172" s="1"/>
      <c r="D1172" s="8"/>
      <c r="E1172" s="8"/>
      <c r="F1172" s="8"/>
      <c r="G1172" s="8"/>
      <c r="H1172" s="5"/>
      <c r="I1172" s="5"/>
      <c r="J1172" s="5"/>
    </row>
    <row r="1173" spans="2:10">
      <c r="B1173" s="1"/>
      <c r="C1173" s="1"/>
      <c r="D1173" s="8"/>
      <c r="E1173" s="8"/>
      <c r="F1173" s="8"/>
      <c r="G1173" s="8"/>
      <c r="H1173" s="5"/>
      <c r="I1173" s="5"/>
      <c r="J1173" s="5"/>
    </row>
    <row r="1174" spans="2:10">
      <c r="B1174" s="1"/>
      <c r="C1174" s="1"/>
      <c r="D1174" s="8"/>
      <c r="E1174" s="8"/>
      <c r="F1174" s="8"/>
      <c r="G1174" s="8"/>
      <c r="H1174" s="5"/>
      <c r="I1174" s="5"/>
      <c r="J1174" s="5"/>
    </row>
    <row r="1175" spans="2:10">
      <c r="B1175" s="1"/>
      <c r="C1175" s="1"/>
      <c r="D1175" s="8"/>
      <c r="E1175" s="8"/>
      <c r="F1175" s="8"/>
      <c r="G1175" s="8"/>
      <c r="H1175" s="5"/>
      <c r="I1175" s="5"/>
      <c r="J1175" s="5"/>
    </row>
    <row r="1176" spans="2:10">
      <c r="B1176" s="1"/>
      <c r="C1176" s="1"/>
      <c r="D1176" s="8"/>
      <c r="E1176" s="8"/>
      <c r="F1176" s="8"/>
      <c r="G1176" s="8"/>
      <c r="H1176" s="5"/>
      <c r="I1176" s="5"/>
      <c r="J1176" s="5"/>
    </row>
    <row r="1177" spans="2:10">
      <c r="B1177" s="1"/>
      <c r="C1177" s="1"/>
      <c r="D1177" s="8"/>
      <c r="E1177" s="8"/>
      <c r="F1177" s="8"/>
      <c r="G1177" s="8"/>
      <c r="H1177" s="5"/>
      <c r="I1177" s="5"/>
      <c r="J1177" s="5"/>
    </row>
    <row r="1178" spans="2:10">
      <c r="B1178" s="1"/>
      <c r="C1178" s="1"/>
      <c r="D1178" s="8"/>
      <c r="E1178" s="8"/>
      <c r="F1178" s="8"/>
      <c r="G1178" s="8"/>
      <c r="H1178" s="5"/>
      <c r="I1178" s="5"/>
      <c r="J1178" s="5"/>
    </row>
    <row r="1179" spans="2:10">
      <c r="B1179" s="1"/>
      <c r="C1179" s="1"/>
      <c r="D1179" s="8"/>
      <c r="E1179" s="8"/>
      <c r="F1179" s="8"/>
      <c r="G1179" s="8"/>
      <c r="H1179" s="5"/>
      <c r="I1179" s="5"/>
      <c r="J1179" s="5"/>
    </row>
    <row r="1180" spans="2:10">
      <c r="B1180" s="1"/>
      <c r="C1180" s="1"/>
      <c r="D1180" s="8"/>
      <c r="E1180" s="8"/>
      <c r="F1180" s="8"/>
      <c r="G1180" s="8"/>
      <c r="H1180" s="5"/>
      <c r="I1180" s="5"/>
      <c r="J1180" s="5"/>
    </row>
    <row r="1181" spans="2:10">
      <c r="B1181" s="1"/>
      <c r="C1181" s="1"/>
      <c r="D1181" s="8"/>
      <c r="E1181" s="8"/>
      <c r="F1181" s="8"/>
      <c r="G1181" s="8"/>
      <c r="H1181" s="5"/>
      <c r="I1181" s="5"/>
      <c r="J1181" s="5"/>
    </row>
    <row r="1182" spans="2:10">
      <c r="B1182" s="1"/>
      <c r="C1182" s="1"/>
      <c r="D1182" s="8"/>
      <c r="E1182" s="8"/>
      <c r="F1182" s="8"/>
      <c r="G1182" s="8"/>
      <c r="H1182" s="5"/>
      <c r="I1182" s="5"/>
      <c r="J1182" s="5"/>
    </row>
    <row r="1183" spans="2:10">
      <c r="B1183" s="1"/>
      <c r="C1183" s="1"/>
      <c r="D1183" s="8"/>
      <c r="E1183" s="8"/>
      <c r="F1183" s="8"/>
      <c r="G1183" s="8"/>
      <c r="H1183" s="5"/>
      <c r="I1183" s="5"/>
      <c r="J1183" s="5"/>
    </row>
    <row r="1184" spans="2:10">
      <c r="B1184" s="1"/>
      <c r="C1184" s="1"/>
      <c r="D1184" s="8"/>
      <c r="E1184" s="8"/>
      <c r="F1184" s="8"/>
      <c r="G1184" s="8"/>
      <c r="H1184" s="5"/>
      <c r="I1184" s="5"/>
      <c r="J1184" s="5"/>
    </row>
    <row r="1185" spans="2:10">
      <c r="B1185" s="1"/>
      <c r="C1185" s="1"/>
      <c r="D1185" s="8"/>
      <c r="E1185" s="8"/>
      <c r="F1185" s="8"/>
      <c r="G1185" s="8"/>
      <c r="H1185" s="5"/>
      <c r="I1185" s="5"/>
      <c r="J1185" s="5"/>
    </row>
    <row r="1186" spans="2:10">
      <c r="B1186" s="1"/>
      <c r="C1186" s="1"/>
      <c r="D1186" s="8"/>
      <c r="E1186" s="8"/>
      <c r="F1186" s="8"/>
      <c r="G1186" s="8"/>
      <c r="H1186" s="5"/>
      <c r="I1186" s="5"/>
      <c r="J1186" s="5"/>
    </row>
    <row r="1187" spans="2:10">
      <c r="B1187" s="1"/>
      <c r="C1187" s="1"/>
      <c r="D1187" s="8"/>
      <c r="E1187" s="8"/>
      <c r="F1187" s="8"/>
      <c r="G1187" s="8"/>
      <c r="H1187" s="5"/>
      <c r="I1187" s="5"/>
      <c r="J1187" s="5"/>
    </row>
    <row r="1188" spans="2:10">
      <c r="B1188" s="1"/>
      <c r="C1188" s="1"/>
      <c r="D1188" s="8"/>
      <c r="E1188" s="8"/>
      <c r="F1188" s="8"/>
      <c r="G1188" s="8"/>
      <c r="H1188" s="5"/>
      <c r="I1188" s="5"/>
      <c r="J1188" s="5"/>
    </row>
    <row r="1189" spans="2:10">
      <c r="B1189" s="1"/>
      <c r="C1189" s="1"/>
      <c r="D1189" s="8"/>
      <c r="E1189" s="8"/>
      <c r="F1189" s="8"/>
      <c r="G1189" s="8"/>
      <c r="H1189" s="5"/>
      <c r="I1189" s="5"/>
      <c r="J1189" s="5"/>
    </row>
    <row r="1190" spans="2:10">
      <c r="B1190" s="1"/>
      <c r="C1190" s="1"/>
      <c r="D1190" s="8"/>
      <c r="E1190" s="8"/>
      <c r="F1190" s="8"/>
      <c r="G1190" s="8"/>
      <c r="H1190" s="5"/>
      <c r="I1190" s="5"/>
      <c r="J1190" s="5"/>
    </row>
    <row r="1191" spans="2:10">
      <c r="B1191" s="1"/>
      <c r="C1191" s="1"/>
      <c r="D1191" s="8"/>
      <c r="E1191" s="8"/>
      <c r="F1191" s="8"/>
      <c r="G1191" s="8"/>
      <c r="H1191" s="5"/>
      <c r="I1191" s="5"/>
      <c r="J1191" s="5"/>
    </row>
    <row r="1192" spans="2:10">
      <c r="B1192" s="1"/>
      <c r="C1192" s="1"/>
      <c r="D1192" s="8"/>
      <c r="E1192" s="8"/>
      <c r="F1192" s="8"/>
      <c r="G1192" s="8"/>
      <c r="H1192" s="5"/>
      <c r="I1192" s="5"/>
      <c r="J1192" s="5"/>
    </row>
    <row r="1193" spans="2:10">
      <c r="B1193" s="1"/>
      <c r="C1193" s="1"/>
      <c r="D1193" s="8"/>
      <c r="E1193" s="8"/>
      <c r="F1193" s="8"/>
      <c r="G1193" s="8"/>
      <c r="H1193" s="5"/>
      <c r="I1193" s="5"/>
      <c r="J1193" s="5"/>
    </row>
    <row r="1194" spans="2:10">
      <c r="B1194" s="1"/>
      <c r="C1194" s="1"/>
      <c r="D1194" s="8"/>
      <c r="E1194" s="8"/>
      <c r="F1194" s="8"/>
      <c r="G1194" s="8"/>
      <c r="H1194" s="5"/>
      <c r="I1194" s="5"/>
      <c r="J1194" s="5"/>
    </row>
    <row r="1195" spans="2:10">
      <c r="B1195" s="1"/>
      <c r="C1195" s="1"/>
      <c r="D1195" s="8"/>
      <c r="E1195" s="8"/>
      <c r="F1195" s="8"/>
      <c r="G1195" s="8"/>
      <c r="H1195" s="5"/>
      <c r="I1195" s="5"/>
      <c r="J1195" s="5"/>
    </row>
    <row r="1196" spans="2:10">
      <c r="B1196" s="1"/>
      <c r="C1196" s="1"/>
      <c r="D1196" s="8"/>
      <c r="E1196" s="8"/>
      <c r="F1196" s="8"/>
      <c r="G1196" s="8"/>
      <c r="H1196" s="5"/>
      <c r="I1196" s="5"/>
      <c r="J1196" s="5"/>
    </row>
    <row r="1197" spans="2:10">
      <c r="B1197" s="1"/>
      <c r="C1197" s="1"/>
      <c r="D1197" s="8"/>
      <c r="E1197" s="8"/>
      <c r="F1197" s="8"/>
      <c r="G1197" s="8"/>
      <c r="H1197" s="5"/>
      <c r="I1197" s="5"/>
      <c r="J1197" s="5"/>
    </row>
    <row r="1198" spans="2:10">
      <c r="B1198" s="1"/>
      <c r="C1198" s="1"/>
      <c r="D1198" s="8"/>
      <c r="E1198" s="8"/>
      <c r="F1198" s="8"/>
      <c r="G1198" s="8"/>
      <c r="H1198" s="5"/>
      <c r="I1198" s="5"/>
      <c r="J1198" s="5"/>
    </row>
    <row r="1199" spans="2:10">
      <c r="B1199" s="1"/>
      <c r="C1199" s="1"/>
      <c r="D1199" s="8"/>
      <c r="E1199" s="8"/>
      <c r="F1199" s="8"/>
      <c r="G1199" s="8"/>
      <c r="H1199" s="5"/>
      <c r="I1199" s="5"/>
      <c r="J1199" s="5"/>
    </row>
    <row r="1200" spans="2:10">
      <c r="B1200" s="1"/>
      <c r="C1200" s="1"/>
      <c r="D1200" s="8"/>
      <c r="E1200" s="8"/>
      <c r="F1200" s="8"/>
      <c r="G1200" s="8"/>
      <c r="H1200" s="5"/>
      <c r="I1200" s="5"/>
      <c r="J1200" s="5"/>
    </row>
    <row r="1201" spans="2:10">
      <c r="B1201" s="1"/>
      <c r="C1201" s="1"/>
      <c r="D1201" s="8"/>
      <c r="E1201" s="8"/>
      <c r="F1201" s="8"/>
      <c r="G1201" s="8"/>
      <c r="H1201" s="5"/>
      <c r="I1201" s="5"/>
      <c r="J1201" s="5"/>
    </row>
    <row r="1202" spans="2:10">
      <c r="B1202" s="1"/>
      <c r="C1202" s="1"/>
      <c r="D1202" s="8"/>
      <c r="E1202" s="8"/>
      <c r="F1202" s="8"/>
      <c r="G1202" s="8"/>
      <c r="H1202" s="5"/>
      <c r="I1202" s="5"/>
      <c r="J1202" s="5"/>
    </row>
    <row r="1203" spans="2:10">
      <c r="B1203" s="1"/>
      <c r="C1203" s="1"/>
      <c r="D1203" s="8"/>
      <c r="E1203" s="8"/>
      <c r="F1203" s="8"/>
      <c r="G1203" s="8"/>
      <c r="H1203" s="5"/>
      <c r="I1203" s="5"/>
      <c r="J1203" s="5"/>
    </row>
    <row r="1204" spans="2:10">
      <c r="B1204" s="1"/>
      <c r="C1204" s="1"/>
      <c r="D1204" s="8"/>
      <c r="E1204" s="8"/>
      <c r="F1204" s="8"/>
      <c r="G1204" s="8"/>
      <c r="H1204" s="5"/>
      <c r="I1204" s="5"/>
      <c r="J1204" s="5"/>
    </row>
    <row r="1205" spans="2:10">
      <c r="B1205" s="1"/>
      <c r="C1205" s="1"/>
      <c r="D1205" s="8"/>
      <c r="E1205" s="8"/>
      <c r="F1205" s="8"/>
      <c r="G1205" s="8"/>
      <c r="H1205" s="5"/>
      <c r="I1205" s="5"/>
      <c r="J1205" s="5"/>
    </row>
    <row r="1206" spans="2:10">
      <c r="B1206" s="1"/>
      <c r="C1206" s="1"/>
      <c r="D1206" s="8"/>
      <c r="E1206" s="8"/>
      <c r="F1206" s="8"/>
      <c r="G1206" s="8"/>
      <c r="H1206" s="5"/>
      <c r="I1206" s="5"/>
      <c r="J1206" s="5"/>
    </row>
    <row r="1207" spans="2:10">
      <c r="B1207" s="1"/>
      <c r="C1207" s="1"/>
      <c r="D1207" s="8"/>
      <c r="E1207" s="8"/>
      <c r="F1207" s="8"/>
      <c r="G1207" s="8"/>
      <c r="H1207" s="5"/>
      <c r="I1207" s="5"/>
      <c r="J1207" s="5"/>
    </row>
    <row r="1208" spans="2:10">
      <c r="B1208" s="1"/>
      <c r="C1208" s="1"/>
      <c r="D1208" s="8"/>
      <c r="E1208" s="8"/>
      <c r="F1208" s="8"/>
      <c r="G1208" s="8"/>
      <c r="H1208" s="5"/>
      <c r="I1208" s="5"/>
      <c r="J1208" s="5"/>
    </row>
    <row r="1209" spans="2:10">
      <c r="B1209" s="1"/>
      <c r="C1209" s="1"/>
      <c r="D1209" s="8"/>
      <c r="E1209" s="8"/>
      <c r="F1209" s="8"/>
      <c r="G1209" s="8"/>
      <c r="H1209" s="5"/>
      <c r="I1209" s="5"/>
      <c r="J1209" s="5"/>
    </row>
    <row r="1210" spans="2:10">
      <c r="B1210" s="1"/>
      <c r="C1210" s="1"/>
      <c r="D1210" s="8"/>
      <c r="E1210" s="8"/>
      <c r="F1210" s="8"/>
      <c r="G1210" s="8"/>
      <c r="H1210" s="5"/>
      <c r="I1210" s="5"/>
      <c r="J1210" s="5"/>
    </row>
    <row r="1211" spans="2:10">
      <c r="B1211" s="1"/>
      <c r="C1211" s="1"/>
      <c r="D1211" s="8"/>
      <c r="E1211" s="8"/>
      <c r="F1211" s="8"/>
      <c r="G1211" s="8"/>
      <c r="H1211" s="5"/>
      <c r="I1211" s="5"/>
      <c r="J1211" s="5"/>
    </row>
    <row r="1212" spans="2:10">
      <c r="B1212" s="1"/>
      <c r="C1212" s="1"/>
      <c r="D1212" s="8"/>
      <c r="E1212" s="8"/>
      <c r="F1212" s="8"/>
      <c r="G1212" s="8"/>
      <c r="H1212" s="5"/>
      <c r="I1212" s="5"/>
      <c r="J1212" s="5"/>
    </row>
    <row r="1213" spans="2:10">
      <c r="B1213" s="1"/>
      <c r="C1213" s="1"/>
      <c r="D1213" s="8"/>
      <c r="E1213" s="8"/>
      <c r="F1213" s="8"/>
      <c r="G1213" s="8"/>
      <c r="H1213" s="5"/>
      <c r="I1213" s="5"/>
      <c r="J1213" s="5"/>
    </row>
    <row r="1214" spans="2:10">
      <c r="B1214" s="1"/>
      <c r="C1214" s="1"/>
      <c r="D1214" s="8"/>
      <c r="E1214" s="8"/>
      <c r="F1214" s="8"/>
      <c r="G1214" s="8"/>
      <c r="H1214" s="5"/>
      <c r="I1214" s="5"/>
      <c r="J1214" s="5"/>
    </row>
    <row r="1215" spans="2:10">
      <c r="B1215" s="1"/>
      <c r="C1215" s="1"/>
      <c r="D1215" s="8"/>
      <c r="E1215" s="8"/>
      <c r="F1215" s="8"/>
      <c r="G1215" s="8"/>
      <c r="H1215" s="5"/>
      <c r="I1215" s="5"/>
      <c r="J1215" s="5"/>
    </row>
    <row r="1216" spans="2:10">
      <c r="B1216" s="1"/>
      <c r="C1216" s="1"/>
      <c r="D1216" s="8"/>
      <c r="E1216" s="8"/>
      <c r="F1216" s="8"/>
      <c r="G1216" s="8"/>
      <c r="H1216" s="5"/>
      <c r="I1216" s="5"/>
      <c r="J1216" s="5"/>
    </row>
    <row r="1217" spans="2:10">
      <c r="B1217" s="1"/>
      <c r="C1217" s="1"/>
      <c r="D1217" s="8"/>
      <c r="E1217" s="8"/>
      <c r="F1217" s="8"/>
      <c r="G1217" s="8"/>
      <c r="H1217" s="5"/>
      <c r="I1217" s="5"/>
      <c r="J1217" s="5"/>
    </row>
    <row r="1218" spans="2:10">
      <c r="B1218" s="1"/>
      <c r="C1218" s="1"/>
      <c r="D1218" s="8"/>
      <c r="E1218" s="8"/>
      <c r="F1218" s="8"/>
      <c r="G1218" s="8"/>
      <c r="H1218" s="5"/>
      <c r="I1218" s="5"/>
      <c r="J1218" s="5"/>
    </row>
    <row r="1219" spans="2:10">
      <c r="B1219" s="1"/>
      <c r="C1219" s="1"/>
      <c r="D1219" s="8"/>
      <c r="E1219" s="8"/>
      <c r="F1219" s="8"/>
      <c r="G1219" s="8"/>
      <c r="H1219" s="5"/>
      <c r="I1219" s="5"/>
      <c r="J1219" s="5"/>
    </row>
    <row r="1220" spans="2:10">
      <c r="B1220" s="1"/>
      <c r="C1220" s="1"/>
      <c r="D1220" s="8"/>
      <c r="E1220" s="8"/>
      <c r="F1220" s="8"/>
      <c r="G1220" s="8"/>
      <c r="H1220" s="5"/>
      <c r="I1220" s="5"/>
      <c r="J1220" s="5"/>
    </row>
    <row r="1221" spans="2:10">
      <c r="B1221" s="1"/>
      <c r="C1221" s="1"/>
      <c r="D1221" s="8"/>
      <c r="E1221" s="8"/>
      <c r="F1221" s="8"/>
      <c r="G1221" s="8"/>
      <c r="H1221" s="5"/>
      <c r="I1221" s="5"/>
      <c r="J1221" s="5"/>
    </row>
    <row r="1222" spans="2:10">
      <c r="B1222" s="1"/>
      <c r="C1222" s="1"/>
      <c r="D1222" s="8"/>
      <c r="E1222" s="8"/>
      <c r="F1222" s="8"/>
      <c r="G1222" s="8"/>
      <c r="H1222" s="5"/>
      <c r="I1222" s="5"/>
      <c r="J1222" s="5"/>
    </row>
    <row r="1223" spans="2:10">
      <c r="B1223" s="1"/>
      <c r="C1223" s="1"/>
      <c r="D1223" s="8"/>
      <c r="E1223" s="8"/>
      <c r="F1223" s="8"/>
      <c r="G1223" s="8"/>
      <c r="H1223" s="5"/>
      <c r="I1223" s="5"/>
      <c r="J1223" s="5"/>
    </row>
    <row r="1224" spans="2:10">
      <c r="B1224" s="1"/>
      <c r="C1224" s="1"/>
      <c r="D1224" s="8"/>
      <c r="E1224" s="8"/>
      <c r="F1224" s="8"/>
      <c r="G1224" s="8"/>
      <c r="H1224" s="5"/>
      <c r="I1224" s="5"/>
      <c r="J1224" s="5"/>
    </row>
    <row r="1225" spans="2:10">
      <c r="B1225" s="1"/>
      <c r="C1225" s="1"/>
      <c r="D1225" s="8"/>
      <c r="E1225" s="8"/>
      <c r="F1225" s="8"/>
      <c r="G1225" s="8"/>
      <c r="H1225" s="5"/>
      <c r="I1225" s="5"/>
      <c r="J1225" s="5"/>
    </row>
    <row r="1226" spans="2:10">
      <c r="B1226" s="1"/>
      <c r="C1226" s="1"/>
      <c r="D1226" s="8"/>
      <c r="E1226" s="8"/>
      <c r="F1226" s="8"/>
      <c r="G1226" s="8"/>
      <c r="H1226" s="5"/>
      <c r="I1226" s="5"/>
      <c r="J1226" s="5"/>
    </row>
    <row r="1227" spans="2:10">
      <c r="B1227" s="1"/>
      <c r="C1227" s="1"/>
      <c r="D1227" s="8"/>
      <c r="E1227" s="8"/>
      <c r="F1227" s="8"/>
      <c r="G1227" s="8"/>
      <c r="H1227" s="5"/>
      <c r="I1227" s="5"/>
      <c r="J1227" s="5"/>
    </row>
    <row r="1228" spans="2:10">
      <c r="B1228" s="1"/>
      <c r="C1228" s="1"/>
      <c r="D1228" s="8"/>
      <c r="E1228" s="8"/>
      <c r="F1228" s="8"/>
      <c r="G1228" s="8"/>
      <c r="H1228" s="5"/>
      <c r="I1228" s="5"/>
      <c r="J1228" s="5"/>
    </row>
    <row r="1229" spans="2:10">
      <c r="B1229" s="1"/>
      <c r="C1229" s="1"/>
      <c r="D1229" s="8"/>
      <c r="E1229" s="8"/>
      <c r="F1229" s="8"/>
      <c r="G1229" s="8"/>
      <c r="H1229" s="5"/>
      <c r="I1229" s="5"/>
      <c r="J1229" s="5"/>
    </row>
    <row r="1230" spans="2:10">
      <c r="B1230" s="1"/>
      <c r="C1230" s="1"/>
      <c r="D1230" s="8"/>
      <c r="E1230" s="8"/>
      <c r="F1230" s="8"/>
      <c r="G1230" s="8"/>
      <c r="H1230" s="5"/>
      <c r="I1230" s="5"/>
      <c r="J1230" s="5"/>
    </row>
    <row r="1231" spans="2:10">
      <c r="B1231" s="1"/>
      <c r="C1231" s="1"/>
      <c r="D1231" s="8"/>
      <c r="E1231" s="8"/>
      <c r="F1231" s="8"/>
      <c r="G1231" s="8"/>
      <c r="H1231" s="5"/>
      <c r="I1231" s="5"/>
      <c r="J1231" s="5"/>
    </row>
    <row r="1232" spans="2:10">
      <c r="B1232" s="1"/>
      <c r="C1232" s="1"/>
      <c r="D1232" s="8"/>
      <c r="E1232" s="8"/>
      <c r="F1232" s="8"/>
      <c r="G1232" s="8"/>
      <c r="H1232" s="5"/>
      <c r="I1232" s="5"/>
      <c r="J1232" s="5"/>
    </row>
    <row r="1233" spans="2:10">
      <c r="B1233" s="1"/>
      <c r="C1233" s="1"/>
      <c r="D1233" s="8"/>
      <c r="E1233" s="8"/>
      <c r="F1233" s="8"/>
      <c r="G1233" s="8"/>
      <c r="H1233" s="5"/>
      <c r="I1233" s="5"/>
      <c r="J1233" s="5"/>
    </row>
    <row r="1234" spans="2:10">
      <c r="B1234" s="1"/>
      <c r="C1234" s="1"/>
      <c r="D1234" s="8"/>
      <c r="E1234" s="8"/>
      <c r="F1234" s="8"/>
      <c r="G1234" s="8"/>
      <c r="H1234" s="5"/>
      <c r="I1234" s="5"/>
      <c r="J1234" s="5"/>
    </row>
    <row r="1235" spans="2:10">
      <c r="B1235" s="1"/>
      <c r="C1235" s="1"/>
      <c r="D1235" s="8"/>
      <c r="E1235" s="8"/>
      <c r="F1235" s="8"/>
      <c r="G1235" s="8"/>
      <c r="H1235" s="5"/>
      <c r="I1235" s="5"/>
      <c r="J1235" s="5"/>
    </row>
    <row r="1236" spans="2:10">
      <c r="B1236" s="1"/>
      <c r="C1236" s="1"/>
      <c r="D1236" s="8"/>
      <c r="E1236" s="8"/>
      <c r="F1236" s="8"/>
      <c r="G1236" s="8"/>
      <c r="H1236" s="5"/>
      <c r="I1236" s="5"/>
      <c r="J1236" s="5"/>
    </row>
    <row r="1237" spans="2:10">
      <c r="B1237" s="1"/>
      <c r="C1237" s="1"/>
      <c r="D1237" s="8"/>
      <c r="E1237" s="8"/>
      <c r="F1237" s="8"/>
      <c r="G1237" s="8"/>
      <c r="H1237" s="5"/>
      <c r="I1237" s="5"/>
      <c r="J1237" s="5"/>
    </row>
    <row r="1238" spans="2:10">
      <c r="B1238" s="1"/>
      <c r="C1238" s="1"/>
      <c r="D1238" s="8"/>
      <c r="E1238" s="8"/>
      <c r="F1238" s="8"/>
      <c r="G1238" s="8"/>
      <c r="H1238" s="5"/>
      <c r="I1238" s="5"/>
      <c r="J1238" s="5"/>
    </row>
    <row r="1239" spans="2:10">
      <c r="B1239" s="1"/>
      <c r="C1239" s="1"/>
      <c r="D1239" s="8"/>
      <c r="E1239" s="8"/>
      <c r="F1239" s="8"/>
      <c r="G1239" s="8"/>
      <c r="H1239" s="5"/>
      <c r="I1239" s="5"/>
      <c r="J1239" s="5"/>
    </row>
    <row r="1240" spans="2:10">
      <c r="B1240" s="1"/>
      <c r="C1240" s="1"/>
      <c r="D1240" s="8"/>
      <c r="E1240" s="8"/>
      <c r="F1240" s="8"/>
      <c r="G1240" s="8"/>
      <c r="H1240" s="5"/>
      <c r="I1240" s="5"/>
      <c r="J1240" s="5"/>
    </row>
    <row r="1241" spans="2:10">
      <c r="B1241" s="1"/>
      <c r="C1241" s="1"/>
      <c r="D1241" s="8"/>
      <c r="E1241" s="8"/>
      <c r="F1241" s="8"/>
      <c r="G1241" s="8"/>
      <c r="H1241" s="5"/>
      <c r="I1241" s="5"/>
      <c r="J1241" s="5"/>
    </row>
    <row r="1242" spans="2:10">
      <c r="B1242" s="1"/>
      <c r="C1242" s="1"/>
      <c r="D1242" s="8"/>
      <c r="E1242" s="8"/>
      <c r="F1242" s="8"/>
      <c r="G1242" s="8"/>
      <c r="H1242" s="5"/>
      <c r="I1242" s="5"/>
      <c r="J1242" s="5"/>
    </row>
    <row r="1243" spans="2:10">
      <c r="B1243" s="1"/>
      <c r="C1243" s="1"/>
      <c r="D1243" s="8"/>
      <c r="E1243" s="8"/>
      <c r="F1243" s="8"/>
      <c r="G1243" s="8"/>
      <c r="H1243" s="5"/>
      <c r="I1243" s="5"/>
      <c r="J1243" s="5"/>
    </row>
    <row r="1244" spans="2:10">
      <c r="B1244" s="1"/>
      <c r="C1244" s="1"/>
      <c r="D1244" s="8"/>
      <c r="E1244" s="8"/>
      <c r="F1244" s="8"/>
      <c r="G1244" s="8"/>
      <c r="H1244" s="5"/>
      <c r="I1244" s="5"/>
      <c r="J1244" s="5"/>
    </row>
    <row r="1245" spans="2:10">
      <c r="B1245" s="1"/>
      <c r="C1245" s="1"/>
      <c r="D1245" s="8"/>
      <c r="E1245" s="8"/>
      <c r="F1245" s="8"/>
      <c r="G1245" s="8"/>
      <c r="H1245" s="5"/>
      <c r="I1245" s="5"/>
      <c r="J1245" s="5"/>
    </row>
    <row r="1246" spans="2:10">
      <c r="B1246" s="1"/>
      <c r="C1246" s="1"/>
      <c r="D1246" s="8"/>
      <c r="E1246" s="8"/>
      <c r="F1246" s="8"/>
      <c r="G1246" s="8"/>
      <c r="H1246" s="5"/>
      <c r="I1246" s="5"/>
      <c r="J1246" s="5"/>
    </row>
    <row r="1247" spans="2:10">
      <c r="B1247" s="1"/>
      <c r="C1247" s="1"/>
      <c r="D1247" s="8"/>
      <c r="E1247" s="8"/>
      <c r="F1247" s="8"/>
      <c r="G1247" s="8"/>
      <c r="H1247" s="5"/>
      <c r="I1247" s="5"/>
      <c r="J1247" s="5"/>
    </row>
    <row r="1248" spans="2:10">
      <c r="B1248" s="1"/>
      <c r="C1248" s="1"/>
      <c r="D1248" s="8"/>
      <c r="E1248" s="8"/>
      <c r="F1248" s="8"/>
      <c r="G1248" s="8"/>
      <c r="H1248" s="5"/>
      <c r="I1248" s="5"/>
      <c r="J1248" s="5"/>
    </row>
    <row r="1249" spans="2:10">
      <c r="B1249" s="1"/>
      <c r="C1249" s="1"/>
      <c r="D1249" s="8"/>
      <c r="E1249" s="8"/>
      <c r="F1249" s="8"/>
      <c r="G1249" s="8"/>
      <c r="H1249" s="5"/>
      <c r="I1249" s="5"/>
      <c r="J1249" s="5"/>
    </row>
    <row r="1250" spans="2:10">
      <c r="B1250" s="1"/>
      <c r="C1250" s="1"/>
      <c r="D1250" s="8"/>
      <c r="E1250" s="8"/>
      <c r="F1250" s="8"/>
      <c r="G1250" s="8"/>
      <c r="H1250" s="5"/>
      <c r="I1250" s="5"/>
      <c r="J1250" s="5"/>
    </row>
    <row r="1251" spans="2:10">
      <c r="B1251" s="1"/>
      <c r="C1251" s="1"/>
      <c r="D1251" s="8"/>
      <c r="E1251" s="8"/>
      <c r="F1251" s="8"/>
      <c r="G1251" s="8"/>
      <c r="H1251" s="5"/>
      <c r="I1251" s="5"/>
      <c r="J1251" s="5"/>
    </row>
    <row r="1252" spans="2:10">
      <c r="B1252" s="1"/>
      <c r="C1252" s="1"/>
      <c r="D1252" s="8"/>
      <c r="E1252" s="8"/>
      <c r="F1252" s="8"/>
      <c r="G1252" s="8"/>
      <c r="H1252" s="5"/>
      <c r="I1252" s="5"/>
      <c r="J1252" s="5"/>
    </row>
    <row r="1253" spans="2:10">
      <c r="B1253" s="1"/>
      <c r="C1253" s="1"/>
      <c r="D1253" s="8"/>
      <c r="E1253" s="8"/>
      <c r="F1253" s="8"/>
      <c r="G1253" s="8"/>
      <c r="H1253" s="5"/>
      <c r="I1253" s="5"/>
      <c r="J1253" s="5"/>
    </row>
    <row r="1254" spans="2:10">
      <c r="B1254" s="1"/>
      <c r="C1254" s="1"/>
      <c r="D1254" s="8"/>
      <c r="E1254" s="8"/>
      <c r="F1254" s="8"/>
      <c r="G1254" s="8"/>
      <c r="H1254" s="5"/>
      <c r="I1254" s="5"/>
      <c r="J1254" s="5"/>
    </row>
    <row r="1255" spans="2:10">
      <c r="B1255" s="1"/>
      <c r="C1255" s="1"/>
      <c r="D1255" s="8"/>
      <c r="E1255" s="8"/>
      <c r="F1255" s="8"/>
      <c r="G1255" s="8"/>
      <c r="H1255" s="5"/>
      <c r="I1255" s="5"/>
      <c r="J1255" s="5"/>
    </row>
    <row r="1256" spans="2:10">
      <c r="B1256" s="1"/>
      <c r="C1256" s="1"/>
      <c r="D1256" s="8"/>
      <c r="E1256" s="8"/>
      <c r="F1256" s="8"/>
      <c r="G1256" s="8"/>
      <c r="H1256" s="5"/>
      <c r="I1256" s="5"/>
      <c r="J1256" s="5"/>
    </row>
    <row r="1257" spans="2:10">
      <c r="B1257" s="1"/>
      <c r="C1257" s="1"/>
      <c r="D1257" s="8"/>
      <c r="E1257" s="8"/>
      <c r="F1257" s="8"/>
      <c r="G1257" s="8"/>
      <c r="H1257" s="5"/>
      <c r="I1257" s="5"/>
      <c r="J1257" s="5"/>
    </row>
    <row r="1258" spans="2:10">
      <c r="B1258" s="1"/>
      <c r="C1258" s="1"/>
      <c r="D1258" s="8"/>
      <c r="E1258" s="8"/>
      <c r="F1258" s="8"/>
      <c r="G1258" s="8"/>
      <c r="H1258" s="5"/>
      <c r="I1258" s="5"/>
      <c r="J1258" s="5"/>
    </row>
    <row r="1259" spans="2:10">
      <c r="B1259" s="1"/>
      <c r="C1259" s="1"/>
      <c r="D1259" s="8"/>
      <c r="E1259" s="8"/>
      <c r="F1259" s="8"/>
      <c r="G1259" s="8"/>
      <c r="H1259" s="5"/>
      <c r="I1259" s="5"/>
      <c r="J1259" s="5"/>
    </row>
    <row r="1260" spans="2:10">
      <c r="B1260" s="1"/>
      <c r="C1260" s="1"/>
      <c r="D1260" s="8"/>
      <c r="E1260" s="8"/>
      <c r="F1260" s="8"/>
      <c r="G1260" s="8"/>
      <c r="H1260" s="5"/>
      <c r="I1260" s="5"/>
      <c r="J1260" s="5"/>
    </row>
    <row r="1261" spans="2:10">
      <c r="B1261" s="1"/>
      <c r="C1261" s="1"/>
      <c r="D1261" s="8"/>
      <c r="E1261" s="8"/>
      <c r="F1261" s="8"/>
      <c r="G1261" s="8"/>
      <c r="H1261" s="5"/>
      <c r="I1261" s="5"/>
      <c r="J1261" s="5"/>
    </row>
    <row r="1262" spans="2:10">
      <c r="B1262" s="1"/>
      <c r="C1262" s="1"/>
      <c r="D1262" s="8"/>
      <c r="E1262" s="8"/>
      <c r="F1262" s="8"/>
      <c r="G1262" s="8"/>
      <c r="H1262" s="5"/>
      <c r="I1262" s="5"/>
      <c r="J1262" s="5"/>
    </row>
    <row r="1263" spans="2:10">
      <c r="B1263" s="1"/>
      <c r="C1263" s="1"/>
      <c r="D1263" s="8"/>
      <c r="E1263" s="8"/>
      <c r="F1263" s="8"/>
      <c r="G1263" s="8"/>
      <c r="H1263" s="5"/>
      <c r="I1263" s="5"/>
      <c r="J1263" s="5"/>
    </row>
    <row r="1264" spans="2:10">
      <c r="B1264" s="1"/>
      <c r="C1264" s="1"/>
      <c r="D1264" s="8"/>
      <c r="E1264" s="8"/>
      <c r="F1264" s="8"/>
      <c r="G1264" s="8"/>
      <c r="H1264" s="5"/>
      <c r="I1264" s="5"/>
      <c r="J1264" s="5"/>
    </row>
    <row r="1265" spans="2:10">
      <c r="B1265" s="1"/>
      <c r="C1265" s="1"/>
      <c r="D1265" s="8"/>
      <c r="E1265" s="8"/>
      <c r="F1265" s="8"/>
      <c r="G1265" s="8"/>
      <c r="H1265" s="5"/>
      <c r="I1265" s="5"/>
      <c r="J1265" s="5"/>
    </row>
    <row r="1266" spans="2:10">
      <c r="B1266" s="1"/>
      <c r="C1266" s="1"/>
      <c r="D1266" s="8"/>
      <c r="E1266" s="8"/>
      <c r="F1266" s="8"/>
      <c r="G1266" s="8"/>
      <c r="H1266" s="5"/>
      <c r="I1266" s="5"/>
      <c r="J1266" s="5"/>
    </row>
    <row r="1267" spans="2:10">
      <c r="B1267" s="1"/>
      <c r="C1267" s="1"/>
      <c r="D1267" s="8"/>
      <c r="E1267" s="8"/>
      <c r="F1267" s="8"/>
      <c r="G1267" s="8"/>
      <c r="H1267" s="5"/>
      <c r="I1267" s="5"/>
      <c r="J1267" s="5"/>
    </row>
    <row r="1268" spans="2:10">
      <c r="B1268" s="1"/>
      <c r="C1268" s="1"/>
      <c r="D1268" s="8"/>
      <c r="E1268" s="8"/>
      <c r="F1268" s="8"/>
      <c r="G1268" s="8"/>
      <c r="H1268" s="5"/>
      <c r="I1268" s="5"/>
      <c r="J1268" s="5"/>
    </row>
    <row r="1269" spans="2:10">
      <c r="B1269" s="1"/>
      <c r="C1269" s="1"/>
      <c r="D1269" s="8"/>
      <c r="E1269" s="8"/>
      <c r="F1269" s="8"/>
      <c r="G1269" s="8"/>
      <c r="H1269" s="5"/>
      <c r="I1269" s="5"/>
      <c r="J1269" s="5"/>
    </row>
    <row r="1270" spans="2:10">
      <c r="B1270" s="1"/>
      <c r="C1270" s="1"/>
      <c r="D1270" s="8"/>
      <c r="E1270" s="8"/>
      <c r="F1270" s="8"/>
      <c r="G1270" s="8"/>
      <c r="H1270" s="5"/>
      <c r="I1270" s="5"/>
      <c r="J1270" s="5"/>
    </row>
    <row r="1271" spans="2:10">
      <c r="B1271" s="1"/>
      <c r="C1271" s="1"/>
      <c r="D1271" s="8"/>
      <c r="E1271" s="8"/>
      <c r="F1271" s="8"/>
      <c r="G1271" s="8"/>
      <c r="H1271" s="5"/>
      <c r="I1271" s="5"/>
      <c r="J1271" s="5"/>
    </row>
    <row r="1272" spans="2:10">
      <c r="B1272" s="1"/>
      <c r="C1272" s="1"/>
      <c r="D1272" s="8"/>
      <c r="E1272" s="8"/>
      <c r="F1272" s="8"/>
      <c r="G1272" s="8"/>
      <c r="H1272" s="5"/>
      <c r="I1272" s="5"/>
      <c r="J1272" s="5"/>
    </row>
    <row r="1273" spans="2:10">
      <c r="B1273" s="1"/>
      <c r="C1273" s="1"/>
      <c r="D1273" s="8"/>
      <c r="E1273" s="8"/>
      <c r="F1273" s="8"/>
      <c r="G1273" s="8"/>
      <c r="H1273" s="5"/>
      <c r="I1273" s="5"/>
      <c r="J1273" s="5"/>
    </row>
    <row r="1274" spans="2:10">
      <c r="B1274" s="1"/>
      <c r="C1274" s="1"/>
      <c r="D1274" s="8"/>
      <c r="E1274" s="8"/>
      <c r="F1274" s="8"/>
      <c r="G1274" s="8"/>
      <c r="H1274" s="5"/>
      <c r="I1274" s="5"/>
      <c r="J1274" s="5"/>
    </row>
    <row r="1275" spans="2:10">
      <c r="B1275" s="1"/>
      <c r="C1275" s="1"/>
      <c r="D1275" s="8"/>
      <c r="E1275" s="8"/>
      <c r="F1275" s="8"/>
      <c r="G1275" s="8"/>
      <c r="H1275" s="5"/>
      <c r="I1275" s="5"/>
      <c r="J1275" s="5"/>
    </row>
    <row r="1276" spans="2:10">
      <c r="B1276" s="1"/>
      <c r="C1276" s="1"/>
      <c r="D1276" s="8"/>
      <c r="E1276" s="8"/>
      <c r="F1276" s="8"/>
      <c r="G1276" s="8"/>
      <c r="H1276" s="5"/>
      <c r="I1276" s="5"/>
      <c r="J1276" s="5"/>
    </row>
    <row r="1277" spans="2:10">
      <c r="B1277" s="1"/>
      <c r="C1277" s="1"/>
      <c r="D1277" s="8"/>
      <c r="E1277" s="8"/>
      <c r="F1277" s="8"/>
      <c r="G1277" s="8"/>
      <c r="H1277" s="5"/>
      <c r="I1277" s="5"/>
      <c r="J1277" s="5"/>
    </row>
    <row r="1278" spans="2:10">
      <c r="B1278" s="1"/>
      <c r="C1278" s="1"/>
      <c r="D1278" s="8"/>
      <c r="E1278" s="8"/>
      <c r="F1278" s="8"/>
      <c r="G1278" s="8"/>
      <c r="H1278" s="5"/>
      <c r="I1278" s="5"/>
      <c r="J1278" s="5"/>
    </row>
    <row r="1279" spans="2:10">
      <c r="B1279" s="1"/>
      <c r="C1279" s="1"/>
      <c r="D1279" s="8"/>
      <c r="E1279" s="8"/>
      <c r="F1279" s="8"/>
      <c r="G1279" s="8"/>
      <c r="H1279" s="5"/>
      <c r="I1279" s="5"/>
      <c r="J1279" s="5"/>
    </row>
    <row r="1280" spans="2:10">
      <c r="B1280" s="1"/>
      <c r="C1280" s="1"/>
      <c r="D1280" s="8"/>
      <c r="E1280" s="8"/>
      <c r="F1280" s="8"/>
      <c r="G1280" s="8"/>
      <c r="H1280" s="5"/>
      <c r="I1280" s="5"/>
      <c r="J1280" s="5"/>
    </row>
    <row r="1281" spans="2:10">
      <c r="B1281" s="1"/>
      <c r="C1281" s="1"/>
      <c r="D1281" s="8"/>
      <c r="E1281" s="8"/>
      <c r="F1281" s="8"/>
      <c r="G1281" s="8"/>
      <c r="H1281" s="5"/>
      <c r="I1281" s="5"/>
      <c r="J1281" s="5"/>
    </row>
    <row r="1282" spans="2:10">
      <c r="B1282" s="1"/>
      <c r="C1282" s="1"/>
      <c r="D1282" s="8"/>
      <c r="E1282" s="8"/>
      <c r="F1282" s="8"/>
      <c r="G1282" s="8"/>
      <c r="H1282" s="5"/>
      <c r="I1282" s="5"/>
      <c r="J1282" s="5"/>
    </row>
    <row r="1283" spans="2:10">
      <c r="B1283" s="1"/>
      <c r="C1283" s="1"/>
      <c r="D1283" s="8"/>
      <c r="E1283" s="8"/>
      <c r="F1283" s="8"/>
      <c r="G1283" s="8"/>
      <c r="H1283" s="5"/>
      <c r="I1283" s="5"/>
      <c r="J1283" s="5"/>
    </row>
    <row r="1284" spans="2:10">
      <c r="B1284" s="1"/>
      <c r="C1284" s="1"/>
      <c r="D1284" s="8"/>
      <c r="E1284" s="8"/>
      <c r="F1284" s="8"/>
      <c r="G1284" s="8"/>
      <c r="H1284" s="5"/>
      <c r="I1284" s="5"/>
      <c r="J1284" s="5"/>
    </row>
    <row r="1285" spans="2:10">
      <c r="B1285" s="1"/>
      <c r="C1285" s="1"/>
      <c r="D1285" s="8"/>
      <c r="E1285" s="8"/>
      <c r="F1285" s="8"/>
      <c r="G1285" s="8"/>
      <c r="H1285" s="5"/>
      <c r="I1285" s="5"/>
      <c r="J1285" s="5"/>
    </row>
    <row r="1286" spans="2:10">
      <c r="B1286" s="1"/>
      <c r="C1286" s="1"/>
      <c r="D1286" s="8"/>
      <c r="E1286" s="8"/>
      <c r="F1286" s="8"/>
      <c r="G1286" s="8"/>
      <c r="H1286" s="5"/>
      <c r="I1286" s="5"/>
      <c r="J1286" s="5"/>
    </row>
    <row r="1287" spans="2:10">
      <c r="B1287" s="1"/>
      <c r="C1287" s="1"/>
      <c r="D1287" s="8"/>
      <c r="E1287" s="8"/>
      <c r="F1287" s="8"/>
      <c r="G1287" s="8"/>
      <c r="H1287" s="5"/>
      <c r="I1287" s="5"/>
      <c r="J1287" s="5"/>
    </row>
    <row r="1288" spans="2:10">
      <c r="B1288" s="1"/>
      <c r="C1288" s="1"/>
      <c r="D1288" s="8"/>
      <c r="E1288" s="8"/>
      <c r="F1288" s="8"/>
      <c r="G1288" s="8"/>
      <c r="H1288" s="5"/>
      <c r="I1288" s="5"/>
      <c r="J1288" s="5"/>
    </row>
    <row r="1289" spans="2:10">
      <c r="B1289" s="1"/>
      <c r="C1289" s="1"/>
      <c r="D1289" s="8"/>
      <c r="E1289" s="8"/>
      <c r="F1289" s="8"/>
      <c r="G1289" s="8"/>
      <c r="H1289" s="5"/>
      <c r="I1289" s="5"/>
      <c r="J1289" s="5"/>
    </row>
    <row r="1290" spans="2:10">
      <c r="B1290" s="1"/>
      <c r="C1290" s="1"/>
      <c r="D1290" s="8"/>
      <c r="E1290" s="8"/>
      <c r="F1290" s="8"/>
      <c r="G1290" s="8"/>
      <c r="H1290" s="5"/>
      <c r="I1290" s="5"/>
      <c r="J1290" s="5"/>
    </row>
    <row r="1291" spans="2:10">
      <c r="B1291" s="1"/>
      <c r="C1291" s="1"/>
      <c r="D1291" s="8"/>
      <c r="E1291" s="8"/>
      <c r="F1291" s="8"/>
      <c r="G1291" s="8"/>
      <c r="H1291" s="5"/>
      <c r="I1291" s="5"/>
      <c r="J1291" s="5"/>
    </row>
    <row r="1292" spans="2:10">
      <c r="B1292" s="1"/>
      <c r="C1292" s="1"/>
      <c r="D1292" s="8"/>
      <c r="E1292" s="8"/>
      <c r="F1292" s="8"/>
      <c r="G1292" s="8"/>
      <c r="H1292" s="5"/>
      <c r="I1292" s="5"/>
      <c r="J1292" s="5"/>
    </row>
    <row r="1293" spans="2:10">
      <c r="B1293" s="1"/>
      <c r="C1293" s="1"/>
      <c r="D1293" s="8"/>
      <c r="E1293" s="8"/>
      <c r="F1293" s="8"/>
      <c r="G1293" s="8"/>
      <c r="H1293" s="5"/>
      <c r="I1293" s="5"/>
      <c r="J1293" s="5"/>
    </row>
    <row r="1294" spans="2:10">
      <c r="B1294" s="1"/>
      <c r="C1294" s="1"/>
      <c r="D1294" s="8"/>
      <c r="E1294" s="8"/>
      <c r="F1294" s="8"/>
      <c r="G1294" s="8"/>
      <c r="H1294" s="5"/>
      <c r="I1294" s="5"/>
      <c r="J1294" s="5"/>
    </row>
    <row r="1295" spans="2:10">
      <c r="B1295" s="1"/>
      <c r="C1295" s="1"/>
      <c r="D1295" s="8"/>
      <c r="E1295" s="8"/>
      <c r="F1295" s="8"/>
      <c r="G1295" s="8"/>
      <c r="H1295" s="5"/>
      <c r="I1295" s="5"/>
      <c r="J1295" s="5"/>
    </row>
    <row r="1296" spans="2:10">
      <c r="B1296" s="1"/>
      <c r="C1296" s="1"/>
      <c r="D1296" s="8"/>
      <c r="E1296" s="8"/>
      <c r="F1296" s="8"/>
      <c r="G1296" s="8"/>
      <c r="H1296" s="5"/>
      <c r="I1296" s="5"/>
      <c r="J1296" s="5"/>
    </row>
    <row r="1297" spans="2:10">
      <c r="B1297" s="1"/>
      <c r="C1297" s="1"/>
      <c r="D1297" s="8"/>
      <c r="E1297" s="8"/>
      <c r="F1297" s="8"/>
      <c r="G1297" s="8"/>
      <c r="H1297" s="5"/>
      <c r="I1297" s="5"/>
      <c r="J1297" s="5"/>
    </row>
    <row r="1298" spans="2:10">
      <c r="B1298" s="1"/>
      <c r="C1298" s="1"/>
      <c r="D1298" s="8"/>
      <c r="E1298" s="8"/>
      <c r="F1298" s="8"/>
      <c r="G1298" s="8"/>
      <c r="H1298" s="5"/>
      <c r="I1298" s="5"/>
      <c r="J1298" s="5"/>
    </row>
    <row r="1299" spans="2:10">
      <c r="B1299" s="1"/>
      <c r="C1299" s="1"/>
      <c r="D1299" s="8"/>
      <c r="E1299" s="8"/>
      <c r="F1299" s="8"/>
      <c r="G1299" s="8"/>
      <c r="H1299" s="5"/>
      <c r="I1299" s="5"/>
      <c r="J1299" s="5"/>
    </row>
    <row r="1300" spans="2:10">
      <c r="B1300" s="1"/>
      <c r="C1300" s="1"/>
      <c r="D1300" s="8"/>
      <c r="E1300" s="8"/>
      <c r="F1300" s="8"/>
      <c r="G1300" s="8"/>
      <c r="H1300" s="5"/>
      <c r="I1300" s="5"/>
      <c r="J1300" s="5"/>
    </row>
    <row r="1301" spans="2:10">
      <c r="B1301" s="1"/>
      <c r="C1301" s="1"/>
      <c r="D1301" s="8"/>
      <c r="E1301" s="8"/>
      <c r="F1301" s="8"/>
      <c r="G1301" s="8"/>
      <c r="H1301" s="5"/>
      <c r="I1301" s="5"/>
      <c r="J1301" s="5"/>
    </row>
    <row r="1302" spans="2:10">
      <c r="B1302" s="1"/>
      <c r="C1302" s="1"/>
      <c r="D1302" s="8"/>
      <c r="E1302" s="8"/>
      <c r="F1302" s="8"/>
      <c r="G1302" s="8"/>
      <c r="H1302" s="5"/>
      <c r="I1302" s="5"/>
      <c r="J1302" s="5"/>
    </row>
    <row r="1303" spans="2:10">
      <c r="B1303" s="1"/>
      <c r="C1303" s="1"/>
      <c r="D1303" s="8"/>
      <c r="E1303" s="8"/>
      <c r="F1303" s="8"/>
      <c r="G1303" s="8"/>
      <c r="H1303" s="5"/>
      <c r="I1303" s="5"/>
      <c r="J1303" s="5"/>
    </row>
    <row r="1304" spans="2:10">
      <c r="B1304" s="1"/>
      <c r="C1304" s="1"/>
      <c r="D1304" s="8"/>
      <c r="E1304" s="8"/>
      <c r="F1304" s="8"/>
      <c r="G1304" s="8"/>
      <c r="H1304" s="5"/>
      <c r="I1304" s="5"/>
      <c r="J1304" s="5"/>
    </row>
    <row r="1305" spans="2:10">
      <c r="B1305" s="1"/>
      <c r="C1305" s="1"/>
      <c r="D1305" s="8"/>
      <c r="E1305" s="8"/>
      <c r="F1305" s="8"/>
      <c r="G1305" s="8"/>
      <c r="H1305" s="5"/>
      <c r="I1305" s="5"/>
      <c r="J1305" s="5"/>
    </row>
    <row r="1306" spans="2:10">
      <c r="B1306" s="1"/>
      <c r="C1306" s="1"/>
      <c r="D1306" s="8"/>
      <c r="E1306" s="8"/>
      <c r="F1306" s="8"/>
      <c r="G1306" s="8"/>
      <c r="H1306" s="5"/>
      <c r="I1306" s="5"/>
      <c r="J1306" s="5"/>
    </row>
    <row r="1307" spans="2:10">
      <c r="B1307" s="1"/>
      <c r="C1307" s="1"/>
      <c r="D1307" s="8"/>
      <c r="E1307" s="8"/>
      <c r="F1307" s="8"/>
      <c r="G1307" s="8"/>
      <c r="H1307" s="5"/>
      <c r="I1307" s="5"/>
      <c r="J1307" s="5"/>
    </row>
    <row r="1308" spans="2:10">
      <c r="B1308" s="1"/>
      <c r="C1308" s="1"/>
      <c r="D1308" s="8"/>
      <c r="E1308" s="8"/>
      <c r="F1308" s="8"/>
      <c r="G1308" s="8"/>
      <c r="H1308" s="5"/>
      <c r="I1308" s="5"/>
      <c r="J1308" s="5"/>
    </row>
    <row r="1309" spans="2:10">
      <c r="B1309" s="1"/>
      <c r="C1309" s="1"/>
      <c r="D1309" s="8"/>
      <c r="E1309" s="8"/>
      <c r="F1309" s="8"/>
      <c r="G1309" s="8"/>
      <c r="H1309" s="5"/>
      <c r="I1309" s="5"/>
      <c r="J1309" s="5"/>
    </row>
    <row r="1310" spans="2:10">
      <c r="B1310" s="1"/>
      <c r="C1310" s="1"/>
      <c r="D1310" s="8"/>
      <c r="E1310" s="8"/>
      <c r="F1310" s="8"/>
      <c r="G1310" s="8"/>
      <c r="H1310" s="5"/>
      <c r="I1310" s="5"/>
      <c r="J1310" s="5"/>
    </row>
    <row r="1311" spans="2:10">
      <c r="B1311" s="1"/>
      <c r="C1311" s="1"/>
      <c r="D1311" s="8"/>
      <c r="E1311" s="8"/>
      <c r="F1311" s="8"/>
      <c r="G1311" s="8"/>
      <c r="H1311" s="5"/>
      <c r="I1311" s="5"/>
      <c r="J1311" s="5"/>
    </row>
    <row r="1312" spans="2:10">
      <c r="B1312" s="1"/>
      <c r="C1312" s="1"/>
      <c r="D1312" s="8"/>
      <c r="E1312" s="8"/>
      <c r="F1312" s="8"/>
      <c r="G1312" s="8"/>
      <c r="H1312" s="5"/>
      <c r="I1312" s="5"/>
      <c r="J1312" s="5"/>
    </row>
    <row r="1313" spans="2:10">
      <c r="B1313" s="1"/>
      <c r="C1313" s="1"/>
      <c r="D1313" s="8"/>
      <c r="E1313" s="8"/>
      <c r="F1313" s="8"/>
      <c r="G1313" s="8"/>
      <c r="H1313" s="5"/>
      <c r="I1313" s="5"/>
      <c r="J1313" s="5"/>
    </row>
    <row r="1314" spans="2:10">
      <c r="B1314" s="1"/>
      <c r="C1314" s="1"/>
      <c r="D1314" s="8"/>
      <c r="E1314" s="8"/>
      <c r="F1314" s="8"/>
      <c r="G1314" s="8"/>
      <c r="H1314" s="5"/>
      <c r="I1314" s="5"/>
      <c r="J1314" s="5"/>
    </row>
    <row r="1315" spans="2:10">
      <c r="B1315" s="1"/>
      <c r="C1315" s="1"/>
      <c r="D1315" s="8"/>
      <c r="E1315" s="8"/>
      <c r="F1315" s="8"/>
      <c r="G1315" s="8"/>
      <c r="H1315" s="5"/>
      <c r="I1315" s="5"/>
      <c r="J1315" s="5"/>
    </row>
    <row r="1316" spans="2:10">
      <c r="B1316" s="1"/>
      <c r="C1316" s="1"/>
      <c r="D1316" s="8"/>
      <c r="E1316" s="8"/>
      <c r="F1316" s="8"/>
      <c r="G1316" s="8"/>
      <c r="H1316" s="5"/>
      <c r="I1316" s="5"/>
      <c r="J1316" s="5"/>
    </row>
    <row r="1317" spans="2:10">
      <c r="B1317" s="1"/>
      <c r="C1317" s="1"/>
      <c r="D1317" s="8"/>
      <c r="E1317" s="8"/>
      <c r="F1317" s="8"/>
      <c r="G1317" s="8"/>
      <c r="H1317" s="5"/>
      <c r="I1317" s="5"/>
      <c r="J1317" s="5"/>
    </row>
    <row r="1318" spans="2:10">
      <c r="B1318" s="1"/>
      <c r="C1318" s="1"/>
      <c r="D1318" s="8"/>
      <c r="E1318" s="8"/>
      <c r="F1318" s="8"/>
      <c r="G1318" s="8"/>
      <c r="H1318" s="5"/>
      <c r="I1318" s="5"/>
      <c r="J1318" s="5"/>
    </row>
    <row r="1319" spans="2:10">
      <c r="B1319" s="1"/>
      <c r="C1319" s="1"/>
      <c r="D1319" s="8"/>
      <c r="E1319" s="8"/>
      <c r="F1319" s="8"/>
      <c r="G1319" s="8"/>
      <c r="H1319" s="5"/>
      <c r="I1319" s="5"/>
      <c r="J1319" s="5"/>
    </row>
    <row r="1320" spans="2:10">
      <c r="B1320" s="1"/>
      <c r="C1320" s="1"/>
      <c r="D1320" s="8"/>
      <c r="E1320" s="8"/>
      <c r="F1320" s="8"/>
      <c r="G1320" s="8"/>
      <c r="H1320" s="5"/>
      <c r="I1320" s="5"/>
      <c r="J1320" s="5"/>
    </row>
    <row r="1321" spans="2:10">
      <c r="B1321" s="1"/>
      <c r="C1321" s="1"/>
      <c r="D1321" s="8"/>
      <c r="E1321" s="8"/>
      <c r="F1321" s="8"/>
      <c r="G1321" s="8"/>
      <c r="H1321" s="5"/>
      <c r="I1321" s="5"/>
      <c r="J1321" s="5"/>
    </row>
    <row r="1322" spans="2:10">
      <c r="B1322" s="1"/>
      <c r="C1322" s="1"/>
      <c r="D1322" s="8"/>
      <c r="E1322" s="8"/>
      <c r="F1322" s="8"/>
      <c r="G1322" s="8"/>
      <c r="H1322" s="5"/>
      <c r="I1322" s="5"/>
      <c r="J1322" s="5"/>
    </row>
    <row r="1323" spans="2:10">
      <c r="B1323" s="1"/>
      <c r="C1323" s="1"/>
      <c r="D1323" s="8"/>
      <c r="E1323" s="8"/>
      <c r="F1323" s="8"/>
      <c r="G1323" s="8"/>
      <c r="H1323" s="5"/>
      <c r="I1323" s="5"/>
      <c r="J1323" s="5"/>
    </row>
    <row r="1324" spans="2:10">
      <c r="B1324" s="1"/>
      <c r="C1324" s="1"/>
      <c r="D1324" s="8"/>
      <c r="E1324" s="8"/>
      <c r="F1324" s="8"/>
      <c r="G1324" s="8"/>
      <c r="H1324" s="5"/>
      <c r="I1324" s="5"/>
      <c r="J1324" s="5"/>
    </row>
    <row r="1325" spans="2:10">
      <c r="B1325" s="1"/>
      <c r="C1325" s="1"/>
      <c r="D1325" s="8"/>
      <c r="E1325" s="8"/>
      <c r="F1325" s="8"/>
      <c r="G1325" s="8"/>
      <c r="H1325" s="5"/>
      <c r="I1325" s="5"/>
      <c r="J1325" s="5"/>
    </row>
    <row r="1326" spans="2:10">
      <c r="B1326" s="1"/>
      <c r="C1326" s="1"/>
      <c r="D1326" s="8"/>
      <c r="E1326" s="8"/>
      <c r="F1326" s="8"/>
      <c r="G1326" s="8"/>
      <c r="H1326" s="5"/>
      <c r="I1326" s="5"/>
      <c r="J1326" s="5"/>
    </row>
    <row r="1327" spans="2:10">
      <c r="B1327" s="1"/>
      <c r="C1327" s="1"/>
      <c r="D1327" s="8"/>
      <c r="E1327" s="8"/>
      <c r="F1327" s="8"/>
      <c r="G1327" s="8"/>
      <c r="H1327" s="5"/>
      <c r="I1327" s="5"/>
      <c r="J1327" s="5"/>
    </row>
    <row r="1328" spans="2:10">
      <c r="B1328" s="1"/>
      <c r="C1328" s="1"/>
      <c r="D1328" s="8"/>
      <c r="E1328" s="8"/>
      <c r="F1328" s="8"/>
      <c r="G1328" s="8"/>
      <c r="H1328" s="5"/>
      <c r="I1328" s="5"/>
      <c r="J1328" s="5"/>
    </row>
    <row r="1329" spans="2:10">
      <c r="B1329" s="1"/>
      <c r="C1329" s="1"/>
      <c r="D1329" s="8"/>
      <c r="E1329" s="8"/>
      <c r="F1329" s="8"/>
      <c r="G1329" s="8"/>
      <c r="H1329" s="5"/>
      <c r="I1329" s="5"/>
      <c r="J1329" s="5"/>
    </row>
    <row r="1330" spans="2:10">
      <c r="B1330" s="1"/>
      <c r="C1330" s="1"/>
      <c r="D1330" s="8"/>
      <c r="E1330" s="8"/>
      <c r="F1330" s="8"/>
      <c r="G1330" s="8"/>
      <c r="H1330" s="5"/>
      <c r="I1330" s="5"/>
      <c r="J1330" s="5"/>
    </row>
    <row r="1331" spans="2:10">
      <c r="B1331" s="1"/>
      <c r="C1331" s="1"/>
      <c r="D1331" s="8"/>
      <c r="E1331" s="8"/>
      <c r="F1331" s="8"/>
      <c r="G1331" s="8"/>
      <c r="H1331" s="5"/>
      <c r="I1331" s="5"/>
      <c r="J1331" s="5"/>
    </row>
    <row r="1332" spans="2:10">
      <c r="B1332" s="1"/>
      <c r="C1332" s="1"/>
      <c r="D1332" s="8"/>
      <c r="E1332" s="8"/>
      <c r="F1332" s="8"/>
      <c r="G1332" s="8"/>
      <c r="H1332" s="5"/>
      <c r="I1332" s="5"/>
      <c r="J1332" s="5"/>
    </row>
    <row r="1333" spans="2:10">
      <c r="B1333" s="1"/>
      <c r="C1333" s="1"/>
      <c r="D1333" s="8"/>
      <c r="E1333" s="8"/>
      <c r="F1333" s="8"/>
      <c r="G1333" s="8"/>
      <c r="H1333" s="5"/>
      <c r="I1333" s="5"/>
      <c r="J1333" s="5"/>
    </row>
    <row r="1334" spans="2:10">
      <c r="B1334" s="1"/>
      <c r="C1334" s="1"/>
      <c r="D1334" s="8"/>
      <c r="E1334" s="8"/>
      <c r="F1334" s="8"/>
      <c r="G1334" s="8"/>
      <c r="H1334" s="5"/>
      <c r="I1334" s="5"/>
      <c r="J1334" s="5"/>
    </row>
    <row r="1335" spans="2:10">
      <c r="B1335" s="1"/>
      <c r="C1335" s="1"/>
      <c r="D1335" s="8"/>
      <c r="E1335" s="8"/>
      <c r="F1335" s="8"/>
      <c r="G1335" s="8"/>
      <c r="H1335" s="5"/>
      <c r="I1335" s="5"/>
      <c r="J1335" s="5"/>
    </row>
    <row r="1336" spans="2:10">
      <c r="B1336" s="1"/>
      <c r="C1336" s="1"/>
      <c r="D1336" s="8"/>
      <c r="E1336" s="8"/>
      <c r="F1336" s="8"/>
      <c r="G1336" s="8"/>
      <c r="H1336" s="5"/>
      <c r="I1336" s="5"/>
      <c r="J1336" s="5"/>
    </row>
    <row r="1337" spans="2:10">
      <c r="B1337" s="1"/>
      <c r="C1337" s="1"/>
      <c r="D1337" s="8"/>
      <c r="E1337" s="8"/>
      <c r="F1337" s="8"/>
      <c r="G1337" s="8"/>
      <c r="H1337" s="5"/>
      <c r="I1337" s="5"/>
      <c r="J1337" s="5"/>
    </row>
    <row r="1338" spans="2:10">
      <c r="B1338" s="1"/>
      <c r="C1338" s="1"/>
      <c r="D1338" s="8"/>
      <c r="E1338" s="8"/>
      <c r="F1338" s="8"/>
      <c r="G1338" s="8"/>
      <c r="H1338" s="5"/>
      <c r="I1338" s="5"/>
      <c r="J1338" s="5"/>
    </row>
    <row r="1339" spans="2:10">
      <c r="B1339" s="1"/>
      <c r="C1339" s="1"/>
      <c r="D1339" s="8"/>
      <c r="E1339" s="8"/>
      <c r="F1339" s="8"/>
      <c r="G1339" s="8"/>
      <c r="H1339" s="5"/>
      <c r="I1339" s="5"/>
      <c r="J1339" s="5"/>
    </row>
    <row r="1340" spans="2:10">
      <c r="B1340" s="1"/>
      <c r="C1340" s="1"/>
      <c r="D1340" s="8"/>
      <c r="E1340" s="8"/>
      <c r="F1340" s="8"/>
      <c r="G1340" s="8"/>
      <c r="H1340" s="5"/>
      <c r="I1340" s="5"/>
      <c r="J1340" s="5"/>
    </row>
    <row r="1341" spans="2:10">
      <c r="B1341" s="1"/>
      <c r="C1341" s="1"/>
      <c r="D1341" s="8"/>
      <c r="E1341" s="8"/>
      <c r="F1341" s="8"/>
      <c r="G1341" s="8"/>
      <c r="H1341" s="5"/>
      <c r="I1341" s="5"/>
      <c r="J1341" s="5"/>
    </row>
    <row r="1342" spans="2:10">
      <c r="B1342" s="1"/>
      <c r="C1342" s="1"/>
      <c r="D1342" s="8"/>
      <c r="E1342" s="8"/>
      <c r="F1342" s="8"/>
      <c r="G1342" s="8"/>
      <c r="H1342" s="5"/>
      <c r="I1342" s="5"/>
      <c r="J1342" s="5"/>
    </row>
    <row r="1343" spans="2:10">
      <c r="B1343" s="1"/>
      <c r="C1343" s="1"/>
      <c r="D1343" s="8"/>
      <c r="E1343" s="8"/>
      <c r="F1343" s="8"/>
      <c r="G1343" s="8"/>
      <c r="H1343" s="5"/>
      <c r="I1343" s="5"/>
      <c r="J1343" s="5"/>
    </row>
    <row r="1344" spans="2:10">
      <c r="B1344" s="1"/>
      <c r="C1344" s="1"/>
      <c r="D1344" s="8"/>
      <c r="E1344" s="8"/>
      <c r="F1344" s="8"/>
      <c r="G1344" s="8"/>
      <c r="H1344" s="5"/>
      <c r="I1344" s="5"/>
      <c r="J1344" s="5"/>
    </row>
    <row r="1345" spans="2:10">
      <c r="B1345" s="1"/>
      <c r="C1345" s="1"/>
      <c r="D1345" s="8"/>
      <c r="E1345" s="8"/>
      <c r="F1345" s="8"/>
      <c r="G1345" s="8"/>
      <c r="H1345" s="5"/>
      <c r="I1345" s="5"/>
      <c r="J1345" s="5"/>
    </row>
    <row r="1346" spans="2:10">
      <c r="B1346" s="1"/>
      <c r="C1346" s="1"/>
      <c r="D1346" s="8"/>
      <c r="E1346" s="8"/>
      <c r="F1346" s="8"/>
      <c r="G1346" s="8"/>
      <c r="H1346" s="5"/>
      <c r="I1346" s="5"/>
      <c r="J1346" s="5"/>
    </row>
    <row r="1347" spans="2:10">
      <c r="B1347" s="1"/>
      <c r="C1347" s="1"/>
      <c r="D1347" s="8"/>
      <c r="E1347" s="8"/>
      <c r="F1347" s="8"/>
      <c r="G1347" s="8"/>
      <c r="H1347" s="5"/>
      <c r="I1347" s="5"/>
      <c r="J1347" s="5"/>
    </row>
    <row r="1348" spans="2:10">
      <c r="B1348" s="1"/>
      <c r="C1348" s="1"/>
      <c r="D1348" s="8"/>
      <c r="E1348" s="8"/>
      <c r="F1348" s="8"/>
      <c r="G1348" s="8"/>
      <c r="H1348" s="5"/>
      <c r="I1348" s="5"/>
      <c r="J1348" s="5"/>
    </row>
    <row r="1349" spans="2:10">
      <c r="B1349" s="1"/>
      <c r="C1349" s="1"/>
      <c r="D1349" s="8"/>
      <c r="E1349" s="8"/>
      <c r="F1349" s="8"/>
      <c r="G1349" s="8"/>
      <c r="H1349" s="5"/>
      <c r="I1349" s="5"/>
      <c r="J1349" s="5"/>
    </row>
    <row r="1350" spans="2:10">
      <c r="B1350" s="1"/>
      <c r="C1350" s="1"/>
      <c r="D1350" s="8"/>
      <c r="E1350" s="8"/>
      <c r="F1350" s="8"/>
      <c r="G1350" s="8"/>
      <c r="H1350" s="5"/>
      <c r="I1350" s="5"/>
      <c r="J1350" s="5"/>
    </row>
    <row r="1351" spans="2:10">
      <c r="B1351" s="1"/>
      <c r="C1351" s="1"/>
      <c r="D1351" s="8"/>
      <c r="E1351" s="8"/>
      <c r="F1351" s="8"/>
      <c r="G1351" s="8"/>
      <c r="H1351" s="5"/>
      <c r="I1351" s="5"/>
      <c r="J1351" s="5"/>
    </row>
    <row r="1352" spans="2:10">
      <c r="B1352" s="1"/>
      <c r="C1352" s="1"/>
      <c r="D1352" s="8"/>
      <c r="E1352" s="8"/>
      <c r="F1352" s="8"/>
      <c r="G1352" s="8"/>
      <c r="H1352" s="5"/>
      <c r="I1352" s="5"/>
      <c r="J1352" s="5"/>
    </row>
    <row r="1353" spans="2:10">
      <c r="B1353" s="1"/>
      <c r="C1353" s="1"/>
      <c r="D1353" s="8"/>
      <c r="E1353" s="8"/>
      <c r="F1353" s="8"/>
      <c r="G1353" s="8"/>
      <c r="H1353" s="5"/>
      <c r="I1353" s="5"/>
      <c r="J1353" s="5"/>
    </row>
    <row r="1354" spans="2:10">
      <c r="B1354" s="1"/>
      <c r="C1354" s="1"/>
      <c r="D1354" s="8"/>
      <c r="E1354" s="8"/>
      <c r="F1354" s="8"/>
      <c r="G1354" s="8"/>
      <c r="H1354" s="5"/>
      <c r="I1354" s="5"/>
      <c r="J1354" s="5"/>
    </row>
    <row r="1355" spans="2:10">
      <c r="B1355" s="1"/>
      <c r="C1355" s="1"/>
      <c r="D1355" s="8"/>
      <c r="E1355" s="8"/>
      <c r="F1355" s="8"/>
      <c r="G1355" s="8"/>
      <c r="H1355" s="5"/>
      <c r="I1355" s="5"/>
      <c r="J1355" s="5"/>
    </row>
    <row r="1356" spans="2:10">
      <c r="B1356" s="1"/>
      <c r="C1356" s="1"/>
      <c r="D1356" s="8"/>
      <c r="E1356" s="8"/>
      <c r="F1356" s="8"/>
      <c r="G1356" s="8"/>
      <c r="H1356" s="5"/>
      <c r="I1356" s="5"/>
      <c r="J1356" s="5"/>
    </row>
    <row r="1357" spans="2:10">
      <c r="B1357" s="1"/>
      <c r="C1357" s="1"/>
      <c r="D1357" s="8"/>
      <c r="E1357" s="8"/>
      <c r="F1357" s="8"/>
      <c r="G1357" s="8"/>
      <c r="H1357" s="5"/>
      <c r="I1357" s="5"/>
      <c r="J1357" s="5"/>
    </row>
    <row r="1358" spans="2:10">
      <c r="B1358" s="1"/>
      <c r="C1358" s="1"/>
      <c r="D1358" s="8"/>
      <c r="E1358" s="8"/>
      <c r="F1358" s="8"/>
      <c r="G1358" s="8"/>
      <c r="H1358" s="5"/>
      <c r="I1358" s="5"/>
      <c r="J1358" s="5"/>
    </row>
    <row r="1359" spans="2:10">
      <c r="B1359" s="1"/>
      <c r="C1359" s="1"/>
      <c r="D1359" s="8"/>
      <c r="E1359" s="8"/>
      <c r="F1359" s="8"/>
      <c r="G1359" s="8"/>
      <c r="H1359" s="5"/>
      <c r="I1359" s="5"/>
      <c r="J1359" s="5"/>
    </row>
    <row r="1360" spans="2:10">
      <c r="B1360" s="1"/>
      <c r="C1360" s="1"/>
      <c r="D1360" s="8"/>
      <c r="E1360" s="8"/>
      <c r="F1360" s="8"/>
      <c r="G1360" s="8"/>
      <c r="H1360" s="5"/>
      <c r="I1360" s="5"/>
      <c r="J1360" s="5"/>
    </row>
    <row r="1361" spans="2:10">
      <c r="B1361" s="1"/>
      <c r="C1361" s="1"/>
      <c r="D1361" s="8"/>
      <c r="E1361" s="8"/>
      <c r="F1361" s="8"/>
      <c r="G1361" s="8"/>
      <c r="H1361" s="5"/>
      <c r="I1361" s="5"/>
      <c r="J1361" s="5"/>
    </row>
    <row r="1362" spans="2:10">
      <c r="B1362" s="1"/>
      <c r="C1362" s="1"/>
      <c r="D1362" s="8"/>
      <c r="E1362" s="8"/>
      <c r="F1362" s="8"/>
      <c r="G1362" s="8"/>
      <c r="H1362" s="5"/>
      <c r="I1362" s="5"/>
      <c r="J1362" s="5"/>
    </row>
    <row r="1363" spans="2:10">
      <c r="B1363" s="1"/>
      <c r="C1363" s="1"/>
      <c r="D1363" s="8"/>
      <c r="E1363" s="8"/>
      <c r="F1363" s="8"/>
      <c r="G1363" s="8"/>
      <c r="H1363" s="5"/>
      <c r="I1363" s="5"/>
      <c r="J1363" s="5"/>
    </row>
    <row r="1364" spans="2:10">
      <c r="B1364" s="1"/>
      <c r="C1364" s="1"/>
      <c r="D1364" s="8"/>
      <c r="E1364" s="8"/>
      <c r="F1364" s="8"/>
      <c r="G1364" s="8"/>
      <c r="H1364" s="5"/>
      <c r="I1364" s="5"/>
      <c r="J1364" s="5"/>
    </row>
    <row r="1365" spans="2:10">
      <c r="B1365" s="1"/>
      <c r="C1365" s="1"/>
      <c r="D1365" s="8"/>
      <c r="E1365" s="8"/>
      <c r="F1365" s="8"/>
      <c r="G1365" s="8"/>
      <c r="H1365" s="5"/>
      <c r="I1365" s="5"/>
      <c r="J1365" s="5"/>
    </row>
    <row r="1366" spans="2:10">
      <c r="B1366" s="1"/>
      <c r="C1366" s="1"/>
      <c r="D1366" s="8"/>
      <c r="E1366" s="8"/>
      <c r="F1366" s="8"/>
      <c r="G1366" s="8"/>
      <c r="H1366" s="5"/>
      <c r="I1366" s="5"/>
      <c r="J1366" s="5"/>
    </row>
    <row r="1367" spans="2:10">
      <c r="B1367" s="1"/>
      <c r="C1367" s="1"/>
      <c r="D1367" s="8"/>
      <c r="E1367" s="8"/>
      <c r="F1367" s="8"/>
      <c r="G1367" s="8"/>
      <c r="H1367" s="5"/>
      <c r="I1367" s="5"/>
      <c r="J1367" s="5"/>
    </row>
    <row r="1368" spans="2:10">
      <c r="B1368" s="1"/>
      <c r="C1368" s="1"/>
      <c r="D1368" s="8"/>
      <c r="E1368" s="8"/>
      <c r="F1368" s="8"/>
      <c r="G1368" s="8"/>
      <c r="H1368" s="5"/>
      <c r="I1368" s="5"/>
      <c r="J1368" s="5"/>
    </row>
    <row r="1369" spans="2:10">
      <c r="B1369" s="1"/>
      <c r="C1369" s="1"/>
      <c r="D1369" s="8"/>
      <c r="E1369" s="8"/>
      <c r="F1369" s="8"/>
      <c r="G1369" s="8"/>
      <c r="H1369" s="5"/>
      <c r="I1369" s="5"/>
      <c r="J1369" s="5"/>
    </row>
    <row r="1370" spans="2:10">
      <c r="B1370" s="1"/>
      <c r="C1370" s="1"/>
      <c r="D1370" s="8"/>
      <c r="E1370" s="8"/>
      <c r="F1370" s="8"/>
      <c r="G1370" s="8"/>
      <c r="H1370" s="5"/>
      <c r="I1370" s="5"/>
      <c r="J1370" s="5"/>
    </row>
    <row r="1371" spans="2:10">
      <c r="B1371" s="1"/>
      <c r="C1371" s="1"/>
      <c r="D1371" s="8"/>
      <c r="E1371" s="8"/>
      <c r="F1371" s="8"/>
      <c r="G1371" s="8"/>
      <c r="H1371" s="5"/>
      <c r="I1371" s="5"/>
      <c r="J1371" s="5"/>
    </row>
    <row r="1372" spans="2:10">
      <c r="B1372" s="1"/>
      <c r="C1372" s="1"/>
      <c r="D1372" s="8"/>
      <c r="E1372" s="8"/>
      <c r="F1372" s="8"/>
      <c r="G1372" s="8"/>
      <c r="H1372" s="5"/>
      <c r="I1372" s="5"/>
      <c r="J1372" s="5"/>
    </row>
    <row r="1373" spans="2:10">
      <c r="B1373" s="1"/>
      <c r="C1373" s="1"/>
      <c r="D1373" s="8"/>
      <c r="E1373" s="8"/>
      <c r="F1373" s="8"/>
      <c r="G1373" s="8"/>
      <c r="H1373" s="5"/>
      <c r="I1373" s="5"/>
      <c r="J1373" s="5"/>
    </row>
    <row r="1374" spans="2:10">
      <c r="B1374" s="1"/>
      <c r="C1374" s="1"/>
      <c r="D1374" s="8"/>
      <c r="E1374" s="8"/>
      <c r="F1374" s="8"/>
      <c r="G1374" s="8"/>
      <c r="H1374" s="5"/>
      <c r="I1374" s="5"/>
      <c r="J1374" s="5"/>
    </row>
    <row r="1375" spans="2:10">
      <c r="B1375" s="1"/>
      <c r="C1375" s="1"/>
      <c r="D1375" s="8"/>
      <c r="E1375" s="8"/>
      <c r="F1375" s="8"/>
      <c r="G1375" s="8"/>
      <c r="H1375" s="5"/>
      <c r="I1375" s="5"/>
      <c r="J1375" s="5"/>
    </row>
    <row r="1376" spans="2:10">
      <c r="B1376" s="1"/>
      <c r="C1376" s="1"/>
      <c r="D1376" s="8"/>
      <c r="E1376" s="8"/>
      <c r="F1376" s="8"/>
      <c r="G1376" s="8"/>
      <c r="H1376" s="5"/>
      <c r="I1376" s="5"/>
      <c r="J1376" s="5"/>
    </row>
    <row r="1377" spans="2:10">
      <c r="B1377" s="1"/>
      <c r="C1377" s="1"/>
      <c r="D1377" s="8"/>
      <c r="E1377" s="8"/>
      <c r="F1377" s="8"/>
      <c r="G1377" s="8"/>
      <c r="H1377" s="5"/>
      <c r="I1377" s="5"/>
      <c r="J1377" s="5"/>
    </row>
    <row r="1378" spans="2:10">
      <c r="B1378" s="1"/>
      <c r="C1378" s="1"/>
      <c r="D1378" s="8"/>
      <c r="E1378" s="8"/>
      <c r="F1378" s="8"/>
      <c r="G1378" s="8"/>
      <c r="H1378" s="5"/>
      <c r="I1378" s="5"/>
      <c r="J1378" s="5"/>
    </row>
    <row r="1379" spans="2:10">
      <c r="B1379" s="1"/>
      <c r="C1379" s="1"/>
      <c r="D1379" s="8"/>
      <c r="E1379" s="8"/>
      <c r="F1379" s="8"/>
      <c r="G1379" s="8"/>
      <c r="H1379" s="5"/>
      <c r="I1379" s="5"/>
      <c r="J1379" s="5"/>
    </row>
    <row r="1380" spans="2:10">
      <c r="B1380" s="1"/>
      <c r="C1380" s="1"/>
      <c r="D1380" s="8"/>
      <c r="E1380" s="8"/>
      <c r="F1380" s="8"/>
      <c r="G1380" s="8"/>
      <c r="H1380" s="5"/>
      <c r="I1380" s="5"/>
      <c r="J1380" s="5"/>
    </row>
    <row r="1381" spans="2:10">
      <c r="B1381" s="1"/>
      <c r="C1381" s="1"/>
      <c r="D1381" s="8"/>
      <c r="E1381" s="8"/>
      <c r="F1381" s="8"/>
      <c r="G1381" s="8"/>
      <c r="H1381" s="5"/>
      <c r="I1381" s="5"/>
      <c r="J1381" s="5"/>
    </row>
    <row r="1382" spans="2:10">
      <c r="B1382" s="1"/>
      <c r="C1382" s="1"/>
      <c r="D1382" s="8"/>
      <c r="E1382" s="8"/>
      <c r="F1382" s="8"/>
      <c r="G1382" s="8"/>
      <c r="H1382" s="5"/>
      <c r="I1382" s="5"/>
      <c r="J1382" s="5"/>
    </row>
    <row r="1383" spans="2:10">
      <c r="B1383" s="1"/>
      <c r="C1383" s="1"/>
      <c r="D1383" s="8"/>
      <c r="E1383" s="8"/>
      <c r="F1383" s="8"/>
      <c r="G1383" s="8"/>
      <c r="H1383" s="5"/>
      <c r="I1383" s="5"/>
      <c r="J1383" s="5"/>
    </row>
    <row r="1384" spans="2:10">
      <c r="B1384" s="1"/>
      <c r="C1384" s="1"/>
      <c r="D1384" s="8"/>
      <c r="E1384" s="8"/>
      <c r="F1384" s="8"/>
      <c r="G1384" s="8"/>
      <c r="H1384" s="5"/>
      <c r="I1384" s="5"/>
      <c r="J1384" s="5"/>
    </row>
    <row r="1385" spans="2:10">
      <c r="B1385" s="1"/>
      <c r="C1385" s="1"/>
      <c r="D1385" s="8"/>
      <c r="E1385" s="8"/>
      <c r="F1385" s="8"/>
      <c r="G1385" s="8"/>
      <c r="H1385" s="5"/>
      <c r="I1385" s="5"/>
      <c r="J1385" s="5"/>
    </row>
    <row r="1386" spans="2:10">
      <c r="B1386" s="1"/>
      <c r="C1386" s="1"/>
      <c r="D1386" s="8"/>
      <c r="E1386" s="8"/>
      <c r="F1386" s="8"/>
      <c r="G1386" s="8"/>
      <c r="H1386" s="5"/>
      <c r="I1386" s="5"/>
      <c r="J1386" s="5"/>
    </row>
    <row r="1387" spans="2:10">
      <c r="B1387" s="1"/>
      <c r="C1387" s="1"/>
      <c r="D1387" s="8"/>
      <c r="E1387" s="8"/>
      <c r="F1387" s="8"/>
      <c r="G1387" s="8"/>
      <c r="H1387" s="5"/>
      <c r="I1387" s="5"/>
      <c r="J1387" s="5"/>
    </row>
    <row r="1388" spans="2:10">
      <c r="B1388" s="1"/>
      <c r="C1388" s="1"/>
      <c r="D1388" s="8"/>
      <c r="E1388" s="8"/>
      <c r="F1388" s="8"/>
      <c r="G1388" s="8"/>
      <c r="H1388" s="5"/>
      <c r="I1388" s="5"/>
      <c r="J1388" s="5"/>
    </row>
    <row r="1389" spans="2:10">
      <c r="B1389" s="1"/>
      <c r="C1389" s="1"/>
      <c r="D1389" s="8"/>
      <c r="E1389" s="8"/>
      <c r="F1389" s="8"/>
      <c r="G1389" s="8"/>
      <c r="H1389" s="5"/>
      <c r="I1389" s="5"/>
      <c r="J1389" s="5"/>
    </row>
    <row r="1390" spans="2:10">
      <c r="B1390" s="1"/>
      <c r="C1390" s="1"/>
      <c r="D1390" s="8"/>
      <c r="E1390" s="8"/>
      <c r="F1390" s="8"/>
      <c r="G1390" s="8"/>
      <c r="H1390" s="5"/>
      <c r="I1390" s="5"/>
      <c r="J1390" s="5"/>
    </row>
    <row r="1391" spans="2:10">
      <c r="B1391" s="1"/>
      <c r="C1391" s="1"/>
      <c r="D1391" s="8"/>
      <c r="E1391" s="8"/>
      <c r="F1391" s="8"/>
      <c r="G1391" s="8"/>
      <c r="H1391" s="5"/>
      <c r="I1391" s="5"/>
      <c r="J1391" s="5"/>
    </row>
    <row r="1392" spans="2:10">
      <c r="B1392" s="1"/>
      <c r="C1392" s="1"/>
      <c r="D1392" s="8"/>
      <c r="E1392" s="8"/>
      <c r="F1392" s="8"/>
      <c r="G1392" s="8"/>
      <c r="H1392" s="5"/>
      <c r="I1392" s="5"/>
      <c r="J1392" s="5"/>
    </row>
    <row r="1393" spans="2:10">
      <c r="B1393" s="1"/>
      <c r="C1393" s="1"/>
      <c r="D1393" s="8"/>
      <c r="E1393" s="8"/>
      <c r="F1393" s="8"/>
      <c r="G1393" s="8"/>
      <c r="H1393" s="5"/>
      <c r="I1393" s="5"/>
      <c r="J1393" s="5"/>
    </row>
    <row r="1394" spans="2:10">
      <c r="B1394" s="1"/>
      <c r="C1394" s="1"/>
      <c r="D1394" s="8"/>
      <c r="E1394" s="8"/>
      <c r="F1394" s="8"/>
      <c r="G1394" s="8"/>
      <c r="H1394" s="5"/>
      <c r="I1394" s="5"/>
      <c r="J1394" s="5"/>
    </row>
    <row r="1395" spans="2:10">
      <c r="B1395" s="1"/>
      <c r="C1395" s="1"/>
      <c r="D1395" s="8"/>
      <c r="E1395" s="8"/>
      <c r="F1395" s="8"/>
      <c r="G1395" s="8"/>
      <c r="H1395" s="5"/>
      <c r="I1395" s="5"/>
      <c r="J1395" s="5"/>
    </row>
    <row r="1396" spans="2:10">
      <c r="B1396" s="1"/>
      <c r="C1396" s="1"/>
      <c r="D1396" s="8"/>
      <c r="E1396" s="8"/>
      <c r="F1396" s="8"/>
      <c r="G1396" s="8"/>
      <c r="H1396" s="5"/>
      <c r="I1396" s="5"/>
      <c r="J1396" s="5"/>
    </row>
    <row r="1397" spans="2:10">
      <c r="B1397" s="1"/>
      <c r="C1397" s="1"/>
      <c r="D1397" s="8"/>
      <c r="E1397" s="8"/>
      <c r="F1397" s="8"/>
      <c r="G1397" s="8"/>
      <c r="H1397" s="5"/>
      <c r="I1397" s="5"/>
      <c r="J1397" s="5"/>
    </row>
    <row r="1398" spans="2:10">
      <c r="B1398" s="1"/>
      <c r="C1398" s="1"/>
      <c r="D1398" s="8"/>
      <c r="E1398" s="8"/>
      <c r="F1398" s="8"/>
      <c r="G1398" s="8"/>
      <c r="H1398" s="5"/>
      <c r="I1398" s="5"/>
      <c r="J1398" s="5"/>
    </row>
    <row r="1399" spans="2:10">
      <c r="B1399" s="1"/>
      <c r="C1399" s="1"/>
      <c r="D1399" s="8"/>
      <c r="E1399" s="8"/>
      <c r="F1399" s="8"/>
      <c r="G1399" s="8"/>
      <c r="H1399" s="5"/>
      <c r="I1399" s="5"/>
      <c r="J1399" s="5"/>
    </row>
    <row r="1400" spans="2:10">
      <c r="B1400" s="1"/>
      <c r="C1400" s="1"/>
      <c r="D1400" s="8"/>
      <c r="E1400" s="8"/>
      <c r="F1400" s="8"/>
      <c r="G1400" s="8"/>
      <c r="H1400" s="5"/>
      <c r="I1400" s="5"/>
      <c r="J1400" s="5"/>
    </row>
    <row r="1401" spans="2:10">
      <c r="B1401" s="1"/>
      <c r="C1401" s="1"/>
      <c r="D1401" s="8"/>
      <c r="E1401" s="8"/>
      <c r="F1401" s="8"/>
      <c r="G1401" s="8"/>
      <c r="H1401" s="5"/>
      <c r="I1401" s="5"/>
      <c r="J1401" s="5"/>
    </row>
    <row r="1402" spans="2:10">
      <c r="B1402" s="1"/>
      <c r="C1402" s="1"/>
      <c r="D1402" s="8"/>
      <c r="E1402" s="8"/>
      <c r="F1402" s="8"/>
      <c r="G1402" s="8"/>
      <c r="H1402" s="5"/>
      <c r="I1402" s="5"/>
      <c r="J1402" s="5"/>
    </row>
    <row r="1403" spans="2:10">
      <c r="B1403" s="1"/>
      <c r="C1403" s="1"/>
      <c r="D1403" s="8"/>
      <c r="E1403" s="8"/>
      <c r="F1403" s="8"/>
      <c r="G1403" s="8"/>
      <c r="H1403" s="5"/>
      <c r="I1403" s="5"/>
      <c r="J1403" s="5"/>
    </row>
    <row r="1404" spans="2:10">
      <c r="B1404" s="1"/>
      <c r="C1404" s="1"/>
      <c r="D1404" s="8"/>
      <c r="E1404" s="8"/>
      <c r="F1404" s="8"/>
      <c r="G1404" s="8"/>
      <c r="H1404" s="5"/>
      <c r="I1404" s="5"/>
      <c r="J1404" s="5"/>
    </row>
    <row r="1405" spans="2:10">
      <c r="B1405" s="1"/>
      <c r="C1405" s="1"/>
      <c r="D1405" s="8"/>
      <c r="E1405" s="8"/>
      <c r="F1405" s="8"/>
      <c r="G1405" s="8"/>
      <c r="H1405" s="5"/>
      <c r="I1405" s="5"/>
      <c r="J1405" s="5"/>
    </row>
    <row r="1406" spans="2:10">
      <c r="B1406" s="1"/>
      <c r="C1406" s="1"/>
      <c r="D1406" s="8"/>
      <c r="E1406" s="8"/>
      <c r="F1406" s="8"/>
      <c r="G1406" s="8"/>
      <c r="H1406" s="5"/>
      <c r="I1406" s="5"/>
      <c r="J1406" s="5"/>
    </row>
    <row r="1407" spans="2:10">
      <c r="B1407" s="1"/>
      <c r="C1407" s="1"/>
      <c r="D1407" s="8"/>
      <c r="E1407" s="8"/>
      <c r="F1407" s="8"/>
      <c r="G1407" s="8"/>
      <c r="H1407" s="5"/>
      <c r="I1407" s="5"/>
      <c r="J1407" s="5"/>
    </row>
    <row r="1408" spans="2:10">
      <c r="B1408" s="1"/>
      <c r="C1408" s="1"/>
      <c r="D1408" s="8"/>
      <c r="E1408" s="8"/>
      <c r="F1408" s="8"/>
      <c r="G1408" s="8"/>
      <c r="H1408" s="5"/>
      <c r="I1408" s="5"/>
      <c r="J1408" s="5"/>
    </row>
    <row r="1409" spans="2:10">
      <c r="B1409" s="1"/>
      <c r="C1409" s="1"/>
      <c r="D1409" s="8"/>
      <c r="E1409" s="8"/>
      <c r="F1409" s="8"/>
      <c r="G1409" s="8"/>
      <c r="H1409" s="5"/>
      <c r="I1409" s="5"/>
      <c r="J1409" s="5"/>
    </row>
    <row r="1410" spans="2:10">
      <c r="B1410" s="1"/>
      <c r="C1410" s="1"/>
      <c r="D1410" s="8"/>
      <c r="E1410" s="8"/>
      <c r="F1410" s="8"/>
      <c r="G1410" s="8"/>
      <c r="H1410" s="5"/>
      <c r="I1410" s="5"/>
      <c r="J1410" s="5"/>
    </row>
    <row r="1411" spans="2:10">
      <c r="B1411" s="1"/>
      <c r="C1411" s="1"/>
      <c r="D1411" s="8"/>
      <c r="E1411" s="8"/>
      <c r="F1411" s="8"/>
      <c r="G1411" s="8"/>
      <c r="H1411" s="5"/>
      <c r="I1411" s="5"/>
      <c r="J1411" s="5"/>
    </row>
    <row r="1412" spans="2:10">
      <c r="B1412" s="1"/>
      <c r="C1412" s="1"/>
      <c r="D1412" s="8"/>
      <c r="E1412" s="8"/>
      <c r="F1412" s="8"/>
      <c r="G1412" s="8"/>
      <c r="H1412" s="5"/>
      <c r="I1412" s="5"/>
      <c r="J1412" s="5"/>
    </row>
    <row r="1413" spans="2:10">
      <c r="B1413" s="1"/>
      <c r="C1413" s="1"/>
      <c r="D1413" s="8"/>
      <c r="E1413" s="8"/>
      <c r="F1413" s="8"/>
      <c r="G1413" s="8"/>
      <c r="H1413" s="5"/>
      <c r="I1413" s="5"/>
      <c r="J1413" s="5"/>
    </row>
    <row r="1414" spans="2:10">
      <c r="B1414" s="1"/>
      <c r="C1414" s="1"/>
      <c r="D1414" s="8"/>
      <c r="E1414" s="8"/>
      <c r="F1414" s="8"/>
      <c r="G1414" s="8"/>
      <c r="H1414" s="5"/>
      <c r="I1414" s="5"/>
      <c r="J1414" s="5"/>
    </row>
    <row r="1415" spans="2:10">
      <c r="B1415" s="1"/>
      <c r="C1415" s="1"/>
      <c r="D1415" s="8"/>
      <c r="E1415" s="8"/>
      <c r="F1415" s="8"/>
      <c r="G1415" s="8"/>
      <c r="H1415" s="5"/>
      <c r="I1415" s="5"/>
      <c r="J1415" s="5"/>
    </row>
    <row r="1416" spans="2:10">
      <c r="B1416" s="1"/>
      <c r="C1416" s="1"/>
      <c r="D1416" s="8"/>
      <c r="E1416" s="8"/>
      <c r="F1416" s="8"/>
      <c r="G1416" s="8"/>
      <c r="H1416" s="5"/>
      <c r="I1416" s="5"/>
      <c r="J1416" s="5"/>
    </row>
    <row r="1417" spans="2:10">
      <c r="B1417" s="1"/>
      <c r="C1417" s="1"/>
      <c r="D1417" s="8"/>
      <c r="E1417" s="8"/>
      <c r="F1417" s="8"/>
      <c r="G1417" s="8"/>
      <c r="H1417" s="5"/>
      <c r="I1417" s="5"/>
      <c r="J1417" s="5"/>
    </row>
    <row r="1418" spans="2:10">
      <c r="B1418" s="1"/>
      <c r="C1418" s="1"/>
      <c r="D1418" s="8"/>
      <c r="E1418" s="8"/>
      <c r="F1418" s="8"/>
      <c r="G1418" s="8"/>
      <c r="H1418" s="5"/>
      <c r="I1418" s="5"/>
      <c r="J1418" s="5"/>
    </row>
    <row r="1419" spans="2:10">
      <c r="B1419" s="1"/>
      <c r="C1419" s="1"/>
      <c r="D1419" s="8"/>
      <c r="E1419" s="8"/>
      <c r="F1419" s="8"/>
      <c r="G1419" s="8"/>
      <c r="H1419" s="5"/>
      <c r="I1419" s="5"/>
      <c r="J1419" s="5"/>
    </row>
    <row r="1420" spans="2:10">
      <c r="B1420" s="1"/>
      <c r="C1420" s="1"/>
      <c r="D1420" s="8"/>
      <c r="E1420" s="8"/>
      <c r="F1420" s="8"/>
      <c r="G1420" s="8"/>
      <c r="H1420" s="5"/>
      <c r="I1420" s="5"/>
      <c r="J1420" s="5"/>
    </row>
    <row r="1421" spans="2:10">
      <c r="B1421" s="1"/>
      <c r="C1421" s="1"/>
      <c r="D1421" s="8"/>
      <c r="E1421" s="8"/>
      <c r="F1421" s="8"/>
      <c r="G1421" s="8"/>
      <c r="H1421" s="5"/>
      <c r="I1421" s="5"/>
      <c r="J1421" s="5"/>
    </row>
    <row r="1422" spans="2:10">
      <c r="B1422" s="1"/>
      <c r="C1422" s="1"/>
      <c r="D1422" s="8"/>
      <c r="E1422" s="8"/>
      <c r="F1422" s="8"/>
      <c r="G1422" s="8"/>
      <c r="H1422" s="5"/>
      <c r="I1422" s="5"/>
      <c r="J1422" s="5"/>
    </row>
    <row r="1423" spans="2:10">
      <c r="B1423" s="1"/>
      <c r="C1423" s="1"/>
      <c r="D1423" s="8"/>
      <c r="E1423" s="8"/>
      <c r="F1423" s="8"/>
      <c r="G1423" s="8"/>
      <c r="H1423" s="5"/>
      <c r="I1423" s="5"/>
      <c r="J1423" s="5"/>
    </row>
    <row r="1424" spans="2:10">
      <c r="B1424" s="1"/>
      <c r="C1424" s="1"/>
      <c r="D1424" s="8"/>
      <c r="E1424" s="8"/>
      <c r="F1424" s="8"/>
      <c r="G1424" s="8"/>
      <c r="H1424" s="5"/>
      <c r="I1424" s="5"/>
      <c r="J1424" s="5"/>
    </row>
    <row r="1425" spans="2:10">
      <c r="B1425" s="1"/>
      <c r="C1425" s="1"/>
      <c r="D1425" s="8"/>
      <c r="E1425" s="8"/>
      <c r="F1425" s="8"/>
      <c r="G1425" s="8"/>
      <c r="H1425" s="5"/>
      <c r="I1425" s="5"/>
      <c r="J1425" s="5"/>
    </row>
    <row r="1426" spans="2:10">
      <c r="B1426" s="1"/>
      <c r="C1426" s="1"/>
      <c r="D1426" s="8"/>
      <c r="E1426" s="8"/>
      <c r="F1426" s="8"/>
      <c r="G1426" s="8"/>
      <c r="H1426" s="5"/>
      <c r="I1426" s="5"/>
      <c r="J1426" s="5"/>
    </row>
    <row r="1427" spans="2:10">
      <c r="B1427" s="1"/>
      <c r="C1427" s="1"/>
      <c r="D1427" s="8"/>
      <c r="E1427" s="8"/>
      <c r="F1427" s="8"/>
      <c r="G1427" s="8"/>
      <c r="H1427" s="5"/>
      <c r="I1427" s="5"/>
      <c r="J1427" s="5"/>
    </row>
    <row r="1428" spans="2:10">
      <c r="B1428" s="1"/>
      <c r="C1428" s="1"/>
      <c r="D1428" s="8"/>
      <c r="E1428" s="8"/>
      <c r="F1428" s="8"/>
      <c r="G1428" s="8"/>
      <c r="H1428" s="5"/>
      <c r="I1428" s="5"/>
      <c r="J1428" s="5"/>
    </row>
    <row r="1429" spans="2:10">
      <c r="B1429" s="1"/>
      <c r="C1429" s="1"/>
      <c r="D1429" s="8"/>
      <c r="E1429" s="8"/>
      <c r="F1429" s="8"/>
      <c r="G1429" s="8"/>
      <c r="H1429" s="5"/>
      <c r="I1429" s="5"/>
      <c r="J1429" s="5"/>
    </row>
    <row r="1430" spans="2:10">
      <c r="B1430" s="1"/>
      <c r="C1430" s="1"/>
      <c r="D1430" s="8"/>
      <c r="E1430" s="8"/>
      <c r="F1430" s="8"/>
      <c r="G1430" s="8"/>
      <c r="H1430" s="5"/>
      <c r="I1430" s="5"/>
      <c r="J1430" s="5"/>
    </row>
    <row r="1431" spans="2:10">
      <c r="B1431" s="1"/>
      <c r="C1431" s="1"/>
      <c r="D1431" s="8"/>
      <c r="E1431" s="8"/>
      <c r="F1431" s="8"/>
      <c r="G1431" s="8"/>
      <c r="H1431" s="5"/>
      <c r="I1431" s="5"/>
      <c r="J1431" s="5"/>
    </row>
    <row r="1432" spans="2:10">
      <c r="B1432" s="1"/>
      <c r="C1432" s="1"/>
      <c r="D1432" s="8"/>
      <c r="E1432" s="8"/>
      <c r="F1432" s="8"/>
      <c r="G1432" s="8"/>
      <c r="H1432" s="5"/>
      <c r="I1432" s="5"/>
      <c r="J1432" s="5"/>
    </row>
    <row r="1433" spans="2:10">
      <c r="B1433" s="1"/>
      <c r="C1433" s="1"/>
      <c r="D1433" s="8"/>
      <c r="E1433" s="8"/>
      <c r="F1433" s="8"/>
      <c r="G1433" s="8"/>
      <c r="H1433" s="5"/>
      <c r="I1433" s="5"/>
      <c r="J1433" s="5"/>
    </row>
    <row r="1434" spans="2:10">
      <c r="B1434" s="1"/>
      <c r="C1434" s="1"/>
      <c r="D1434" s="8"/>
      <c r="E1434" s="8"/>
      <c r="F1434" s="8"/>
      <c r="G1434" s="8"/>
      <c r="H1434" s="5"/>
      <c r="I1434" s="5"/>
      <c r="J1434" s="5"/>
    </row>
    <row r="1435" spans="2:10">
      <c r="B1435" s="1"/>
      <c r="C1435" s="1"/>
      <c r="D1435" s="8"/>
      <c r="E1435" s="8"/>
      <c r="F1435" s="8"/>
      <c r="G1435" s="8"/>
      <c r="H1435" s="5"/>
      <c r="I1435" s="5"/>
      <c r="J1435" s="5"/>
    </row>
    <row r="1436" spans="2:10">
      <c r="B1436" s="1"/>
      <c r="C1436" s="1"/>
      <c r="D1436" s="8"/>
      <c r="E1436" s="8"/>
      <c r="F1436" s="8"/>
      <c r="G1436" s="8"/>
      <c r="H1436" s="5"/>
      <c r="I1436" s="5"/>
      <c r="J1436" s="5"/>
    </row>
    <row r="1437" spans="2:10">
      <c r="B1437" s="1"/>
      <c r="C1437" s="1"/>
      <c r="D1437" s="8"/>
      <c r="E1437" s="8"/>
      <c r="F1437" s="8"/>
      <c r="G1437" s="8"/>
      <c r="H1437" s="5"/>
      <c r="I1437" s="5"/>
      <c r="J1437" s="5"/>
    </row>
    <row r="1438" spans="2:10">
      <c r="B1438" s="1"/>
      <c r="C1438" s="1"/>
      <c r="D1438" s="8"/>
      <c r="E1438" s="8"/>
      <c r="F1438" s="8"/>
      <c r="G1438" s="8"/>
      <c r="H1438" s="5"/>
      <c r="I1438" s="5"/>
      <c r="J1438" s="5"/>
    </row>
    <row r="1439" spans="2:10">
      <c r="B1439" s="1"/>
      <c r="C1439" s="1"/>
      <c r="D1439" s="8"/>
      <c r="E1439" s="8"/>
      <c r="F1439" s="8"/>
      <c r="G1439" s="8"/>
      <c r="H1439" s="5"/>
      <c r="I1439" s="5"/>
      <c r="J1439" s="5"/>
    </row>
    <row r="1440" spans="2:10">
      <c r="B1440" s="1"/>
      <c r="C1440" s="1"/>
      <c r="D1440" s="8"/>
      <c r="E1440" s="8"/>
      <c r="F1440" s="8"/>
      <c r="G1440" s="8"/>
      <c r="H1440" s="5"/>
      <c r="I1440" s="5"/>
      <c r="J1440" s="5"/>
    </row>
    <row r="1441" spans="2:10">
      <c r="B1441" s="1"/>
      <c r="C1441" s="1"/>
      <c r="D1441" s="8"/>
      <c r="E1441" s="8"/>
      <c r="F1441" s="8"/>
      <c r="G1441" s="8"/>
      <c r="H1441" s="5"/>
      <c r="I1441" s="5"/>
      <c r="J1441" s="5"/>
    </row>
    <row r="1442" spans="2:10">
      <c r="B1442" s="1"/>
      <c r="C1442" s="1"/>
      <c r="D1442" s="8"/>
      <c r="E1442" s="8"/>
      <c r="F1442" s="8"/>
      <c r="G1442" s="8"/>
      <c r="H1442" s="5"/>
      <c r="I1442" s="5"/>
      <c r="J1442" s="5"/>
    </row>
    <row r="1443" spans="2:10">
      <c r="B1443" s="1"/>
      <c r="C1443" s="1"/>
      <c r="D1443" s="8"/>
      <c r="E1443" s="8"/>
      <c r="F1443" s="8"/>
      <c r="G1443" s="8"/>
      <c r="H1443" s="5"/>
      <c r="I1443" s="5"/>
      <c r="J1443" s="5"/>
    </row>
    <row r="1444" spans="2:10">
      <c r="B1444" s="1"/>
      <c r="C1444" s="1"/>
      <c r="D1444" s="8"/>
      <c r="E1444" s="8"/>
      <c r="F1444" s="8"/>
      <c r="G1444" s="8"/>
      <c r="H1444" s="5"/>
      <c r="I1444" s="5"/>
      <c r="J1444" s="5"/>
    </row>
    <row r="1445" spans="2:10">
      <c r="B1445" s="1"/>
      <c r="C1445" s="1"/>
      <c r="D1445" s="8"/>
      <c r="E1445" s="8"/>
      <c r="F1445" s="8"/>
      <c r="G1445" s="8"/>
      <c r="H1445" s="5"/>
      <c r="I1445" s="5"/>
      <c r="J1445" s="5"/>
    </row>
    <row r="1446" spans="2:10">
      <c r="B1446" s="1"/>
      <c r="C1446" s="1"/>
      <c r="D1446" s="8"/>
      <c r="E1446" s="8"/>
      <c r="F1446" s="8"/>
      <c r="G1446" s="8"/>
      <c r="H1446" s="5"/>
      <c r="I1446" s="5"/>
      <c r="J1446" s="5"/>
    </row>
    <row r="1447" spans="2:10">
      <c r="B1447" s="1"/>
      <c r="C1447" s="1"/>
      <c r="D1447" s="8"/>
      <c r="E1447" s="8"/>
      <c r="F1447" s="8"/>
      <c r="G1447" s="8"/>
      <c r="H1447" s="5"/>
      <c r="I1447" s="5"/>
      <c r="J1447" s="5"/>
    </row>
    <row r="1448" spans="2:10">
      <c r="B1448" s="1"/>
      <c r="C1448" s="1"/>
      <c r="D1448" s="8"/>
      <c r="E1448" s="8"/>
      <c r="F1448" s="8"/>
      <c r="G1448" s="8"/>
      <c r="H1448" s="5"/>
      <c r="I1448" s="5"/>
      <c r="J1448" s="5"/>
    </row>
    <row r="1449" spans="2:10">
      <c r="B1449" s="1"/>
      <c r="C1449" s="1"/>
      <c r="D1449" s="8"/>
      <c r="E1449" s="8"/>
      <c r="F1449" s="8"/>
      <c r="G1449" s="8"/>
      <c r="H1449" s="5"/>
      <c r="I1449" s="5"/>
      <c r="J1449" s="5"/>
    </row>
    <row r="1450" spans="2:10">
      <c r="B1450" s="1"/>
      <c r="C1450" s="1"/>
      <c r="D1450" s="8"/>
      <c r="E1450" s="8"/>
      <c r="F1450" s="8"/>
      <c r="G1450" s="8"/>
      <c r="H1450" s="5"/>
      <c r="I1450" s="5"/>
      <c r="J1450" s="5"/>
    </row>
    <row r="1451" spans="2:10">
      <c r="B1451" s="1"/>
      <c r="C1451" s="1"/>
      <c r="D1451" s="8"/>
      <c r="E1451" s="8"/>
      <c r="F1451" s="8"/>
      <c r="G1451" s="8"/>
      <c r="H1451" s="5"/>
      <c r="I1451" s="5"/>
      <c r="J1451" s="5"/>
    </row>
    <row r="1452" spans="2:10">
      <c r="B1452" s="1"/>
      <c r="C1452" s="1"/>
      <c r="D1452" s="8"/>
      <c r="E1452" s="8"/>
      <c r="F1452" s="8"/>
      <c r="G1452" s="8"/>
      <c r="H1452" s="5"/>
      <c r="I1452" s="5"/>
      <c r="J1452" s="5"/>
    </row>
    <row r="1453" spans="2:10">
      <c r="B1453" s="1"/>
      <c r="C1453" s="1"/>
      <c r="D1453" s="8"/>
      <c r="E1453" s="8"/>
      <c r="F1453" s="8"/>
      <c r="G1453" s="8"/>
      <c r="H1453" s="5"/>
      <c r="I1453" s="5"/>
      <c r="J1453" s="5"/>
    </row>
    <row r="1454" spans="2:10">
      <c r="B1454" s="1"/>
      <c r="C1454" s="1"/>
      <c r="D1454" s="8"/>
      <c r="E1454" s="8"/>
      <c r="F1454" s="8"/>
      <c r="G1454" s="8"/>
      <c r="H1454" s="5"/>
      <c r="I1454" s="5"/>
      <c r="J1454" s="5"/>
    </row>
    <row r="1455" spans="2:10">
      <c r="B1455" s="1"/>
      <c r="C1455" s="1"/>
      <c r="D1455" s="8"/>
      <c r="E1455" s="8"/>
      <c r="F1455" s="8"/>
      <c r="G1455" s="8"/>
      <c r="H1455" s="5"/>
      <c r="I1455" s="5"/>
      <c r="J1455" s="5"/>
    </row>
    <row r="1456" spans="2:10">
      <c r="B1456" s="1"/>
      <c r="C1456" s="1"/>
      <c r="D1456" s="8"/>
      <c r="E1456" s="8"/>
      <c r="F1456" s="8"/>
      <c r="G1456" s="8"/>
      <c r="H1456" s="5"/>
      <c r="I1456" s="5"/>
      <c r="J1456" s="5"/>
    </row>
    <row r="1457" spans="2:10">
      <c r="B1457" s="1"/>
      <c r="C1457" s="1"/>
      <c r="D1457" s="8"/>
      <c r="E1457" s="8"/>
      <c r="F1457" s="8"/>
      <c r="G1457" s="8"/>
      <c r="H1457" s="5"/>
      <c r="I1457" s="5"/>
      <c r="J1457" s="5"/>
    </row>
    <row r="1458" spans="2:10">
      <c r="B1458" s="1"/>
      <c r="C1458" s="1"/>
      <c r="D1458" s="8"/>
      <c r="E1458" s="8"/>
      <c r="F1458" s="8"/>
      <c r="G1458" s="8"/>
      <c r="H1458" s="5"/>
      <c r="I1458" s="5"/>
      <c r="J1458" s="5"/>
    </row>
    <row r="1459" spans="2:10">
      <c r="B1459" s="1"/>
      <c r="C1459" s="1"/>
      <c r="D1459" s="8"/>
      <c r="E1459" s="8"/>
      <c r="F1459" s="8"/>
      <c r="G1459" s="8"/>
      <c r="H1459" s="5"/>
      <c r="I1459" s="5"/>
      <c r="J1459" s="5"/>
    </row>
    <row r="1460" spans="2:10">
      <c r="B1460" s="1"/>
      <c r="C1460" s="1"/>
      <c r="D1460" s="8"/>
      <c r="E1460" s="8"/>
      <c r="F1460" s="8"/>
      <c r="G1460" s="8"/>
      <c r="H1460" s="5"/>
      <c r="I1460" s="5"/>
      <c r="J1460" s="5"/>
    </row>
    <row r="1461" spans="2:10">
      <c r="B1461" s="1"/>
      <c r="C1461" s="1"/>
      <c r="D1461" s="8"/>
      <c r="E1461" s="8"/>
      <c r="F1461" s="8"/>
      <c r="G1461" s="8"/>
      <c r="H1461" s="5"/>
      <c r="I1461" s="5"/>
      <c r="J1461" s="5"/>
    </row>
    <row r="1462" spans="2:10">
      <c r="B1462" s="1"/>
      <c r="C1462" s="1"/>
      <c r="D1462" s="8"/>
      <c r="E1462" s="8"/>
      <c r="F1462" s="8"/>
      <c r="G1462" s="8"/>
      <c r="H1462" s="5"/>
      <c r="I1462" s="5"/>
      <c r="J1462" s="5"/>
    </row>
    <row r="1463" spans="2:10">
      <c r="B1463" s="1"/>
      <c r="C1463" s="1"/>
      <c r="D1463" s="8"/>
      <c r="E1463" s="8"/>
      <c r="F1463" s="8"/>
      <c r="G1463" s="8"/>
      <c r="H1463" s="5"/>
      <c r="I1463" s="5"/>
      <c r="J1463" s="5"/>
    </row>
    <row r="1464" spans="2:10">
      <c r="B1464" s="1"/>
      <c r="C1464" s="1"/>
      <c r="D1464" s="8"/>
      <c r="E1464" s="8"/>
      <c r="F1464" s="8"/>
      <c r="G1464" s="8"/>
      <c r="H1464" s="5"/>
      <c r="I1464" s="5"/>
      <c r="J1464" s="5"/>
    </row>
    <row r="1465" spans="2:10">
      <c r="B1465" s="1"/>
      <c r="C1465" s="1"/>
      <c r="D1465" s="8"/>
      <c r="E1465" s="8"/>
      <c r="F1465" s="8"/>
      <c r="G1465" s="8"/>
      <c r="H1465" s="5"/>
      <c r="I1465" s="5"/>
      <c r="J1465" s="5"/>
    </row>
    <row r="1466" spans="2:10">
      <c r="B1466" s="1"/>
      <c r="C1466" s="1"/>
      <c r="D1466" s="8"/>
      <c r="E1466" s="8"/>
      <c r="F1466" s="8"/>
      <c r="G1466" s="8"/>
      <c r="H1466" s="5"/>
      <c r="I1466" s="5"/>
      <c r="J1466" s="5"/>
    </row>
    <row r="1467" spans="2:10">
      <c r="B1467" s="1"/>
      <c r="C1467" s="1"/>
      <c r="D1467" s="8"/>
      <c r="E1467" s="8"/>
      <c r="F1467" s="8"/>
      <c r="G1467" s="8"/>
      <c r="H1467" s="5"/>
      <c r="I1467" s="5"/>
      <c r="J1467" s="5"/>
    </row>
    <row r="1468" spans="2:10">
      <c r="B1468" s="1"/>
      <c r="C1468" s="1"/>
      <c r="D1468" s="8"/>
      <c r="E1468" s="8"/>
      <c r="F1468" s="8"/>
      <c r="G1468" s="8"/>
      <c r="H1468" s="5"/>
      <c r="I1468" s="5"/>
      <c r="J1468" s="5"/>
    </row>
    <row r="1469" spans="2:10">
      <c r="B1469" s="1"/>
      <c r="C1469" s="1"/>
      <c r="D1469" s="8"/>
      <c r="E1469" s="8"/>
      <c r="F1469" s="8"/>
      <c r="G1469" s="8"/>
      <c r="H1469" s="5"/>
      <c r="I1469" s="5"/>
      <c r="J1469" s="5"/>
    </row>
    <row r="1470" spans="2:10">
      <c r="B1470" s="1"/>
      <c r="C1470" s="1"/>
      <c r="D1470" s="8"/>
      <c r="E1470" s="8"/>
      <c r="F1470" s="8"/>
      <c r="G1470" s="8"/>
      <c r="H1470" s="5"/>
      <c r="I1470" s="5"/>
      <c r="J1470" s="5"/>
    </row>
    <row r="1471" spans="2:10">
      <c r="B1471" s="1"/>
      <c r="C1471" s="1"/>
      <c r="D1471" s="8"/>
      <c r="E1471" s="8"/>
      <c r="F1471" s="8"/>
      <c r="G1471" s="8"/>
      <c r="H1471" s="5"/>
      <c r="I1471" s="5"/>
      <c r="J1471" s="5"/>
    </row>
    <row r="1472" spans="2:10">
      <c r="B1472" s="1"/>
      <c r="C1472" s="1"/>
      <c r="D1472" s="8"/>
      <c r="E1472" s="8"/>
      <c r="F1472" s="8"/>
      <c r="G1472" s="8"/>
      <c r="H1472" s="5"/>
      <c r="I1472" s="5"/>
      <c r="J1472" s="5"/>
    </row>
    <row r="1473" spans="2:10">
      <c r="B1473" s="1"/>
      <c r="C1473" s="1"/>
      <c r="D1473" s="8"/>
      <c r="E1473" s="8"/>
      <c r="F1473" s="8"/>
      <c r="G1473" s="8"/>
      <c r="H1473" s="5"/>
      <c r="I1473" s="5"/>
      <c r="J1473" s="5"/>
    </row>
    <row r="1474" spans="2:10">
      <c r="B1474" s="1"/>
      <c r="C1474" s="1"/>
      <c r="D1474" s="8"/>
      <c r="E1474" s="8"/>
      <c r="F1474" s="8"/>
      <c r="G1474" s="8"/>
      <c r="H1474" s="5"/>
      <c r="I1474" s="5"/>
      <c r="J1474" s="5"/>
    </row>
    <row r="1475" spans="2:10">
      <c r="B1475" s="1"/>
      <c r="C1475" s="1"/>
      <c r="D1475" s="8"/>
      <c r="E1475" s="8"/>
      <c r="F1475" s="8"/>
      <c r="G1475" s="8"/>
      <c r="H1475" s="5"/>
      <c r="I1475" s="5"/>
      <c r="J1475" s="5"/>
    </row>
    <row r="1476" spans="2:10">
      <c r="B1476" s="1"/>
      <c r="C1476" s="1"/>
      <c r="D1476" s="8"/>
      <c r="E1476" s="8"/>
      <c r="F1476" s="8"/>
      <c r="G1476" s="8"/>
      <c r="H1476" s="5"/>
      <c r="I1476" s="5"/>
      <c r="J1476" s="5"/>
    </row>
    <row r="1477" spans="2:10">
      <c r="B1477" s="1"/>
      <c r="C1477" s="1"/>
      <c r="D1477" s="8"/>
      <c r="E1477" s="8"/>
      <c r="F1477" s="8"/>
      <c r="G1477" s="8"/>
      <c r="H1477" s="5"/>
      <c r="I1477" s="5"/>
      <c r="J1477" s="5"/>
    </row>
    <row r="1478" spans="2:10">
      <c r="B1478" s="1"/>
      <c r="C1478" s="1"/>
      <c r="D1478" s="8"/>
      <c r="E1478" s="8"/>
      <c r="F1478" s="8"/>
      <c r="G1478" s="8"/>
      <c r="H1478" s="5"/>
      <c r="I1478" s="5"/>
      <c r="J1478" s="5"/>
    </row>
    <row r="1479" spans="2:10">
      <c r="B1479" s="1"/>
      <c r="C1479" s="1"/>
      <c r="D1479" s="8"/>
      <c r="E1479" s="8"/>
      <c r="F1479" s="8"/>
      <c r="G1479" s="8"/>
      <c r="H1479" s="5"/>
      <c r="I1479" s="5"/>
      <c r="J1479" s="5"/>
    </row>
    <row r="1480" spans="2:10">
      <c r="B1480" s="1"/>
      <c r="C1480" s="1"/>
      <c r="D1480" s="8"/>
      <c r="E1480" s="8"/>
      <c r="F1480" s="8"/>
      <c r="G1480" s="8"/>
      <c r="H1480" s="5"/>
      <c r="I1480" s="5"/>
      <c r="J1480" s="5"/>
    </row>
    <row r="1481" spans="2:10">
      <c r="B1481" s="1"/>
      <c r="C1481" s="1"/>
      <c r="D1481" s="8"/>
      <c r="E1481" s="8"/>
      <c r="F1481" s="8"/>
      <c r="G1481" s="8"/>
      <c r="H1481" s="5"/>
      <c r="I1481" s="5"/>
      <c r="J1481" s="5"/>
    </row>
    <row r="1482" spans="2:10">
      <c r="B1482" s="1"/>
      <c r="C1482" s="1"/>
      <c r="D1482" s="8"/>
      <c r="E1482" s="8"/>
      <c r="F1482" s="8"/>
      <c r="G1482" s="8"/>
      <c r="H1482" s="5"/>
      <c r="I1482" s="5"/>
      <c r="J1482" s="5"/>
    </row>
    <row r="1483" spans="2:10">
      <c r="B1483" s="1"/>
      <c r="C1483" s="1"/>
      <c r="D1483" s="8"/>
      <c r="E1483" s="8"/>
      <c r="F1483" s="8"/>
      <c r="G1483" s="8"/>
      <c r="H1483" s="5"/>
      <c r="I1483" s="5"/>
      <c r="J1483" s="5"/>
    </row>
    <row r="1484" spans="2:10">
      <c r="B1484" s="1"/>
      <c r="C1484" s="1"/>
      <c r="D1484" s="8"/>
      <c r="E1484" s="8"/>
      <c r="F1484" s="8"/>
      <c r="G1484" s="8"/>
      <c r="H1484" s="5"/>
      <c r="I1484" s="5"/>
      <c r="J1484" s="5"/>
    </row>
    <row r="1485" spans="2:10">
      <c r="B1485" s="1"/>
      <c r="C1485" s="1"/>
      <c r="D1485" s="8"/>
      <c r="E1485" s="8"/>
      <c r="F1485" s="8"/>
      <c r="G1485" s="8"/>
      <c r="H1485" s="5"/>
      <c r="I1485" s="5"/>
      <c r="J1485" s="5"/>
    </row>
    <row r="1486" spans="2:10">
      <c r="B1486" s="1"/>
      <c r="C1486" s="1"/>
      <c r="D1486" s="8"/>
      <c r="E1486" s="8"/>
      <c r="F1486" s="8"/>
      <c r="G1486" s="8"/>
      <c r="H1486" s="5"/>
      <c r="I1486" s="5"/>
      <c r="J1486" s="5"/>
    </row>
    <row r="1487" spans="2:10">
      <c r="B1487" s="1"/>
      <c r="C1487" s="1"/>
      <c r="D1487" s="8"/>
      <c r="E1487" s="8"/>
      <c r="F1487" s="8"/>
      <c r="G1487" s="8"/>
      <c r="H1487" s="5"/>
      <c r="I1487" s="5"/>
      <c r="J1487" s="5"/>
    </row>
    <row r="1488" spans="2:10">
      <c r="B1488" s="1"/>
      <c r="C1488" s="1"/>
      <c r="D1488" s="8"/>
      <c r="E1488" s="8"/>
      <c r="F1488" s="8"/>
      <c r="G1488" s="8"/>
      <c r="H1488" s="5"/>
      <c r="I1488" s="5"/>
      <c r="J1488" s="5"/>
    </row>
    <row r="1489" spans="2:10">
      <c r="B1489" s="1"/>
      <c r="C1489" s="1"/>
      <c r="D1489" s="8"/>
      <c r="E1489" s="8"/>
      <c r="F1489" s="8"/>
      <c r="G1489" s="8"/>
      <c r="H1489" s="5"/>
      <c r="I1489" s="5"/>
      <c r="J1489" s="5"/>
    </row>
    <row r="1490" spans="2:10">
      <c r="B1490" s="1"/>
      <c r="C1490" s="1"/>
      <c r="D1490" s="8"/>
      <c r="E1490" s="8"/>
      <c r="F1490" s="8"/>
      <c r="G1490" s="8"/>
      <c r="H1490" s="5"/>
      <c r="I1490" s="5"/>
      <c r="J1490" s="5"/>
    </row>
    <row r="1491" spans="2:10">
      <c r="B1491" s="1"/>
      <c r="C1491" s="1"/>
      <c r="D1491" s="8"/>
      <c r="E1491" s="8"/>
      <c r="F1491" s="8"/>
      <c r="G1491" s="8"/>
      <c r="H1491" s="5"/>
      <c r="I1491" s="5"/>
      <c r="J1491" s="5"/>
    </row>
    <row r="1492" spans="2:10">
      <c r="B1492" s="1"/>
      <c r="C1492" s="1"/>
      <c r="D1492" s="8"/>
      <c r="E1492" s="8"/>
      <c r="F1492" s="8"/>
      <c r="G1492" s="8"/>
      <c r="H1492" s="5"/>
      <c r="I1492" s="5"/>
      <c r="J1492" s="5"/>
    </row>
    <row r="1493" spans="2:10">
      <c r="B1493" s="1"/>
      <c r="C1493" s="1"/>
      <c r="D1493" s="8"/>
      <c r="E1493" s="8"/>
      <c r="F1493" s="8"/>
      <c r="G1493" s="8"/>
      <c r="H1493" s="5"/>
      <c r="I1493" s="5"/>
      <c r="J1493" s="5"/>
    </row>
    <row r="1494" spans="2:10">
      <c r="B1494" s="1"/>
      <c r="C1494" s="1"/>
      <c r="D1494" s="8"/>
      <c r="E1494" s="8"/>
      <c r="F1494" s="8"/>
      <c r="G1494" s="8"/>
      <c r="H1494" s="5"/>
      <c r="I1494" s="5"/>
      <c r="J1494" s="5"/>
    </row>
    <row r="1495" spans="2:10">
      <c r="B1495" s="1"/>
      <c r="C1495" s="1"/>
      <c r="D1495" s="8"/>
      <c r="E1495" s="8"/>
      <c r="F1495" s="8"/>
      <c r="G1495" s="8"/>
      <c r="H1495" s="5"/>
      <c r="I1495" s="5"/>
      <c r="J1495" s="5"/>
    </row>
    <row r="1496" spans="2:10">
      <c r="B1496" s="1"/>
      <c r="C1496" s="1"/>
      <c r="D1496" s="8"/>
      <c r="E1496" s="8"/>
      <c r="F1496" s="8"/>
      <c r="G1496" s="8"/>
      <c r="H1496" s="5"/>
      <c r="I1496" s="5"/>
      <c r="J1496" s="5"/>
    </row>
    <row r="1497" spans="2:10">
      <c r="B1497" s="1"/>
      <c r="C1497" s="1"/>
      <c r="D1497" s="8"/>
      <c r="E1497" s="8"/>
      <c r="F1497" s="8"/>
      <c r="G1497" s="8"/>
      <c r="H1497" s="5"/>
      <c r="I1497" s="5"/>
      <c r="J1497" s="5"/>
    </row>
    <row r="1498" spans="2:10">
      <c r="B1498" s="1"/>
      <c r="C1498" s="1"/>
      <c r="D1498" s="8"/>
      <c r="E1498" s="8"/>
      <c r="F1498" s="8"/>
      <c r="G1498" s="8"/>
      <c r="H1498" s="5"/>
      <c r="I1498" s="5"/>
      <c r="J1498" s="5"/>
    </row>
    <row r="1499" spans="2:10">
      <c r="B1499" s="1"/>
      <c r="C1499" s="1"/>
      <c r="D1499" s="8"/>
      <c r="E1499" s="8"/>
      <c r="F1499" s="8"/>
      <c r="G1499" s="8"/>
      <c r="H1499" s="5"/>
      <c r="I1499" s="5"/>
      <c r="J1499" s="5"/>
    </row>
    <row r="1500" spans="2:10">
      <c r="B1500" s="1"/>
      <c r="C1500" s="1"/>
      <c r="D1500" s="8"/>
      <c r="E1500" s="8"/>
      <c r="F1500" s="8"/>
      <c r="G1500" s="8"/>
      <c r="H1500" s="5"/>
      <c r="I1500" s="5"/>
      <c r="J1500" s="5"/>
    </row>
    <row r="1501" spans="2:10">
      <c r="B1501" s="1"/>
      <c r="C1501" s="1"/>
      <c r="D1501" s="8"/>
      <c r="E1501" s="8"/>
      <c r="F1501" s="8"/>
      <c r="G1501" s="8"/>
      <c r="H1501" s="5"/>
      <c r="I1501" s="5"/>
      <c r="J1501" s="5"/>
    </row>
    <row r="1502" spans="2:10">
      <c r="B1502" s="1"/>
      <c r="C1502" s="1"/>
      <c r="D1502" s="8"/>
      <c r="E1502" s="8"/>
      <c r="F1502" s="8"/>
      <c r="G1502" s="8"/>
      <c r="H1502" s="5"/>
      <c r="I1502" s="5"/>
      <c r="J1502" s="5"/>
    </row>
    <row r="1503" spans="2:10">
      <c r="B1503" s="1"/>
      <c r="C1503" s="1"/>
      <c r="D1503" s="8"/>
      <c r="E1503" s="8"/>
      <c r="F1503" s="8"/>
      <c r="G1503" s="8"/>
      <c r="H1503" s="5"/>
      <c r="I1503" s="5"/>
      <c r="J1503" s="5"/>
    </row>
    <row r="1504" spans="2:10">
      <c r="B1504" s="1"/>
      <c r="C1504" s="1"/>
      <c r="D1504" s="8"/>
      <c r="E1504" s="8"/>
      <c r="F1504" s="8"/>
      <c r="G1504" s="8"/>
      <c r="H1504" s="5"/>
      <c r="I1504" s="5"/>
      <c r="J1504" s="5"/>
    </row>
    <row r="1505" spans="2:10">
      <c r="B1505" s="1"/>
      <c r="C1505" s="1"/>
      <c r="D1505" s="8"/>
      <c r="E1505" s="8"/>
      <c r="F1505" s="8"/>
      <c r="G1505" s="8"/>
      <c r="H1505" s="5"/>
      <c r="I1505" s="5"/>
      <c r="J1505" s="5"/>
    </row>
    <row r="1506" spans="2:10">
      <c r="B1506" s="1"/>
      <c r="C1506" s="1"/>
      <c r="D1506" s="8"/>
      <c r="E1506" s="8"/>
      <c r="F1506" s="8"/>
      <c r="G1506" s="8"/>
      <c r="H1506" s="5"/>
      <c r="I1506" s="5"/>
      <c r="J1506" s="5"/>
    </row>
    <row r="1507" spans="2:10">
      <c r="B1507" s="1"/>
      <c r="C1507" s="1"/>
      <c r="D1507" s="8"/>
      <c r="E1507" s="8"/>
      <c r="F1507" s="8"/>
      <c r="G1507" s="8"/>
      <c r="H1507" s="5"/>
      <c r="I1507" s="5"/>
      <c r="J1507" s="5"/>
    </row>
    <row r="1508" spans="2:10">
      <c r="B1508" s="1"/>
      <c r="C1508" s="1"/>
      <c r="D1508" s="8"/>
      <c r="E1508" s="8"/>
      <c r="F1508" s="8"/>
      <c r="G1508" s="8"/>
      <c r="H1508" s="5"/>
      <c r="I1508" s="5"/>
      <c r="J1508" s="5"/>
    </row>
    <row r="1509" spans="2:10">
      <c r="B1509" s="1"/>
      <c r="C1509" s="1"/>
      <c r="D1509" s="8"/>
      <c r="E1509" s="8"/>
      <c r="F1509" s="8"/>
      <c r="G1509" s="8"/>
      <c r="H1509" s="5"/>
      <c r="I1509" s="5"/>
      <c r="J1509" s="5"/>
    </row>
    <row r="1510" spans="2:10">
      <c r="B1510" s="1"/>
      <c r="C1510" s="1"/>
      <c r="D1510" s="8"/>
      <c r="E1510" s="8"/>
      <c r="F1510" s="8"/>
      <c r="G1510" s="8"/>
      <c r="H1510" s="5"/>
      <c r="I1510" s="5"/>
      <c r="J1510" s="5"/>
    </row>
    <row r="1511" spans="2:10">
      <c r="B1511" s="1"/>
      <c r="C1511" s="1"/>
      <c r="D1511" s="8"/>
      <c r="E1511" s="8"/>
      <c r="F1511" s="8"/>
      <c r="G1511" s="8"/>
      <c r="H1511" s="5"/>
      <c r="I1511" s="5"/>
      <c r="J1511" s="5"/>
    </row>
    <row r="1512" spans="2:10">
      <c r="B1512" s="1"/>
      <c r="C1512" s="1"/>
      <c r="D1512" s="8"/>
      <c r="E1512" s="8"/>
      <c r="F1512" s="8"/>
      <c r="G1512" s="8"/>
      <c r="H1512" s="5"/>
      <c r="I1512" s="5"/>
      <c r="J1512" s="5"/>
    </row>
    <row r="1513" spans="2:10">
      <c r="B1513" s="1"/>
      <c r="C1513" s="1"/>
      <c r="D1513" s="8"/>
      <c r="E1513" s="8"/>
      <c r="F1513" s="8"/>
      <c r="G1513" s="8"/>
      <c r="H1513" s="5"/>
      <c r="I1513" s="5"/>
      <c r="J1513" s="5"/>
    </row>
    <row r="1514" spans="2:10">
      <c r="B1514" s="1"/>
      <c r="C1514" s="1"/>
      <c r="D1514" s="8"/>
      <c r="E1514" s="8"/>
      <c r="F1514" s="8"/>
      <c r="G1514" s="8"/>
      <c r="H1514" s="5"/>
      <c r="I1514" s="5"/>
      <c r="J1514" s="5"/>
    </row>
    <row r="1515" spans="2:10">
      <c r="B1515" s="1"/>
      <c r="C1515" s="1"/>
      <c r="D1515" s="8"/>
      <c r="E1515" s="8"/>
      <c r="F1515" s="8"/>
      <c r="G1515" s="8"/>
      <c r="H1515" s="5"/>
      <c r="I1515" s="5"/>
      <c r="J1515" s="5"/>
    </row>
    <row r="1516" spans="2:10">
      <c r="B1516" s="1"/>
      <c r="C1516" s="1"/>
      <c r="D1516" s="8"/>
      <c r="E1516" s="8"/>
      <c r="F1516" s="8"/>
      <c r="G1516" s="8"/>
      <c r="H1516" s="5"/>
      <c r="I1516" s="5"/>
      <c r="J1516" s="5"/>
    </row>
    <row r="1517" spans="2:10">
      <c r="B1517" s="1"/>
      <c r="C1517" s="1"/>
      <c r="D1517" s="8"/>
      <c r="E1517" s="8"/>
      <c r="F1517" s="8"/>
      <c r="G1517" s="8"/>
      <c r="H1517" s="5"/>
      <c r="I1517" s="5"/>
      <c r="J1517" s="5"/>
    </row>
    <row r="1518" spans="2:10">
      <c r="B1518" s="1"/>
      <c r="C1518" s="1"/>
      <c r="D1518" s="8"/>
      <c r="E1518" s="8"/>
      <c r="F1518" s="8"/>
      <c r="G1518" s="8"/>
      <c r="H1518" s="5"/>
      <c r="I1518" s="5"/>
      <c r="J1518" s="5"/>
    </row>
    <row r="1519" spans="2:10">
      <c r="B1519" s="1"/>
      <c r="C1519" s="1"/>
      <c r="D1519" s="8"/>
      <c r="E1519" s="8"/>
      <c r="F1519" s="8"/>
      <c r="G1519" s="8"/>
      <c r="H1519" s="5"/>
      <c r="I1519" s="5"/>
      <c r="J1519" s="5"/>
    </row>
    <row r="1520" spans="2:10">
      <c r="B1520" s="1"/>
      <c r="C1520" s="1"/>
      <c r="D1520" s="8"/>
      <c r="E1520" s="8"/>
      <c r="F1520" s="8"/>
      <c r="G1520" s="8"/>
      <c r="H1520" s="5"/>
      <c r="I1520" s="5"/>
      <c r="J1520" s="5"/>
    </row>
    <row r="1521" spans="2:10">
      <c r="B1521" s="1"/>
      <c r="C1521" s="1"/>
      <c r="D1521" s="8"/>
      <c r="E1521" s="8"/>
      <c r="F1521" s="8"/>
      <c r="G1521" s="8"/>
      <c r="H1521" s="5"/>
      <c r="I1521" s="5"/>
      <c r="J1521" s="5"/>
    </row>
    <row r="1522" spans="2:10">
      <c r="B1522" s="1"/>
      <c r="C1522" s="1"/>
      <c r="D1522" s="8"/>
      <c r="E1522" s="8"/>
      <c r="F1522" s="8"/>
      <c r="G1522" s="8"/>
      <c r="H1522" s="5"/>
      <c r="I1522" s="5"/>
      <c r="J1522" s="5"/>
    </row>
    <row r="1523" spans="2:10">
      <c r="B1523" s="1"/>
      <c r="C1523" s="1"/>
      <c r="D1523" s="8"/>
      <c r="E1523" s="8"/>
      <c r="F1523" s="8"/>
      <c r="G1523" s="8"/>
      <c r="H1523" s="5"/>
      <c r="I1523" s="5"/>
      <c r="J1523" s="5"/>
    </row>
    <row r="1524" spans="2:10">
      <c r="B1524" s="1"/>
      <c r="C1524" s="1"/>
      <c r="D1524" s="8"/>
      <c r="E1524" s="8"/>
      <c r="F1524" s="8"/>
      <c r="G1524" s="8"/>
      <c r="H1524" s="5"/>
      <c r="I1524" s="5"/>
      <c r="J1524" s="5"/>
    </row>
    <row r="1525" spans="2:10">
      <c r="B1525" s="1"/>
      <c r="C1525" s="1"/>
      <c r="D1525" s="8"/>
      <c r="E1525" s="8"/>
      <c r="F1525" s="8"/>
      <c r="G1525" s="8"/>
      <c r="H1525" s="5"/>
      <c r="I1525" s="5"/>
      <c r="J1525" s="5"/>
    </row>
    <row r="1526" spans="2:10">
      <c r="B1526" s="1"/>
      <c r="C1526" s="1"/>
      <c r="D1526" s="8"/>
      <c r="E1526" s="8"/>
      <c r="F1526" s="8"/>
      <c r="G1526" s="8"/>
      <c r="H1526" s="5"/>
      <c r="I1526" s="5"/>
      <c r="J1526" s="5"/>
    </row>
    <row r="1527" spans="2:10">
      <c r="B1527" s="1"/>
      <c r="C1527" s="1"/>
      <c r="D1527" s="8"/>
      <c r="E1527" s="8"/>
      <c r="F1527" s="8"/>
      <c r="G1527" s="8"/>
      <c r="H1527" s="5"/>
      <c r="I1527" s="5"/>
      <c r="J1527" s="5"/>
    </row>
    <row r="1528" spans="2:10">
      <c r="B1528" s="1"/>
      <c r="C1528" s="1"/>
      <c r="D1528" s="8"/>
      <c r="E1528" s="8"/>
      <c r="F1528" s="8"/>
      <c r="G1528" s="8"/>
      <c r="H1528" s="5"/>
      <c r="I1528" s="5"/>
      <c r="J1528" s="5"/>
    </row>
    <row r="1529" spans="2:10">
      <c r="B1529" s="1"/>
      <c r="C1529" s="1"/>
      <c r="D1529" s="8"/>
      <c r="E1529" s="8"/>
      <c r="F1529" s="8"/>
      <c r="G1529" s="8"/>
      <c r="H1529" s="5"/>
      <c r="I1529" s="5"/>
      <c r="J1529" s="5"/>
    </row>
    <row r="1530" spans="2:10">
      <c r="B1530" s="1"/>
      <c r="C1530" s="1"/>
      <c r="D1530" s="8"/>
      <c r="E1530" s="8"/>
      <c r="F1530" s="8"/>
      <c r="G1530" s="8"/>
      <c r="H1530" s="5"/>
      <c r="I1530" s="5"/>
      <c r="J1530" s="5"/>
    </row>
    <row r="1531" spans="2:10">
      <c r="B1531" s="1"/>
      <c r="C1531" s="1"/>
      <c r="D1531" s="8"/>
      <c r="E1531" s="8"/>
      <c r="F1531" s="8"/>
      <c r="G1531" s="8"/>
      <c r="H1531" s="5"/>
      <c r="I1531" s="5"/>
      <c r="J1531" s="5"/>
    </row>
    <row r="1532" spans="2:10">
      <c r="B1532" s="1"/>
      <c r="C1532" s="1"/>
      <c r="D1532" s="8"/>
      <c r="E1532" s="8"/>
      <c r="F1532" s="8"/>
      <c r="G1532" s="8"/>
      <c r="H1532" s="5"/>
      <c r="I1532" s="5"/>
      <c r="J1532" s="5"/>
    </row>
    <row r="1533" spans="2:10">
      <c r="B1533" s="1"/>
      <c r="C1533" s="1"/>
      <c r="D1533" s="8"/>
      <c r="E1533" s="8"/>
      <c r="F1533" s="8"/>
      <c r="G1533" s="8"/>
      <c r="H1533" s="5"/>
      <c r="I1533" s="5"/>
      <c r="J1533" s="5"/>
    </row>
    <row r="1534" spans="2:10">
      <c r="B1534" s="1"/>
      <c r="C1534" s="1"/>
      <c r="D1534" s="8"/>
      <c r="E1534" s="8"/>
      <c r="F1534" s="8"/>
      <c r="G1534" s="8"/>
      <c r="H1534" s="5"/>
      <c r="I1534" s="5"/>
      <c r="J1534" s="5"/>
    </row>
    <row r="1535" spans="2:10">
      <c r="B1535" s="1"/>
      <c r="C1535" s="1"/>
      <c r="D1535" s="8"/>
      <c r="E1535" s="8"/>
      <c r="F1535" s="8"/>
      <c r="G1535" s="8"/>
      <c r="H1535" s="5"/>
      <c r="I1535" s="5"/>
      <c r="J1535" s="5"/>
    </row>
    <row r="1536" spans="2:10">
      <c r="B1536" s="1"/>
      <c r="C1536" s="1"/>
      <c r="D1536" s="8"/>
      <c r="E1536" s="8"/>
      <c r="F1536" s="8"/>
      <c r="G1536" s="8"/>
      <c r="H1536" s="5"/>
      <c r="I1536" s="5"/>
      <c r="J1536" s="5"/>
    </row>
    <row r="1537" spans="2:10">
      <c r="B1537" s="1"/>
      <c r="C1537" s="1"/>
      <c r="D1537" s="8"/>
      <c r="E1537" s="8"/>
      <c r="F1537" s="8"/>
      <c r="G1537" s="8"/>
      <c r="H1537" s="5"/>
      <c r="I1537" s="5"/>
      <c r="J1537" s="5"/>
    </row>
    <row r="1538" spans="2:10">
      <c r="B1538" s="1"/>
      <c r="C1538" s="1"/>
      <c r="D1538" s="8"/>
      <c r="E1538" s="8"/>
      <c r="F1538" s="8"/>
      <c r="G1538" s="8"/>
      <c r="H1538" s="5"/>
      <c r="I1538" s="5"/>
      <c r="J1538" s="5"/>
    </row>
    <row r="1539" spans="2:10">
      <c r="B1539" s="1"/>
      <c r="C1539" s="1"/>
      <c r="D1539" s="8"/>
      <c r="E1539" s="8"/>
      <c r="F1539" s="8"/>
      <c r="G1539" s="8"/>
      <c r="H1539" s="5"/>
      <c r="I1539" s="5"/>
      <c r="J1539" s="5"/>
    </row>
    <row r="1540" spans="2:10">
      <c r="B1540" s="1"/>
      <c r="C1540" s="1"/>
      <c r="D1540" s="8"/>
      <c r="E1540" s="8"/>
      <c r="F1540" s="8"/>
      <c r="G1540" s="8"/>
      <c r="H1540" s="5"/>
      <c r="I1540" s="5"/>
      <c r="J1540" s="5"/>
    </row>
    <row r="1541" spans="2:10">
      <c r="B1541" s="1"/>
      <c r="C1541" s="1"/>
      <c r="D1541" s="8"/>
      <c r="E1541" s="8"/>
      <c r="F1541" s="8"/>
      <c r="G1541" s="8"/>
      <c r="H1541" s="5"/>
      <c r="I1541" s="5"/>
      <c r="J1541" s="5"/>
    </row>
    <row r="1542" spans="2:10">
      <c r="B1542" s="1"/>
      <c r="C1542" s="1"/>
      <c r="D1542" s="8"/>
      <c r="E1542" s="8"/>
      <c r="F1542" s="8"/>
      <c r="G1542" s="8"/>
      <c r="H1542" s="5"/>
      <c r="I1542" s="5"/>
      <c r="J1542" s="5"/>
    </row>
    <row r="1543" spans="2:10">
      <c r="B1543" s="1"/>
      <c r="C1543" s="1"/>
      <c r="D1543" s="8"/>
      <c r="E1543" s="8"/>
      <c r="F1543" s="8"/>
      <c r="G1543" s="8"/>
      <c r="H1543" s="5"/>
      <c r="I1543" s="5"/>
      <c r="J1543" s="5"/>
    </row>
    <row r="1544" spans="2:10">
      <c r="B1544" s="1"/>
      <c r="C1544" s="1"/>
      <c r="D1544" s="8"/>
      <c r="E1544" s="8"/>
      <c r="F1544" s="8"/>
      <c r="G1544" s="8"/>
      <c r="H1544" s="5"/>
      <c r="I1544" s="5"/>
      <c r="J1544" s="5"/>
    </row>
    <row r="1545" spans="2:10">
      <c r="B1545" s="1"/>
      <c r="C1545" s="1"/>
      <c r="D1545" s="8"/>
      <c r="E1545" s="8"/>
      <c r="F1545" s="8"/>
      <c r="G1545" s="8"/>
      <c r="H1545" s="5"/>
      <c r="I1545" s="5"/>
      <c r="J1545" s="5"/>
    </row>
    <row r="1546" spans="2:10">
      <c r="B1546" s="1"/>
      <c r="C1546" s="1"/>
      <c r="D1546" s="8"/>
      <c r="E1546" s="8"/>
      <c r="F1546" s="8"/>
      <c r="G1546" s="8"/>
      <c r="H1546" s="5"/>
      <c r="I1546" s="5"/>
      <c r="J1546" s="5"/>
    </row>
    <row r="1547" spans="2:10">
      <c r="B1547" s="1"/>
      <c r="C1547" s="1"/>
      <c r="D1547" s="8"/>
      <c r="E1547" s="8"/>
      <c r="F1547" s="8"/>
      <c r="G1547" s="8"/>
      <c r="H1547" s="5"/>
      <c r="I1547" s="5"/>
      <c r="J1547" s="5"/>
    </row>
    <row r="1548" spans="2:10">
      <c r="B1548" s="1"/>
      <c r="C1548" s="1"/>
      <c r="D1548" s="8"/>
      <c r="E1548" s="8"/>
      <c r="F1548" s="8"/>
      <c r="G1548" s="8"/>
      <c r="H1548" s="5"/>
      <c r="I1548" s="5"/>
      <c r="J1548" s="5"/>
    </row>
    <row r="1549" spans="2:10">
      <c r="B1549" s="1"/>
      <c r="C1549" s="1"/>
      <c r="D1549" s="8"/>
      <c r="E1549" s="8"/>
      <c r="F1549" s="8"/>
      <c r="G1549" s="8"/>
      <c r="H1549" s="5"/>
      <c r="I1549" s="5"/>
      <c r="J1549" s="5"/>
    </row>
    <row r="1550" spans="2:10">
      <c r="B1550" s="1"/>
      <c r="C1550" s="1"/>
      <c r="D1550" s="8"/>
      <c r="E1550" s="8"/>
      <c r="F1550" s="8"/>
      <c r="G1550" s="8"/>
      <c r="H1550" s="5"/>
      <c r="I1550" s="5"/>
      <c r="J1550" s="5"/>
    </row>
    <row r="1551" spans="2:10">
      <c r="B1551" s="1"/>
      <c r="C1551" s="1"/>
      <c r="D1551" s="8"/>
      <c r="E1551" s="8"/>
      <c r="F1551" s="8"/>
      <c r="G1551" s="8"/>
      <c r="H1551" s="5"/>
      <c r="I1551" s="5"/>
      <c r="J1551" s="5"/>
    </row>
    <row r="1552" spans="2:10">
      <c r="B1552" s="1"/>
      <c r="C1552" s="1"/>
      <c r="D1552" s="8"/>
      <c r="E1552" s="8"/>
      <c r="F1552" s="8"/>
      <c r="G1552" s="8"/>
      <c r="H1552" s="5"/>
      <c r="I1552" s="5"/>
      <c r="J1552" s="5"/>
    </row>
    <row r="1553" spans="2:10">
      <c r="B1553" s="1"/>
      <c r="C1553" s="1"/>
      <c r="D1553" s="8"/>
      <c r="E1553" s="8"/>
      <c r="F1553" s="8"/>
      <c r="G1553" s="8"/>
      <c r="H1553" s="5"/>
      <c r="I1553" s="5"/>
      <c r="J1553" s="5"/>
    </row>
    <row r="1554" spans="2:10">
      <c r="B1554" s="1"/>
      <c r="C1554" s="1"/>
      <c r="D1554" s="8"/>
      <c r="E1554" s="8"/>
      <c r="F1554" s="8"/>
      <c r="G1554" s="8"/>
      <c r="H1554" s="5"/>
      <c r="I1554" s="5"/>
      <c r="J1554" s="5"/>
    </row>
    <row r="1555" spans="2:10">
      <c r="B1555" s="1"/>
      <c r="C1555" s="1"/>
      <c r="D1555" s="8"/>
      <c r="E1555" s="8"/>
      <c r="F1555" s="8"/>
      <c r="G1555" s="8"/>
      <c r="H1555" s="5"/>
      <c r="I1555" s="5"/>
      <c r="J1555" s="5"/>
    </row>
    <row r="1556" spans="2:10">
      <c r="B1556" s="1"/>
      <c r="C1556" s="1"/>
      <c r="D1556" s="8"/>
      <c r="E1556" s="8"/>
      <c r="F1556" s="8"/>
      <c r="G1556" s="8"/>
      <c r="H1556" s="5"/>
      <c r="I1556" s="5"/>
      <c r="J1556" s="5"/>
    </row>
    <row r="1557" spans="2:10">
      <c r="B1557" s="1"/>
      <c r="C1557" s="1"/>
      <c r="D1557" s="8"/>
      <c r="E1557" s="8"/>
      <c r="F1557" s="8"/>
      <c r="G1557" s="8"/>
      <c r="H1557" s="5"/>
      <c r="I1557" s="5"/>
      <c r="J1557" s="5"/>
    </row>
    <row r="1558" spans="2:10">
      <c r="B1558" s="1"/>
      <c r="C1558" s="1"/>
      <c r="D1558" s="8"/>
      <c r="E1558" s="8"/>
      <c r="F1558" s="8"/>
      <c r="G1558" s="8"/>
      <c r="H1558" s="5"/>
      <c r="I1558" s="5"/>
      <c r="J1558" s="5"/>
    </row>
    <row r="1559" spans="2:10">
      <c r="B1559" s="1"/>
      <c r="C1559" s="1"/>
      <c r="D1559" s="8"/>
      <c r="E1559" s="8"/>
      <c r="F1559" s="8"/>
      <c r="G1559" s="8"/>
      <c r="H1559" s="5"/>
      <c r="I1559" s="5"/>
      <c r="J1559" s="5"/>
    </row>
    <row r="1560" spans="2:10">
      <c r="B1560" s="1"/>
      <c r="C1560" s="1"/>
      <c r="D1560" s="8"/>
      <c r="E1560" s="8"/>
      <c r="F1560" s="8"/>
      <c r="G1560" s="8"/>
      <c r="H1560" s="5"/>
      <c r="I1560" s="5"/>
      <c r="J1560" s="5"/>
    </row>
    <row r="1561" spans="2:10">
      <c r="B1561" s="1"/>
      <c r="C1561" s="1"/>
      <c r="D1561" s="8"/>
      <c r="E1561" s="8"/>
      <c r="F1561" s="8"/>
      <c r="G1561" s="8"/>
      <c r="H1561" s="5"/>
      <c r="I1561" s="5"/>
      <c r="J1561" s="5"/>
    </row>
    <row r="1562" spans="2:10">
      <c r="B1562" s="1"/>
      <c r="C1562" s="1"/>
      <c r="D1562" s="8"/>
      <c r="E1562" s="8"/>
      <c r="F1562" s="8"/>
      <c r="G1562" s="8"/>
      <c r="H1562" s="5"/>
      <c r="I1562" s="5"/>
      <c r="J1562" s="5"/>
    </row>
    <row r="1563" spans="2:10">
      <c r="B1563" s="1"/>
      <c r="C1563" s="1"/>
      <c r="D1563" s="8"/>
      <c r="E1563" s="8"/>
      <c r="F1563" s="8"/>
      <c r="G1563" s="8"/>
      <c r="H1563" s="5"/>
      <c r="I1563" s="5"/>
      <c r="J1563" s="5"/>
    </row>
    <row r="1564" spans="2:10">
      <c r="B1564" s="1"/>
      <c r="C1564" s="1"/>
      <c r="D1564" s="8"/>
      <c r="E1564" s="8"/>
      <c r="F1564" s="8"/>
      <c r="G1564" s="8"/>
      <c r="H1564" s="5"/>
      <c r="I1564" s="5"/>
      <c r="J1564" s="5"/>
    </row>
    <row r="1565" spans="2:10">
      <c r="B1565" s="1"/>
      <c r="C1565" s="1"/>
      <c r="D1565" s="8"/>
      <c r="E1565" s="8"/>
      <c r="F1565" s="8"/>
      <c r="G1565" s="8"/>
      <c r="H1565" s="5"/>
      <c r="I1565" s="5"/>
      <c r="J1565" s="5"/>
    </row>
    <row r="1566" spans="2:10">
      <c r="B1566" s="1"/>
      <c r="C1566" s="1"/>
      <c r="D1566" s="8"/>
      <c r="E1566" s="8"/>
      <c r="F1566" s="8"/>
      <c r="G1566" s="8"/>
      <c r="H1566" s="5"/>
      <c r="I1566" s="5"/>
      <c r="J1566" s="5"/>
    </row>
    <row r="1567" spans="2:10">
      <c r="B1567" s="1"/>
      <c r="C1567" s="1"/>
      <c r="D1567" s="8"/>
      <c r="E1567" s="8"/>
      <c r="F1567" s="8"/>
      <c r="G1567" s="8"/>
      <c r="H1567" s="5"/>
      <c r="I1567" s="5"/>
      <c r="J1567" s="5"/>
    </row>
    <row r="1568" spans="2:10">
      <c r="B1568" s="1"/>
      <c r="C1568" s="1"/>
      <c r="D1568" s="8"/>
      <c r="E1568" s="8"/>
      <c r="F1568" s="8"/>
      <c r="G1568" s="8"/>
      <c r="H1568" s="5"/>
      <c r="I1568" s="5"/>
      <c r="J1568" s="5"/>
    </row>
    <row r="1569" spans="2:10">
      <c r="B1569" s="1"/>
      <c r="C1569" s="1"/>
      <c r="D1569" s="8"/>
      <c r="E1569" s="8"/>
      <c r="F1569" s="8"/>
      <c r="G1569" s="8"/>
      <c r="H1569" s="5"/>
      <c r="I1569" s="5"/>
      <c r="J1569" s="5"/>
    </row>
    <row r="1570" spans="2:10">
      <c r="B1570" s="1"/>
      <c r="C1570" s="1"/>
      <c r="D1570" s="8"/>
      <c r="E1570" s="8"/>
      <c r="F1570" s="8"/>
      <c r="G1570" s="8"/>
      <c r="H1570" s="5"/>
      <c r="I1570" s="5"/>
      <c r="J1570" s="5"/>
    </row>
    <row r="1571" spans="2:10">
      <c r="B1571" s="1"/>
      <c r="C1571" s="1"/>
      <c r="D1571" s="8"/>
      <c r="E1571" s="8"/>
      <c r="F1571" s="8"/>
      <c r="G1571" s="8"/>
      <c r="H1571" s="5"/>
      <c r="I1571" s="5"/>
      <c r="J1571" s="5"/>
    </row>
    <row r="1572" spans="2:10">
      <c r="B1572" s="1"/>
      <c r="C1572" s="1"/>
      <c r="D1572" s="8"/>
      <c r="E1572" s="8"/>
      <c r="F1572" s="8"/>
      <c r="G1572" s="8"/>
      <c r="H1572" s="5"/>
      <c r="I1572" s="5"/>
      <c r="J1572" s="5"/>
    </row>
    <row r="1573" spans="2:10">
      <c r="B1573" s="1"/>
      <c r="C1573" s="1"/>
      <c r="D1573" s="8"/>
      <c r="E1573" s="8"/>
      <c r="F1573" s="8"/>
      <c r="G1573" s="8"/>
      <c r="H1573" s="5"/>
      <c r="I1573" s="5"/>
      <c r="J1573" s="5"/>
    </row>
    <row r="1574" spans="2:10">
      <c r="B1574" s="1"/>
      <c r="C1574" s="1"/>
      <c r="D1574" s="8"/>
      <c r="E1574" s="8"/>
      <c r="F1574" s="8"/>
      <c r="G1574" s="8"/>
      <c r="H1574" s="5"/>
      <c r="I1574" s="5"/>
      <c r="J1574" s="5"/>
    </row>
    <row r="1575" spans="2:10">
      <c r="B1575" s="1"/>
      <c r="C1575" s="1"/>
      <c r="D1575" s="8"/>
      <c r="E1575" s="8"/>
      <c r="F1575" s="8"/>
      <c r="G1575" s="8"/>
      <c r="H1575" s="5"/>
      <c r="I1575" s="5"/>
      <c r="J1575" s="5"/>
    </row>
    <row r="1576" spans="2:10">
      <c r="B1576" s="1"/>
      <c r="C1576" s="1"/>
      <c r="D1576" s="8"/>
      <c r="E1576" s="8"/>
      <c r="F1576" s="8"/>
      <c r="G1576" s="8"/>
      <c r="H1576" s="5"/>
      <c r="I1576" s="5"/>
      <c r="J1576" s="5"/>
    </row>
    <row r="1577" spans="2:10">
      <c r="B1577" s="1"/>
      <c r="C1577" s="1"/>
      <c r="D1577" s="8"/>
      <c r="E1577" s="8"/>
      <c r="F1577" s="8"/>
      <c r="G1577" s="8"/>
      <c r="H1577" s="5"/>
      <c r="I1577" s="5"/>
      <c r="J1577" s="5"/>
    </row>
    <row r="1578" spans="2:10">
      <c r="B1578" s="1"/>
      <c r="C1578" s="1"/>
      <c r="D1578" s="8"/>
      <c r="E1578" s="8"/>
      <c r="F1578" s="8"/>
      <c r="G1578" s="8"/>
      <c r="H1578" s="5"/>
      <c r="I1578" s="5"/>
      <c r="J1578" s="5"/>
    </row>
    <row r="1579" spans="2:10">
      <c r="B1579" s="1"/>
      <c r="C1579" s="1"/>
      <c r="D1579" s="8"/>
      <c r="E1579" s="8"/>
      <c r="F1579" s="8"/>
      <c r="G1579" s="8"/>
      <c r="H1579" s="5"/>
      <c r="I1579" s="5"/>
      <c r="J1579" s="5"/>
    </row>
    <row r="1580" spans="2:10">
      <c r="B1580" s="1"/>
      <c r="C1580" s="1"/>
      <c r="D1580" s="8"/>
      <c r="E1580" s="8"/>
      <c r="F1580" s="8"/>
      <c r="G1580" s="8"/>
      <c r="H1580" s="5"/>
      <c r="I1580" s="5"/>
      <c r="J1580" s="5"/>
    </row>
    <row r="1581" spans="2:10">
      <c r="B1581" s="1"/>
      <c r="C1581" s="1"/>
      <c r="D1581" s="8"/>
      <c r="E1581" s="8"/>
      <c r="F1581" s="8"/>
      <c r="G1581" s="8"/>
      <c r="H1581" s="5"/>
      <c r="I1581" s="5"/>
      <c r="J1581" s="5"/>
    </row>
    <row r="1582" spans="2:10">
      <c r="B1582" s="1"/>
      <c r="C1582" s="1"/>
      <c r="D1582" s="8"/>
      <c r="E1582" s="8"/>
      <c r="F1582" s="8"/>
      <c r="G1582" s="8"/>
      <c r="H1582" s="5"/>
      <c r="I1582" s="5"/>
      <c r="J1582" s="5"/>
    </row>
    <row r="1583" spans="2:10">
      <c r="B1583" s="1"/>
      <c r="C1583" s="1"/>
      <c r="D1583" s="8"/>
      <c r="E1583" s="8"/>
      <c r="F1583" s="8"/>
      <c r="G1583" s="8"/>
      <c r="H1583" s="5"/>
      <c r="I1583" s="5"/>
      <c r="J1583" s="5"/>
    </row>
    <row r="1584" spans="2:10">
      <c r="B1584" s="1"/>
      <c r="C1584" s="1"/>
      <c r="D1584" s="8"/>
      <c r="E1584" s="8"/>
      <c r="F1584" s="8"/>
      <c r="G1584" s="8"/>
      <c r="H1584" s="5"/>
      <c r="I1584" s="5"/>
      <c r="J1584" s="5"/>
    </row>
    <row r="1585" spans="2:10">
      <c r="B1585" s="1"/>
      <c r="C1585" s="1"/>
      <c r="D1585" s="8"/>
      <c r="E1585" s="8"/>
      <c r="F1585" s="8"/>
      <c r="G1585" s="8"/>
      <c r="H1585" s="5"/>
      <c r="I1585" s="5"/>
      <c r="J1585" s="5"/>
    </row>
    <row r="1586" spans="2:10">
      <c r="B1586" s="1"/>
      <c r="C1586" s="1"/>
      <c r="D1586" s="8"/>
      <c r="E1586" s="8"/>
      <c r="F1586" s="8"/>
      <c r="G1586" s="8"/>
      <c r="H1586" s="5"/>
      <c r="I1586" s="5"/>
      <c r="J1586" s="5"/>
    </row>
    <row r="1587" spans="2:10">
      <c r="B1587" s="1"/>
      <c r="C1587" s="1"/>
      <c r="D1587" s="8"/>
      <c r="E1587" s="8"/>
      <c r="F1587" s="8"/>
      <c r="G1587" s="8"/>
      <c r="H1587" s="5"/>
      <c r="I1587" s="5"/>
      <c r="J1587" s="5"/>
    </row>
    <row r="1588" spans="2:10">
      <c r="B1588" s="1"/>
      <c r="C1588" s="1"/>
      <c r="D1588" s="8"/>
      <c r="E1588" s="8"/>
      <c r="F1588" s="8"/>
      <c r="G1588" s="8"/>
      <c r="H1588" s="5"/>
      <c r="I1588" s="5"/>
      <c r="J1588" s="5"/>
    </row>
    <row r="1589" spans="2:10">
      <c r="B1589" s="1"/>
      <c r="C1589" s="1"/>
      <c r="D1589" s="8"/>
      <c r="E1589" s="8"/>
      <c r="F1589" s="8"/>
      <c r="G1589" s="8"/>
      <c r="H1589" s="5"/>
      <c r="I1589" s="5"/>
      <c r="J1589" s="5"/>
    </row>
    <row r="1590" spans="2:10">
      <c r="B1590" s="1"/>
      <c r="C1590" s="1"/>
      <c r="D1590" s="8"/>
      <c r="E1590" s="8"/>
      <c r="F1590" s="8"/>
      <c r="G1590" s="8"/>
      <c r="H1590" s="5"/>
      <c r="I1590" s="5"/>
      <c r="J1590" s="5"/>
    </row>
    <row r="1591" spans="2:10">
      <c r="B1591" s="1"/>
      <c r="C1591" s="1"/>
      <c r="D1591" s="8"/>
      <c r="E1591" s="8"/>
      <c r="F1591" s="8"/>
      <c r="G1591" s="8"/>
      <c r="H1591" s="5"/>
      <c r="I1591" s="5"/>
      <c r="J1591" s="5"/>
    </row>
    <row r="1592" spans="2:10">
      <c r="B1592" s="1"/>
      <c r="C1592" s="1"/>
      <c r="D1592" s="8"/>
      <c r="E1592" s="8"/>
      <c r="F1592" s="8"/>
      <c r="G1592" s="8"/>
      <c r="H1592" s="5"/>
      <c r="I1592" s="5"/>
      <c r="J1592" s="5"/>
    </row>
    <row r="1593" spans="2:10">
      <c r="B1593" s="1"/>
      <c r="C1593" s="1"/>
      <c r="D1593" s="8"/>
      <c r="E1593" s="8"/>
      <c r="F1593" s="8"/>
      <c r="G1593" s="8"/>
      <c r="H1593" s="5"/>
      <c r="I1593" s="5"/>
      <c r="J1593" s="5"/>
    </row>
    <row r="1594" spans="2:10">
      <c r="B1594" s="1"/>
      <c r="C1594" s="1"/>
      <c r="D1594" s="8"/>
      <c r="E1594" s="8"/>
      <c r="F1594" s="8"/>
      <c r="G1594" s="8"/>
      <c r="H1594" s="5"/>
      <c r="I1594" s="5"/>
      <c r="J1594" s="5"/>
    </row>
    <row r="1595" spans="2:10">
      <c r="B1595" s="1"/>
      <c r="C1595" s="1"/>
      <c r="D1595" s="8"/>
      <c r="E1595" s="8"/>
      <c r="F1595" s="8"/>
      <c r="G1595" s="8"/>
      <c r="H1595" s="5"/>
      <c r="I1595" s="5"/>
      <c r="J1595" s="5"/>
    </row>
    <row r="1596" spans="2:10">
      <c r="B1596" s="1"/>
      <c r="C1596" s="1"/>
      <c r="D1596" s="8"/>
      <c r="E1596" s="8"/>
      <c r="F1596" s="8"/>
      <c r="G1596" s="8"/>
      <c r="H1596" s="5"/>
      <c r="I1596" s="5"/>
      <c r="J1596" s="5"/>
    </row>
    <row r="1597" spans="2:10">
      <c r="B1597" s="1"/>
      <c r="C1597" s="1"/>
      <c r="D1597" s="8"/>
      <c r="E1597" s="8"/>
      <c r="F1597" s="8"/>
      <c r="G1597" s="8"/>
      <c r="H1597" s="5"/>
      <c r="I1597" s="5"/>
      <c r="J1597" s="5"/>
    </row>
    <row r="1598" spans="2:10">
      <c r="B1598" s="1"/>
      <c r="C1598" s="1"/>
      <c r="D1598" s="8"/>
      <c r="E1598" s="8"/>
      <c r="F1598" s="8"/>
      <c r="G1598" s="8"/>
      <c r="H1598" s="5"/>
      <c r="I1598" s="5"/>
      <c r="J1598" s="5"/>
    </row>
    <row r="1599" spans="2:10">
      <c r="B1599" s="1"/>
      <c r="C1599" s="1"/>
      <c r="D1599" s="8"/>
      <c r="E1599" s="8"/>
      <c r="F1599" s="8"/>
      <c r="G1599" s="8"/>
      <c r="H1599" s="5"/>
      <c r="I1599" s="5"/>
      <c r="J1599" s="5"/>
    </row>
    <row r="1600" spans="2:10">
      <c r="B1600" s="1"/>
      <c r="C1600" s="1"/>
      <c r="D1600" s="8"/>
      <c r="E1600" s="8"/>
      <c r="F1600" s="8"/>
      <c r="G1600" s="8"/>
      <c r="H1600" s="5"/>
      <c r="I1600" s="5"/>
      <c r="J1600" s="5"/>
    </row>
    <row r="1601" spans="2:10">
      <c r="B1601" s="1"/>
      <c r="C1601" s="1"/>
      <c r="D1601" s="8"/>
      <c r="E1601" s="8"/>
      <c r="F1601" s="8"/>
      <c r="G1601" s="8"/>
      <c r="H1601" s="5"/>
      <c r="I1601" s="5"/>
      <c r="J1601" s="5"/>
    </row>
    <row r="1602" spans="2:10">
      <c r="B1602" s="1"/>
      <c r="C1602" s="1"/>
      <c r="D1602" s="8"/>
      <c r="E1602" s="8"/>
      <c r="F1602" s="8"/>
      <c r="G1602" s="8"/>
      <c r="H1602" s="5"/>
      <c r="I1602" s="5"/>
      <c r="J1602" s="5"/>
    </row>
    <row r="1603" spans="2:10">
      <c r="B1603" s="1"/>
      <c r="C1603" s="1"/>
      <c r="D1603" s="8"/>
      <c r="E1603" s="8"/>
      <c r="F1603" s="8"/>
      <c r="G1603" s="8"/>
      <c r="H1603" s="5"/>
      <c r="I1603" s="5"/>
      <c r="J1603" s="5"/>
    </row>
    <row r="1604" spans="2:10">
      <c r="B1604" s="1"/>
      <c r="C1604" s="1"/>
      <c r="D1604" s="8"/>
      <c r="E1604" s="8"/>
      <c r="F1604" s="8"/>
      <c r="G1604" s="8"/>
      <c r="H1604" s="5"/>
      <c r="I1604" s="5"/>
      <c r="J1604" s="5"/>
    </row>
    <row r="1605" spans="2:10">
      <c r="B1605" s="1"/>
      <c r="C1605" s="1"/>
      <c r="D1605" s="8"/>
      <c r="E1605" s="8"/>
      <c r="F1605" s="8"/>
      <c r="G1605" s="8"/>
      <c r="H1605" s="5"/>
      <c r="I1605" s="5"/>
      <c r="J1605" s="5"/>
    </row>
    <row r="1606" spans="2:10">
      <c r="B1606" s="1"/>
      <c r="C1606" s="1"/>
      <c r="D1606" s="8"/>
      <c r="E1606" s="8"/>
      <c r="F1606" s="8"/>
      <c r="G1606" s="8"/>
      <c r="H1606" s="5"/>
      <c r="I1606" s="5"/>
      <c r="J1606" s="5"/>
    </row>
    <row r="1607" spans="2:10">
      <c r="B1607" s="1"/>
      <c r="C1607" s="1"/>
      <c r="D1607" s="8"/>
      <c r="E1607" s="8"/>
      <c r="F1607" s="8"/>
      <c r="G1607" s="8"/>
      <c r="H1607" s="5"/>
      <c r="I1607" s="5"/>
      <c r="J1607" s="5"/>
    </row>
    <row r="1608" spans="2:10">
      <c r="B1608" s="1"/>
      <c r="C1608" s="1"/>
      <c r="D1608" s="8"/>
      <c r="E1608" s="8"/>
      <c r="F1608" s="8"/>
      <c r="G1608" s="8"/>
      <c r="H1608" s="5"/>
      <c r="I1608" s="5"/>
      <c r="J1608" s="5"/>
    </row>
    <row r="1609" spans="2:10">
      <c r="B1609" s="1"/>
      <c r="C1609" s="1"/>
      <c r="D1609" s="8"/>
      <c r="E1609" s="8"/>
      <c r="F1609" s="8"/>
      <c r="G1609" s="8"/>
      <c r="H1609" s="5"/>
      <c r="I1609" s="5"/>
      <c r="J1609" s="5"/>
    </row>
    <row r="1610" spans="2:10">
      <c r="B1610" s="1"/>
      <c r="C1610" s="1"/>
      <c r="D1610" s="8"/>
      <c r="E1610" s="8"/>
      <c r="F1610" s="8"/>
      <c r="G1610" s="8"/>
      <c r="H1610" s="5"/>
      <c r="I1610" s="5"/>
      <c r="J1610" s="5"/>
    </row>
    <row r="1611" spans="2:10">
      <c r="B1611" s="1"/>
      <c r="C1611" s="1"/>
      <c r="D1611" s="8"/>
      <c r="E1611" s="8"/>
      <c r="F1611" s="8"/>
      <c r="G1611" s="8"/>
      <c r="H1611" s="5"/>
      <c r="I1611" s="5"/>
      <c r="J1611" s="5"/>
    </row>
    <row r="1612" spans="2:10">
      <c r="B1612" s="1"/>
      <c r="C1612" s="1"/>
      <c r="D1612" s="8"/>
      <c r="E1612" s="8"/>
      <c r="F1612" s="8"/>
      <c r="G1612" s="8"/>
      <c r="H1612" s="5"/>
      <c r="I1612" s="5"/>
      <c r="J1612" s="5"/>
    </row>
    <row r="1613" spans="2:10">
      <c r="B1613" s="1"/>
      <c r="C1613" s="1"/>
      <c r="D1613" s="8"/>
      <c r="E1613" s="8"/>
      <c r="F1613" s="8"/>
      <c r="G1613" s="8"/>
      <c r="H1613" s="5"/>
      <c r="I1613" s="5"/>
      <c r="J1613" s="5"/>
    </row>
    <row r="1614" spans="2:10">
      <c r="B1614" s="1"/>
      <c r="C1614" s="1"/>
      <c r="D1614" s="8"/>
      <c r="E1614" s="8"/>
      <c r="F1614" s="8"/>
      <c r="G1614" s="8"/>
      <c r="H1614" s="5"/>
      <c r="I1614" s="5"/>
      <c r="J1614" s="5"/>
    </row>
    <row r="1615" spans="2:10">
      <c r="B1615" s="1"/>
      <c r="C1615" s="1"/>
      <c r="D1615" s="8"/>
      <c r="E1615" s="8"/>
      <c r="F1615" s="8"/>
      <c r="G1615" s="8"/>
      <c r="H1615" s="5"/>
      <c r="I1615" s="5"/>
      <c r="J1615" s="5"/>
    </row>
    <row r="1616" spans="2:10">
      <c r="B1616" s="1"/>
      <c r="C1616" s="1"/>
      <c r="D1616" s="8"/>
      <c r="E1616" s="8"/>
      <c r="F1616" s="8"/>
      <c r="G1616" s="8"/>
      <c r="H1616" s="5"/>
      <c r="I1616" s="5"/>
      <c r="J1616" s="5"/>
    </row>
    <row r="1617" spans="2:10">
      <c r="B1617" s="1"/>
      <c r="C1617" s="1"/>
      <c r="D1617" s="8"/>
      <c r="E1617" s="8"/>
      <c r="F1617" s="8"/>
      <c r="G1617" s="8"/>
      <c r="H1617" s="5"/>
      <c r="I1617" s="5"/>
      <c r="J1617" s="5"/>
    </row>
    <row r="1618" spans="2:10">
      <c r="B1618" s="1"/>
      <c r="C1618" s="1"/>
      <c r="D1618" s="8"/>
      <c r="E1618" s="8"/>
      <c r="F1618" s="8"/>
      <c r="G1618" s="8"/>
      <c r="H1618" s="5"/>
      <c r="I1618" s="5"/>
      <c r="J1618" s="5"/>
    </row>
    <row r="1619" spans="2:10">
      <c r="B1619" s="1"/>
      <c r="C1619" s="1"/>
      <c r="D1619" s="8"/>
      <c r="E1619" s="8"/>
      <c r="F1619" s="8"/>
      <c r="G1619" s="8"/>
      <c r="H1619" s="5"/>
      <c r="I1619" s="5"/>
      <c r="J1619" s="5"/>
    </row>
    <row r="1620" spans="2:10">
      <c r="B1620" s="1"/>
      <c r="C1620" s="1"/>
      <c r="D1620" s="8"/>
      <c r="E1620" s="8"/>
      <c r="F1620" s="8"/>
      <c r="G1620" s="8"/>
      <c r="H1620" s="5"/>
      <c r="I1620" s="5"/>
      <c r="J1620" s="5"/>
    </row>
    <row r="1621" spans="2:10">
      <c r="B1621" s="1"/>
      <c r="C1621" s="1"/>
      <c r="D1621" s="8"/>
      <c r="E1621" s="8"/>
      <c r="F1621" s="8"/>
      <c r="G1621" s="8"/>
      <c r="H1621" s="5"/>
      <c r="I1621" s="5"/>
      <c r="J1621" s="5"/>
    </row>
    <row r="1622" spans="2:10">
      <c r="B1622" s="1"/>
      <c r="C1622" s="1"/>
      <c r="D1622" s="8"/>
      <c r="E1622" s="8"/>
      <c r="F1622" s="8"/>
      <c r="G1622" s="8"/>
      <c r="H1622" s="5"/>
      <c r="I1622" s="5"/>
      <c r="J1622" s="5"/>
    </row>
    <row r="1623" spans="2:10">
      <c r="B1623" s="1"/>
      <c r="C1623" s="1"/>
      <c r="D1623" s="8"/>
      <c r="E1623" s="8"/>
      <c r="F1623" s="8"/>
      <c r="G1623" s="8"/>
      <c r="H1623" s="5"/>
      <c r="I1623" s="5"/>
      <c r="J1623" s="5"/>
    </row>
    <row r="1624" spans="2:10">
      <c r="B1624" s="1"/>
      <c r="C1624" s="1"/>
      <c r="D1624" s="8"/>
      <c r="E1624" s="8"/>
      <c r="F1624" s="8"/>
      <c r="G1624" s="8"/>
      <c r="H1624" s="5"/>
      <c r="I1624" s="5"/>
      <c r="J1624" s="5"/>
    </row>
    <row r="1625" spans="2:10">
      <c r="B1625" s="1"/>
      <c r="C1625" s="1"/>
      <c r="D1625" s="8"/>
      <c r="E1625" s="8"/>
      <c r="F1625" s="8"/>
      <c r="G1625" s="8"/>
      <c r="H1625" s="5"/>
      <c r="I1625" s="5"/>
      <c r="J1625" s="5"/>
    </row>
    <row r="1626" spans="2:10">
      <c r="B1626" s="1"/>
      <c r="C1626" s="1"/>
      <c r="D1626" s="8"/>
      <c r="E1626" s="8"/>
      <c r="F1626" s="8"/>
      <c r="G1626" s="8"/>
      <c r="H1626" s="5"/>
      <c r="I1626" s="5"/>
      <c r="J1626" s="5"/>
    </row>
    <row r="1627" spans="2:10">
      <c r="B1627" s="1"/>
      <c r="C1627" s="1"/>
      <c r="D1627" s="8"/>
      <c r="E1627" s="8"/>
      <c r="F1627" s="8"/>
      <c r="G1627" s="8"/>
      <c r="H1627" s="5"/>
      <c r="I1627" s="5"/>
      <c r="J1627" s="5"/>
    </row>
    <row r="1628" spans="2:10">
      <c r="B1628" s="1"/>
      <c r="C1628" s="1"/>
      <c r="D1628" s="8"/>
      <c r="E1628" s="8"/>
      <c r="F1628" s="8"/>
      <c r="G1628" s="8"/>
      <c r="H1628" s="5"/>
      <c r="I1628" s="5"/>
      <c r="J1628" s="5"/>
    </row>
    <row r="1629" spans="2:10">
      <c r="B1629" s="1"/>
      <c r="C1629" s="1"/>
      <c r="D1629" s="8"/>
      <c r="E1629" s="8"/>
      <c r="F1629" s="8"/>
      <c r="G1629" s="8"/>
      <c r="H1629" s="5"/>
      <c r="I1629" s="5"/>
      <c r="J1629" s="5"/>
    </row>
    <row r="1630" spans="2:10">
      <c r="B1630" s="1"/>
      <c r="C1630" s="1"/>
      <c r="D1630" s="8"/>
      <c r="E1630" s="8"/>
      <c r="F1630" s="8"/>
      <c r="G1630" s="8"/>
      <c r="H1630" s="5"/>
      <c r="I1630" s="5"/>
      <c r="J1630" s="5"/>
    </row>
    <row r="1631" spans="2:10">
      <c r="B1631" s="1"/>
      <c r="C1631" s="1"/>
      <c r="D1631" s="8"/>
      <c r="E1631" s="8"/>
      <c r="F1631" s="8"/>
      <c r="G1631" s="8"/>
      <c r="H1631" s="5"/>
      <c r="I1631" s="5"/>
      <c r="J1631" s="5"/>
    </row>
    <row r="1632" spans="2:10">
      <c r="B1632" s="1"/>
      <c r="C1632" s="1"/>
      <c r="D1632" s="8"/>
      <c r="E1632" s="8"/>
      <c r="F1632" s="8"/>
      <c r="G1632" s="8"/>
      <c r="H1632" s="5"/>
      <c r="I1632" s="5"/>
      <c r="J1632" s="5"/>
    </row>
    <row r="1633" spans="2:10">
      <c r="B1633" s="1"/>
      <c r="C1633" s="1"/>
      <c r="D1633" s="8"/>
      <c r="E1633" s="8"/>
      <c r="F1633" s="8"/>
      <c r="G1633" s="8"/>
      <c r="H1633" s="5"/>
      <c r="I1633" s="5"/>
      <c r="J1633" s="5"/>
    </row>
    <row r="1634" spans="2:10">
      <c r="B1634" s="1"/>
      <c r="C1634" s="1"/>
      <c r="D1634" s="8"/>
      <c r="E1634" s="8"/>
      <c r="F1634" s="8"/>
      <c r="G1634" s="8"/>
      <c r="H1634" s="5"/>
      <c r="I1634" s="5"/>
      <c r="J1634" s="5"/>
    </row>
    <row r="1635" spans="2:10">
      <c r="B1635" s="1"/>
      <c r="C1635" s="1"/>
      <c r="D1635" s="8"/>
      <c r="E1635" s="8"/>
      <c r="F1635" s="8"/>
      <c r="G1635" s="8"/>
      <c r="H1635" s="5"/>
      <c r="I1635" s="5"/>
      <c r="J1635" s="5"/>
    </row>
    <row r="1636" spans="2:10">
      <c r="B1636" s="1"/>
      <c r="C1636" s="1"/>
      <c r="D1636" s="8"/>
      <c r="E1636" s="8"/>
      <c r="F1636" s="8"/>
      <c r="G1636" s="8"/>
      <c r="H1636" s="5"/>
      <c r="I1636" s="5"/>
      <c r="J1636" s="5"/>
    </row>
    <row r="1637" spans="2:10">
      <c r="B1637" s="1"/>
      <c r="C1637" s="1"/>
      <c r="D1637" s="8"/>
      <c r="E1637" s="8"/>
      <c r="F1637" s="8"/>
      <c r="G1637" s="8"/>
      <c r="H1637" s="5"/>
      <c r="I1637" s="5"/>
      <c r="J1637" s="5"/>
    </row>
    <row r="1638" spans="2:10">
      <c r="B1638" s="1"/>
      <c r="C1638" s="1"/>
      <c r="D1638" s="8"/>
      <c r="E1638" s="8"/>
      <c r="F1638" s="8"/>
      <c r="G1638" s="8"/>
      <c r="H1638" s="5"/>
      <c r="I1638" s="5"/>
      <c r="J1638" s="5"/>
    </row>
    <row r="1639" spans="2:10">
      <c r="B1639" s="1"/>
      <c r="C1639" s="1"/>
      <c r="D1639" s="8"/>
      <c r="E1639" s="8"/>
      <c r="F1639" s="8"/>
      <c r="G1639" s="8"/>
      <c r="H1639" s="5"/>
      <c r="I1639" s="5"/>
      <c r="J1639" s="5"/>
    </row>
    <row r="1640" spans="2:10">
      <c r="B1640" s="1"/>
      <c r="C1640" s="1"/>
      <c r="D1640" s="8"/>
      <c r="E1640" s="8"/>
      <c r="F1640" s="8"/>
      <c r="G1640" s="8"/>
      <c r="H1640" s="5"/>
      <c r="I1640" s="5"/>
      <c r="J1640" s="5"/>
    </row>
    <row r="1641" spans="2:10">
      <c r="B1641" s="1"/>
      <c r="C1641" s="1"/>
      <c r="D1641" s="8"/>
      <c r="E1641" s="8"/>
      <c r="F1641" s="8"/>
      <c r="G1641" s="8"/>
      <c r="H1641" s="5"/>
      <c r="I1641" s="5"/>
      <c r="J1641" s="5"/>
    </row>
    <row r="1642" spans="2:10">
      <c r="B1642" s="1"/>
      <c r="C1642" s="1"/>
      <c r="D1642" s="8"/>
      <c r="E1642" s="8"/>
      <c r="F1642" s="8"/>
      <c r="G1642" s="8"/>
      <c r="H1642" s="5"/>
      <c r="I1642" s="5"/>
      <c r="J1642" s="5"/>
    </row>
    <row r="1643" spans="2:10">
      <c r="B1643" s="1"/>
      <c r="C1643" s="1"/>
      <c r="D1643" s="8"/>
      <c r="E1643" s="8"/>
      <c r="F1643" s="8"/>
      <c r="G1643" s="8"/>
      <c r="H1643" s="5"/>
      <c r="I1643" s="5"/>
      <c r="J1643" s="5"/>
    </row>
    <row r="1644" spans="2:10">
      <c r="B1644" s="1"/>
      <c r="C1644" s="1"/>
      <c r="D1644" s="8"/>
      <c r="E1644" s="8"/>
      <c r="F1644" s="8"/>
      <c r="G1644" s="8"/>
      <c r="H1644" s="5"/>
      <c r="I1644" s="5"/>
      <c r="J1644" s="5"/>
    </row>
    <row r="1645" spans="2:10">
      <c r="B1645" s="1"/>
      <c r="C1645" s="1"/>
      <c r="D1645" s="8"/>
      <c r="E1645" s="8"/>
      <c r="F1645" s="8"/>
      <c r="G1645" s="8"/>
      <c r="H1645" s="5"/>
      <c r="I1645" s="5"/>
      <c r="J1645" s="5"/>
    </row>
    <row r="1646" spans="2:10">
      <c r="B1646" s="1"/>
      <c r="C1646" s="1"/>
      <c r="D1646" s="8"/>
      <c r="E1646" s="8"/>
      <c r="F1646" s="8"/>
      <c r="G1646" s="8"/>
      <c r="H1646" s="5"/>
      <c r="I1646" s="5"/>
      <c r="J1646" s="5"/>
    </row>
    <row r="1647" spans="2:10">
      <c r="B1647" s="1"/>
      <c r="C1647" s="1"/>
      <c r="D1647" s="8"/>
      <c r="E1647" s="8"/>
      <c r="F1647" s="8"/>
      <c r="G1647" s="8"/>
      <c r="H1647" s="5"/>
      <c r="I1647" s="5"/>
      <c r="J1647" s="5"/>
    </row>
    <row r="1648" spans="2:10">
      <c r="B1648" s="1"/>
      <c r="C1648" s="1"/>
      <c r="D1648" s="8"/>
      <c r="E1648" s="8"/>
      <c r="F1648" s="8"/>
      <c r="G1648" s="8"/>
      <c r="H1648" s="5"/>
      <c r="I1648" s="5"/>
      <c r="J1648" s="5"/>
    </row>
    <row r="1649" spans="2:10">
      <c r="B1649" s="1"/>
      <c r="C1649" s="1"/>
      <c r="D1649" s="8"/>
      <c r="E1649" s="8"/>
      <c r="F1649" s="8"/>
      <c r="G1649" s="8"/>
      <c r="H1649" s="5"/>
      <c r="I1649" s="5"/>
      <c r="J1649" s="5"/>
    </row>
    <row r="1650" spans="2:10">
      <c r="B1650" s="1"/>
      <c r="C1650" s="1"/>
      <c r="D1650" s="8"/>
      <c r="E1650" s="8"/>
      <c r="F1650" s="8"/>
      <c r="G1650" s="8"/>
      <c r="H1650" s="5"/>
      <c r="I1650" s="5"/>
      <c r="J1650" s="5"/>
    </row>
    <row r="1651" spans="2:10">
      <c r="B1651" s="1"/>
      <c r="C1651" s="1"/>
      <c r="D1651" s="8"/>
      <c r="E1651" s="8"/>
      <c r="F1651" s="8"/>
      <c r="G1651" s="8"/>
      <c r="H1651" s="5"/>
      <c r="I1651" s="5"/>
      <c r="J1651" s="5"/>
    </row>
    <row r="1652" spans="2:10">
      <c r="B1652" s="1"/>
      <c r="C1652" s="1"/>
      <c r="D1652" s="8"/>
      <c r="E1652" s="8"/>
      <c r="F1652" s="8"/>
      <c r="G1652" s="8"/>
      <c r="H1652" s="5"/>
      <c r="I1652" s="5"/>
      <c r="J1652" s="5"/>
    </row>
    <row r="1653" spans="2:10">
      <c r="B1653" s="1"/>
      <c r="C1653" s="1"/>
      <c r="D1653" s="8"/>
      <c r="E1653" s="8"/>
      <c r="F1653" s="8"/>
      <c r="G1653" s="8"/>
      <c r="H1653" s="5"/>
      <c r="I1653" s="5"/>
      <c r="J1653" s="5"/>
    </row>
    <row r="1654" spans="2:10">
      <c r="B1654" s="1"/>
      <c r="C1654" s="1"/>
      <c r="D1654" s="8"/>
      <c r="E1654" s="8"/>
      <c r="F1654" s="8"/>
      <c r="G1654" s="8"/>
      <c r="H1654" s="5"/>
      <c r="I1654" s="5"/>
      <c r="J1654" s="5"/>
    </row>
    <row r="1655" spans="2:10">
      <c r="B1655" s="1"/>
      <c r="C1655" s="1"/>
      <c r="D1655" s="8"/>
      <c r="E1655" s="8"/>
      <c r="F1655" s="8"/>
      <c r="G1655" s="8"/>
      <c r="H1655" s="5"/>
      <c r="I1655" s="5"/>
      <c r="J1655" s="5"/>
    </row>
    <row r="1656" spans="2:10">
      <c r="B1656" s="1"/>
      <c r="C1656" s="1"/>
      <c r="D1656" s="8"/>
      <c r="E1656" s="8"/>
      <c r="F1656" s="8"/>
      <c r="G1656" s="8"/>
      <c r="H1656" s="5"/>
      <c r="I1656" s="5"/>
      <c r="J1656" s="5"/>
    </row>
    <row r="1657" spans="2:10">
      <c r="B1657" s="1"/>
      <c r="C1657" s="1"/>
      <c r="D1657" s="8"/>
      <c r="E1657" s="8"/>
      <c r="F1657" s="8"/>
      <c r="G1657" s="8"/>
      <c r="H1657" s="5"/>
      <c r="I1657" s="5"/>
      <c r="J1657" s="5"/>
    </row>
    <row r="1658" spans="2:10">
      <c r="B1658" s="1"/>
      <c r="C1658" s="1"/>
      <c r="D1658" s="8"/>
      <c r="E1658" s="8"/>
      <c r="F1658" s="8"/>
      <c r="G1658" s="8"/>
      <c r="H1658" s="5"/>
      <c r="I1658" s="5"/>
      <c r="J1658" s="5"/>
    </row>
    <row r="1659" spans="2:10">
      <c r="B1659" s="1"/>
      <c r="C1659" s="1"/>
      <c r="D1659" s="8"/>
      <c r="E1659" s="8"/>
      <c r="F1659" s="8"/>
      <c r="G1659" s="8"/>
      <c r="H1659" s="5"/>
      <c r="I1659" s="5"/>
      <c r="J1659" s="5"/>
    </row>
    <row r="1660" spans="2:10">
      <c r="B1660" s="1"/>
      <c r="C1660" s="1"/>
      <c r="D1660" s="8"/>
      <c r="E1660" s="8"/>
      <c r="F1660" s="8"/>
      <c r="G1660" s="8"/>
      <c r="H1660" s="5"/>
      <c r="I1660" s="5"/>
      <c r="J1660" s="5"/>
    </row>
    <row r="1661" spans="2:10">
      <c r="B1661" s="1"/>
      <c r="C1661" s="1"/>
      <c r="D1661" s="8"/>
      <c r="E1661" s="8"/>
      <c r="F1661" s="8"/>
      <c r="G1661" s="8"/>
      <c r="H1661" s="5"/>
      <c r="I1661" s="5"/>
      <c r="J1661" s="5"/>
    </row>
    <row r="1662" spans="2:10">
      <c r="B1662" s="1"/>
      <c r="C1662" s="1"/>
      <c r="D1662" s="8"/>
      <c r="E1662" s="8"/>
      <c r="F1662" s="8"/>
      <c r="G1662" s="8"/>
      <c r="H1662" s="5"/>
      <c r="I1662" s="5"/>
      <c r="J1662" s="5"/>
    </row>
    <row r="1663" spans="2:10">
      <c r="B1663" s="1"/>
      <c r="C1663" s="1"/>
      <c r="D1663" s="8"/>
      <c r="E1663" s="8"/>
      <c r="F1663" s="8"/>
      <c r="G1663" s="8"/>
      <c r="H1663" s="5"/>
      <c r="I1663" s="5"/>
      <c r="J1663" s="5"/>
    </row>
    <row r="1664" spans="2:10">
      <c r="B1664" s="1"/>
      <c r="C1664" s="1"/>
      <c r="D1664" s="8"/>
      <c r="E1664" s="8"/>
      <c r="F1664" s="8"/>
      <c r="G1664" s="8"/>
      <c r="H1664" s="5"/>
      <c r="I1664" s="5"/>
      <c r="J1664" s="5"/>
    </row>
    <row r="1665" spans="2:10">
      <c r="B1665" s="1"/>
      <c r="C1665" s="1"/>
      <c r="D1665" s="8"/>
      <c r="E1665" s="8"/>
      <c r="F1665" s="8"/>
      <c r="G1665" s="8"/>
      <c r="H1665" s="5"/>
      <c r="I1665" s="5"/>
      <c r="J1665" s="5"/>
    </row>
    <row r="1666" spans="2:10">
      <c r="B1666" s="1"/>
      <c r="C1666" s="1"/>
      <c r="D1666" s="8"/>
      <c r="E1666" s="8"/>
      <c r="F1666" s="8"/>
      <c r="G1666" s="8"/>
      <c r="H1666" s="5"/>
      <c r="I1666" s="5"/>
      <c r="J1666" s="5"/>
    </row>
    <row r="1667" spans="2:10">
      <c r="B1667" s="1"/>
      <c r="C1667" s="1"/>
      <c r="D1667" s="8"/>
      <c r="E1667" s="8"/>
      <c r="F1667" s="8"/>
      <c r="G1667" s="8"/>
      <c r="H1667" s="5"/>
      <c r="I1667" s="5"/>
      <c r="J1667" s="5"/>
    </row>
    <row r="1668" spans="2:10">
      <c r="B1668" s="1"/>
      <c r="C1668" s="1"/>
      <c r="D1668" s="8"/>
      <c r="E1668" s="8"/>
      <c r="F1668" s="8"/>
      <c r="G1668" s="8"/>
      <c r="H1668" s="5"/>
      <c r="I1668" s="5"/>
      <c r="J1668" s="5"/>
    </row>
    <row r="1669" spans="2:10">
      <c r="B1669" s="1"/>
      <c r="C1669" s="1"/>
      <c r="D1669" s="8"/>
      <c r="E1669" s="8"/>
      <c r="F1669" s="8"/>
      <c r="G1669" s="8"/>
      <c r="H1669" s="5"/>
      <c r="I1669" s="5"/>
      <c r="J1669" s="5"/>
    </row>
    <row r="1670" spans="2:10">
      <c r="B1670" s="1"/>
      <c r="C1670" s="1"/>
      <c r="D1670" s="8"/>
      <c r="E1670" s="8"/>
      <c r="F1670" s="8"/>
      <c r="G1670" s="8"/>
      <c r="H1670" s="5"/>
      <c r="I1670" s="5"/>
      <c r="J1670" s="5"/>
    </row>
    <row r="1671" spans="2:10">
      <c r="B1671" s="1"/>
      <c r="C1671" s="1"/>
      <c r="D1671" s="8"/>
      <c r="E1671" s="8"/>
      <c r="F1671" s="8"/>
      <c r="G1671" s="8"/>
      <c r="H1671" s="5"/>
      <c r="I1671" s="5"/>
      <c r="J1671" s="5"/>
    </row>
    <row r="1672" spans="2:10">
      <c r="B1672" s="1"/>
      <c r="C1672" s="1"/>
      <c r="D1672" s="8"/>
      <c r="E1672" s="8"/>
      <c r="F1672" s="8"/>
      <c r="G1672" s="8"/>
      <c r="H1672" s="5"/>
      <c r="I1672" s="5"/>
      <c r="J1672" s="5"/>
    </row>
    <row r="1673" spans="2:10">
      <c r="B1673" s="1"/>
      <c r="C1673" s="1"/>
      <c r="D1673" s="8"/>
      <c r="E1673" s="8"/>
      <c r="F1673" s="8"/>
      <c r="G1673" s="8"/>
      <c r="H1673" s="5"/>
      <c r="I1673" s="5"/>
      <c r="J1673" s="5"/>
    </row>
    <row r="1674" spans="2:10">
      <c r="B1674" s="1"/>
      <c r="C1674" s="1"/>
      <c r="D1674" s="8"/>
      <c r="E1674" s="8"/>
      <c r="F1674" s="8"/>
      <c r="G1674" s="8"/>
      <c r="H1674" s="5"/>
      <c r="I1674" s="5"/>
      <c r="J1674" s="5"/>
    </row>
    <row r="1675" spans="2:10">
      <c r="B1675" s="1"/>
      <c r="C1675" s="1"/>
      <c r="D1675" s="8"/>
      <c r="E1675" s="8"/>
      <c r="F1675" s="8"/>
      <c r="G1675" s="8"/>
      <c r="H1675" s="5"/>
      <c r="I1675" s="5"/>
      <c r="J1675" s="5"/>
    </row>
    <row r="1676" spans="2:10">
      <c r="B1676" s="1"/>
      <c r="C1676" s="1"/>
      <c r="D1676" s="8"/>
      <c r="E1676" s="8"/>
      <c r="F1676" s="8"/>
      <c r="G1676" s="8"/>
      <c r="H1676" s="5"/>
      <c r="I1676" s="5"/>
      <c r="J1676" s="5"/>
    </row>
    <row r="1677" spans="2:10">
      <c r="B1677" s="1"/>
      <c r="C1677" s="1"/>
      <c r="D1677" s="8"/>
      <c r="E1677" s="8"/>
      <c r="F1677" s="8"/>
      <c r="G1677" s="8"/>
      <c r="H1677" s="5"/>
      <c r="I1677" s="5"/>
      <c r="J1677" s="5"/>
    </row>
    <row r="1678" spans="2:10">
      <c r="B1678" s="1"/>
      <c r="C1678" s="1"/>
      <c r="D1678" s="8"/>
      <c r="E1678" s="8"/>
      <c r="F1678" s="8"/>
      <c r="G1678" s="8"/>
      <c r="H1678" s="5"/>
      <c r="I1678" s="5"/>
      <c r="J1678" s="5"/>
    </row>
    <row r="1679" spans="2:10">
      <c r="B1679" s="1"/>
      <c r="C1679" s="1"/>
      <c r="D1679" s="8"/>
      <c r="E1679" s="8"/>
      <c r="F1679" s="8"/>
      <c r="G1679" s="8"/>
      <c r="H1679" s="5"/>
      <c r="I1679" s="5"/>
      <c r="J1679" s="5"/>
    </row>
    <row r="1680" spans="2:10">
      <c r="B1680" s="1"/>
      <c r="C1680" s="1"/>
      <c r="D1680" s="8"/>
      <c r="E1680" s="8"/>
      <c r="F1680" s="8"/>
      <c r="G1680" s="8"/>
      <c r="H1680" s="5"/>
      <c r="I1680" s="5"/>
      <c r="J1680" s="5"/>
    </row>
    <row r="1681" spans="2:10">
      <c r="B1681" s="1"/>
      <c r="C1681" s="1"/>
      <c r="D1681" s="8"/>
      <c r="E1681" s="8"/>
      <c r="F1681" s="8"/>
      <c r="G1681" s="8"/>
      <c r="H1681" s="5"/>
      <c r="I1681" s="5"/>
      <c r="J1681" s="5"/>
    </row>
    <row r="1682" spans="2:10">
      <c r="B1682" s="1"/>
      <c r="C1682" s="1"/>
      <c r="D1682" s="8"/>
      <c r="E1682" s="8"/>
      <c r="F1682" s="8"/>
      <c r="G1682" s="8"/>
      <c r="H1682" s="5"/>
      <c r="I1682" s="5"/>
      <c r="J1682" s="5"/>
    </row>
    <row r="1683" spans="2:10">
      <c r="B1683" s="1"/>
      <c r="C1683" s="1"/>
      <c r="D1683" s="8"/>
      <c r="E1683" s="8"/>
      <c r="F1683" s="8"/>
      <c r="G1683" s="8"/>
      <c r="H1683" s="5"/>
      <c r="I1683" s="5"/>
      <c r="J1683" s="5"/>
    </row>
    <row r="1684" spans="2:10">
      <c r="B1684" s="1"/>
      <c r="C1684" s="1"/>
      <c r="D1684" s="8"/>
      <c r="E1684" s="8"/>
      <c r="F1684" s="8"/>
      <c r="G1684" s="8"/>
      <c r="H1684" s="5"/>
      <c r="I1684" s="5"/>
      <c r="J1684" s="5"/>
    </row>
    <row r="1685" spans="2:10">
      <c r="B1685" s="1"/>
      <c r="C1685" s="1"/>
      <c r="D1685" s="8"/>
      <c r="E1685" s="8"/>
      <c r="F1685" s="8"/>
      <c r="G1685" s="8"/>
      <c r="H1685" s="5"/>
      <c r="I1685" s="5"/>
      <c r="J1685" s="5"/>
    </row>
    <row r="1686" spans="2:10">
      <c r="B1686" s="1"/>
      <c r="C1686" s="1"/>
      <c r="D1686" s="8"/>
      <c r="E1686" s="8"/>
      <c r="F1686" s="8"/>
      <c r="G1686" s="8"/>
      <c r="H1686" s="5"/>
      <c r="I1686" s="5"/>
      <c r="J1686" s="5"/>
    </row>
    <row r="1687" spans="2:10">
      <c r="B1687" s="1"/>
      <c r="C1687" s="1"/>
      <c r="D1687" s="8"/>
      <c r="E1687" s="8"/>
      <c r="F1687" s="8"/>
      <c r="G1687" s="8"/>
      <c r="H1687" s="5"/>
      <c r="I1687" s="5"/>
      <c r="J1687" s="5"/>
    </row>
    <row r="1688" spans="2:10">
      <c r="B1688" s="1"/>
      <c r="C1688" s="1"/>
      <c r="D1688" s="8"/>
      <c r="E1688" s="8"/>
      <c r="F1688" s="8"/>
      <c r="G1688" s="8"/>
      <c r="H1688" s="5"/>
      <c r="I1688" s="5"/>
      <c r="J1688" s="5"/>
    </row>
    <row r="1689" spans="2:10">
      <c r="B1689" s="1"/>
      <c r="C1689" s="1"/>
      <c r="D1689" s="8"/>
      <c r="E1689" s="8"/>
      <c r="F1689" s="8"/>
      <c r="G1689" s="8"/>
      <c r="H1689" s="5"/>
      <c r="I1689" s="5"/>
      <c r="J1689" s="5"/>
    </row>
    <row r="1690" spans="2:10">
      <c r="B1690" s="1"/>
      <c r="C1690" s="1"/>
      <c r="D1690" s="8"/>
      <c r="E1690" s="8"/>
      <c r="F1690" s="8"/>
      <c r="G1690" s="8"/>
      <c r="H1690" s="5"/>
      <c r="I1690" s="5"/>
      <c r="J1690" s="5"/>
    </row>
    <row r="1691" spans="2:10">
      <c r="B1691" s="1"/>
      <c r="C1691" s="1"/>
      <c r="D1691" s="8"/>
      <c r="E1691" s="8"/>
      <c r="F1691" s="8"/>
      <c r="G1691" s="8"/>
      <c r="H1691" s="5"/>
      <c r="I1691" s="5"/>
      <c r="J1691" s="5"/>
    </row>
    <row r="1692" spans="2:10">
      <c r="B1692" s="1"/>
      <c r="C1692" s="1"/>
      <c r="D1692" s="8"/>
      <c r="E1692" s="8"/>
      <c r="F1692" s="8"/>
      <c r="G1692" s="8"/>
      <c r="H1692" s="5"/>
      <c r="I1692" s="5"/>
      <c r="J1692" s="5"/>
    </row>
    <row r="1693" spans="2:10">
      <c r="B1693" s="1"/>
      <c r="C1693" s="1"/>
      <c r="D1693" s="8"/>
      <c r="E1693" s="8"/>
      <c r="F1693" s="8"/>
      <c r="G1693" s="8"/>
      <c r="H1693" s="5"/>
      <c r="I1693" s="5"/>
      <c r="J1693" s="5"/>
    </row>
    <row r="1694" spans="2:10">
      <c r="B1694" s="1"/>
      <c r="C1694" s="1"/>
      <c r="D1694" s="8"/>
      <c r="E1694" s="8"/>
      <c r="F1694" s="8"/>
      <c r="G1694" s="8"/>
      <c r="H1694" s="5"/>
      <c r="I1694" s="5"/>
      <c r="J1694" s="5"/>
    </row>
    <row r="1695" spans="2:10">
      <c r="B1695" s="1"/>
      <c r="C1695" s="1"/>
      <c r="D1695" s="8"/>
      <c r="E1695" s="8"/>
      <c r="F1695" s="8"/>
      <c r="G1695" s="8"/>
      <c r="H1695" s="5"/>
      <c r="I1695" s="5"/>
      <c r="J1695" s="5"/>
    </row>
    <row r="1696" spans="2:10">
      <c r="B1696" s="1"/>
      <c r="C1696" s="1"/>
      <c r="D1696" s="8"/>
      <c r="E1696" s="8"/>
      <c r="F1696" s="8"/>
      <c r="G1696" s="8"/>
      <c r="H1696" s="5"/>
      <c r="I1696" s="5"/>
      <c r="J1696" s="5"/>
    </row>
    <row r="1697" spans="2:10">
      <c r="B1697" s="1"/>
      <c r="C1697" s="1"/>
      <c r="D1697" s="8"/>
      <c r="E1697" s="8"/>
      <c r="F1697" s="8"/>
      <c r="G1697" s="8"/>
      <c r="H1697" s="5"/>
      <c r="I1697" s="5"/>
      <c r="J1697" s="5"/>
    </row>
    <row r="1698" spans="2:10">
      <c r="B1698" s="1"/>
      <c r="C1698" s="1"/>
      <c r="D1698" s="8"/>
      <c r="E1698" s="8"/>
      <c r="F1698" s="8"/>
      <c r="G1698" s="8"/>
      <c r="H1698" s="5"/>
      <c r="I1698" s="5"/>
      <c r="J1698" s="5"/>
    </row>
    <row r="1699" spans="2:10">
      <c r="B1699" s="1"/>
      <c r="C1699" s="1"/>
      <c r="D1699" s="8"/>
      <c r="E1699" s="8"/>
      <c r="F1699" s="8"/>
      <c r="G1699" s="8"/>
      <c r="H1699" s="5"/>
      <c r="I1699" s="5"/>
      <c r="J1699" s="5"/>
    </row>
    <row r="1700" spans="2:10">
      <c r="B1700" s="1"/>
      <c r="C1700" s="1"/>
      <c r="D1700" s="8"/>
      <c r="E1700" s="8"/>
      <c r="F1700" s="8"/>
      <c r="G1700" s="8"/>
      <c r="H1700" s="5"/>
      <c r="I1700" s="5"/>
      <c r="J1700" s="5"/>
    </row>
    <row r="1701" spans="2:10">
      <c r="B1701" s="1"/>
      <c r="C1701" s="1"/>
      <c r="D1701" s="8"/>
      <c r="E1701" s="8"/>
      <c r="F1701" s="8"/>
      <c r="G1701" s="8"/>
      <c r="H1701" s="5"/>
      <c r="I1701" s="5"/>
      <c r="J1701" s="5"/>
    </row>
    <row r="1702" spans="2:10">
      <c r="B1702" s="1"/>
      <c r="C1702" s="1"/>
      <c r="D1702" s="8"/>
      <c r="E1702" s="8"/>
      <c r="F1702" s="8"/>
      <c r="G1702" s="8"/>
      <c r="H1702" s="5"/>
      <c r="I1702" s="5"/>
      <c r="J1702" s="5"/>
    </row>
    <row r="1703" spans="2:10">
      <c r="B1703" s="1"/>
      <c r="C1703" s="1"/>
      <c r="D1703" s="8"/>
      <c r="E1703" s="8"/>
      <c r="F1703" s="8"/>
      <c r="G1703" s="8"/>
      <c r="H1703" s="5"/>
      <c r="I1703" s="5"/>
      <c r="J1703" s="5"/>
    </row>
    <row r="1704" spans="2:10">
      <c r="B1704" s="1"/>
      <c r="C1704" s="1"/>
      <c r="D1704" s="8"/>
      <c r="E1704" s="8"/>
      <c r="F1704" s="8"/>
      <c r="G1704" s="8"/>
      <c r="H1704" s="5"/>
      <c r="I1704" s="5"/>
      <c r="J1704" s="5"/>
    </row>
    <row r="1705" spans="2:10">
      <c r="B1705" s="1"/>
      <c r="C1705" s="1"/>
      <c r="D1705" s="8"/>
      <c r="E1705" s="8"/>
      <c r="F1705" s="8"/>
      <c r="G1705" s="8"/>
      <c r="H1705" s="5"/>
      <c r="I1705" s="5"/>
      <c r="J1705" s="5"/>
    </row>
    <row r="1706" spans="2:10">
      <c r="B1706" s="1"/>
      <c r="C1706" s="1"/>
      <c r="D1706" s="8"/>
      <c r="E1706" s="8"/>
      <c r="F1706" s="8"/>
      <c r="G1706" s="8"/>
      <c r="H1706" s="5"/>
      <c r="I1706" s="5"/>
      <c r="J1706" s="5"/>
    </row>
    <row r="1707" spans="2:10">
      <c r="B1707" s="1"/>
      <c r="C1707" s="1"/>
      <c r="D1707" s="8"/>
      <c r="E1707" s="8"/>
      <c r="F1707" s="8"/>
      <c r="G1707" s="8"/>
      <c r="H1707" s="5"/>
      <c r="I1707" s="5"/>
      <c r="J1707" s="5"/>
    </row>
    <row r="1708" spans="2:10">
      <c r="B1708" s="1"/>
      <c r="C1708" s="1"/>
      <c r="D1708" s="8"/>
      <c r="E1708" s="8"/>
      <c r="F1708" s="8"/>
      <c r="G1708" s="8"/>
      <c r="H1708" s="5"/>
      <c r="I1708" s="5"/>
      <c r="J1708" s="5"/>
    </row>
    <row r="1709" spans="2:10">
      <c r="B1709" s="1"/>
      <c r="C1709" s="1"/>
      <c r="D1709" s="8"/>
      <c r="E1709" s="8"/>
      <c r="F1709" s="8"/>
      <c r="G1709" s="8"/>
      <c r="H1709" s="5"/>
      <c r="I1709" s="5"/>
      <c r="J1709" s="5"/>
    </row>
    <row r="1710" spans="2:10">
      <c r="B1710" s="1"/>
      <c r="C1710" s="1"/>
      <c r="D1710" s="8"/>
      <c r="E1710" s="8"/>
      <c r="F1710" s="8"/>
      <c r="G1710" s="8"/>
      <c r="H1710" s="5"/>
      <c r="I1710" s="5"/>
      <c r="J1710" s="5"/>
    </row>
    <row r="1711" spans="2:10">
      <c r="B1711" s="1"/>
      <c r="C1711" s="1"/>
      <c r="D1711" s="8"/>
      <c r="E1711" s="8"/>
      <c r="F1711" s="8"/>
      <c r="G1711" s="8"/>
      <c r="H1711" s="5"/>
      <c r="I1711" s="5"/>
      <c r="J1711" s="5"/>
    </row>
    <row r="1712" spans="2:10">
      <c r="B1712" s="1"/>
      <c r="C1712" s="1"/>
      <c r="D1712" s="8"/>
      <c r="E1712" s="8"/>
      <c r="F1712" s="8"/>
      <c r="G1712" s="8"/>
      <c r="H1712" s="5"/>
      <c r="I1712" s="5"/>
      <c r="J1712" s="5"/>
    </row>
    <row r="1713" spans="2:10">
      <c r="B1713" s="1"/>
      <c r="C1713" s="1"/>
      <c r="D1713" s="8"/>
      <c r="E1713" s="8"/>
      <c r="F1713" s="8"/>
      <c r="G1713" s="8"/>
      <c r="H1713" s="5"/>
      <c r="I1713" s="5"/>
      <c r="J1713" s="5"/>
    </row>
    <row r="1714" spans="2:10">
      <c r="B1714" s="1"/>
      <c r="C1714" s="1"/>
      <c r="D1714" s="8"/>
      <c r="E1714" s="8"/>
      <c r="F1714" s="8"/>
      <c r="G1714" s="8"/>
      <c r="H1714" s="5"/>
      <c r="I1714" s="5"/>
      <c r="J1714" s="5"/>
    </row>
    <row r="1715" spans="2:10">
      <c r="B1715" s="1"/>
      <c r="C1715" s="1"/>
      <c r="D1715" s="8"/>
      <c r="E1715" s="8"/>
      <c r="F1715" s="8"/>
      <c r="G1715" s="8"/>
      <c r="H1715" s="5"/>
      <c r="I1715" s="5"/>
      <c r="J1715" s="5"/>
    </row>
    <row r="1716" spans="2:10">
      <c r="B1716" s="1"/>
      <c r="C1716" s="1"/>
      <c r="D1716" s="8"/>
      <c r="E1716" s="8"/>
      <c r="F1716" s="8"/>
      <c r="G1716" s="8"/>
      <c r="H1716" s="5"/>
      <c r="I1716" s="5"/>
      <c r="J1716" s="5"/>
    </row>
    <row r="1717" spans="2:10">
      <c r="B1717" s="1"/>
      <c r="C1717" s="1"/>
      <c r="D1717" s="8"/>
      <c r="E1717" s="8"/>
      <c r="F1717" s="8"/>
      <c r="G1717" s="8"/>
      <c r="H1717" s="5"/>
      <c r="I1717" s="5"/>
      <c r="J1717" s="5"/>
    </row>
    <row r="1718" spans="2:10">
      <c r="B1718" s="1"/>
      <c r="C1718" s="1"/>
      <c r="D1718" s="8"/>
      <c r="E1718" s="8"/>
      <c r="F1718" s="8"/>
      <c r="G1718" s="8"/>
      <c r="H1718" s="5"/>
      <c r="I1718" s="5"/>
      <c r="J1718" s="5"/>
    </row>
    <row r="1719" spans="2:10">
      <c r="B1719" s="1"/>
      <c r="C1719" s="1"/>
      <c r="D1719" s="8"/>
      <c r="E1719" s="8"/>
      <c r="F1719" s="8"/>
      <c r="G1719" s="8"/>
      <c r="H1719" s="5"/>
      <c r="I1719" s="5"/>
      <c r="J1719" s="5"/>
    </row>
    <row r="1720" spans="2:10">
      <c r="B1720" s="1"/>
      <c r="C1720" s="1"/>
      <c r="D1720" s="8"/>
      <c r="E1720" s="8"/>
      <c r="F1720" s="8"/>
      <c r="G1720" s="8"/>
      <c r="H1720" s="5"/>
      <c r="I1720" s="5"/>
      <c r="J1720" s="5"/>
    </row>
    <row r="1721" spans="2:10">
      <c r="B1721" s="1"/>
      <c r="C1721" s="1"/>
      <c r="D1721" s="8"/>
      <c r="E1721" s="8"/>
      <c r="F1721" s="8"/>
      <c r="G1721" s="8"/>
      <c r="H1721" s="5"/>
      <c r="I1721" s="5"/>
      <c r="J1721" s="5"/>
    </row>
    <row r="1722" spans="2:10">
      <c r="B1722" s="1"/>
      <c r="C1722" s="1"/>
      <c r="D1722" s="8"/>
      <c r="E1722" s="8"/>
      <c r="F1722" s="8"/>
      <c r="G1722" s="8"/>
      <c r="H1722" s="5"/>
      <c r="I1722" s="5"/>
      <c r="J1722" s="5"/>
    </row>
    <row r="1723" spans="2:10">
      <c r="B1723" s="1"/>
      <c r="C1723" s="1"/>
      <c r="D1723" s="8"/>
      <c r="E1723" s="8"/>
      <c r="F1723" s="8"/>
      <c r="G1723" s="8"/>
      <c r="H1723" s="5"/>
      <c r="I1723" s="5"/>
      <c r="J1723" s="5"/>
    </row>
    <row r="1724" spans="2:10">
      <c r="B1724" s="1"/>
      <c r="C1724" s="1"/>
      <c r="D1724" s="8"/>
      <c r="E1724" s="8"/>
      <c r="F1724" s="8"/>
      <c r="G1724" s="8"/>
      <c r="H1724" s="5"/>
      <c r="I1724" s="5"/>
      <c r="J1724" s="5"/>
    </row>
    <row r="1725" spans="2:10">
      <c r="B1725" s="1"/>
      <c r="C1725" s="1"/>
      <c r="D1725" s="8"/>
      <c r="E1725" s="8"/>
      <c r="F1725" s="8"/>
      <c r="G1725" s="8"/>
      <c r="H1725" s="5"/>
      <c r="I1725" s="5"/>
      <c r="J1725" s="5"/>
    </row>
    <row r="1726" spans="2:10">
      <c r="B1726" s="1"/>
      <c r="C1726" s="1"/>
      <c r="D1726" s="8"/>
      <c r="E1726" s="8"/>
      <c r="F1726" s="8"/>
      <c r="G1726" s="8"/>
      <c r="H1726" s="5"/>
      <c r="I1726" s="5"/>
      <c r="J1726" s="5"/>
    </row>
    <row r="1727" spans="2:10">
      <c r="B1727" s="1"/>
      <c r="C1727" s="1"/>
      <c r="D1727" s="8"/>
      <c r="E1727" s="8"/>
      <c r="F1727" s="8"/>
      <c r="G1727" s="8"/>
      <c r="H1727" s="5"/>
      <c r="I1727" s="5"/>
      <c r="J1727" s="5"/>
    </row>
    <row r="1728" spans="2:10">
      <c r="B1728" s="1"/>
      <c r="C1728" s="1"/>
      <c r="D1728" s="8"/>
      <c r="E1728" s="8"/>
      <c r="F1728" s="8"/>
      <c r="G1728" s="8"/>
      <c r="H1728" s="5"/>
      <c r="I1728" s="5"/>
      <c r="J1728" s="5"/>
    </row>
    <row r="1729" spans="2:10">
      <c r="B1729" s="1"/>
      <c r="C1729" s="1"/>
      <c r="D1729" s="8"/>
      <c r="E1729" s="8"/>
      <c r="F1729" s="8"/>
      <c r="G1729" s="8"/>
      <c r="H1729" s="5"/>
      <c r="I1729" s="5"/>
      <c r="J1729" s="5"/>
    </row>
    <row r="1730" spans="2:10">
      <c r="B1730" s="1"/>
      <c r="C1730" s="1"/>
      <c r="D1730" s="8"/>
      <c r="E1730" s="8"/>
      <c r="F1730" s="8"/>
      <c r="G1730" s="8"/>
      <c r="H1730" s="5"/>
      <c r="I1730" s="5"/>
      <c r="J1730" s="5"/>
    </row>
    <row r="1731" spans="2:10">
      <c r="B1731" s="1"/>
      <c r="C1731" s="1"/>
      <c r="D1731" s="8"/>
      <c r="E1731" s="8"/>
      <c r="F1731" s="8"/>
      <c r="G1731" s="8"/>
      <c r="H1731" s="5"/>
      <c r="I1731" s="5"/>
      <c r="J1731" s="5"/>
    </row>
    <row r="1732" spans="2:10">
      <c r="B1732" s="1"/>
      <c r="C1732" s="1"/>
      <c r="D1732" s="8"/>
      <c r="E1732" s="8"/>
      <c r="F1732" s="8"/>
      <c r="G1732" s="8"/>
      <c r="H1732" s="5"/>
      <c r="I1732" s="5"/>
      <c r="J1732" s="5"/>
    </row>
    <row r="1733" spans="2:10">
      <c r="B1733" s="1"/>
      <c r="C1733" s="1"/>
      <c r="D1733" s="8"/>
      <c r="E1733" s="8"/>
      <c r="F1733" s="8"/>
      <c r="G1733" s="8"/>
      <c r="H1733" s="5"/>
      <c r="I1733" s="5"/>
      <c r="J1733" s="5"/>
    </row>
    <row r="1734" spans="2:10">
      <c r="B1734" s="1"/>
      <c r="C1734" s="1"/>
      <c r="D1734" s="8"/>
      <c r="E1734" s="8"/>
      <c r="F1734" s="8"/>
      <c r="G1734" s="8"/>
      <c r="H1734" s="5"/>
      <c r="I1734" s="5"/>
      <c r="J1734" s="5"/>
    </row>
    <row r="1735" spans="2:10">
      <c r="B1735" s="1"/>
      <c r="C1735" s="1"/>
      <c r="D1735" s="8"/>
      <c r="E1735" s="8"/>
      <c r="F1735" s="8"/>
      <c r="G1735" s="8"/>
      <c r="H1735" s="5"/>
      <c r="I1735" s="5"/>
      <c r="J1735" s="5"/>
    </row>
    <row r="1736" spans="2:10">
      <c r="B1736" s="1"/>
      <c r="C1736" s="1"/>
      <c r="D1736" s="8"/>
      <c r="E1736" s="8"/>
      <c r="F1736" s="8"/>
      <c r="G1736" s="8"/>
      <c r="H1736" s="5"/>
      <c r="I1736" s="5"/>
      <c r="J1736" s="5"/>
    </row>
    <row r="1737" spans="2:10">
      <c r="B1737" s="1"/>
      <c r="C1737" s="1"/>
      <c r="D1737" s="8"/>
      <c r="E1737" s="8"/>
      <c r="F1737" s="8"/>
      <c r="G1737" s="8"/>
      <c r="H1737" s="5"/>
      <c r="I1737" s="5"/>
      <c r="J1737" s="5"/>
    </row>
    <row r="1738" spans="2:10">
      <c r="B1738" s="1"/>
      <c r="C1738" s="1"/>
      <c r="D1738" s="8"/>
      <c r="E1738" s="8"/>
      <c r="F1738" s="8"/>
      <c r="G1738" s="8"/>
      <c r="H1738" s="5"/>
      <c r="I1738" s="5"/>
      <c r="J1738" s="5"/>
    </row>
    <row r="1739" spans="2:10">
      <c r="B1739" s="1"/>
      <c r="C1739" s="1"/>
      <c r="D1739" s="8"/>
      <c r="E1739" s="8"/>
      <c r="F1739" s="8"/>
      <c r="G1739" s="8"/>
      <c r="H1739" s="5"/>
      <c r="I1739" s="5"/>
      <c r="J1739" s="5"/>
    </row>
    <row r="1740" spans="2:10">
      <c r="B1740" s="1"/>
      <c r="C1740" s="1"/>
      <c r="D1740" s="8"/>
      <c r="E1740" s="8"/>
      <c r="F1740" s="8"/>
      <c r="G1740" s="8"/>
      <c r="H1740" s="5"/>
      <c r="I1740" s="5"/>
      <c r="J1740" s="5"/>
    </row>
    <row r="1741" spans="2:10">
      <c r="B1741" s="1"/>
      <c r="C1741" s="1"/>
      <c r="D1741" s="8"/>
      <c r="E1741" s="8"/>
      <c r="F1741" s="8"/>
      <c r="G1741" s="8"/>
      <c r="H1741" s="5"/>
      <c r="I1741" s="5"/>
      <c r="J1741" s="5"/>
    </row>
    <row r="1742" spans="2:10">
      <c r="B1742" s="1"/>
      <c r="C1742" s="1"/>
      <c r="D1742" s="8"/>
      <c r="E1742" s="8"/>
      <c r="F1742" s="8"/>
      <c r="G1742" s="8"/>
      <c r="H1742" s="5"/>
      <c r="I1742" s="5"/>
      <c r="J1742" s="5"/>
    </row>
    <row r="1743" spans="2:10">
      <c r="B1743" s="1"/>
      <c r="C1743" s="1"/>
      <c r="D1743" s="8"/>
      <c r="E1743" s="8"/>
      <c r="F1743" s="8"/>
      <c r="G1743" s="8"/>
      <c r="H1743" s="5"/>
      <c r="I1743" s="5"/>
      <c r="J1743" s="5"/>
    </row>
    <row r="1744" spans="2:10">
      <c r="B1744" s="1"/>
      <c r="C1744" s="1"/>
      <c r="D1744" s="8"/>
      <c r="E1744" s="8"/>
      <c r="F1744" s="8"/>
      <c r="G1744" s="8"/>
      <c r="H1744" s="5"/>
      <c r="I1744" s="5"/>
      <c r="J1744" s="5"/>
    </row>
    <row r="1745" spans="2:10">
      <c r="B1745" s="1"/>
      <c r="C1745" s="1"/>
      <c r="D1745" s="8"/>
      <c r="E1745" s="8"/>
      <c r="F1745" s="8"/>
      <c r="G1745" s="8"/>
      <c r="H1745" s="5"/>
      <c r="I1745" s="5"/>
      <c r="J1745" s="5"/>
    </row>
    <row r="1746" spans="2:10">
      <c r="B1746" s="1"/>
      <c r="C1746" s="1"/>
      <c r="D1746" s="8"/>
      <c r="E1746" s="8"/>
      <c r="F1746" s="8"/>
      <c r="G1746" s="8"/>
      <c r="H1746" s="5"/>
      <c r="I1746" s="5"/>
      <c r="J1746" s="5"/>
    </row>
    <row r="1747" spans="2:10">
      <c r="B1747" s="1"/>
      <c r="C1747" s="1"/>
      <c r="D1747" s="8"/>
      <c r="E1747" s="8"/>
      <c r="F1747" s="8"/>
      <c r="G1747" s="8"/>
      <c r="H1747" s="5"/>
      <c r="I1747" s="5"/>
      <c r="J1747" s="5"/>
    </row>
    <row r="1748" spans="2:10">
      <c r="B1748" s="1"/>
      <c r="C1748" s="1"/>
      <c r="D1748" s="8"/>
      <c r="E1748" s="8"/>
      <c r="F1748" s="8"/>
      <c r="G1748" s="8"/>
      <c r="H1748" s="5"/>
      <c r="I1748" s="5"/>
      <c r="J1748" s="5"/>
    </row>
    <row r="1749" spans="2:10">
      <c r="B1749" s="1"/>
      <c r="C1749" s="1"/>
      <c r="D1749" s="8"/>
      <c r="E1749" s="8"/>
      <c r="F1749" s="8"/>
      <c r="G1749" s="8"/>
      <c r="H1749" s="5"/>
      <c r="I1749" s="5"/>
      <c r="J1749" s="5"/>
    </row>
    <row r="1750" spans="2:10">
      <c r="B1750" s="1"/>
      <c r="C1750" s="1"/>
      <c r="D1750" s="8"/>
      <c r="E1750" s="8"/>
      <c r="F1750" s="8"/>
      <c r="G1750" s="8"/>
      <c r="H1750" s="5"/>
      <c r="I1750" s="5"/>
      <c r="J1750" s="5"/>
    </row>
    <row r="1751" spans="2:10">
      <c r="B1751" s="1"/>
      <c r="C1751" s="1"/>
      <c r="D1751" s="8"/>
      <c r="E1751" s="8"/>
      <c r="F1751" s="8"/>
      <c r="G1751" s="8"/>
      <c r="H1751" s="5"/>
      <c r="I1751" s="5"/>
      <c r="J1751" s="5"/>
    </row>
    <row r="1752" spans="2:10">
      <c r="B1752" s="1"/>
      <c r="C1752" s="1"/>
      <c r="D1752" s="8"/>
      <c r="E1752" s="8"/>
      <c r="F1752" s="8"/>
      <c r="G1752" s="8"/>
      <c r="H1752" s="5"/>
      <c r="I1752" s="5"/>
      <c r="J1752" s="5"/>
    </row>
    <row r="1753" spans="2:10">
      <c r="B1753" s="1"/>
      <c r="C1753" s="1"/>
      <c r="D1753" s="8"/>
      <c r="E1753" s="8"/>
      <c r="F1753" s="8"/>
      <c r="G1753" s="8"/>
      <c r="H1753" s="5"/>
      <c r="I1753" s="5"/>
      <c r="J1753" s="5"/>
    </row>
    <row r="1754" spans="2:10">
      <c r="B1754" s="1"/>
      <c r="C1754" s="1"/>
      <c r="D1754" s="8"/>
      <c r="E1754" s="8"/>
      <c r="F1754" s="8"/>
      <c r="G1754" s="8"/>
      <c r="H1754" s="5"/>
      <c r="I1754" s="5"/>
      <c r="J1754" s="5"/>
    </row>
    <row r="1755" spans="2:10">
      <c r="B1755" s="1"/>
      <c r="C1755" s="1"/>
      <c r="D1755" s="8"/>
      <c r="E1755" s="8"/>
      <c r="F1755" s="8"/>
      <c r="G1755" s="8"/>
      <c r="H1755" s="5"/>
      <c r="I1755" s="5"/>
      <c r="J1755" s="5"/>
    </row>
    <row r="1756" spans="2:10">
      <c r="B1756" s="1"/>
      <c r="C1756" s="1"/>
      <c r="D1756" s="8"/>
      <c r="E1756" s="8"/>
      <c r="F1756" s="8"/>
      <c r="G1756" s="8"/>
      <c r="H1756" s="5"/>
      <c r="I1756" s="5"/>
      <c r="J1756" s="5"/>
    </row>
  </sheetData>
  <mergeCells count="4">
    <mergeCell ref="AC11:AC13"/>
    <mergeCell ref="AD11:AD13"/>
    <mergeCell ref="AG7:AG11"/>
    <mergeCell ref="I36:K36"/>
  </mergeCells>
  <pageMargins left="0.75" right="0.75" top="1" bottom="1" header="0.5" footer="0.5"/>
  <pageSetup paperSize="9" orientation="portrait" horizontalDpi="300" verticalDpi="30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G1720"/>
  <sheetViews>
    <sheetView zoomScale="70" zoomScaleNormal="70" workbookViewId="0">
      <selection activeCell="F27" sqref="F27"/>
    </sheetView>
  </sheetViews>
  <sheetFormatPr defaultColWidth="9.109375" defaultRowHeight="13.2"/>
  <cols>
    <col min="1" max="1" width="2" style="207" bestFit="1" customWidth="1"/>
    <col min="2" max="2" width="12.44140625" style="207" customWidth="1"/>
    <col min="3" max="3" width="63.88671875" style="207" customWidth="1"/>
    <col min="4" max="4" width="39.109375" style="218" customWidth="1"/>
    <col min="5" max="5" width="22" style="218" customWidth="1"/>
    <col min="6" max="6" width="13.88671875" style="218" customWidth="1"/>
    <col min="7" max="7" width="14.33203125" style="218" customWidth="1"/>
    <col min="8" max="8" width="15.88671875" style="218" customWidth="1"/>
    <col min="9" max="9" width="14.109375" style="217" bestFit="1" customWidth="1"/>
    <col min="10" max="10" width="12.6640625" style="217" customWidth="1"/>
    <col min="11" max="11" width="13.6640625" style="217" bestFit="1" customWidth="1"/>
    <col min="12" max="13" width="13.33203125" style="207" bestFit="1" customWidth="1"/>
    <col min="14" max="14" width="10.6640625" style="207" bestFit="1" customWidth="1"/>
    <col min="15" max="16" width="9.33203125" style="207" bestFit="1" customWidth="1"/>
    <col min="17" max="17" width="13.109375" style="207" bestFit="1" customWidth="1"/>
    <col min="18" max="18" width="13.33203125" style="207" bestFit="1" customWidth="1"/>
    <col min="19" max="19" width="7.6640625" style="207" customWidth="1"/>
    <col min="20" max="20" width="11.5546875" style="207" bestFit="1" customWidth="1"/>
    <col min="21" max="21" width="12.6640625" style="207" customWidth="1"/>
    <col min="22" max="22" width="10.44140625" style="207" bestFit="1" customWidth="1"/>
    <col min="23" max="23" width="12.44140625" style="207" customWidth="1"/>
    <col min="24" max="16384" width="9.109375" style="207"/>
  </cols>
  <sheetData>
    <row r="1" spans="1:33">
      <c r="D1" s="216"/>
      <c r="E1" s="216"/>
      <c r="F1" s="216"/>
      <c r="G1" s="216"/>
      <c r="H1" s="216"/>
    </row>
    <row r="2" spans="1:33">
      <c r="D2" s="216"/>
      <c r="E2" s="216"/>
      <c r="F2" s="216"/>
      <c r="G2" s="216"/>
      <c r="H2" s="216"/>
    </row>
    <row r="3" spans="1:33">
      <c r="E3" s="219"/>
      <c r="F3" s="219"/>
      <c r="G3" s="219"/>
      <c r="H3" s="219"/>
      <c r="I3" s="220"/>
    </row>
    <row r="4" spans="1:33">
      <c r="F4" s="221"/>
      <c r="G4" s="221"/>
      <c r="H4" s="221"/>
      <c r="K4" s="222"/>
    </row>
    <row r="5" spans="1:33" ht="18.75" customHeight="1">
      <c r="B5" s="223" t="s">
        <v>2</v>
      </c>
      <c r="C5" s="223" t="s">
        <v>26</v>
      </c>
      <c r="D5" s="223" t="s">
        <v>14</v>
      </c>
      <c r="E5" s="223" t="s">
        <v>15</v>
      </c>
      <c r="F5" s="223" t="s">
        <v>184</v>
      </c>
      <c r="G5" s="223" t="s">
        <v>88</v>
      </c>
      <c r="H5" s="686" t="s">
        <v>1012</v>
      </c>
      <c r="I5" s="686" t="s">
        <v>1013</v>
      </c>
      <c r="J5" s="687" t="s">
        <v>1014</v>
      </c>
      <c r="K5" s="687" t="s">
        <v>1015</v>
      </c>
      <c r="L5" s="223" t="s">
        <v>174</v>
      </c>
      <c r="M5" s="223" t="s">
        <v>186</v>
      </c>
      <c r="N5" s="223" t="s">
        <v>162</v>
      </c>
      <c r="O5" s="672"/>
      <c r="P5" s="673"/>
      <c r="Q5" s="770" t="s">
        <v>1016</v>
      </c>
      <c r="R5" s="771" t="s">
        <v>1016</v>
      </c>
      <c r="S5" s="772"/>
      <c r="T5" s="771" t="s">
        <v>1017</v>
      </c>
      <c r="U5" s="773" t="s">
        <v>1017</v>
      </c>
      <c r="W5" s="676"/>
      <c r="X5" s="676"/>
      <c r="Y5" s="676"/>
      <c r="Z5" s="676"/>
      <c r="AA5" s="676"/>
      <c r="AB5" s="676"/>
      <c r="AC5" s="676"/>
      <c r="AD5" s="676"/>
      <c r="AE5" s="676"/>
      <c r="AF5" s="676"/>
      <c r="AG5" s="676"/>
    </row>
    <row r="6" spans="1:33" ht="13.8" thickBot="1">
      <c r="B6" s="225" t="s">
        <v>27</v>
      </c>
      <c r="C6" s="225" t="s">
        <v>267</v>
      </c>
      <c r="D6" s="225"/>
      <c r="E6" s="225"/>
      <c r="F6" s="225"/>
      <c r="G6" s="225"/>
      <c r="H6" s="688" t="s">
        <v>48</v>
      </c>
      <c r="I6" s="688" t="s">
        <v>48</v>
      </c>
      <c r="J6" s="688" t="s">
        <v>168</v>
      </c>
      <c r="K6" s="688" t="s">
        <v>168</v>
      </c>
      <c r="L6" s="225"/>
      <c r="M6" s="225"/>
      <c r="N6" s="225"/>
      <c r="O6" s="674"/>
      <c r="P6" s="673"/>
      <c r="Q6" s="774" t="s">
        <v>89</v>
      </c>
      <c r="R6" s="766" t="s">
        <v>50</v>
      </c>
      <c r="S6" s="767"/>
      <c r="T6" s="766" t="s">
        <v>89</v>
      </c>
      <c r="U6" s="775" t="s">
        <v>50</v>
      </c>
      <c r="W6" s="676"/>
      <c r="X6" s="676"/>
      <c r="Y6" s="676"/>
      <c r="Z6" s="676"/>
      <c r="AA6" s="676"/>
      <c r="AB6" s="676"/>
      <c r="AC6" s="676"/>
      <c r="AD6" s="676"/>
      <c r="AE6" s="676"/>
      <c r="AF6" s="676"/>
      <c r="AG6" s="676"/>
    </row>
    <row r="7" spans="1:33">
      <c r="B7" s="224" t="s">
        <v>428</v>
      </c>
      <c r="C7" s="224" t="s">
        <v>429</v>
      </c>
      <c r="D7" s="226" t="s">
        <v>1032</v>
      </c>
      <c r="E7" s="226" t="s">
        <v>58</v>
      </c>
      <c r="G7" s="226"/>
      <c r="H7" s="311">
        <f>E49</f>
        <v>1.0325352812526292</v>
      </c>
      <c r="I7" s="311">
        <f>H49</f>
        <v>0.4811000121536475</v>
      </c>
      <c r="J7" s="250">
        <f>1/E61</f>
        <v>1.3671387864568623</v>
      </c>
      <c r="K7" s="250">
        <f>1/G61</f>
        <v>1.3671387864568623</v>
      </c>
      <c r="L7" s="227">
        <v>1</v>
      </c>
      <c r="M7" s="224">
        <v>1</v>
      </c>
      <c r="N7" s="224"/>
      <c r="O7" s="236"/>
      <c r="P7" s="673"/>
      <c r="Q7" s="683">
        <f>H7*L7*M7</f>
        <v>1.0325352812526292</v>
      </c>
      <c r="R7" s="685">
        <f>Q7/J7</f>
        <v>0.755252715730927</v>
      </c>
      <c r="S7" s="768"/>
      <c r="T7" s="684">
        <f>I7*L7*M7</f>
        <v>0.4811000121536475</v>
      </c>
      <c r="U7" s="776">
        <f>T7/K7</f>
        <v>0.35190283306970443</v>
      </c>
      <c r="W7" s="676"/>
      <c r="X7" s="676"/>
      <c r="Y7" s="676"/>
      <c r="Z7" s="676"/>
      <c r="AA7" s="676"/>
      <c r="AB7" s="676"/>
      <c r="AC7" s="676"/>
      <c r="AD7" s="676"/>
      <c r="AE7" s="676"/>
      <c r="AF7" s="676"/>
      <c r="AG7" s="676"/>
    </row>
    <row r="8" spans="1:33">
      <c r="B8" s="228" t="s">
        <v>430</v>
      </c>
      <c r="C8" s="228" t="s">
        <v>431</v>
      </c>
      <c r="D8" s="229" t="s">
        <v>1033</v>
      </c>
      <c r="E8" s="229" t="s">
        <v>58</v>
      </c>
      <c r="G8" s="229"/>
      <c r="H8" s="312">
        <f>F49</f>
        <v>1.0346380353002622</v>
      </c>
      <c r="I8" s="312">
        <f>I49</f>
        <v>0.50616421424010494</v>
      </c>
      <c r="J8" s="251">
        <f>1/F61</f>
        <v>1.8779773219999785</v>
      </c>
      <c r="K8" s="251">
        <f>1/H61</f>
        <v>1.8779773219999785</v>
      </c>
      <c r="L8" s="230">
        <v>1</v>
      </c>
      <c r="M8" s="228">
        <v>1</v>
      </c>
      <c r="N8" s="228"/>
      <c r="O8" s="236"/>
      <c r="P8" s="673"/>
      <c r="Q8" s="683">
        <f t="shared" ref="Q8:Q42" si="0">H8*L8*M8</f>
        <v>1.0346380353002622</v>
      </c>
      <c r="R8" s="685">
        <f t="shared" ref="R8:R42" si="1">Q8/J8</f>
        <v>0.55093212424866234</v>
      </c>
      <c r="S8" s="768"/>
      <c r="T8" s="684">
        <f t="shared" ref="T8:T42" si="2">I8*L8*M8</f>
        <v>0.50616421424010494</v>
      </c>
      <c r="U8" s="776">
        <f t="shared" ref="U8:U42" si="3">T8/K8</f>
        <v>0.26952626547218272</v>
      </c>
      <c r="W8" s="676"/>
      <c r="X8" s="676"/>
      <c r="Y8" s="676"/>
      <c r="Z8" s="676"/>
      <c r="AA8" s="676"/>
      <c r="AB8" s="676"/>
      <c r="AC8" s="676"/>
      <c r="AD8" s="676"/>
      <c r="AE8" s="676"/>
      <c r="AF8" s="676"/>
      <c r="AG8" s="676"/>
    </row>
    <row r="9" spans="1:33">
      <c r="B9" s="228" t="s">
        <v>66</v>
      </c>
      <c r="C9" s="228" t="s">
        <v>178</v>
      </c>
      <c r="D9" s="229" t="s">
        <v>1034</v>
      </c>
      <c r="E9" s="229" t="s">
        <v>58</v>
      </c>
      <c r="F9" s="218">
        <v>2011</v>
      </c>
      <c r="G9" s="229">
        <v>2011</v>
      </c>
      <c r="H9" s="67"/>
      <c r="I9" s="67"/>
      <c r="J9" s="249">
        <v>4.0085204671169699</v>
      </c>
      <c r="K9" s="249">
        <v>4.0012804259827899</v>
      </c>
      <c r="L9" s="230">
        <v>1</v>
      </c>
      <c r="M9" s="228">
        <v>1</v>
      </c>
      <c r="N9" s="228">
        <v>100</v>
      </c>
      <c r="O9" s="236"/>
      <c r="P9" s="673"/>
      <c r="Q9" s="683">
        <f t="shared" si="0"/>
        <v>0</v>
      </c>
      <c r="R9" s="685">
        <f t="shared" si="1"/>
        <v>0</v>
      </c>
      <c r="S9" s="768"/>
      <c r="T9" s="684">
        <f t="shared" si="2"/>
        <v>0</v>
      </c>
      <c r="U9" s="776">
        <f t="shared" si="3"/>
        <v>0</v>
      </c>
      <c r="W9" s="676"/>
      <c r="X9" s="676"/>
      <c r="Y9" s="676"/>
      <c r="Z9" s="676"/>
      <c r="AA9" s="676"/>
      <c r="AB9" s="676"/>
      <c r="AC9" s="676"/>
      <c r="AD9" s="676"/>
      <c r="AE9" s="676"/>
      <c r="AF9" s="676"/>
      <c r="AG9" s="676"/>
    </row>
    <row r="10" spans="1:33">
      <c r="B10" s="228"/>
      <c r="C10" s="228"/>
      <c r="D10" s="229"/>
      <c r="E10" s="229"/>
      <c r="F10" s="218">
        <v>2016</v>
      </c>
      <c r="H10" s="67"/>
      <c r="J10" s="249">
        <v>4.7570449265143875</v>
      </c>
      <c r="K10" s="249">
        <v>4.7480445400205626</v>
      </c>
      <c r="L10" s="230">
        <v>1</v>
      </c>
      <c r="M10" s="228">
        <v>1</v>
      </c>
      <c r="N10" s="228">
        <v>100</v>
      </c>
      <c r="O10" s="673"/>
      <c r="P10" s="675"/>
      <c r="Q10" s="683">
        <f t="shared" si="0"/>
        <v>0</v>
      </c>
      <c r="R10" s="685">
        <f t="shared" si="1"/>
        <v>0</v>
      </c>
      <c r="S10" s="769"/>
      <c r="T10" s="684">
        <f t="shared" si="2"/>
        <v>0</v>
      </c>
      <c r="U10" s="776">
        <f t="shared" si="3"/>
        <v>0</v>
      </c>
      <c r="W10" s="676"/>
      <c r="X10" s="676"/>
      <c r="Y10" s="676"/>
      <c r="Z10" s="676"/>
      <c r="AA10" s="676"/>
      <c r="AB10" s="676"/>
      <c r="AC10" s="676"/>
      <c r="AD10" s="676"/>
      <c r="AE10" s="676"/>
      <c r="AF10" s="676"/>
      <c r="AG10" s="676"/>
    </row>
    <row r="11" spans="1:33">
      <c r="B11" s="228"/>
      <c r="C11" s="228"/>
      <c r="D11" s="229"/>
      <c r="E11" s="229"/>
      <c r="F11" s="218">
        <v>2021</v>
      </c>
      <c r="H11" s="67"/>
      <c r="I11" s="67"/>
      <c r="J11" s="249">
        <v>6.0763888888888884</v>
      </c>
      <c r="K11" s="249">
        <v>6.0763888888888884</v>
      </c>
      <c r="L11" s="230">
        <v>1</v>
      </c>
      <c r="M11" s="228">
        <v>1</v>
      </c>
      <c r="N11" s="228">
        <v>100</v>
      </c>
      <c r="Q11" s="683">
        <f t="shared" si="0"/>
        <v>0</v>
      </c>
      <c r="R11" s="685">
        <f t="shared" si="1"/>
        <v>0</v>
      </c>
      <c r="S11" s="768"/>
      <c r="T11" s="684">
        <f t="shared" si="2"/>
        <v>0</v>
      </c>
      <c r="U11" s="776">
        <f t="shared" si="3"/>
        <v>0</v>
      </c>
      <c r="W11" s="676"/>
      <c r="X11" s="676"/>
      <c r="Y11" s="676"/>
      <c r="Z11" s="676"/>
      <c r="AA11" s="676"/>
      <c r="AB11" s="676"/>
      <c r="AC11" s="676"/>
      <c r="AD11" s="676"/>
      <c r="AE11" s="676"/>
      <c r="AF11" s="676"/>
      <c r="AG11" s="676"/>
    </row>
    <row r="12" spans="1:33">
      <c r="B12" s="228"/>
      <c r="C12" s="228"/>
      <c r="D12" s="229"/>
      <c r="E12" s="229"/>
      <c r="F12" s="232">
        <v>2031</v>
      </c>
      <c r="G12" s="232"/>
      <c r="H12" s="67"/>
      <c r="I12" s="67"/>
      <c r="J12" s="249">
        <v>6.9444444444444446</v>
      </c>
      <c r="K12" s="249">
        <v>6.9444444444444446</v>
      </c>
      <c r="L12" s="230">
        <v>1</v>
      </c>
      <c r="M12" s="228">
        <v>1</v>
      </c>
      <c r="N12" s="228">
        <v>100</v>
      </c>
      <c r="O12" s="228"/>
      <c r="Q12" s="683">
        <f t="shared" si="0"/>
        <v>0</v>
      </c>
      <c r="R12" s="685">
        <f t="shared" si="1"/>
        <v>0</v>
      </c>
      <c r="S12" s="768"/>
      <c r="T12" s="684">
        <f t="shared" si="2"/>
        <v>0</v>
      </c>
      <c r="U12" s="776">
        <f t="shared" si="3"/>
        <v>0</v>
      </c>
      <c r="W12" s="676"/>
      <c r="X12" s="676"/>
      <c r="Y12" s="676"/>
      <c r="Z12" s="676"/>
      <c r="AA12" s="676"/>
      <c r="AB12" s="676"/>
      <c r="AC12" s="676"/>
      <c r="AD12" s="676"/>
      <c r="AE12" s="676"/>
      <c r="AF12" s="676"/>
      <c r="AG12" s="676"/>
    </row>
    <row r="13" spans="1:33">
      <c r="B13" s="233" t="s">
        <v>432</v>
      </c>
      <c r="C13" s="233" t="s">
        <v>433</v>
      </c>
      <c r="D13" s="234" t="s">
        <v>1035</v>
      </c>
      <c r="E13" s="234" t="s">
        <v>59</v>
      </c>
      <c r="G13" s="234"/>
      <c r="H13" s="313">
        <f>E50</f>
        <v>0.4260046086256124</v>
      </c>
      <c r="I13" s="313">
        <f>H50</f>
        <v>6.3616763340850119E-2</v>
      </c>
      <c r="J13" s="252">
        <f>1/E62</f>
        <v>1.3671387864568623</v>
      </c>
      <c r="K13" s="252">
        <f>1/G62</f>
        <v>1.3671387864568623</v>
      </c>
      <c r="L13" s="235">
        <v>1</v>
      </c>
      <c r="M13" s="233">
        <v>1</v>
      </c>
      <c r="N13" s="233"/>
      <c r="O13" s="228"/>
      <c r="Q13" s="683">
        <f t="shared" si="0"/>
        <v>0.4260046086256124</v>
      </c>
      <c r="R13" s="685">
        <f t="shared" si="1"/>
        <v>0.31160304487422591</v>
      </c>
      <c r="S13" s="768"/>
      <c r="T13" s="684">
        <f t="shared" si="2"/>
        <v>6.3616763340850119E-2</v>
      </c>
      <c r="U13" s="776">
        <f t="shared" si="3"/>
        <v>4.6532776314336131E-2</v>
      </c>
      <c r="W13" s="676"/>
      <c r="X13" s="676"/>
      <c r="Y13" s="676"/>
      <c r="Z13" s="676"/>
      <c r="AA13" s="676"/>
      <c r="AB13" s="676"/>
      <c r="AC13" s="676"/>
      <c r="AD13" s="676"/>
      <c r="AE13" s="676"/>
      <c r="AF13" s="676"/>
      <c r="AG13" s="676"/>
    </row>
    <row r="14" spans="1:33">
      <c r="A14" s="228"/>
      <c r="B14" s="228" t="s">
        <v>434</v>
      </c>
      <c r="C14" s="228" t="s">
        <v>435</v>
      </c>
      <c r="D14" s="229" t="s">
        <v>1036</v>
      </c>
      <c r="E14" s="229" t="s">
        <v>59</v>
      </c>
      <c r="G14" s="229"/>
      <c r="H14" s="312">
        <f>F50</f>
        <v>0.52285464695759565</v>
      </c>
      <c r="I14" s="312">
        <f>I50</f>
        <v>6.7598958695179318E-2</v>
      </c>
      <c r="J14" s="251">
        <f>1/F62</f>
        <v>1.8779773219999785</v>
      </c>
      <c r="K14" s="251">
        <f>1/H62</f>
        <v>1.8779773219999785</v>
      </c>
      <c r="L14" s="230">
        <v>1</v>
      </c>
      <c r="M14" s="228">
        <v>1</v>
      </c>
      <c r="N14" s="228"/>
      <c r="O14" s="228"/>
      <c r="Q14" s="683">
        <f t="shared" si="0"/>
        <v>0.52285464695759565</v>
      </c>
      <c r="R14" s="685">
        <f t="shared" si="1"/>
        <v>0.27841371715861524</v>
      </c>
      <c r="S14" s="768"/>
      <c r="T14" s="684">
        <f t="shared" si="2"/>
        <v>6.7598958695179318E-2</v>
      </c>
      <c r="U14" s="776">
        <f t="shared" si="3"/>
        <v>3.5995620342842503E-2</v>
      </c>
      <c r="W14" s="676"/>
      <c r="X14" s="676"/>
      <c r="Y14" s="676"/>
      <c r="Z14" s="676"/>
      <c r="AA14" s="676"/>
      <c r="AB14" s="676"/>
      <c r="AC14" s="676"/>
      <c r="AD14" s="676"/>
      <c r="AE14" s="676"/>
      <c r="AF14" s="676"/>
      <c r="AG14" s="676"/>
    </row>
    <row r="15" spans="1:33">
      <c r="B15" s="228" t="s">
        <v>69</v>
      </c>
      <c r="C15" s="228" t="s">
        <v>179</v>
      </c>
      <c r="D15" s="229" t="s">
        <v>1037</v>
      </c>
      <c r="E15" s="229" t="s">
        <v>59</v>
      </c>
      <c r="F15" s="218">
        <v>2011</v>
      </c>
      <c r="G15" s="229">
        <v>2011</v>
      </c>
      <c r="H15" s="67"/>
      <c r="I15" s="67"/>
      <c r="J15" s="231">
        <v>3.1390555577411314</v>
      </c>
      <c r="K15" s="231">
        <v>3.4705146316810898</v>
      </c>
      <c r="L15" s="230">
        <v>1</v>
      </c>
      <c r="M15" s="236">
        <v>1</v>
      </c>
      <c r="N15" s="228">
        <v>100</v>
      </c>
      <c r="O15" s="228"/>
      <c r="Q15" s="683">
        <f t="shared" si="0"/>
        <v>0</v>
      </c>
      <c r="R15" s="685">
        <f t="shared" si="1"/>
        <v>0</v>
      </c>
      <c r="S15" s="768"/>
      <c r="T15" s="684">
        <f t="shared" si="2"/>
        <v>0</v>
      </c>
      <c r="U15" s="776">
        <f t="shared" si="3"/>
        <v>0</v>
      </c>
      <c r="W15" s="676"/>
      <c r="X15" s="676"/>
      <c r="Y15" s="676"/>
      <c r="Z15" s="676"/>
      <c r="AA15" s="676"/>
      <c r="AB15" s="676"/>
      <c r="AC15" s="676"/>
      <c r="AD15" s="676"/>
      <c r="AE15" s="676"/>
      <c r="AF15" s="676"/>
      <c r="AG15" s="676"/>
    </row>
    <row r="16" spans="1:33">
      <c r="B16" s="228"/>
      <c r="C16" s="228"/>
      <c r="D16" s="229"/>
      <c r="E16" s="229"/>
      <c r="F16" s="218">
        <v>2016</v>
      </c>
      <c r="H16" s="67"/>
      <c r="J16" s="231">
        <v>3.6871365087455148</v>
      </c>
      <c r="K16" s="231">
        <v>4.0924186695740659</v>
      </c>
      <c r="L16" s="230">
        <v>1</v>
      </c>
      <c r="M16" s="236">
        <v>1</v>
      </c>
      <c r="N16" s="228">
        <v>100</v>
      </c>
      <c r="O16" s="228"/>
      <c r="Q16" s="683">
        <f t="shared" si="0"/>
        <v>0</v>
      </c>
      <c r="R16" s="685">
        <f t="shared" si="1"/>
        <v>0</v>
      </c>
      <c r="S16" s="768"/>
      <c r="T16" s="684">
        <f t="shared" si="2"/>
        <v>0</v>
      </c>
      <c r="U16" s="776">
        <f t="shared" si="3"/>
        <v>0</v>
      </c>
      <c r="W16" s="676"/>
      <c r="X16" s="676"/>
      <c r="Y16" s="676"/>
      <c r="Z16" s="676"/>
      <c r="AA16" s="676"/>
      <c r="AB16" s="676"/>
      <c r="AC16" s="676"/>
      <c r="AD16" s="676"/>
      <c r="AE16" s="676"/>
      <c r="AF16" s="676"/>
      <c r="AG16" s="676"/>
    </row>
    <row r="17" spans="1:33">
      <c r="B17" s="228"/>
      <c r="C17" s="228"/>
      <c r="D17" s="229"/>
      <c r="E17" s="229"/>
      <c r="F17" s="218">
        <v>2021</v>
      </c>
      <c r="H17" s="67"/>
      <c r="I17" s="67"/>
      <c r="J17" s="231">
        <v>6.0763888888888884</v>
      </c>
      <c r="K17" s="231">
        <v>6.0763888888888884</v>
      </c>
      <c r="L17" s="230">
        <v>1</v>
      </c>
      <c r="M17" s="236">
        <v>1</v>
      </c>
      <c r="N17" s="228">
        <v>100</v>
      </c>
      <c r="O17" s="228"/>
      <c r="Q17" s="683">
        <f t="shared" si="0"/>
        <v>0</v>
      </c>
      <c r="R17" s="685">
        <f t="shared" si="1"/>
        <v>0</v>
      </c>
      <c r="S17" s="768"/>
      <c r="T17" s="684">
        <f t="shared" si="2"/>
        <v>0</v>
      </c>
      <c r="U17" s="776">
        <f t="shared" si="3"/>
        <v>0</v>
      </c>
      <c r="W17" s="676"/>
      <c r="X17" s="676"/>
      <c r="Y17" s="676"/>
      <c r="Z17" s="676"/>
      <c r="AA17" s="676"/>
      <c r="AB17" s="676"/>
      <c r="AC17" s="676"/>
      <c r="AD17" s="676"/>
      <c r="AE17" s="676"/>
      <c r="AF17" s="676"/>
      <c r="AG17" s="676"/>
    </row>
    <row r="18" spans="1:33">
      <c r="B18" s="228"/>
      <c r="C18" s="228"/>
      <c r="D18" s="229"/>
      <c r="E18" s="229"/>
      <c r="F18" s="232">
        <v>2031</v>
      </c>
      <c r="G18" s="232"/>
      <c r="H18" s="67"/>
      <c r="I18" s="67"/>
      <c r="J18" s="231">
        <v>6.9444444444444446</v>
      </c>
      <c r="K18" s="231">
        <v>6.9444444444444446</v>
      </c>
      <c r="L18" s="230">
        <v>1</v>
      </c>
      <c r="M18" s="236">
        <v>1</v>
      </c>
      <c r="N18" s="228">
        <v>100</v>
      </c>
      <c r="O18" s="228"/>
      <c r="Q18" s="683">
        <f t="shared" si="0"/>
        <v>0</v>
      </c>
      <c r="R18" s="685">
        <f t="shared" si="1"/>
        <v>0</v>
      </c>
      <c r="S18" s="768"/>
      <c r="T18" s="684">
        <f t="shared" si="2"/>
        <v>0</v>
      </c>
      <c r="U18" s="776">
        <f t="shared" si="3"/>
        <v>0</v>
      </c>
      <c r="W18" s="676"/>
      <c r="X18" s="676"/>
      <c r="Y18" s="676"/>
      <c r="Z18" s="676"/>
      <c r="AA18" s="676"/>
      <c r="AB18" s="676"/>
      <c r="AC18" s="676"/>
      <c r="AD18" s="676"/>
      <c r="AE18" s="676"/>
      <c r="AF18" s="676"/>
      <c r="AG18" s="676"/>
    </row>
    <row r="19" spans="1:33">
      <c r="B19" s="233" t="s">
        <v>436</v>
      </c>
      <c r="C19" s="233" t="s">
        <v>437</v>
      </c>
      <c r="D19" s="234" t="s">
        <v>1038</v>
      </c>
      <c r="E19" s="234" t="s">
        <v>60</v>
      </c>
      <c r="G19" s="234"/>
      <c r="H19" s="313">
        <f>E51</f>
        <v>71.468454604033823</v>
      </c>
      <c r="I19" s="313">
        <f>H51</f>
        <v>26.691121999230383</v>
      </c>
      <c r="J19" s="252">
        <f>1/E63</f>
        <v>1.3671387864568623</v>
      </c>
      <c r="K19" s="252">
        <f>1/G63</f>
        <v>1.3671387864568623</v>
      </c>
      <c r="L19" s="235">
        <v>1</v>
      </c>
      <c r="M19" s="233">
        <v>1</v>
      </c>
      <c r="N19" s="233"/>
      <c r="O19" s="228"/>
      <c r="Q19" s="683">
        <f t="shared" si="0"/>
        <v>71.468454604033823</v>
      </c>
      <c r="R19" s="685">
        <f t="shared" si="1"/>
        <v>52.275932269652486</v>
      </c>
      <c r="S19" s="768"/>
      <c r="T19" s="684">
        <f t="shared" si="2"/>
        <v>26.691121999230383</v>
      </c>
      <c r="U19" s="776">
        <f t="shared" si="3"/>
        <v>19.523344859817986</v>
      </c>
      <c r="W19" s="676"/>
      <c r="X19" s="676"/>
      <c r="Y19" s="676"/>
      <c r="Z19" s="676"/>
      <c r="AA19" s="676"/>
      <c r="AB19" s="676"/>
      <c r="AC19" s="676"/>
      <c r="AD19" s="676"/>
      <c r="AE19" s="676"/>
      <c r="AF19" s="676"/>
      <c r="AG19" s="676"/>
    </row>
    <row r="20" spans="1:33">
      <c r="A20" s="228"/>
      <c r="B20" s="228" t="s">
        <v>438</v>
      </c>
      <c r="C20" s="228" t="s">
        <v>439</v>
      </c>
      <c r="D20" s="229" t="s">
        <v>1039</v>
      </c>
      <c r="E20" s="229" t="s">
        <v>60</v>
      </c>
      <c r="G20" s="229"/>
      <c r="H20" s="312">
        <f>F51</f>
        <v>76.317141430635033</v>
      </c>
      <c r="I20" s="312">
        <f>I51</f>
        <v>28.114395473828928</v>
      </c>
      <c r="J20" s="251">
        <f>1/F63</f>
        <v>1.8779773219999785</v>
      </c>
      <c r="K20" s="251">
        <f>1/H63</f>
        <v>1.8779773219999785</v>
      </c>
      <c r="L20" s="230">
        <v>1</v>
      </c>
      <c r="M20" s="228">
        <v>1</v>
      </c>
      <c r="N20" s="228"/>
      <c r="O20" s="228"/>
      <c r="Q20" s="683">
        <f t="shared" si="0"/>
        <v>76.317141430635033</v>
      </c>
      <c r="R20" s="685">
        <f t="shared" si="1"/>
        <v>40.637946228956594</v>
      </c>
      <c r="S20" s="768"/>
      <c r="T20" s="684">
        <f t="shared" si="2"/>
        <v>28.114395473828928</v>
      </c>
      <c r="U20" s="776">
        <f t="shared" si="3"/>
        <v>14.970572404936235</v>
      </c>
      <c r="W20" s="676"/>
      <c r="X20" s="676"/>
      <c r="Y20" s="676"/>
      <c r="Z20" s="676"/>
      <c r="AA20" s="676"/>
      <c r="AB20" s="676"/>
      <c r="AC20" s="676"/>
      <c r="AD20" s="676"/>
      <c r="AE20" s="676"/>
      <c r="AF20" s="676"/>
      <c r="AG20" s="676"/>
    </row>
    <row r="21" spans="1:33">
      <c r="B21" s="228" t="s">
        <v>72</v>
      </c>
      <c r="C21" s="228" t="s">
        <v>180</v>
      </c>
      <c r="D21" s="229" t="s">
        <v>1040</v>
      </c>
      <c r="E21" s="229" t="s">
        <v>60</v>
      </c>
      <c r="F21" s="218">
        <v>2011</v>
      </c>
      <c r="G21" s="229">
        <v>2011</v>
      </c>
      <c r="H21" s="67"/>
      <c r="I21" s="67"/>
      <c r="J21" s="231">
        <v>4.0042464835309755</v>
      </c>
      <c r="K21" s="231">
        <v>4.0012688407482342</v>
      </c>
      <c r="L21" s="230">
        <v>1</v>
      </c>
      <c r="M21" s="236">
        <v>1</v>
      </c>
      <c r="N21" s="228">
        <v>100</v>
      </c>
      <c r="O21" s="228"/>
      <c r="Q21" s="683">
        <f t="shared" si="0"/>
        <v>0</v>
      </c>
      <c r="R21" s="685">
        <f t="shared" si="1"/>
        <v>0</v>
      </c>
      <c r="S21" s="768"/>
      <c r="T21" s="684">
        <f t="shared" si="2"/>
        <v>0</v>
      </c>
      <c r="U21" s="776">
        <f t="shared" si="3"/>
        <v>0</v>
      </c>
      <c r="W21" s="676"/>
      <c r="X21" s="676"/>
      <c r="Y21" s="676"/>
      <c r="Z21" s="676"/>
      <c r="AA21" s="1452"/>
      <c r="AB21" s="1452"/>
      <c r="AC21" s="1452"/>
      <c r="AD21" s="676"/>
      <c r="AE21" s="676"/>
      <c r="AF21" s="676"/>
      <c r="AG21" s="676"/>
    </row>
    <row r="22" spans="1:33">
      <c r="B22" s="228"/>
      <c r="C22" s="228"/>
      <c r="D22" s="229"/>
      <c r="E22" s="229"/>
      <c r="F22" s="218">
        <v>2016</v>
      </c>
      <c r="H22" s="67"/>
      <c r="J22" s="231">
        <v>4.7517315783118361</v>
      </c>
      <c r="K22" s="231">
        <v>4.7480301391898871</v>
      </c>
      <c r="L22" s="230">
        <v>1</v>
      </c>
      <c r="M22" s="236">
        <v>1</v>
      </c>
      <c r="N22" s="228">
        <v>100</v>
      </c>
      <c r="O22" s="228"/>
      <c r="Q22" s="683">
        <f t="shared" si="0"/>
        <v>0</v>
      </c>
      <c r="R22" s="685">
        <f t="shared" si="1"/>
        <v>0</v>
      </c>
      <c r="S22" s="768"/>
      <c r="T22" s="684">
        <f t="shared" si="2"/>
        <v>0</v>
      </c>
      <c r="U22" s="776">
        <f t="shared" si="3"/>
        <v>0</v>
      </c>
      <c r="W22" s="676"/>
      <c r="X22" s="676"/>
      <c r="Y22" s="676"/>
      <c r="Z22" s="676"/>
      <c r="AA22" s="676"/>
      <c r="AB22" s="676"/>
      <c r="AC22" s="676"/>
      <c r="AD22" s="676"/>
      <c r="AE22" s="676"/>
      <c r="AF22" s="676"/>
      <c r="AG22" s="676"/>
    </row>
    <row r="23" spans="1:33">
      <c r="B23" s="228"/>
      <c r="C23" s="228"/>
      <c r="D23" s="229"/>
      <c r="E23" s="229"/>
      <c r="F23" s="218">
        <v>2021</v>
      </c>
      <c r="H23" s="67"/>
      <c r="I23" s="67"/>
      <c r="J23" s="231">
        <v>6.0763888888888884</v>
      </c>
      <c r="K23" s="231">
        <v>6.0763888888888884</v>
      </c>
      <c r="L23" s="230">
        <v>1</v>
      </c>
      <c r="M23" s="236">
        <v>1</v>
      </c>
      <c r="N23" s="228">
        <v>100</v>
      </c>
      <c r="O23" s="228"/>
      <c r="Q23" s="683">
        <f t="shared" si="0"/>
        <v>0</v>
      </c>
      <c r="R23" s="685">
        <f t="shared" si="1"/>
        <v>0</v>
      </c>
      <c r="S23" s="768"/>
      <c r="T23" s="684">
        <f t="shared" si="2"/>
        <v>0</v>
      </c>
      <c r="U23" s="776">
        <f t="shared" si="3"/>
        <v>0</v>
      </c>
      <c r="W23" s="676"/>
      <c r="X23" s="676"/>
      <c r="Y23" s="676"/>
      <c r="Z23" s="676"/>
      <c r="AA23" s="676"/>
      <c r="AB23" s="676"/>
      <c r="AC23" s="676"/>
      <c r="AD23" s="676"/>
      <c r="AE23" s="676"/>
      <c r="AF23" s="676"/>
      <c r="AG23" s="676"/>
    </row>
    <row r="24" spans="1:33">
      <c r="B24" s="228"/>
      <c r="C24" s="228"/>
      <c r="D24" s="229"/>
      <c r="E24" s="229"/>
      <c r="F24" s="232">
        <v>2031</v>
      </c>
      <c r="G24" s="232"/>
      <c r="H24" s="67"/>
      <c r="I24" s="67"/>
      <c r="J24" s="231">
        <v>6.9444444444444446</v>
      </c>
      <c r="K24" s="231">
        <v>6.9444444444444446</v>
      </c>
      <c r="L24" s="230">
        <v>1</v>
      </c>
      <c r="M24" s="236">
        <v>1</v>
      </c>
      <c r="N24" s="228">
        <v>100</v>
      </c>
      <c r="O24" s="228"/>
      <c r="Q24" s="683">
        <f t="shared" si="0"/>
        <v>0</v>
      </c>
      <c r="R24" s="685">
        <f t="shared" si="1"/>
        <v>0</v>
      </c>
      <c r="S24" s="768"/>
      <c r="T24" s="684">
        <f t="shared" si="2"/>
        <v>0</v>
      </c>
      <c r="U24" s="776">
        <f t="shared" si="3"/>
        <v>0</v>
      </c>
      <c r="W24" s="676"/>
      <c r="X24" s="676"/>
      <c r="Y24" s="676"/>
      <c r="Z24" s="676"/>
      <c r="AA24" s="676"/>
      <c r="AB24" s="676"/>
      <c r="AC24" s="676"/>
      <c r="AD24" s="676"/>
      <c r="AE24" s="676"/>
      <c r="AF24" s="676"/>
      <c r="AG24" s="676"/>
    </row>
    <row r="25" spans="1:33">
      <c r="B25" s="233" t="s">
        <v>440</v>
      </c>
      <c r="C25" s="233" t="s">
        <v>441</v>
      </c>
      <c r="D25" s="234" t="s">
        <v>1041</v>
      </c>
      <c r="E25" s="234" t="s">
        <v>61</v>
      </c>
      <c r="G25" s="234"/>
      <c r="H25" s="313">
        <f>E52</f>
        <v>4.2997262417655877E-2</v>
      </c>
      <c r="I25" s="313">
        <f>H52</f>
        <v>2.8404852650094462E-2</v>
      </c>
      <c r="J25" s="252">
        <f>1/E64</f>
        <v>1.631209574700055</v>
      </c>
      <c r="K25" s="252">
        <f>1/G64</f>
        <v>1.631209574700055</v>
      </c>
      <c r="L25" s="235">
        <v>1</v>
      </c>
      <c r="M25" s="233">
        <v>1</v>
      </c>
      <c r="N25" s="233"/>
      <c r="O25" s="228"/>
      <c r="Q25" s="683">
        <f t="shared" si="0"/>
        <v>4.2997262417655877E-2</v>
      </c>
      <c r="R25" s="685">
        <f t="shared" si="1"/>
        <v>2.6359128271768614E-2</v>
      </c>
      <c r="S25" s="768"/>
      <c r="T25" s="684">
        <f t="shared" si="2"/>
        <v>2.8404852650094462E-2</v>
      </c>
      <c r="U25" s="776">
        <f t="shared" si="3"/>
        <v>1.7413368024962406E-2</v>
      </c>
      <c r="W25" s="676"/>
      <c r="X25" s="676"/>
      <c r="Y25" s="676"/>
      <c r="Z25" s="676"/>
      <c r="AA25" s="676"/>
      <c r="AB25" s="676"/>
      <c r="AC25" s="676"/>
      <c r="AD25" s="676"/>
      <c r="AE25" s="676"/>
      <c r="AF25" s="676"/>
      <c r="AG25" s="676"/>
    </row>
    <row r="26" spans="1:33">
      <c r="A26" s="228"/>
      <c r="B26" s="228" t="s">
        <v>442</v>
      </c>
      <c r="C26" s="228" t="s">
        <v>443</v>
      </c>
      <c r="D26" s="229" t="s">
        <v>1042</v>
      </c>
      <c r="E26" s="229" t="s">
        <v>61</v>
      </c>
      <c r="G26" s="229"/>
      <c r="H26" s="312">
        <f>F52</f>
        <v>0.13537891071188615</v>
      </c>
      <c r="I26" s="312">
        <f>I52</f>
        <v>6.9957823542596817E-2</v>
      </c>
      <c r="J26" s="251">
        <f>1/F64</f>
        <v>2.6032679171379502</v>
      </c>
      <c r="K26" s="251">
        <f>1/H64</f>
        <v>2.6032679171379502</v>
      </c>
      <c r="L26" s="230">
        <v>1</v>
      </c>
      <c r="M26" s="228">
        <v>1</v>
      </c>
      <c r="N26" s="228"/>
      <c r="O26" s="228"/>
      <c r="Q26" s="683">
        <f t="shared" si="0"/>
        <v>0.13537891071188615</v>
      </c>
      <c r="R26" s="685">
        <f t="shared" si="1"/>
        <v>5.2003449134318307E-2</v>
      </c>
      <c r="S26" s="768"/>
      <c r="T26" s="684">
        <f t="shared" si="2"/>
        <v>6.9957823542596817E-2</v>
      </c>
      <c r="U26" s="776">
        <f t="shared" si="3"/>
        <v>2.68730786724053E-2</v>
      </c>
      <c r="W26" s="676"/>
      <c r="X26" s="676"/>
      <c r="Y26" s="676"/>
      <c r="Z26" s="676"/>
      <c r="AA26" s="676"/>
      <c r="AB26" s="676"/>
      <c r="AC26" s="676"/>
      <c r="AD26" s="676"/>
      <c r="AE26" s="676"/>
      <c r="AF26" s="676"/>
      <c r="AG26" s="676"/>
    </row>
    <row r="27" spans="1:33">
      <c r="B27" s="228" t="s">
        <v>75</v>
      </c>
      <c r="C27" s="228" t="s">
        <v>181</v>
      </c>
      <c r="D27" s="229" t="s">
        <v>1043</v>
      </c>
      <c r="E27" s="229" t="s">
        <v>61</v>
      </c>
      <c r="F27" s="218">
        <v>2011</v>
      </c>
      <c r="G27" s="229">
        <v>2011</v>
      </c>
      <c r="H27" s="67"/>
      <c r="I27" s="67"/>
      <c r="J27" s="231">
        <v>3.2669034295895392</v>
      </c>
      <c r="K27" s="231">
        <v>3.3560689618336919</v>
      </c>
      <c r="L27" s="230">
        <v>1</v>
      </c>
      <c r="M27" s="236">
        <v>1</v>
      </c>
      <c r="N27" s="228">
        <v>100</v>
      </c>
      <c r="O27" s="228"/>
      <c r="Q27" s="683">
        <f t="shared" si="0"/>
        <v>0</v>
      </c>
      <c r="R27" s="685">
        <f t="shared" si="1"/>
        <v>0</v>
      </c>
      <c r="S27" s="768"/>
      <c r="T27" s="684">
        <f t="shared" si="2"/>
        <v>0</v>
      </c>
      <c r="U27" s="776">
        <f t="shared" si="3"/>
        <v>0</v>
      </c>
      <c r="W27" s="676"/>
      <c r="X27" s="676"/>
      <c r="Y27" s="676"/>
      <c r="Z27" s="676"/>
      <c r="AA27" s="676"/>
      <c r="AB27" s="676"/>
      <c r="AC27" s="676"/>
      <c r="AD27" s="676"/>
      <c r="AE27" s="676"/>
      <c r="AF27" s="676"/>
      <c r="AG27" s="676"/>
    </row>
    <row r="28" spans="1:33">
      <c r="B28" s="228"/>
      <c r="C28" s="228"/>
      <c r="D28" s="229"/>
      <c r="E28" s="229"/>
      <c r="F28" s="218">
        <v>2016</v>
      </c>
      <c r="H28" s="67"/>
      <c r="J28" s="231">
        <v>3.8430840331887297</v>
      </c>
      <c r="K28" s="231">
        <v>3.9521254844072797</v>
      </c>
      <c r="L28" s="230">
        <v>1</v>
      </c>
      <c r="M28" s="236">
        <v>1</v>
      </c>
      <c r="N28" s="228">
        <v>100</v>
      </c>
      <c r="O28" s="228"/>
      <c r="Q28" s="683">
        <f t="shared" si="0"/>
        <v>0</v>
      </c>
      <c r="R28" s="685">
        <f t="shared" si="1"/>
        <v>0</v>
      </c>
      <c r="S28" s="768"/>
      <c r="T28" s="684">
        <f t="shared" si="2"/>
        <v>0</v>
      </c>
      <c r="U28" s="776">
        <f t="shared" si="3"/>
        <v>0</v>
      </c>
      <c r="W28" s="676"/>
      <c r="X28" s="676"/>
      <c r="Y28" s="676"/>
      <c r="Z28" s="676"/>
      <c r="AA28" s="676"/>
      <c r="AB28" s="676"/>
      <c r="AC28" s="676"/>
      <c r="AD28" s="676"/>
      <c r="AE28" s="676"/>
      <c r="AF28" s="676"/>
      <c r="AG28" s="676"/>
    </row>
    <row r="29" spans="1:33">
      <c r="B29" s="228"/>
      <c r="C29" s="228"/>
      <c r="D29" s="229"/>
      <c r="E29" s="229"/>
      <c r="F29" s="218">
        <v>2021</v>
      </c>
      <c r="H29" s="67"/>
      <c r="I29" s="67"/>
      <c r="J29" s="231">
        <v>6.0763888888888884</v>
      </c>
      <c r="K29" s="231">
        <v>6.0763888888888884</v>
      </c>
      <c r="L29" s="230">
        <v>1</v>
      </c>
      <c r="M29" s="236">
        <v>1</v>
      </c>
      <c r="N29" s="228">
        <v>100</v>
      </c>
      <c r="O29" s="228"/>
      <c r="Q29" s="683">
        <f t="shared" si="0"/>
        <v>0</v>
      </c>
      <c r="R29" s="685">
        <f t="shared" si="1"/>
        <v>0</v>
      </c>
      <c r="S29" s="768"/>
      <c r="T29" s="684">
        <f t="shared" si="2"/>
        <v>0</v>
      </c>
      <c r="U29" s="776">
        <f t="shared" si="3"/>
        <v>0</v>
      </c>
      <c r="W29" s="676"/>
      <c r="X29" s="676"/>
      <c r="Y29" s="676"/>
      <c r="Z29" s="676"/>
      <c r="AA29" s="676"/>
      <c r="AB29" s="676"/>
      <c r="AC29" s="676"/>
      <c r="AD29" s="676"/>
      <c r="AE29" s="676"/>
      <c r="AF29" s="676"/>
      <c r="AG29" s="676"/>
    </row>
    <row r="30" spans="1:33">
      <c r="B30" s="228"/>
      <c r="C30" s="228"/>
      <c r="D30" s="229"/>
      <c r="E30" s="229"/>
      <c r="F30" s="232">
        <v>2031</v>
      </c>
      <c r="G30" s="232"/>
      <c r="H30" s="67"/>
      <c r="I30" s="67"/>
      <c r="J30" s="231">
        <v>6.9444444444444446</v>
      </c>
      <c r="K30" s="231">
        <v>6.9444444444444446</v>
      </c>
      <c r="L30" s="230">
        <v>1</v>
      </c>
      <c r="M30" s="236">
        <v>1</v>
      </c>
      <c r="N30" s="228">
        <v>100</v>
      </c>
      <c r="O30" s="228"/>
      <c r="Q30" s="683">
        <f t="shared" si="0"/>
        <v>0</v>
      </c>
      <c r="R30" s="685">
        <f t="shared" si="1"/>
        <v>0</v>
      </c>
      <c r="S30" s="768"/>
      <c r="T30" s="684">
        <f t="shared" si="2"/>
        <v>0</v>
      </c>
      <c r="U30" s="776">
        <f t="shared" si="3"/>
        <v>0</v>
      </c>
      <c r="W30" s="676"/>
      <c r="X30" s="676"/>
      <c r="Y30" s="676"/>
      <c r="Z30" s="676"/>
      <c r="AA30" s="676"/>
      <c r="AB30" s="676"/>
      <c r="AC30" s="676"/>
      <c r="AD30" s="676"/>
      <c r="AE30" s="676"/>
      <c r="AF30" s="676"/>
      <c r="AG30" s="676"/>
    </row>
    <row r="31" spans="1:33">
      <c r="B31" s="233" t="s">
        <v>444</v>
      </c>
      <c r="C31" s="233" t="s">
        <v>445</v>
      </c>
      <c r="D31" s="234" t="s">
        <v>1044</v>
      </c>
      <c r="E31" s="234" t="s">
        <v>62</v>
      </c>
      <c r="G31" s="234"/>
      <c r="H31" s="313">
        <f>E53</f>
        <v>0.15142451561074927</v>
      </c>
      <c r="I31" s="313">
        <f>H53</f>
        <v>1.0966961086989753E-3</v>
      </c>
      <c r="J31" s="252">
        <f>1/E65</f>
        <v>1.631209574700055</v>
      </c>
      <c r="K31" s="252">
        <f>1/G65</f>
        <v>1.631209574700055</v>
      </c>
      <c r="L31" s="235">
        <v>1</v>
      </c>
      <c r="M31" s="233">
        <v>1</v>
      </c>
      <c r="N31" s="233"/>
      <c r="O31" s="228"/>
      <c r="Q31" s="683">
        <f t="shared" si="0"/>
        <v>0.15142451561074927</v>
      </c>
      <c r="R31" s="685">
        <f t="shared" si="1"/>
        <v>9.2829589746978428E-2</v>
      </c>
      <c r="S31" s="768"/>
      <c r="T31" s="684">
        <f t="shared" si="2"/>
        <v>1.0966961086989753E-3</v>
      </c>
      <c r="U31" s="776">
        <f t="shared" si="3"/>
        <v>6.7232078925274488E-4</v>
      </c>
      <c r="W31" s="676"/>
      <c r="X31" s="676"/>
      <c r="Y31" s="676"/>
      <c r="Z31" s="676"/>
      <c r="AA31" s="676"/>
      <c r="AB31" s="676"/>
      <c r="AC31" s="676"/>
      <c r="AD31" s="676"/>
      <c r="AE31" s="676"/>
      <c r="AF31" s="676"/>
      <c r="AG31" s="676"/>
    </row>
    <row r="32" spans="1:33">
      <c r="A32" s="228"/>
      <c r="B32" s="228" t="s">
        <v>446</v>
      </c>
      <c r="C32" s="228" t="s">
        <v>447</v>
      </c>
      <c r="D32" s="229" t="s">
        <v>1045</v>
      </c>
      <c r="E32" s="229" t="s">
        <v>62</v>
      </c>
      <c r="G32" s="229"/>
      <c r="H32" s="312">
        <f>F53</f>
        <v>0.1818879927637905</v>
      </c>
      <c r="I32" s="312">
        <f>I53</f>
        <v>7.3716663536755739E-3</v>
      </c>
      <c r="J32" s="251">
        <f>1/F65</f>
        <v>2.6032679171379502</v>
      </c>
      <c r="K32" s="251">
        <f>1/H65</f>
        <v>2.6032679171379502</v>
      </c>
      <c r="L32" s="230">
        <v>1</v>
      </c>
      <c r="M32" s="228">
        <v>1</v>
      </c>
      <c r="N32" s="228"/>
      <c r="O32" s="228"/>
      <c r="Q32" s="683">
        <f t="shared" si="0"/>
        <v>0.1818879927637905</v>
      </c>
      <c r="R32" s="685">
        <f t="shared" si="1"/>
        <v>6.9869102433282912E-2</v>
      </c>
      <c r="S32" s="768"/>
      <c r="T32" s="684">
        <f t="shared" si="2"/>
        <v>7.3716663536755739E-3</v>
      </c>
      <c r="U32" s="776">
        <f t="shared" si="3"/>
        <v>2.8316971546209625E-3</v>
      </c>
      <c r="W32" s="676"/>
      <c r="X32" s="676"/>
      <c r="Y32" s="676"/>
      <c r="Z32" s="676"/>
      <c r="AA32" s="676"/>
      <c r="AB32" s="676"/>
      <c r="AC32" s="676"/>
      <c r="AD32" s="676"/>
      <c r="AE32" s="676"/>
      <c r="AF32" s="676"/>
      <c r="AG32" s="676"/>
    </row>
    <row r="33" spans="1:33">
      <c r="B33" s="228" t="s">
        <v>78</v>
      </c>
      <c r="C33" s="228" t="s">
        <v>182</v>
      </c>
      <c r="D33" s="229" t="s">
        <v>1046</v>
      </c>
      <c r="E33" s="229" t="s">
        <v>62</v>
      </c>
      <c r="F33" s="218">
        <v>2011</v>
      </c>
      <c r="G33" s="229">
        <v>2011</v>
      </c>
      <c r="H33" s="67"/>
      <c r="I33" s="67"/>
      <c r="J33" s="231">
        <v>4.0054008414882007</v>
      </c>
      <c r="K33" s="231">
        <v>4.0012712764469018</v>
      </c>
      <c r="L33" s="230">
        <v>1</v>
      </c>
      <c r="M33" s="236">
        <v>1</v>
      </c>
      <c r="N33" s="228">
        <v>100</v>
      </c>
      <c r="O33" s="228"/>
      <c r="Q33" s="683">
        <f t="shared" si="0"/>
        <v>0</v>
      </c>
      <c r="R33" s="685">
        <f t="shared" si="1"/>
        <v>0</v>
      </c>
      <c r="S33" s="768"/>
      <c r="T33" s="684">
        <f t="shared" si="2"/>
        <v>0</v>
      </c>
      <c r="U33" s="776">
        <f t="shared" si="3"/>
        <v>0</v>
      </c>
      <c r="W33" s="676"/>
      <c r="X33" s="676"/>
      <c r="Y33" s="676"/>
      <c r="Z33" s="676"/>
      <c r="AA33" s="676"/>
      <c r="AB33" s="676"/>
      <c r="AC33" s="676"/>
      <c r="AD33" s="676"/>
      <c r="AE33" s="676"/>
      <c r="AF33" s="676"/>
      <c r="AG33" s="676"/>
    </row>
    <row r="34" spans="1:33">
      <c r="B34" s="228"/>
      <c r="C34" s="228"/>
      <c r="D34" s="229"/>
      <c r="E34" s="229"/>
      <c r="F34" s="218">
        <v>2016</v>
      </c>
      <c r="H34" s="67"/>
      <c r="J34" s="231">
        <v>4.7531666045225966</v>
      </c>
      <c r="K34" s="231">
        <v>4.7480331668437605</v>
      </c>
      <c r="L34" s="230">
        <v>1</v>
      </c>
      <c r="M34" s="236">
        <v>1</v>
      </c>
      <c r="N34" s="228">
        <v>100</v>
      </c>
      <c r="O34" s="228"/>
      <c r="Q34" s="683">
        <f t="shared" si="0"/>
        <v>0</v>
      </c>
      <c r="R34" s="685">
        <f t="shared" si="1"/>
        <v>0</v>
      </c>
      <c r="S34" s="768"/>
      <c r="T34" s="684">
        <f t="shared" si="2"/>
        <v>0</v>
      </c>
      <c r="U34" s="776">
        <f t="shared" si="3"/>
        <v>0</v>
      </c>
      <c r="W34" s="676"/>
      <c r="X34" s="676"/>
      <c r="Y34" s="676"/>
      <c r="Z34" s="676"/>
      <c r="AA34" s="676"/>
      <c r="AB34" s="676"/>
      <c r="AC34" s="676"/>
      <c r="AD34" s="676"/>
      <c r="AE34" s="676"/>
      <c r="AF34" s="676"/>
      <c r="AG34" s="676"/>
    </row>
    <row r="35" spans="1:33">
      <c r="B35" s="228"/>
      <c r="C35" s="228"/>
      <c r="D35" s="229"/>
      <c r="E35" s="229"/>
      <c r="F35" s="218">
        <v>2021</v>
      </c>
      <c r="H35" s="67"/>
      <c r="I35" s="67"/>
      <c r="J35" s="231">
        <v>6.0763888888888884</v>
      </c>
      <c r="K35" s="231">
        <v>6.0763888888888884</v>
      </c>
      <c r="L35" s="230">
        <v>1</v>
      </c>
      <c r="M35" s="236">
        <v>1</v>
      </c>
      <c r="N35" s="228">
        <v>100</v>
      </c>
      <c r="O35" s="228"/>
      <c r="Q35" s="683">
        <f t="shared" si="0"/>
        <v>0</v>
      </c>
      <c r="R35" s="685">
        <f t="shared" si="1"/>
        <v>0</v>
      </c>
      <c r="S35" s="768"/>
      <c r="T35" s="684">
        <f t="shared" si="2"/>
        <v>0</v>
      </c>
      <c r="U35" s="776">
        <f t="shared" si="3"/>
        <v>0</v>
      </c>
      <c r="W35" s="676"/>
      <c r="X35" s="676"/>
      <c r="Y35" s="676"/>
      <c r="Z35" s="676"/>
      <c r="AA35" s="676"/>
      <c r="AB35" s="676"/>
      <c r="AC35" s="676"/>
      <c r="AD35" s="676"/>
      <c r="AE35" s="676"/>
      <c r="AF35" s="676"/>
      <c r="AG35" s="676"/>
    </row>
    <row r="36" spans="1:33">
      <c r="B36" s="228"/>
      <c r="C36" s="228"/>
      <c r="D36" s="229"/>
      <c r="E36" s="229"/>
      <c r="F36" s="232">
        <v>2031</v>
      </c>
      <c r="G36" s="232"/>
      <c r="H36" s="67"/>
      <c r="I36" s="67"/>
      <c r="J36" s="231">
        <v>6.9444444444444446</v>
      </c>
      <c r="K36" s="231">
        <v>6.9444444444444446</v>
      </c>
      <c r="L36" s="230">
        <v>1</v>
      </c>
      <c r="M36" s="236">
        <v>1</v>
      </c>
      <c r="N36" s="228">
        <v>100</v>
      </c>
      <c r="O36" s="228"/>
      <c r="Q36" s="683">
        <f t="shared" si="0"/>
        <v>0</v>
      </c>
      <c r="R36" s="685">
        <f t="shared" si="1"/>
        <v>0</v>
      </c>
      <c r="S36" s="768"/>
      <c r="T36" s="684">
        <f t="shared" si="2"/>
        <v>0</v>
      </c>
      <c r="U36" s="776">
        <f t="shared" si="3"/>
        <v>0</v>
      </c>
      <c r="W36" s="676"/>
      <c r="X36" s="676"/>
      <c r="Y36" s="676"/>
      <c r="Z36" s="676"/>
      <c r="AA36" s="676"/>
      <c r="AB36" s="676"/>
      <c r="AC36" s="676"/>
      <c r="AD36" s="676"/>
      <c r="AE36" s="676"/>
      <c r="AF36" s="676"/>
      <c r="AG36" s="676"/>
    </row>
    <row r="37" spans="1:33">
      <c r="B37" s="707" t="s">
        <v>448</v>
      </c>
      <c r="C37" s="707" t="s">
        <v>449</v>
      </c>
      <c r="D37" s="708" t="s">
        <v>1047</v>
      </c>
      <c r="E37" s="708" t="s">
        <v>63</v>
      </c>
      <c r="F37" s="708"/>
      <c r="G37" s="708"/>
      <c r="H37" s="709">
        <f>E54</f>
        <v>9.5266671233918512</v>
      </c>
      <c r="I37" s="709">
        <f>H54</f>
        <v>1.4455758891808783</v>
      </c>
      <c r="J37" s="710">
        <f>1/E66</f>
        <v>1.631209574700055</v>
      </c>
      <c r="K37" s="710">
        <f>1/G66</f>
        <v>1.631209574700055</v>
      </c>
      <c r="L37" s="711">
        <v>1</v>
      </c>
      <c r="M37" s="707">
        <v>1</v>
      </c>
      <c r="N37" s="707"/>
      <c r="O37" s="228"/>
      <c r="Q37" s="683">
        <f t="shared" si="0"/>
        <v>9.5266671233918512</v>
      </c>
      <c r="R37" s="685">
        <f t="shared" si="1"/>
        <v>5.8402471829186045</v>
      </c>
      <c r="S37" s="768"/>
      <c r="T37" s="684">
        <f t="shared" si="2"/>
        <v>1.4455758891808783</v>
      </c>
      <c r="U37" s="776">
        <f t="shared" si="3"/>
        <v>0.88619875189654229</v>
      </c>
      <c r="W37" s="676"/>
      <c r="X37" s="676"/>
      <c r="Y37" s="676"/>
      <c r="Z37" s="676"/>
      <c r="AA37" s="676"/>
      <c r="AB37" s="676"/>
      <c r="AC37" s="676"/>
      <c r="AD37" s="676"/>
      <c r="AE37" s="676"/>
      <c r="AF37" s="676"/>
      <c r="AG37" s="676"/>
    </row>
    <row r="38" spans="1:33">
      <c r="A38" s="228"/>
      <c r="B38" s="228" t="s">
        <v>450</v>
      </c>
      <c r="C38" s="228" t="s">
        <v>451</v>
      </c>
      <c r="D38" s="594" t="s">
        <v>1048</v>
      </c>
      <c r="E38" s="594" t="s">
        <v>63</v>
      </c>
      <c r="F38" s="594"/>
      <c r="G38" s="594"/>
      <c r="H38" s="312">
        <f>F54</f>
        <v>15.546078270308156</v>
      </c>
      <c r="I38" s="312">
        <f>I54</f>
        <v>3.7891450049173465</v>
      </c>
      <c r="J38" s="251">
        <f>1/F66</f>
        <v>2.6032679171379502</v>
      </c>
      <c r="K38" s="251">
        <f>1/H66</f>
        <v>2.6032679171379502</v>
      </c>
      <c r="L38" s="230">
        <v>1</v>
      </c>
      <c r="M38" s="228">
        <v>1</v>
      </c>
      <c r="N38" s="228"/>
      <c r="O38" s="228"/>
      <c r="Q38" s="683">
        <f t="shared" si="0"/>
        <v>15.546078270308156</v>
      </c>
      <c r="R38" s="685">
        <f t="shared" si="1"/>
        <v>5.9717550268124597</v>
      </c>
      <c r="S38" s="768"/>
      <c r="T38" s="684">
        <f t="shared" si="2"/>
        <v>3.7891450049173465</v>
      </c>
      <c r="U38" s="776">
        <f t="shared" si="3"/>
        <v>1.4555340155242866</v>
      </c>
      <c r="W38" s="676"/>
      <c r="X38" s="676"/>
      <c r="Y38" s="676"/>
      <c r="Z38" s="676"/>
      <c r="AA38" s="676"/>
      <c r="AB38" s="676"/>
      <c r="AC38" s="676"/>
      <c r="AD38" s="676"/>
      <c r="AE38" s="676"/>
      <c r="AF38" s="676"/>
      <c r="AG38" s="676"/>
    </row>
    <row r="39" spans="1:33">
      <c r="B39" s="228" t="s">
        <v>81</v>
      </c>
      <c r="C39" s="228" t="s">
        <v>183</v>
      </c>
      <c r="D39" s="594" t="s">
        <v>1049</v>
      </c>
      <c r="E39" s="594" t="s">
        <v>63</v>
      </c>
      <c r="F39" s="594">
        <v>2011</v>
      </c>
      <c r="G39" s="594">
        <v>2011</v>
      </c>
      <c r="H39" s="67"/>
      <c r="I39" s="67"/>
      <c r="J39" s="231">
        <v>3.1913321418472385</v>
      </c>
      <c r="K39" s="231">
        <v>3.3769107499905475</v>
      </c>
      <c r="L39" s="230">
        <v>1</v>
      </c>
      <c r="M39" s="236">
        <v>1</v>
      </c>
      <c r="N39" s="228">
        <v>100</v>
      </c>
      <c r="O39" s="228"/>
      <c r="Q39" s="683">
        <f t="shared" si="0"/>
        <v>0</v>
      </c>
      <c r="R39" s="685">
        <f t="shared" si="1"/>
        <v>0</v>
      </c>
      <c r="S39" s="768"/>
      <c r="T39" s="684">
        <f t="shared" si="2"/>
        <v>0</v>
      </c>
      <c r="U39" s="776">
        <f t="shared" si="3"/>
        <v>0</v>
      </c>
      <c r="W39" s="676"/>
      <c r="X39" s="676"/>
      <c r="Y39" s="676"/>
      <c r="Z39" s="676"/>
      <c r="AA39" s="676"/>
      <c r="AB39" s="676"/>
      <c r="AC39" s="676"/>
      <c r="AD39" s="676"/>
      <c r="AE39" s="676"/>
      <c r="AF39" s="676"/>
      <c r="AG39" s="676"/>
    </row>
    <row r="40" spans="1:33">
      <c r="B40" s="228"/>
      <c r="C40" s="228"/>
      <c r="D40" s="594"/>
      <c r="E40" s="594"/>
      <c r="F40" s="594">
        <v>2016</v>
      </c>
      <c r="G40" s="594"/>
      <c r="H40" s="67"/>
      <c r="I40" s="593"/>
      <c r="J40" s="231">
        <v>3.7508462521711179</v>
      </c>
      <c r="K40" s="231">
        <v>3.9776461840736572</v>
      </c>
      <c r="L40" s="230">
        <v>1</v>
      </c>
      <c r="M40" s="236">
        <v>1</v>
      </c>
      <c r="N40" s="228">
        <v>100</v>
      </c>
      <c r="O40" s="228"/>
      <c r="Q40" s="683">
        <f t="shared" si="0"/>
        <v>0</v>
      </c>
      <c r="R40" s="685">
        <f t="shared" si="1"/>
        <v>0</v>
      </c>
      <c r="S40" s="767"/>
      <c r="T40" s="684">
        <f t="shared" si="2"/>
        <v>0</v>
      </c>
      <c r="U40" s="776">
        <f t="shared" si="3"/>
        <v>0</v>
      </c>
      <c r="W40" s="676"/>
      <c r="X40" s="676"/>
      <c r="Y40" s="676"/>
      <c r="Z40" s="676"/>
      <c r="AA40" s="676"/>
      <c r="AB40" s="676"/>
      <c r="AC40" s="676"/>
      <c r="AD40" s="676"/>
      <c r="AE40" s="676"/>
      <c r="AF40" s="676"/>
      <c r="AG40" s="676"/>
    </row>
    <row r="41" spans="1:33">
      <c r="B41" s="228"/>
      <c r="C41" s="228"/>
      <c r="D41" s="594"/>
      <c r="E41" s="594"/>
      <c r="F41" s="594">
        <v>2021</v>
      </c>
      <c r="G41" s="594"/>
      <c r="H41" s="67"/>
      <c r="I41" s="594"/>
      <c r="J41" s="231">
        <v>6.0763888888888884</v>
      </c>
      <c r="K41" s="231">
        <v>6.0763888888888884</v>
      </c>
      <c r="L41" s="230">
        <v>1</v>
      </c>
      <c r="M41" s="236">
        <v>1</v>
      </c>
      <c r="N41" s="228">
        <v>100</v>
      </c>
      <c r="O41" s="228"/>
      <c r="Q41" s="683">
        <f>H41*L41*M41</f>
        <v>0</v>
      </c>
      <c r="R41" s="685">
        <f t="shared" si="1"/>
        <v>0</v>
      </c>
      <c r="S41" s="767"/>
      <c r="T41" s="684">
        <f t="shared" si="2"/>
        <v>0</v>
      </c>
      <c r="U41" s="776">
        <f t="shared" si="3"/>
        <v>0</v>
      </c>
      <c r="W41" s="676"/>
      <c r="X41" s="676"/>
      <c r="Y41" s="676"/>
      <c r="Z41" s="676"/>
      <c r="AA41" s="676"/>
      <c r="AB41" s="676"/>
      <c r="AC41" s="676"/>
      <c r="AD41" s="676"/>
      <c r="AE41" s="676"/>
      <c r="AF41" s="676"/>
      <c r="AG41" s="676"/>
    </row>
    <row r="42" spans="1:33">
      <c r="B42" s="712"/>
      <c r="C42" s="712"/>
      <c r="D42" s="713"/>
      <c r="E42" s="713"/>
      <c r="F42" s="713">
        <v>2031</v>
      </c>
      <c r="G42" s="713"/>
      <c r="H42" s="713"/>
      <c r="I42" s="714"/>
      <c r="J42" s="715">
        <v>6.9444444444444446</v>
      </c>
      <c r="K42" s="715">
        <v>6.9444444444444446</v>
      </c>
      <c r="L42" s="716">
        <v>1</v>
      </c>
      <c r="M42" s="717">
        <v>1</v>
      </c>
      <c r="N42" s="712">
        <v>100</v>
      </c>
      <c r="O42" s="228"/>
      <c r="Q42" s="778">
        <f t="shared" si="0"/>
        <v>0</v>
      </c>
      <c r="R42" s="779">
        <f t="shared" si="1"/>
        <v>0</v>
      </c>
      <c r="S42" s="777"/>
      <c r="T42" s="780">
        <f t="shared" si="2"/>
        <v>0</v>
      </c>
      <c r="U42" s="781">
        <f t="shared" si="3"/>
        <v>0</v>
      </c>
      <c r="W42" s="676"/>
      <c r="X42" s="676"/>
      <c r="Y42" s="676"/>
      <c r="Z42" s="676"/>
      <c r="AA42" s="676"/>
      <c r="AB42" s="676"/>
      <c r="AC42" s="676"/>
      <c r="AD42" s="676"/>
      <c r="AE42" s="676"/>
      <c r="AF42" s="676"/>
      <c r="AG42" s="676"/>
    </row>
    <row r="43" spans="1:33">
      <c r="B43" s="228"/>
      <c r="C43" s="228"/>
      <c r="D43" s="229"/>
      <c r="E43" s="229"/>
      <c r="F43" s="229"/>
      <c r="G43" s="229"/>
      <c r="J43" s="222"/>
      <c r="K43" s="222"/>
      <c r="R43" s="685">
        <f>SUM(R7:R42)</f>
        <v>106.86314357993894</v>
      </c>
      <c r="S43" s="685"/>
      <c r="T43" s="685"/>
      <c r="U43" s="685">
        <f t="shared" ref="U43" si="4">SUM(U7:U42)</f>
        <v>37.587397992015354</v>
      </c>
      <c r="W43" s="676"/>
      <c r="X43" s="676"/>
      <c r="Y43" s="676"/>
      <c r="Z43" s="676"/>
      <c r="AA43" s="676"/>
      <c r="AB43" s="676"/>
      <c r="AC43" s="676"/>
      <c r="AD43" s="676"/>
      <c r="AE43" s="676"/>
      <c r="AF43" s="676"/>
      <c r="AG43" s="676"/>
    </row>
    <row r="44" spans="1:33" ht="13.8">
      <c r="B44" s="228"/>
      <c r="C44" s="228"/>
      <c r="D44" s="229"/>
      <c r="E44" s="229"/>
      <c r="F44" s="229"/>
      <c r="G44" s="229"/>
      <c r="I44" s="237"/>
      <c r="J44" s="222"/>
      <c r="K44" s="222"/>
      <c r="T44" s="783" t="s">
        <v>1063</v>
      </c>
      <c r="U44" s="782">
        <f>SUM(R43:U43)</f>
        <v>144.45054157195429</v>
      </c>
      <c r="V44" s="207" t="s">
        <v>44</v>
      </c>
      <c r="W44" s="676"/>
      <c r="X44" s="676"/>
      <c r="Y44" s="676"/>
      <c r="Z44" s="676"/>
      <c r="AA44" s="676"/>
      <c r="AB44" s="676"/>
      <c r="AC44" s="676"/>
      <c r="AD44" s="676"/>
      <c r="AE44" s="676"/>
      <c r="AF44" s="676"/>
      <c r="AG44" s="676"/>
    </row>
    <row r="45" spans="1:33">
      <c r="B45" s="228"/>
      <c r="D45" s="238"/>
      <c r="E45" s="229"/>
      <c r="F45" s="229"/>
      <c r="G45" s="229"/>
      <c r="H45" s="229"/>
      <c r="I45" s="222"/>
      <c r="J45" s="222"/>
      <c r="K45" s="222"/>
    </row>
    <row r="46" spans="1:33" ht="15.6" thickBot="1">
      <c r="B46" s="228"/>
      <c r="C46" s="228"/>
      <c r="D46" s="207"/>
      <c r="E46" s="592" t="s">
        <v>268</v>
      </c>
      <c r="F46" s="592"/>
      <c r="G46" s="592"/>
      <c r="H46" s="592"/>
      <c r="I46" s="592"/>
      <c r="J46" s="592"/>
      <c r="K46" s="593"/>
      <c r="L46" s="593"/>
    </row>
    <row r="47" spans="1:33" ht="14.4" thickTop="1" thickBot="1">
      <c r="B47" s="228"/>
      <c r="D47" s="239"/>
      <c r="E47" s="1453" t="s">
        <v>1020</v>
      </c>
      <c r="F47" s="1454"/>
      <c r="G47" s="1455"/>
      <c r="H47" s="1456" t="s">
        <v>1021</v>
      </c>
      <c r="I47" s="1454"/>
      <c r="J47" s="1457"/>
      <c r="K47" s="593"/>
      <c r="L47" s="593"/>
    </row>
    <row r="48" spans="1:33" ht="13.8" thickBot="1">
      <c r="B48" s="228"/>
      <c r="D48" s="689" t="s">
        <v>238</v>
      </c>
      <c r="E48" s="692" t="s">
        <v>452</v>
      </c>
      <c r="F48" s="693" t="s">
        <v>356</v>
      </c>
      <c r="G48" s="694" t="s">
        <v>57</v>
      </c>
      <c r="H48" s="692" t="s">
        <v>452</v>
      </c>
      <c r="I48" s="693" t="s">
        <v>356</v>
      </c>
      <c r="J48" s="695" t="s">
        <v>57</v>
      </c>
      <c r="K48" s="593"/>
      <c r="L48" s="593"/>
    </row>
    <row r="49" spans="2:12">
      <c r="B49" s="228"/>
      <c r="D49" s="243" t="s">
        <v>240</v>
      </c>
      <c r="E49" s="697">
        <f>K85/1000</f>
        <v>1.0325352812526292</v>
      </c>
      <c r="F49" s="698">
        <f>L85/1000</f>
        <v>1.0346380353002622</v>
      </c>
      <c r="G49" s="699">
        <v>0</v>
      </c>
      <c r="H49" s="697">
        <f>K86/1000</f>
        <v>0.4811000121536475</v>
      </c>
      <c r="I49" s="698">
        <f>L86/1000</f>
        <v>0.50616421424010494</v>
      </c>
      <c r="J49" s="699">
        <v>0</v>
      </c>
      <c r="K49" s="593"/>
      <c r="L49" s="593"/>
    </row>
    <row r="50" spans="2:12">
      <c r="B50" s="228"/>
      <c r="D50" s="243" t="s">
        <v>241</v>
      </c>
      <c r="E50" s="690">
        <f>E85/1000</f>
        <v>0.4260046086256124</v>
      </c>
      <c r="F50" s="696">
        <f>F85/1000</f>
        <v>0.52285464695759565</v>
      </c>
      <c r="G50" s="700">
        <v>0</v>
      </c>
      <c r="H50" s="690">
        <f>E86/1000</f>
        <v>6.3616763340850119E-2</v>
      </c>
      <c r="I50" s="696">
        <f>F86/1000</f>
        <v>6.7598958695179318E-2</v>
      </c>
      <c r="J50" s="700">
        <v>0</v>
      </c>
      <c r="K50" s="593"/>
      <c r="L50" s="593"/>
    </row>
    <row r="51" spans="2:12">
      <c r="B51" s="228"/>
      <c r="D51" s="243" t="s">
        <v>242</v>
      </c>
      <c r="E51" s="690">
        <f>Q85/1000</f>
        <v>71.468454604033823</v>
      </c>
      <c r="F51" s="696">
        <f>R85/1000</f>
        <v>76.317141430635033</v>
      </c>
      <c r="G51" s="700">
        <v>0</v>
      </c>
      <c r="H51" s="690">
        <f>Q86/1000</f>
        <v>26.691121999230383</v>
      </c>
      <c r="I51" s="696">
        <f>R86/1000</f>
        <v>28.114395473828928</v>
      </c>
      <c r="J51" s="700">
        <v>0</v>
      </c>
      <c r="K51" s="593"/>
      <c r="L51" s="593"/>
    </row>
    <row r="52" spans="2:12">
      <c r="B52" s="228"/>
      <c r="D52" s="243" t="s">
        <v>243</v>
      </c>
      <c r="E52" s="690">
        <f>N85/1000</f>
        <v>4.2997262417655877E-2</v>
      </c>
      <c r="F52" s="696">
        <f>O85/1000</f>
        <v>0.13537891071188615</v>
      </c>
      <c r="G52" s="700">
        <v>0</v>
      </c>
      <c r="H52" s="690">
        <f>N86/1000</f>
        <v>2.8404852650094462E-2</v>
      </c>
      <c r="I52" s="696">
        <f>O86/1000</f>
        <v>6.9957823542596817E-2</v>
      </c>
      <c r="J52" s="700">
        <v>0</v>
      </c>
      <c r="K52" s="593"/>
      <c r="L52" s="593"/>
    </row>
    <row r="53" spans="2:12">
      <c r="B53" s="228"/>
      <c r="D53" s="243" t="s">
        <v>244</v>
      </c>
      <c r="E53" s="690">
        <f>H85/1000</f>
        <v>0.15142451561074927</v>
      </c>
      <c r="F53" s="696">
        <f>I85/1000</f>
        <v>0.1818879927637905</v>
      </c>
      <c r="G53" s="700">
        <v>0</v>
      </c>
      <c r="H53" s="690">
        <f>H86/1000</f>
        <v>1.0966961086989753E-3</v>
      </c>
      <c r="I53" s="696">
        <f>I86/1000</f>
        <v>7.3716663536755739E-3</v>
      </c>
      <c r="J53" s="700">
        <v>0</v>
      </c>
      <c r="K53" s="593"/>
      <c r="L53" s="593"/>
    </row>
    <row r="54" spans="2:12" ht="13.8" thickBot="1">
      <c r="B54" s="228"/>
      <c r="D54" s="691" t="s">
        <v>245</v>
      </c>
      <c r="E54" s="701">
        <f>T85/1000</f>
        <v>9.5266671233918512</v>
      </c>
      <c r="F54" s="702">
        <f>U85/1000</f>
        <v>15.546078270308156</v>
      </c>
      <c r="G54" s="703">
        <v>0</v>
      </c>
      <c r="H54" s="701">
        <f>T86/1000</f>
        <v>1.4455758891808783</v>
      </c>
      <c r="I54" s="702">
        <f>U86/1000</f>
        <v>3.7891450049173465</v>
      </c>
      <c r="J54" s="703">
        <v>0</v>
      </c>
      <c r="K54" s="593"/>
      <c r="L54" s="593"/>
    </row>
    <row r="55" spans="2:12" ht="13.8" thickTop="1">
      <c r="B55" s="228"/>
      <c r="D55" s="240"/>
      <c r="E55" s="184"/>
      <c r="F55" s="184"/>
      <c r="G55" s="68"/>
      <c r="H55" s="184"/>
      <c r="I55" s="184"/>
      <c r="J55" s="68"/>
      <c r="K55" s="593"/>
      <c r="L55" s="593"/>
    </row>
    <row r="56" spans="2:12">
      <c r="B56" s="228"/>
      <c r="D56" s="240"/>
      <c r="E56" s="184"/>
      <c r="F56" s="184"/>
      <c r="G56" s="238"/>
      <c r="H56" s="68"/>
      <c r="I56" s="68"/>
      <c r="J56" s="68"/>
      <c r="K56" s="593"/>
      <c r="L56" s="593"/>
    </row>
    <row r="57" spans="2:12" ht="15.6" thickBot="1">
      <c r="B57" s="228"/>
      <c r="D57" s="228"/>
      <c r="E57" s="591" t="s">
        <v>112</v>
      </c>
      <c r="F57" s="591"/>
      <c r="G57" s="591"/>
      <c r="H57" s="591"/>
      <c r="I57" s="591"/>
      <c r="J57" s="591"/>
      <c r="K57" s="591"/>
      <c r="L57" s="591"/>
    </row>
    <row r="58" spans="2:12" ht="14.4" thickTop="1" thickBot="1">
      <c r="B58" s="228"/>
      <c r="D58" s="241"/>
      <c r="E58" s="1472" t="s">
        <v>1020</v>
      </c>
      <c r="F58" s="1473"/>
      <c r="G58" s="1472" t="s">
        <v>1021</v>
      </c>
      <c r="H58" s="1473"/>
      <c r="I58" s="719"/>
      <c r="J58" s="719"/>
      <c r="K58" s="719"/>
      <c r="L58" s="719"/>
    </row>
    <row r="59" spans="2:12" ht="13.8" thickBot="1">
      <c r="B59" s="228"/>
      <c r="D59" s="242" t="s">
        <v>238</v>
      </c>
      <c r="E59" s="725" t="s">
        <v>452</v>
      </c>
      <c r="F59" s="726" t="s">
        <v>453</v>
      </c>
      <c r="G59" s="726" t="str">
        <f t="shared" ref="G59:H66" si="5">E59</f>
        <v>&lt;71</v>
      </c>
      <c r="H59" s="727" t="str">
        <f t="shared" si="5"/>
        <v>1971-2009</v>
      </c>
      <c r="I59" s="720"/>
      <c r="J59" s="720"/>
      <c r="K59" s="720"/>
      <c r="L59" s="720"/>
    </row>
    <row r="60" spans="2:12" ht="13.8" thickBot="1">
      <c r="B60" s="228"/>
      <c r="D60" s="728"/>
      <c r="E60" s="729" t="s">
        <v>338</v>
      </c>
      <c r="F60" s="730" t="s">
        <v>338</v>
      </c>
      <c r="G60" s="730" t="str">
        <f t="shared" si="5"/>
        <v>PJ/m2</v>
      </c>
      <c r="H60" s="731" t="str">
        <f t="shared" si="5"/>
        <v>PJ/m2</v>
      </c>
      <c r="I60" s="238"/>
      <c r="J60" s="238"/>
      <c r="K60" s="238"/>
      <c r="L60" s="238"/>
    </row>
    <row r="61" spans="2:12">
      <c r="B61" s="228"/>
      <c r="D61" s="243" t="s">
        <v>240</v>
      </c>
      <c r="E61" s="723">
        <f>E75*0.0036</f>
        <v>0.73145463350626205</v>
      </c>
      <c r="F61" s="732">
        <f>E76*0.0036</f>
        <v>0.53248779326847029</v>
      </c>
      <c r="G61" s="733">
        <f t="shared" si="5"/>
        <v>0.73145463350626205</v>
      </c>
      <c r="H61" s="734">
        <f t="shared" si="5"/>
        <v>0.53248779326847029</v>
      </c>
      <c r="I61" s="718"/>
      <c r="J61" s="718"/>
      <c r="K61" s="718"/>
      <c r="L61" s="718"/>
    </row>
    <row r="62" spans="2:12">
      <c r="B62" s="228"/>
      <c r="D62" s="243" t="s">
        <v>241</v>
      </c>
      <c r="E62" s="722">
        <f>E61</f>
        <v>0.73145463350626205</v>
      </c>
      <c r="F62" s="735">
        <f>F61</f>
        <v>0.53248779326847029</v>
      </c>
      <c r="G62" s="736">
        <f t="shared" si="5"/>
        <v>0.73145463350626205</v>
      </c>
      <c r="H62" s="737">
        <f t="shared" si="5"/>
        <v>0.53248779326847029</v>
      </c>
      <c r="I62" s="718"/>
      <c r="J62" s="718"/>
      <c r="K62" s="718"/>
      <c r="L62" s="718"/>
    </row>
    <row r="63" spans="2:12">
      <c r="B63" s="228"/>
      <c r="D63" s="243" t="s">
        <v>242</v>
      </c>
      <c r="E63" s="722">
        <f>E62</f>
        <v>0.73145463350626205</v>
      </c>
      <c r="F63" s="735">
        <f>F61</f>
        <v>0.53248779326847029</v>
      </c>
      <c r="G63" s="736">
        <f t="shared" si="5"/>
        <v>0.73145463350626205</v>
      </c>
      <c r="H63" s="737">
        <f t="shared" si="5"/>
        <v>0.53248779326847029</v>
      </c>
      <c r="I63" s="718"/>
      <c r="J63" s="718"/>
      <c r="K63" s="718"/>
      <c r="L63" s="718"/>
    </row>
    <row r="64" spans="2:12">
      <c r="B64" s="228"/>
      <c r="D64" s="243" t="s">
        <v>243</v>
      </c>
      <c r="E64" s="722">
        <f>F75*0.0036</f>
        <v>0.61304201220366117</v>
      </c>
      <c r="F64" s="735">
        <f>F76*0.0036</f>
        <v>0.38413257176364946</v>
      </c>
      <c r="G64" s="736">
        <f t="shared" si="5"/>
        <v>0.61304201220366117</v>
      </c>
      <c r="H64" s="737">
        <f t="shared" si="5"/>
        <v>0.38413257176364946</v>
      </c>
      <c r="I64" s="718"/>
      <c r="J64" s="718"/>
      <c r="K64" s="718"/>
      <c r="L64" s="718"/>
    </row>
    <row r="65" spans="2:14">
      <c r="B65" s="228"/>
      <c r="D65" s="243" t="s">
        <v>244</v>
      </c>
      <c r="E65" s="722">
        <f>E64</f>
        <v>0.61304201220366117</v>
      </c>
      <c r="F65" s="735">
        <f>F64</f>
        <v>0.38413257176364946</v>
      </c>
      <c r="G65" s="736">
        <f t="shared" si="5"/>
        <v>0.61304201220366117</v>
      </c>
      <c r="H65" s="737">
        <f t="shared" si="5"/>
        <v>0.38413257176364946</v>
      </c>
      <c r="I65" s="718"/>
      <c r="J65" s="718"/>
      <c r="K65" s="718"/>
      <c r="L65" s="718"/>
    </row>
    <row r="66" spans="2:14" ht="13.8" thickBot="1">
      <c r="B66" s="228"/>
      <c r="D66" s="244" t="s">
        <v>245</v>
      </c>
      <c r="E66" s="724">
        <f>E64</f>
        <v>0.61304201220366117</v>
      </c>
      <c r="F66" s="738">
        <f>F64</f>
        <v>0.38413257176364946</v>
      </c>
      <c r="G66" s="739">
        <f t="shared" si="5"/>
        <v>0.61304201220366117</v>
      </c>
      <c r="H66" s="740">
        <f t="shared" si="5"/>
        <v>0.38413257176364946</v>
      </c>
      <c r="I66" s="718"/>
      <c r="J66" s="718"/>
      <c r="K66" s="718"/>
      <c r="L66" s="718"/>
    </row>
    <row r="67" spans="2:14" ht="13.8" thickTop="1">
      <c r="B67" s="228"/>
      <c r="D67" s="228" t="s">
        <v>339</v>
      </c>
      <c r="E67" s="594"/>
      <c r="F67" s="594"/>
      <c r="I67" s="238"/>
      <c r="J67" s="721"/>
      <c r="K67" s="721"/>
      <c r="L67" s="721"/>
    </row>
    <row r="68" spans="2:14">
      <c r="B68" s="228"/>
      <c r="D68" s="207" t="s">
        <v>354</v>
      </c>
      <c r="I68" s="218"/>
      <c r="J68" s="218"/>
      <c r="K68" s="218"/>
      <c r="L68" s="218"/>
    </row>
    <row r="69" spans="2:14">
      <c r="B69" s="228"/>
      <c r="H69" s="217"/>
      <c r="K69" s="218"/>
      <c r="L69" s="218"/>
      <c r="M69" s="218"/>
      <c r="N69" s="218"/>
    </row>
    <row r="70" spans="2:14">
      <c r="B70" s="228"/>
      <c r="C70" s="229"/>
      <c r="D70" s="229"/>
      <c r="E70" s="229"/>
      <c r="F70" s="229"/>
      <c r="G70" s="229"/>
      <c r="H70" s="229"/>
      <c r="I70" s="229"/>
      <c r="J70" s="229"/>
      <c r="K70" s="229"/>
      <c r="L70" s="229"/>
      <c r="M70" s="229"/>
      <c r="N70" s="229"/>
    </row>
    <row r="71" spans="2:14">
      <c r="B71" s="228"/>
      <c r="C71" s="594"/>
      <c r="D71" s="594"/>
      <c r="E71" s="594"/>
      <c r="F71" s="594"/>
      <c r="G71" s="594"/>
      <c r="H71" s="594"/>
      <c r="I71" s="594"/>
      <c r="J71" s="594"/>
      <c r="K71" s="594"/>
      <c r="L71" s="594"/>
      <c r="M71" s="594"/>
      <c r="N71" s="594"/>
    </row>
    <row r="72" spans="2:14" ht="13.8" thickBot="1">
      <c r="B72" s="228"/>
      <c r="C72" s="228"/>
      <c r="D72" s="229"/>
      <c r="E72" s="753" t="s">
        <v>1059</v>
      </c>
      <c r="F72" s="229"/>
      <c r="G72" s="829"/>
      <c r="H72" s="830"/>
      <c r="I72" s="830"/>
      <c r="J72" s="830"/>
      <c r="K72" s="831"/>
    </row>
    <row r="73" spans="2:14">
      <c r="B73" s="228"/>
      <c r="C73" s="228"/>
      <c r="D73" s="594"/>
      <c r="E73" s="1464" t="str">
        <f>'Building Stock &amp; Specific Heat '!X73</f>
        <v xml:space="preserve">Required heat </v>
      </c>
      <c r="F73" s="1465"/>
      <c r="G73" s="1546" t="str">
        <f>'Building Stock &amp; Specific Heat '!Z73</f>
        <v xml:space="preserve">Standard refurbishment </v>
      </c>
      <c r="H73" s="1547"/>
      <c r="I73" s="1546" t="str">
        <f>'Building Stock &amp; Specific Heat '!AB73</f>
        <v>Ambitious refurbishment</v>
      </c>
      <c r="J73" s="1547"/>
      <c r="K73" s="829"/>
      <c r="L73" s="594"/>
    </row>
    <row r="74" spans="2:14">
      <c r="D74" s="594"/>
      <c r="E74" s="749" t="str">
        <f>'Building Stock &amp; Specific Heat '!X74</f>
        <v>Detached</v>
      </c>
      <c r="F74" s="750" t="str">
        <f>'Building Stock &amp; Specific Heat '!Y74</f>
        <v>Multi S</v>
      </c>
      <c r="G74" s="832" t="str">
        <f>'Building Stock &amp; Specific Heat '!Z74</f>
        <v>Detached</v>
      </c>
      <c r="H74" s="833" t="str">
        <f>'Building Stock &amp; Specific Heat '!AA74</f>
        <v>Multi S</v>
      </c>
      <c r="I74" s="832" t="str">
        <f>'Building Stock &amp; Specific Heat '!AB74</f>
        <v>Detached</v>
      </c>
      <c r="J74" s="833" t="str">
        <f>'Building Stock &amp; Specific Heat '!AC74</f>
        <v>Multi S</v>
      </c>
      <c r="K74" s="829"/>
      <c r="L74" s="594"/>
    </row>
    <row r="75" spans="2:14">
      <c r="D75" s="741" t="str">
        <f>'Building Stock &amp; Specific Heat '!W75</f>
        <v>…1970</v>
      </c>
      <c r="E75" s="754">
        <f>'Building Stock &amp; Specific Heat '!X75</f>
        <v>203.18184264062836</v>
      </c>
      <c r="F75" s="755">
        <f>'Building Stock &amp; Specific Heat '!Y75</f>
        <v>170.28944783435034</v>
      </c>
      <c r="G75" s="834">
        <f>'Building Stock &amp; Specific Heat '!Z75</f>
        <v>142.1387222321282</v>
      </c>
      <c r="H75" s="835">
        <f>'Building Stock &amp; Specific Heat '!AA75</f>
        <v>125.58510953285986</v>
      </c>
      <c r="I75" s="834">
        <f>'Building Stock &amp; Specific Heat '!AB75</f>
        <v>77.176046044791391</v>
      </c>
      <c r="J75" s="835">
        <f>'Building Stock &amp; Specific Heat '!AC75</f>
        <v>66.868733612541661</v>
      </c>
      <c r="K75" s="829"/>
      <c r="L75" s="594"/>
    </row>
    <row r="76" spans="2:14">
      <c r="D76" s="741" t="str">
        <f>'Building Stock &amp; Specific Heat '!W76</f>
        <v>1971-2010</v>
      </c>
      <c r="E76" s="754">
        <f>'Building Stock &amp; Specific Heat '!X76</f>
        <v>147.91327590790843</v>
      </c>
      <c r="F76" s="755">
        <f>'Building Stock &amp; Specific Heat '!Y76</f>
        <v>106.7034921565693</v>
      </c>
      <c r="G76" s="834">
        <f>'Building Stock &amp; Specific Heat '!Z76</f>
        <v>119.75994014285678</v>
      </c>
      <c r="H76" s="835">
        <f>'Building Stock &amp; Specific Heat '!AA76</f>
        <v>100.47033593719524</v>
      </c>
      <c r="I76" s="834">
        <f>'Building Stock &amp; Specific Heat '!AB76</f>
        <v>73.12916018847217</v>
      </c>
      <c r="J76" s="835">
        <f>'Building Stock &amp; Specific Heat '!AC76</f>
        <v>58.392304957952625</v>
      </c>
      <c r="K76" s="829"/>
      <c r="L76" s="594"/>
    </row>
    <row r="77" spans="2:14" ht="13.8" thickBot="1">
      <c r="D77" s="741" t="str">
        <f>'Building Stock &amp; Specific Heat '!W77</f>
        <v>2011…</v>
      </c>
      <c r="E77" s="742"/>
      <c r="F77" s="743"/>
      <c r="G77" s="836"/>
      <c r="H77" s="837"/>
      <c r="I77" s="836"/>
      <c r="J77" s="837"/>
      <c r="K77" s="829"/>
      <c r="L77" s="594"/>
    </row>
    <row r="78" spans="2:14">
      <c r="D78" s="741"/>
      <c r="E78" s="756" t="s">
        <v>1060</v>
      </c>
      <c r="F78" s="594"/>
      <c r="G78" s="829"/>
      <c r="H78" s="829"/>
      <c r="I78" s="829"/>
      <c r="J78" s="829"/>
      <c r="K78" s="829"/>
      <c r="L78" s="594"/>
    </row>
    <row r="79" spans="2:14">
      <c r="D79" s="741"/>
      <c r="E79" s="594"/>
      <c r="F79" s="594"/>
      <c r="G79" s="594"/>
      <c r="H79" s="594"/>
      <c r="I79" s="594"/>
      <c r="J79" s="594"/>
      <c r="K79" s="594"/>
      <c r="L79" s="594"/>
    </row>
    <row r="80" spans="2:14">
      <c r="D80" s="741"/>
      <c r="E80" s="594"/>
      <c r="F80" s="594"/>
      <c r="G80" s="594"/>
      <c r="H80" s="594"/>
      <c r="I80" s="594"/>
      <c r="J80" s="594"/>
      <c r="K80" s="594"/>
      <c r="L80" s="594"/>
    </row>
    <row r="81" spans="2:24" ht="13.8" thickBot="1">
      <c r="D81" s="741"/>
      <c r="E81" s="751" t="str">
        <f>'Building Stock &amp; Specific Heat '!C149</f>
        <v>Table 12: Area of dwelling, over 2 regions, building Type, construction year and share of centralization</v>
      </c>
      <c r="F81" s="310"/>
      <c r="G81" s="310"/>
      <c r="H81" s="310"/>
      <c r="I81" s="310"/>
      <c r="J81" s="310"/>
      <c r="K81" s="310"/>
      <c r="L81" s="310"/>
      <c r="M81" s="310"/>
      <c r="N81" s="310"/>
      <c r="O81" s="310"/>
      <c r="P81" s="310"/>
      <c r="Q81" s="310"/>
      <c r="R81" s="310"/>
      <c r="S81" s="310"/>
      <c r="T81" s="310"/>
      <c r="U81" s="310"/>
      <c r="V81" s="310"/>
    </row>
    <row r="82" spans="2:24">
      <c r="D82" s="741"/>
      <c r="E82" s="1458" t="str">
        <f>'Building Stock &amp; Specific Heat '!C150</f>
        <v>Central</v>
      </c>
      <c r="F82" s="1459"/>
      <c r="G82" s="1459"/>
      <c r="H82" s="1459"/>
      <c r="I82" s="1459"/>
      <c r="J82" s="1460"/>
      <c r="K82" s="1458" t="str">
        <f>'Building Stock &amp; Specific Heat '!I150</f>
        <v>Decentral</v>
      </c>
      <c r="L82" s="1459"/>
      <c r="M82" s="1459"/>
      <c r="N82" s="1459"/>
      <c r="O82" s="1459"/>
      <c r="P82" s="1460"/>
      <c r="Q82" s="1458" t="str">
        <f>'Building Stock &amp; Specific Heat '!O150</f>
        <v>Individual</v>
      </c>
      <c r="R82" s="1459"/>
      <c r="S82" s="1459"/>
      <c r="T82" s="1459"/>
      <c r="U82" s="1459"/>
      <c r="V82" s="1460"/>
      <c r="X82" s="229"/>
    </row>
    <row r="83" spans="2:24">
      <c r="D83" s="741"/>
      <c r="E83" s="1461" t="str">
        <f>'Building Stock &amp; Specific Heat '!C151</f>
        <v>Detached</v>
      </c>
      <c r="F83" s="1462"/>
      <c r="G83" s="1462"/>
      <c r="H83" s="1462" t="str">
        <f>'Building Stock &amp; Specific Heat '!F151</f>
        <v>Multi S</v>
      </c>
      <c r="I83" s="1462"/>
      <c r="J83" s="1463"/>
      <c r="K83" s="1461" t="str">
        <f>'Building Stock &amp; Specific Heat '!I151</f>
        <v>Detached</v>
      </c>
      <c r="L83" s="1462"/>
      <c r="M83" s="1462"/>
      <c r="N83" s="1462" t="str">
        <f>'Building Stock &amp; Specific Heat '!L151</f>
        <v>Multi S</v>
      </c>
      <c r="O83" s="1462"/>
      <c r="P83" s="1463"/>
      <c r="Q83" s="1461" t="str">
        <f>'Building Stock &amp; Specific Heat '!O151</f>
        <v>Detached</v>
      </c>
      <c r="R83" s="1462"/>
      <c r="S83" s="1462"/>
      <c r="T83" s="1462" t="str">
        <f>'Building Stock &amp; Specific Heat '!R151</f>
        <v>Multi S</v>
      </c>
      <c r="U83" s="1462"/>
      <c r="V83" s="1463"/>
      <c r="X83" s="229"/>
    </row>
    <row r="84" spans="2:24">
      <c r="D84" s="741"/>
      <c r="E84" s="746" t="str">
        <f>'Building Stock &amp; Specific Heat '!C152</f>
        <v>before 71</v>
      </c>
      <c r="F84" s="747" t="str">
        <f>'Building Stock &amp; Specific Heat '!D152</f>
        <v>after 71</v>
      </c>
      <c r="G84" s="747" t="str">
        <f>'Building Stock &amp; Specific Heat '!E152</f>
        <v>after 2011</v>
      </c>
      <c r="H84" s="747" t="str">
        <f>'Building Stock &amp; Specific Heat '!F152</f>
        <v>before 71</v>
      </c>
      <c r="I84" s="747" t="str">
        <f>'Building Stock &amp; Specific Heat '!G152</f>
        <v>after 71</v>
      </c>
      <c r="J84" s="748" t="str">
        <f>'Building Stock &amp; Specific Heat '!H152</f>
        <v>after 2011</v>
      </c>
      <c r="K84" s="746" t="str">
        <f>'Building Stock &amp; Specific Heat '!I152</f>
        <v>before 71</v>
      </c>
      <c r="L84" s="747" t="str">
        <f>'Building Stock &amp; Specific Heat '!J152</f>
        <v>after 71</v>
      </c>
      <c r="M84" s="747" t="str">
        <f>'Building Stock &amp; Specific Heat '!K152</f>
        <v>after 2011</v>
      </c>
      <c r="N84" s="747" t="str">
        <f>'Building Stock &amp; Specific Heat '!L152</f>
        <v>before 71</v>
      </c>
      <c r="O84" s="747" t="str">
        <f>'Building Stock &amp; Specific Heat '!M152</f>
        <v>after 71</v>
      </c>
      <c r="P84" s="748" t="str">
        <f>'Building Stock &amp; Specific Heat '!N152</f>
        <v>after 2011</v>
      </c>
      <c r="Q84" s="746" t="str">
        <f>'Building Stock &amp; Specific Heat '!O152</f>
        <v>before 71</v>
      </c>
      <c r="R84" s="747" t="str">
        <f>'Building Stock &amp; Specific Heat '!P152</f>
        <v>after 71</v>
      </c>
      <c r="S84" s="747" t="str">
        <f>'Building Stock &amp; Specific Heat '!Q152</f>
        <v>after 2011</v>
      </c>
      <c r="T84" s="747" t="str">
        <f>'Building Stock &amp; Specific Heat '!R152</f>
        <v>before 71</v>
      </c>
      <c r="U84" s="747" t="str">
        <f>'Building Stock &amp; Specific Heat '!S152</f>
        <v>after 71</v>
      </c>
      <c r="V84" s="748" t="str">
        <f>'Building Stock &amp; Specific Heat '!T152</f>
        <v>after 2011</v>
      </c>
      <c r="X84" s="229"/>
    </row>
    <row r="85" spans="2:24">
      <c r="D85" s="741" t="str">
        <f>'Building Stock &amp; Specific Heat '!B153</f>
        <v>NO1</v>
      </c>
      <c r="E85" s="677">
        <f>'Building Stock &amp; Specific Heat '!C153</f>
        <v>426.00460862561238</v>
      </c>
      <c r="F85" s="681">
        <f>'Building Stock &amp; Specific Heat '!D153</f>
        <v>522.85464695759561</v>
      </c>
      <c r="G85" s="681">
        <f>'Building Stock &amp; Specific Heat '!E153</f>
        <v>0</v>
      </c>
      <c r="H85" s="681">
        <f>'Building Stock &amp; Specific Heat '!F153</f>
        <v>151.42451561074927</v>
      </c>
      <c r="I85" s="681">
        <f>'Building Stock &amp; Specific Heat '!G153</f>
        <v>181.88799276379049</v>
      </c>
      <c r="J85" s="678">
        <f>'Building Stock &amp; Specific Heat '!H153</f>
        <v>0</v>
      </c>
      <c r="K85" s="677">
        <f>'Building Stock &amp; Specific Heat '!I153</f>
        <v>1032.5352812526291</v>
      </c>
      <c r="L85" s="681">
        <f>'Building Stock &amp; Specific Heat '!J153</f>
        <v>1034.6380353002621</v>
      </c>
      <c r="M85" s="681">
        <f>'Building Stock &amp; Specific Heat '!K153</f>
        <v>0</v>
      </c>
      <c r="N85" s="681">
        <f>'Building Stock &amp; Specific Heat '!L153</f>
        <v>42.997262417655875</v>
      </c>
      <c r="O85" s="681">
        <f>'Building Stock &amp; Specific Heat '!M153</f>
        <v>135.37891071188616</v>
      </c>
      <c r="P85" s="678">
        <f>'Building Stock &amp; Specific Heat '!N153</f>
        <v>0</v>
      </c>
      <c r="Q85" s="677">
        <f>'Building Stock &amp; Specific Heat '!O153</f>
        <v>71468.454604033817</v>
      </c>
      <c r="R85" s="681">
        <f>'Building Stock &amp; Specific Heat '!P153</f>
        <v>76317.141430635034</v>
      </c>
      <c r="S85" s="681">
        <f>'Building Stock &amp; Specific Heat '!Q153</f>
        <v>0</v>
      </c>
      <c r="T85" s="681">
        <f>'Building Stock &amp; Specific Heat '!R153</f>
        <v>9526.6671233918514</v>
      </c>
      <c r="U85" s="681">
        <f>'Building Stock &amp; Specific Heat '!S153</f>
        <v>15546.078270308157</v>
      </c>
      <c r="V85" s="678">
        <f>'Building Stock &amp; Specific Heat '!T153</f>
        <v>0</v>
      </c>
      <c r="X85" s="229"/>
    </row>
    <row r="86" spans="2:24" ht="13.8" thickBot="1">
      <c r="D86" s="741" t="str">
        <f>'Building Stock &amp; Specific Heat '!B154</f>
        <v>NO2</v>
      </c>
      <c r="E86" s="679">
        <f>'Building Stock &amp; Specific Heat '!C154</f>
        <v>63.61676334085012</v>
      </c>
      <c r="F86" s="682">
        <f>'Building Stock &amp; Specific Heat '!D154</f>
        <v>67.59895869517932</v>
      </c>
      <c r="G86" s="682">
        <f>'Building Stock &amp; Specific Heat '!E154</f>
        <v>0</v>
      </c>
      <c r="H86" s="682">
        <f>'Building Stock &amp; Specific Heat '!F154</f>
        <v>1.0966961086989753</v>
      </c>
      <c r="I86" s="682">
        <f>'Building Stock &amp; Specific Heat '!G154</f>
        <v>7.3716663536755735</v>
      </c>
      <c r="J86" s="680">
        <f>'Building Stock &amp; Specific Heat '!H154</f>
        <v>0</v>
      </c>
      <c r="K86" s="679">
        <f>'Building Stock &amp; Specific Heat '!I154</f>
        <v>481.10001215364753</v>
      </c>
      <c r="L86" s="682">
        <f>'Building Stock &amp; Specific Heat '!J154</f>
        <v>506.16421424010497</v>
      </c>
      <c r="M86" s="682">
        <f>'Building Stock &amp; Specific Heat '!K154</f>
        <v>0</v>
      </c>
      <c r="N86" s="682">
        <f>'Building Stock &amp; Specific Heat '!L154</f>
        <v>28.404852650094462</v>
      </c>
      <c r="O86" s="682">
        <f>'Building Stock &amp; Specific Heat '!M154</f>
        <v>69.957823542596813</v>
      </c>
      <c r="P86" s="680">
        <f>'Building Stock &amp; Specific Heat '!N154</f>
        <v>0</v>
      </c>
      <c r="Q86" s="679">
        <f>'Building Stock &amp; Specific Heat '!O154</f>
        <v>26691.121999230381</v>
      </c>
      <c r="R86" s="682">
        <f>'Building Stock &amp; Specific Heat '!P154</f>
        <v>28114.395473828929</v>
      </c>
      <c r="S86" s="682">
        <f>'Building Stock &amp; Specific Heat '!Q154</f>
        <v>0</v>
      </c>
      <c r="T86" s="682">
        <f>'Building Stock &amp; Specific Heat '!R154</f>
        <v>1445.5758891808782</v>
      </c>
      <c r="U86" s="682">
        <f>'Building Stock &amp; Specific Heat '!S154</f>
        <v>3789.1450049173463</v>
      </c>
      <c r="V86" s="680">
        <f>'Building Stock &amp; Specific Heat '!T154</f>
        <v>0</v>
      </c>
      <c r="X86" s="229"/>
    </row>
    <row r="87" spans="2:24">
      <c r="D87" s="594"/>
      <c r="E87" s="744">
        <f>SUM(E85:E86)</f>
        <v>489.6213719664625</v>
      </c>
      <c r="F87" s="744">
        <f>SUM(F85:F86)</f>
        <v>590.45360565277497</v>
      </c>
      <c r="G87" s="744"/>
      <c r="H87" s="744">
        <f t="shared" ref="H87:I87" si="6">SUM(H85:H86)</f>
        <v>152.52121171944825</v>
      </c>
      <c r="I87" s="744">
        <f t="shared" si="6"/>
        <v>189.25965911746607</v>
      </c>
      <c r="J87" s="744"/>
      <c r="K87" s="744">
        <f t="shared" ref="K87:L87" si="7">SUM(K85:K86)</f>
        <v>1513.6352934062766</v>
      </c>
      <c r="L87" s="744">
        <f t="shared" si="7"/>
        <v>1540.802249540367</v>
      </c>
      <c r="M87" s="744"/>
      <c r="N87" s="744">
        <f t="shared" ref="N87:O87" si="8">SUM(N85:N86)</f>
        <v>71.402115067750344</v>
      </c>
      <c r="O87" s="744">
        <f t="shared" si="8"/>
        <v>205.33673425448296</v>
      </c>
      <c r="P87" s="744"/>
      <c r="Q87" s="744">
        <f t="shared" ref="Q87:R87" si="9">SUM(Q85:Q86)</f>
        <v>98159.576603264199</v>
      </c>
      <c r="R87" s="744">
        <f t="shared" si="9"/>
        <v>104431.53690446397</v>
      </c>
      <c r="S87" s="744"/>
      <c r="T87" s="744">
        <f t="shared" ref="T87:U87" si="10">SUM(T85:T86)</f>
        <v>10972.24301257273</v>
      </c>
      <c r="U87" s="744">
        <f t="shared" si="10"/>
        <v>19335.223275225504</v>
      </c>
      <c r="V87" s="745"/>
      <c r="W87" s="752">
        <f>SUM(E87:V87)</f>
        <v>237651.61203625143</v>
      </c>
      <c r="X87" s="229" t="s">
        <v>1058</v>
      </c>
    </row>
    <row r="88" spans="2:24">
      <c r="D88" s="228"/>
      <c r="E88" s="228"/>
      <c r="F88" s="229"/>
      <c r="G88" s="229"/>
      <c r="H88" s="229"/>
      <c r="I88" s="229"/>
      <c r="J88" s="229"/>
      <c r="K88" s="229"/>
      <c r="L88" s="229"/>
      <c r="M88" s="229"/>
      <c r="N88" s="229"/>
      <c r="O88" s="229"/>
      <c r="P88" s="229"/>
      <c r="Q88" s="229"/>
      <c r="R88" s="229"/>
      <c r="S88" s="229"/>
      <c r="T88" s="229"/>
      <c r="U88" s="229"/>
      <c r="V88" s="229"/>
    </row>
    <row r="89" spans="2:24">
      <c r="D89" s="207"/>
      <c r="E89" s="207"/>
      <c r="F89" s="207"/>
      <c r="G89" s="207"/>
      <c r="H89" s="207"/>
      <c r="I89" s="207"/>
      <c r="J89" s="207"/>
      <c r="K89" s="207"/>
    </row>
    <row r="90" spans="2:24">
      <c r="B90" s="228"/>
      <c r="C90" s="228"/>
      <c r="D90" s="229"/>
      <c r="E90" s="229"/>
      <c r="F90" s="229"/>
      <c r="G90" s="229"/>
      <c r="H90" s="229"/>
      <c r="I90" s="229"/>
      <c r="J90" s="229"/>
      <c r="K90" s="229"/>
      <c r="L90" s="229"/>
      <c r="M90" s="229"/>
      <c r="N90" s="229"/>
      <c r="O90" s="229"/>
      <c r="P90" s="229"/>
      <c r="Q90" s="229"/>
      <c r="R90" s="229"/>
      <c r="S90" s="229"/>
      <c r="T90" s="229"/>
    </row>
    <row r="91" spans="2:24">
      <c r="B91" s="228"/>
      <c r="C91" s="228"/>
      <c r="D91" s="229"/>
      <c r="E91" s="229"/>
      <c r="F91" s="229"/>
      <c r="G91" s="229"/>
      <c r="H91" s="229"/>
      <c r="I91" s="229"/>
      <c r="J91" s="229"/>
      <c r="K91" s="229"/>
      <c r="L91" s="229"/>
      <c r="M91" s="229"/>
      <c r="N91" s="229"/>
      <c r="O91" s="229"/>
      <c r="P91" s="229"/>
      <c r="Q91" s="229"/>
      <c r="R91" s="229"/>
      <c r="S91" s="229"/>
      <c r="T91" s="229"/>
    </row>
    <row r="92" spans="2:24">
      <c r="B92" s="228"/>
      <c r="C92" s="228"/>
      <c r="D92" s="229"/>
      <c r="E92" s="229"/>
      <c r="F92" s="229"/>
      <c r="G92" s="229"/>
      <c r="H92" s="229"/>
      <c r="I92" s="222"/>
      <c r="J92" s="222"/>
      <c r="K92" s="222"/>
    </row>
    <row r="93" spans="2:24">
      <c r="B93" s="228"/>
      <c r="C93" s="228"/>
      <c r="D93" s="229"/>
      <c r="E93" s="229"/>
      <c r="F93" s="229"/>
      <c r="G93" s="229"/>
      <c r="H93" s="229"/>
      <c r="I93" s="222"/>
      <c r="J93" s="222"/>
      <c r="K93" s="222"/>
    </row>
    <row r="94" spans="2:24">
      <c r="B94" s="228"/>
      <c r="C94" s="228"/>
      <c r="D94" s="229"/>
      <c r="E94" s="229"/>
      <c r="F94" s="229"/>
      <c r="G94" s="229"/>
      <c r="H94" s="229"/>
      <c r="I94" s="222"/>
      <c r="J94" s="222"/>
      <c r="K94" s="222"/>
    </row>
    <row r="95" spans="2:24">
      <c r="B95" s="228"/>
      <c r="C95" s="228"/>
      <c r="D95" s="229"/>
      <c r="E95" s="229"/>
      <c r="F95" s="229"/>
      <c r="G95" s="229"/>
      <c r="H95" s="229"/>
      <c r="I95" s="222"/>
      <c r="J95" s="222"/>
      <c r="K95" s="222"/>
    </row>
    <row r="96" spans="2:24">
      <c r="B96" s="228"/>
      <c r="C96" s="228"/>
      <c r="D96" s="229"/>
      <c r="E96" s="229"/>
      <c r="F96" s="229"/>
      <c r="G96" s="229"/>
      <c r="H96" s="229"/>
      <c r="I96" s="222"/>
      <c r="J96" s="222"/>
      <c r="K96" s="222"/>
    </row>
    <row r="97" spans="2:11">
      <c r="B97" s="228"/>
      <c r="C97" s="228"/>
      <c r="D97" s="229"/>
      <c r="E97" s="229"/>
      <c r="F97" s="229"/>
      <c r="G97" s="229"/>
      <c r="H97" s="229"/>
      <c r="I97" s="222"/>
      <c r="J97" s="222"/>
      <c r="K97" s="222"/>
    </row>
    <row r="98" spans="2:11">
      <c r="B98" s="228"/>
      <c r="C98" s="228"/>
      <c r="D98" s="229"/>
      <c r="E98" s="229"/>
      <c r="F98" s="229"/>
      <c r="G98" s="229"/>
      <c r="H98" s="229"/>
      <c r="I98" s="222"/>
      <c r="J98" s="222"/>
      <c r="K98" s="222"/>
    </row>
    <row r="99" spans="2:11">
      <c r="B99" s="228"/>
      <c r="C99" s="228"/>
      <c r="D99" s="229"/>
      <c r="E99" s="229"/>
      <c r="F99" s="229"/>
      <c r="G99" s="229"/>
      <c r="H99" s="229"/>
      <c r="I99" s="222"/>
      <c r="J99" s="222"/>
      <c r="K99" s="222"/>
    </row>
    <row r="100" spans="2:11">
      <c r="B100" s="228"/>
      <c r="C100" s="228"/>
      <c r="D100" s="229"/>
      <c r="E100" s="229"/>
      <c r="F100" s="229"/>
      <c r="G100" s="229"/>
      <c r="H100" s="229"/>
      <c r="I100" s="222"/>
      <c r="J100" s="222"/>
      <c r="K100" s="222"/>
    </row>
    <row r="101" spans="2:11">
      <c r="B101" s="228"/>
      <c r="C101" s="228"/>
      <c r="D101" s="229"/>
      <c r="E101" s="229"/>
      <c r="F101" s="229"/>
      <c r="G101" s="229"/>
      <c r="H101" s="229"/>
      <c r="I101" s="222"/>
      <c r="J101" s="222"/>
      <c r="K101" s="222"/>
    </row>
    <row r="102" spans="2:11">
      <c r="B102" s="228"/>
      <c r="C102" s="228"/>
      <c r="D102" s="229"/>
      <c r="E102" s="229"/>
      <c r="F102" s="229"/>
      <c r="G102" s="229"/>
      <c r="H102" s="229"/>
      <c r="I102" s="222"/>
      <c r="J102" s="222"/>
      <c r="K102" s="222"/>
    </row>
    <row r="103" spans="2:11">
      <c r="B103" s="228"/>
      <c r="C103" s="228"/>
      <c r="D103" s="229"/>
      <c r="E103" s="229"/>
      <c r="F103" s="229"/>
      <c r="G103" s="229"/>
      <c r="H103" s="229"/>
      <c r="I103" s="222"/>
      <c r="J103" s="222"/>
      <c r="K103" s="222"/>
    </row>
    <row r="104" spans="2:11">
      <c r="B104" s="228"/>
      <c r="C104" s="228"/>
      <c r="D104" s="229"/>
      <c r="E104" s="229"/>
      <c r="F104" s="229"/>
      <c r="G104" s="229"/>
      <c r="H104" s="229"/>
      <c r="I104" s="222"/>
      <c r="J104" s="222"/>
      <c r="K104" s="222"/>
    </row>
    <row r="105" spans="2:11">
      <c r="B105" s="228"/>
      <c r="C105" s="228"/>
      <c r="D105" s="229"/>
      <c r="E105" s="229"/>
      <c r="F105" s="229"/>
      <c r="G105" s="229"/>
      <c r="H105" s="229"/>
      <c r="I105" s="222"/>
      <c r="J105" s="222"/>
      <c r="K105" s="222"/>
    </row>
    <row r="106" spans="2:11">
      <c r="B106" s="228"/>
      <c r="C106" s="228"/>
      <c r="D106" s="229"/>
      <c r="E106" s="229"/>
      <c r="F106" s="229"/>
      <c r="G106" s="229"/>
      <c r="H106" s="229"/>
      <c r="I106" s="222"/>
      <c r="J106" s="222"/>
      <c r="K106" s="222"/>
    </row>
    <row r="107" spans="2:11">
      <c r="B107" s="228"/>
      <c r="C107" s="228"/>
      <c r="D107" s="229"/>
      <c r="E107" s="229"/>
      <c r="F107" s="229"/>
      <c r="G107" s="229"/>
      <c r="H107" s="229"/>
      <c r="I107" s="222"/>
      <c r="J107" s="222"/>
      <c r="K107" s="222"/>
    </row>
    <row r="108" spans="2:11">
      <c r="B108" s="228"/>
      <c r="C108" s="228"/>
      <c r="D108" s="229"/>
      <c r="E108" s="229"/>
      <c r="F108" s="229"/>
      <c r="G108" s="229"/>
      <c r="H108" s="229"/>
      <c r="I108" s="222"/>
      <c r="J108" s="222"/>
      <c r="K108" s="222"/>
    </row>
    <row r="109" spans="2:11">
      <c r="B109" s="228"/>
      <c r="C109" s="228"/>
      <c r="D109" s="229"/>
      <c r="E109" s="229"/>
      <c r="F109" s="229"/>
      <c r="G109" s="229"/>
      <c r="H109" s="229"/>
      <c r="I109" s="222"/>
      <c r="J109" s="222"/>
      <c r="K109" s="222"/>
    </row>
    <row r="110" spans="2:11">
      <c r="B110" s="228"/>
      <c r="C110" s="228"/>
      <c r="D110" s="229"/>
      <c r="E110" s="229"/>
      <c r="F110" s="229"/>
      <c r="G110" s="229"/>
      <c r="H110" s="229"/>
      <c r="I110" s="222"/>
      <c r="J110" s="222"/>
      <c r="K110" s="222"/>
    </row>
    <row r="111" spans="2:11">
      <c r="B111" s="228"/>
      <c r="C111" s="228"/>
      <c r="D111" s="229"/>
      <c r="E111" s="229"/>
      <c r="F111" s="229"/>
      <c r="G111" s="229"/>
      <c r="H111" s="229"/>
      <c r="I111" s="222"/>
      <c r="J111" s="222"/>
      <c r="K111" s="222"/>
    </row>
    <row r="112" spans="2:11">
      <c r="B112" s="228"/>
      <c r="C112" s="228"/>
      <c r="D112" s="229"/>
      <c r="E112" s="229"/>
      <c r="F112" s="229"/>
      <c r="G112" s="229"/>
      <c r="H112" s="229"/>
      <c r="I112" s="222"/>
      <c r="J112" s="222"/>
      <c r="K112" s="222"/>
    </row>
    <row r="113" spans="2:11">
      <c r="B113" s="228"/>
      <c r="C113" s="228"/>
      <c r="D113" s="229"/>
      <c r="E113" s="229"/>
      <c r="F113" s="229"/>
      <c r="G113" s="229"/>
      <c r="H113" s="229"/>
      <c r="I113" s="222"/>
      <c r="J113" s="222"/>
      <c r="K113" s="222"/>
    </row>
    <row r="114" spans="2:11">
      <c r="B114" s="228"/>
      <c r="C114" s="228"/>
      <c r="D114" s="229"/>
      <c r="E114" s="229"/>
      <c r="F114" s="229"/>
      <c r="G114" s="229"/>
      <c r="H114" s="229"/>
      <c r="I114" s="222"/>
      <c r="J114" s="222"/>
      <c r="K114" s="222"/>
    </row>
    <row r="115" spans="2:11">
      <c r="B115" s="228"/>
      <c r="C115" s="228"/>
      <c r="D115" s="229"/>
      <c r="E115" s="229"/>
      <c r="F115" s="229"/>
      <c r="G115" s="229"/>
      <c r="H115" s="229"/>
      <c r="I115" s="222"/>
      <c r="J115" s="222"/>
      <c r="K115" s="222"/>
    </row>
    <row r="116" spans="2:11">
      <c r="B116" s="228"/>
      <c r="C116" s="228"/>
      <c r="D116" s="229"/>
      <c r="E116" s="229"/>
      <c r="F116" s="229"/>
      <c r="G116" s="229"/>
      <c r="H116" s="229"/>
      <c r="I116" s="222"/>
      <c r="J116" s="222"/>
      <c r="K116" s="222"/>
    </row>
    <row r="117" spans="2:11">
      <c r="B117" s="228"/>
      <c r="C117" s="228"/>
      <c r="D117" s="229"/>
      <c r="E117" s="229"/>
      <c r="F117" s="229"/>
      <c r="G117" s="229"/>
      <c r="H117" s="229"/>
      <c r="I117" s="222"/>
      <c r="J117" s="222"/>
      <c r="K117" s="222"/>
    </row>
    <row r="118" spans="2:11">
      <c r="B118" s="228"/>
      <c r="C118" s="228"/>
      <c r="D118" s="229"/>
      <c r="E118" s="229"/>
      <c r="F118" s="229"/>
      <c r="G118" s="229"/>
      <c r="H118" s="229"/>
      <c r="I118" s="222"/>
      <c r="J118" s="222"/>
      <c r="K118" s="222"/>
    </row>
    <row r="119" spans="2:11">
      <c r="B119" s="228"/>
      <c r="C119" s="228"/>
      <c r="D119" s="229"/>
      <c r="E119" s="229"/>
      <c r="F119" s="229"/>
      <c r="G119" s="229"/>
      <c r="H119" s="229"/>
      <c r="I119" s="222"/>
      <c r="J119" s="222"/>
      <c r="K119" s="222"/>
    </row>
    <row r="120" spans="2:11">
      <c r="B120" s="228"/>
      <c r="C120" s="228"/>
      <c r="D120" s="229"/>
      <c r="E120" s="229"/>
      <c r="F120" s="229"/>
      <c r="G120" s="229"/>
      <c r="H120" s="229"/>
      <c r="I120" s="222"/>
      <c r="J120" s="222"/>
      <c r="K120" s="222"/>
    </row>
    <row r="121" spans="2:11">
      <c r="B121" s="228"/>
      <c r="C121" s="228"/>
      <c r="D121" s="229"/>
      <c r="E121" s="229"/>
      <c r="F121" s="229"/>
      <c r="G121" s="229"/>
      <c r="H121" s="229"/>
      <c r="I121" s="222"/>
      <c r="J121" s="222"/>
      <c r="K121" s="222"/>
    </row>
    <row r="122" spans="2:11">
      <c r="B122" s="228"/>
      <c r="C122" s="228"/>
      <c r="D122" s="229"/>
      <c r="E122" s="229"/>
      <c r="F122" s="229"/>
      <c r="G122" s="229"/>
      <c r="H122" s="229"/>
      <c r="I122" s="222"/>
      <c r="J122" s="222"/>
      <c r="K122" s="222"/>
    </row>
    <row r="123" spans="2:11">
      <c r="B123" s="228"/>
      <c r="C123" s="228"/>
      <c r="D123" s="229"/>
      <c r="E123" s="229"/>
      <c r="F123" s="229"/>
      <c r="G123" s="229"/>
      <c r="H123" s="229"/>
      <c r="I123" s="222"/>
      <c r="J123" s="222"/>
      <c r="K123" s="222"/>
    </row>
    <row r="124" spans="2:11">
      <c r="B124" s="228"/>
      <c r="C124" s="228"/>
      <c r="D124" s="229"/>
      <c r="E124" s="229"/>
      <c r="F124" s="229"/>
      <c r="G124" s="229"/>
      <c r="H124" s="229"/>
      <c r="I124" s="222"/>
      <c r="J124" s="222"/>
      <c r="K124" s="222"/>
    </row>
    <row r="125" spans="2:11">
      <c r="B125" s="228"/>
      <c r="C125" s="228"/>
      <c r="D125" s="229"/>
      <c r="E125" s="229"/>
      <c r="F125" s="229"/>
      <c r="G125" s="229"/>
      <c r="H125" s="229"/>
      <c r="I125" s="222"/>
      <c r="J125" s="222"/>
      <c r="K125" s="222"/>
    </row>
    <row r="126" spans="2:11">
      <c r="B126" s="228"/>
      <c r="C126" s="228"/>
      <c r="D126" s="229"/>
      <c r="E126" s="229"/>
      <c r="F126" s="229"/>
      <c r="G126" s="229"/>
      <c r="H126" s="229"/>
      <c r="I126" s="222"/>
      <c r="J126" s="222"/>
      <c r="K126" s="222"/>
    </row>
    <row r="127" spans="2:11">
      <c r="B127" s="228"/>
      <c r="C127" s="228"/>
      <c r="D127" s="229"/>
      <c r="E127" s="229"/>
      <c r="F127" s="229"/>
      <c r="G127" s="229"/>
      <c r="H127" s="229"/>
      <c r="I127" s="222"/>
      <c r="J127" s="222"/>
      <c r="K127" s="222"/>
    </row>
    <row r="128" spans="2:11">
      <c r="B128" s="228"/>
      <c r="C128" s="228"/>
      <c r="D128" s="229"/>
      <c r="E128" s="229"/>
      <c r="F128" s="229"/>
      <c r="G128" s="229"/>
      <c r="H128" s="229"/>
      <c r="I128" s="222"/>
      <c r="J128" s="222"/>
      <c r="K128" s="222"/>
    </row>
    <row r="129" spans="2:11">
      <c r="B129" s="228"/>
      <c r="C129" s="228"/>
      <c r="D129" s="229"/>
      <c r="E129" s="229"/>
      <c r="F129" s="229"/>
      <c r="G129" s="229"/>
      <c r="H129" s="229"/>
      <c r="I129" s="222"/>
      <c r="J129" s="222"/>
      <c r="K129" s="222"/>
    </row>
    <row r="130" spans="2:11">
      <c r="B130" s="228"/>
      <c r="C130" s="228"/>
      <c r="D130" s="229"/>
      <c r="E130" s="229"/>
      <c r="F130" s="229"/>
      <c r="G130" s="229"/>
      <c r="H130" s="229"/>
      <c r="I130" s="222"/>
      <c r="J130" s="222"/>
      <c r="K130" s="222"/>
    </row>
    <row r="131" spans="2:11">
      <c r="B131" s="228"/>
      <c r="C131" s="228"/>
      <c r="D131" s="229"/>
      <c r="E131" s="229"/>
      <c r="F131" s="229"/>
      <c r="G131" s="229"/>
      <c r="H131" s="229"/>
      <c r="I131" s="222"/>
      <c r="J131" s="222"/>
      <c r="K131" s="222"/>
    </row>
    <row r="132" spans="2:11">
      <c r="B132" s="228"/>
      <c r="C132" s="228"/>
      <c r="D132" s="229"/>
      <c r="E132" s="229"/>
      <c r="F132" s="229"/>
      <c r="G132" s="229"/>
      <c r="H132" s="229"/>
      <c r="I132" s="222"/>
      <c r="J132" s="222"/>
      <c r="K132" s="222"/>
    </row>
    <row r="133" spans="2:11">
      <c r="B133" s="228"/>
      <c r="C133" s="228"/>
      <c r="D133" s="229"/>
      <c r="E133" s="229"/>
      <c r="F133" s="229"/>
      <c r="G133" s="229"/>
      <c r="H133" s="229"/>
      <c r="I133" s="222"/>
      <c r="J133" s="222"/>
      <c r="K133" s="222"/>
    </row>
    <row r="134" spans="2:11">
      <c r="B134" s="228"/>
      <c r="C134" s="228"/>
      <c r="D134" s="229"/>
      <c r="E134" s="229"/>
      <c r="F134" s="229"/>
      <c r="G134" s="229"/>
      <c r="H134" s="229"/>
      <c r="I134" s="222"/>
      <c r="J134" s="222"/>
      <c r="K134" s="222"/>
    </row>
    <row r="135" spans="2:11">
      <c r="B135" s="228"/>
      <c r="C135" s="228"/>
      <c r="D135" s="229"/>
      <c r="E135" s="229"/>
      <c r="F135" s="229"/>
      <c r="G135" s="229"/>
      <c r="H135" s="229"/>
      <c r="I135" s="222"/>
      <c r="J135" s="222"/>
      <c r="K135" s="222"/>
    </row>
    <row r="136" spans="2:11">
      <c r="B136" s="228"/>
      <c r="C136" s="228"/>
      <c r="D136" s="229"/>
      <c r="E136" s="229"/>
      <c r="F136" s="229"/>
      <c r="G136" s="229"/>
      <c r="H136" s="229"/>
      <c r="I136" s="222"/>
      <c r="J136" s="222"/>
      <c r="K136" s="222"/>
    </row>
    <row r="137" spans="2:11">
      <c r="B137" s="228"/>
      <c r="C137" s="228"/>
      <c r="D137" s="229"/>
      <c r="E137" s="229"/>
      <c r="F137" s="229"/>
      <c r="G137" s="229"/>
      <c r="H137" s="229"/>
      <c r="I137" s="222"/>
      <c r="J137" s="222"/>
      <c r="K137" s="222"/>
    </row>
    <row r="138" spans="2:11">
      <c r="B138" s="228"/>
      <c r="C138" s="228"/>
      <c r="D138" s="229"/>
      <c r="E138" s="229"/>
      <c r="F138" s="229"/>
      <c r="G138" s="229"/>
      <c r="H138" s="229"/>
      <c r="I138" s="222"/>
      <c r="J138" s="222"/>
      <c r="K138" s="222"/>
    </row>
    <row r="139" spans="2:11">
      <c r="B139" s="228"/>
      <c r="C139" s="228"/>
      <c r="D139" s="229"/>
      <c r="E139" s="229"/>
      <c r="F139" s="229"/>
      <c r="G139" s="229"/>
      <c r="H139" s="229"/>
      <c r="I139" s="222"/>
      <c r="J139" s="222"/>
      <c r="K139" s="222"/>
    </row>
    <row r="140" spans="2:11">
      <c r="B140" s="228"/>
      <c r="C140" s="228"/>
      <c r="D140" s="229"/>
      <c r="E140" s="229"/>
      <c r="F140" s="229"/>
      <c r="G140" s="229"/>
      <c r="H140" s="229"/>
      <c r="I140" s="222"/>
      <c r="J140" s="222"/>
      <c r="K140" s="222"/>
    </row>
    <row r="141" spans="2:11">
      <c r="B141" s="228"/>
      <c r="C141" s="228"/>
      <c r="D141" s="229"/>
      <c r="E141" s="229"/>
      <c r="F141" s="229"/>
      <c r="G141" s="229"/>
      <c r="H141" s="229"/>
      <c r="I141" s="222"/>
      <c r="J141" s="222"/>
      <c r="K141" s="222"/>
    </row>
    <row r="142" spans="2:11">
      <c r="B142" s="228"/>
      <c r="C142" s="228"/>
      <c r="D142" s="229"/>
      <c r="E142" s="229"/>
      <c r="F142" s="229"/>
      <c r="G142" s="229"/>
      <c r="H142" s="229"/>
      <c r="I142" s="222"/>
      <c r="J142" s="222"/>
      <c r="K142" s="222"/>
    </row>
    <row r="143" spans="2:11">
      <c r="B143" s="228"/>
      <c r="C143" s="228"/>
      <c r="D143" s="229"/>
      <c r="E143" s="229"/>
      <c r="F143" s="229"/>
      <c r="G143" s="229"/>
      <c r="H143" s="229"/>
      <c r="I143" s="222"/>
      <c r="J143" s="222"/>
      <c r="K143" s="222"/>
    </row>
    <row r="144" spans="2:11">
      <c r="B144" s="228"/>
      <c r="C144" s="228"/>
      <c r="D144" s="229"/>
      <c r="E144" s="229"/>
      <c r="F144" s="229"/>
      <c r="G144" s="229"/>
      <c r="H144" s="229"/>
      <c r="I144" s="222"/>
      <c r="J144" s="222"/>
      <c r="K144" s="222"/>
    </row>
    <row r="145" spans="2:11">
      <c r="B145" s="228"/>
      <c r="C145" s="228"/>
      <c r="D145" s="229"/>
      <c r="E145" s="229"/>
      <c r="F145" s="229"/>
      <c r="G145" s="229"/>
      <c r="H145" s="229"/>
      <c r="I145" s="222"/>
      <c r="J145" s="222"/>
      <c r="K145" s="222"/>
    </row>
    <row r="146" spans="2:11">
      <c r="B146" s="228"/>
      <c r="C146" s="228"/>
      <c r="D146" s="229"/>
      <c r="E146" s="229"/>
      <c r="F146" s="229"/>
      <c r="G146" s="229"/>
      <c r="H146" s="229"/>
      <c r="I146" s="222"/>
      <c r="J146" s="222"/>
      <c r="K146" s="222"/>
    </row>
    <row r="147" spans="2:11">
      <c r="B147" s="228"/>
      <c r="C147" s="228"/>
      <c r="D147" s="229"/>
      <c r="E147" s="229"/>
      <c r="F147" s="229"/>
      <c r="G147" s="229"/>
      <c r="H147" s="229"/>
      <c r="I147" s="222"/>
      <c r="J147" s="222"/>
      <c r="K147" s="222"/>
    </row>
    <row r="148" spans="2:11">
      <c r="B148" s="228"/>
      <c r="C148" s="228"/>
      <c r="D148" s="229"/>
      <c r="E148" s="229"/>
      <c r="F148" s="229"/>
      <c r="G148" s="229"/>
      <c r="H148" s="229"/>
      <c r="I148" s="222"/>
      <c r="J148" s="222"/>
      <c r="K148" s="222"/>
    </row>
    <row r="149" spans="2:11">
      <c r="B149" s="228"/>
      <c r="C149" s="228"/>
      <c r="D149" s="229"/>
      <c r="E149" s="229"/>
      <c r="F149" s="229"/>
      <c r="G149" s="229"/>
      <c r="H149" s="229"/>
      <c r="I149" s="222"/>
      <c r="J149" s="222"/>
      <c r="K149" s="222"/>
    </row>
    <row r="150" spans="2:11">
      <c r="B150" s="228"/>
      <c r="C150" s="228"/>
      <c r="D150" s="229"/>
      <c r="E150" s="229"/>
      <c r="F150" s="229"/>
      <c r="G150" s="229"/>
      <c r="H150" s="229"/>
      <c r="I150" s="222"/>
      <c r="J150" s="222"/>
      <c r="K150" s="222"/>
    </row>
    <row r="151" spans="2:11">
      <c r="B151" s="228"/>
      <c r="C151" s="228"/>
      <c r="D151" s="229"/>
      <c r="E151" s="229"/>
      <c r="F151" s="229"/>
      <c r="G151" s="229"/>
      <c r="H151" s="229"/>
      <c r="I151" s="222"/>
      <c r="J151" s="222"/>
      <c r="K151" s="222"/>
    </row>
    <row r="152" spans="2:11">
      <c r="B152" s="228"/>
      <c r="C152" s="228"/>
      <c r="D152" s="229"/>
      <c r="E152" s="229"/>
      <c r="F152" s="229"/>
      <c r="G152" s="229"/>
      <c r="H152" s="229"/>
      <c r="I152" s="222"/>
      <c r="J152" s="222"/>
      <c r="K152" s="222"/>
    </row>
    <row r="153" spans="2:11">
      <c r="B153" s="228"/>
      <c r="C153" s="228"/>
      <c r="D153" s="229"/>
      <c r="E153" s="229"/>
      <c r="F153" s="229"/>
      <c r="G153" s="229"/>
      <c r="H153" s="229"/>
      <c r="I153" s="222"/>
      <c r="J153" s="222"/>
      <c r="K153" s="222"/>
    </row>
    <row r="154" spans="2:11">
      <c r="B154" s="228"/>
      <c r="C154" s="228"/>
      <c r="D154" s="229"/>
      <c r="E154" s="229"/>
      <c r="F154" s="229"/>
      <c r="G154" s="229"/>
      <c r="H154" s="229"/>
      <c r="I154" s="222"/>
      <c r="J154" s="222"/>
      <c r="K154" s="222"/>
    </row>
    <row r="155" spans="2:11">
      <c r="B155" s="228"/>
      <c r="C155" s="228"/>
      <c r="D155" s="229"/>
      <c r="E155" s="229"/>
      <c r="F155" s="229"/>
      <c r="G155" s="229"/>
      <c r="H155" s="229"/>
      <c r="I155" s="222"/>
      <c r="J155" s="222"/>
      <c r="K155" s="222"/>
    </row>
    <row r="156" spans="2:11">
      <c r="B156" s="228"/>
      <c r="C156" s="228"/>
      <c r="D156" s="229"/>
      <c r="E156" s="229"/>
      <c r="F156" s="229"/>
      <c r="G156" s="229"/>
      <c r="H156" s="229"/>
      <c r="I156" s="222"/>
      <c r="J156" s="222"/>
      <c r="K156" s="222"/>
    </row>
    <row r="157" spans="2:11">
      <c r="B157" s="228"/>
      <c r="C157" s="228"/>
      <c r="D157" s="229"/>
      <c r="E157" s="229"/>
      <c r="F157" s="229"/>
      <c r="G157" s="229"/>
      <c r="H157" s="229"/>
      <c r="I157" s="222"/>
      <c r="J157" s="222"/>
      <c r="K157" s="222"/>
    </row>
    <row r="158" spans="2:11">
      <c r="B158" s="228"/>
      <c r="C158" s="228"/>
      <c r="D158" s="229"/>
      <c r="E158" s="229"/>
      <c r="F158" s="229"/>
      <c r="G158" s="229"/>
      <c r="H158" s="229"/>
      <c r="I158" s="222"/>
      <c r="J158" s="222"/>
      <c r="K158" s="222"/>
    </row>
    <row r="159" spans="2:11">
      <c r="B159" s="228"/>
      <c r="C159" s="228"/>
      <c r="D159" s="229"/>
      <c r="E159" s="229"/>
      <c r="F159" s="229"/>
      <c r="G159" s="229"/>
      <c r="H159" s="229"/>
      <c r="I159" s="222"/>
      <c r="J159" s="222"/>
      <c r="K159" s="222"/>
    </row>
    <row r="160" spans="2:11">
      <c r="B160" s="228"/>
      <c r="C160" s="228"/>
      <c r="D160" s="229"/>
      <c r="E160" s="229"/>
      <c r="F160" s="229"/>
      <c r="G160" s="229"/>
      <c r="H160" s="229"/>
      <c r="I160" s="222"/>
      <c r="J160" s="222"/>
      <c r="K160" s="222"/>
    </row>
    <row r="161" spans="2:11">
      <c r="B161" s="228"/>
      <c r="C161" s="228"/>
      <c r="D161" s="229"/>
      <c r="E161" s="229"/>
      <c r="F161" s="229"/>
      <c r="G161" s="229"/>
      <c r="H161" s="229"/>
      <c r="I161" s="222"/>
      <c r="J161" s="222"/>
      <c r="K161" s="222"/>
    </row>
    <row r="162" spans="2:11">
      <c r="B162" s="228"/>
      <c r="C162" s="228"/>
      <c r="D162" s="229"/>
      <c r="E162" s="229"/>
      <c r="F162" s="229"/>
      <c r="G162" s="229"/>
      <c r="H162" s="229"/>
      <c r="I162" s="222"/>
      <c r="J162" s="222"/>
      <c r="K162" s="222"/>
    </row>
    <row r="163" spans="2:11">
      <c r="B163" s="228"/>
      <c r="C163" s="228"/>
      <c r="D163" s="229"/>
      <c r="E163" s="229"/>
      <c r="F163" s="229"/>
      <c r="G163" s="229"/>
      <c r="H163" s="229"/>
      <c r="I163" s="222"/>
      <c r="J163" s="222"/>
      <c r="K163" s="222"/>
    </row>
    <row r="164" spans="2:11">
      <c r="B164" s="228"/>
      <c r="C164" s="228"/>
      <c r="D164" s="229"/>
      <c r="E164" s="229"/>
      <c r="F164" s="229"/>
      <c r="G164" s="229"/>
      <c r="H164" s="229"/>
      <c r="I164" s="222"/>
      <c r="J164" s="222"/>
      <c r="K164" s="222"/>
    </row>
    <row r="165" spans="2:11">
      <c r="B165" s="228"/>
      <c r="C165" s="228"/>
      <c r="D165" s="229"/>
      <c r="E165" s="229"/>
      <c r="F165" s="229"/>
      <c r="G165" s="229"/>
      <c r="H165" s="229"/>
      <c r="I165" s="222"/>
      <c r="J165" s="222"/>
      <c r="K165" s="222"/>
    </row>
    <row r="166" spans="2:11">
      <c r="B166" s="228"/>
      <c r="C166" s="228"/>
      <c r="D166" s="229"/>
      <c r="E166" s="229"/>
      <c r="F166" s="229"/>
      <c r="G166" s="229"/>
      <c r="H166" s="229"/>
      <c r="I166" s="222"/>
      <c r="J166" s="222"/>
      <c r="K166" s="222"/>
    </row>
    <row r="167" spans="2:11">
      <c r="B167" s="228"/>
      <c r="C167" s="228"/>
      <c r="D167" s="229"/>
      <c r="E167" s="229"/>
      <c r="F167" s="229"/>
      <c r="G167" s="229"/>
      <c r="H167" s="229"/>
      <c r="I167" s="222"/>
      <c r="J167" s="222"/>
      <c r="K167" s="222"/>
    </row>
    <row r="168" spans="2:11">
      <c r="B168" s="228"/>
      <c r="C168" s="228"/>
      <c r="D168" s="229"/>
      <c r="E168" s="229"/>
      <c r="F168" s="229"/>
      <c r="G168" s="229"/>
      <c r="H168" s="229"/>
      <c r="I168" s="222"/>
      <c r="J168" s="222"/>
      <c r="K168" s="222"/>
    </row>
    <row r="169" spans="2:11">
      <c r="B169" s="228"/>
      <c r="C169" s="228"/>
      <c r="D169" s="229"/>
      <c r="E169" s="229"/>
      <c r="F169" s="229"/>
      <c r="G169" s="229"/>
      <c r="H169" s="229"/>
      <c r="I169" s="222"/>
      <c r="J169" s="222"/>
      <c r="K169" s="222"/>
    </row>
    <row r="170" spans="2:11">
      <c r="B170" s="228"/>
      <c r="C170" s="228"/>
      <c r="D170" s="229"/>
      <c r="E170" s="229"/>
      <c r="F170" s="229"/>
      <c r="G170" s="229"/>
      <c r="H170" s="229"/>
      <c r="I170" s="222"/>
      <c r="J170" s="222"/>
      <c r="K170" s="222"/>
    </row>
    <row r="171" spans="2:11">
      <c r="B171" s="228"/>
      <c r="C171" s="228"/>
      <c r="D171" s="229"/>
      <c r="E171" s="229"/>
      <c r="F171" s="229"/>
      <c r="G171" s="229"/>
      <c r="H171" s="229"/>
      <c r="I171" s="222"/>
      <c r="J171" s="222"/>
      <c r="K171" s="222"/>
    </row>
    <row r="172" spans="2:11">
      <c r="B172" s="228"/>
      <c r="C172" s="228"/>
      <c r="D172" s="229"/>
      <c r="E172" s="229"/>
      <c r="F172" s="229"/>
      <c r="G172" s="229"/>
      <c r="H172" s="229"/>
      <c r="I172" s="222"/>
      <c r="J172" s="222"/>
      <c r="K172" s="222"/>
    </row>
    <row r="173" spans="2:11">
      <c r="B173" s="228"/>
      <c r="C173" s="228"/>
      <c r="D173" s="229"/>
      <c r="E173" s="229"/>
      <c r="F173" s="229"/>
      <c r="G173" s="229"/>
      <c r="H173" s="229"/>
      <c r="I173" s="222"/>
      <c r="J173" s="222"/>
      <c r="K173" s="222"/>
    </row>
    <row r="174" spans="2:11">
      <c r="B174" s="228"/>
      <c r="C174" s="228"/>
      <c r="D174" s="229"/>
      <c r="E174" s="229"/>
      <c r="F174" s="229"/>
      <c r="G174" s="229"/>
      <c r="H174" s="229"/>
      <c r="I174" s="222"/>
      <c r="J174" s="222"/>
      <c r="K174" s="222"/>
    </row>
    <row r="175" spans="2:11">
      <c r="B175" s="228"/>
      <c r="C175" s="228"/>
      <c r="D175" s="229"/>
      <c r="E175" s="229"/>
      <c r="F175" s="229"/>
      <c r="G175" s="229"/>
      <c r="H175" s="229"/>
      <c r="I175" s="222"/>
      <c r="J175" s="222"/>
      <c r="K175" s="222"/>
    </row>
    <row r="176" spans="2:11">
      <c r="B176" s="228"/>
      <c r="C176" s="228"/>
      <c r="D176" s="229"/>
      <c r="E176" s="229"/>
      <c r="F176" s="229"/>
      <c r="G176" s="229"/>
      <c r="H176" s="229"/>
      <c r="I176" s="222"/>
      <c r="J176" s="222"/>
      <c r="K176" s="222"/>
    </row>
    <row r="177" spans="2:11">
      <c r="B177" s="228"/>
      <c r="C177" s="228"/>
      <c r="D177" s="229"/>
      <c r="E177" s="229"/>
      <c r="F177" s="229"/>
      <c r="G177" s="229"/>
      <c r="H177" s="229"/>
      <c r="I177" s="222"/>
      <c r="J177" s="222"/>
      <c r="K177" s="222"/>
    </row>
    <row r="178" spans="2:11">
      <c r="B178" s="228"/>
      <c r="C178" s="228"/>
      <c r="D178" s="229"/>
      <c r="E178" s="229"/>
      <c r="F178" s="229"/>
      <c r="G178" s="229"/>
      <c r="H178" s="229"/>
      <c r="I178" s="222"/>
      <c r="J178" s="222"/>
      <c r="K178" s="222"/>
    </row>
    <row r="179" spans="2:11">
      <c r="B179" s="228"/>
      <c r="C179" s="228"/>
      <c r="D179" s="229"/>
      <c r="E179" s="229"/>
      <c r="F179" s="229"/>
      <c r="G179" s="229"/>
      <c r="H179" s="229"/>
      <c r="I179" s="222"/>
      <c r="J179" s="222"/>
      <c r="K179" s="222"/>
    </row>
    <row r="180" spans="2:11">
      <c r="B180" s="228"/>
      <c r="C180" s="228"/>
      <c r="D180" s="229"/>
      <c r="E180" s="229"/>
      <c r="F180" s="229"/>
      <c r="G180" s="229"/>
      <c r="H180" s="229"/>
      <c r="I180" s="222"/>
      <c r="J180" s="222"/>
      <c r="K180" s="222"/>
    </row>
    <row r="181" spans="2:11">
      <c r="B181" s="228"/>
      <c r="C181" s="228"/>
      <c r="D181" s="229"/>
      <c r="E181" s="229"/>
      <c r="F181" s="229"/>
      <c r="G181" s="229"/>
      <c r="H181" s="229"/>
      <c r="I181" s="222"/>
      <c r="J181" s="222"/>
      <c r="K181" s="222"/>
    </row>
    <row r="182" spans="2:11">
      <c r="B182" s="228"/>
      <c r="C182" s="228"/>
      <c r="D182" s="229"/>
      <c r="E182" s="229"/>
      <c r="F182" s="229"/>
      <c r="G182" s="229"/>
      <c r="H182" s="229"/>
      <c r="I182" s="222"/>
      <c r="J182" s="222"/>
      <c r="K182" s="222"/>
    </row>
    <row r="183" spans="2:11">
      <c r="B183" s="228"/>
      <c r="C183" s="228"/>
      <c r="D183" s="229"/>
      <c r="E183" s="229"/>
      <c r="F183" s="229"/>
      <c r="G183" s="229"/>
      <c r="H183" s="229"/>
      <c r="I183" s="222"/>
      <c r="J183" s="222"/>
      <c r="K183" s="222"/>
    </row>
    <row r="184" spans="2:11">
      <c r="B184" s="228"/>
      <c r="C184" s="228"/>
      <c r="D184" s="229"/>
      <c r="E184" s="229"/>
      <c r="F184" s="229"/>
      <c r="G184" s="229"/>
      <c r="H184" s="229"/>
      <c r="I184" s="222"/>
      <c r="J184" s="222"/>
      <c r="K184" s="222"/>
    </row>
    <row r="185" spans="2:11">
      <c r="B185" s="228"/>
      <c r="C185" s="228"/>
      <c r="D185" s="229"/>
      <c r="E185" s="229"/>
      <c r="F185" s="229"/>
      <c r="G185" s="229"/>
      <c r="H185" s="229"/>
      <c r="I185" s="222"/>
      <c r="J185" s="222"/>
      <c r="K185" s="222"/>
    </row>
    <row r="186" spans="2:11">
      <c r="B186" s="228"/>
      <c r="C186" s="228"/>
      <c r="D186" s="229"/>
      <c r="E186" s="229"/>
      <c r="F186" s="229"/>
      <c r="G186" s="229"/>
      <c r="H186" s="229"/>
      <c r="I186" s="222"/>
      <c r="J186" s="222"/>
      <c r="K186" s="222"/>
    </row>
    <row r="187" spans="2:11">
      <c r="B187" s="228"/>
      <c r="C187" s="228"/>
      <c r="D187" s="229"/>
      <c r="E187" s="229"/>
      <c r="F187" s="229"/>
      <c r="G187" s="229"/>
      <c r="H187" s="229"/>
      <c r="I187" s="222"/>
      <c r="J187" s="222"/>
      <c r="K187" s="222"/>
    </row>
    <row r="188" spans="2:11">
      <c r="B188" s="228"/>
      <c r="C188" s="228"/>
      <c r="D188" s="229"/>
      <c r="E188" s="229"/>
      <c r="F188" s="229"/>
      <c r="G188" s="229"/>
      <c r="H188" s="229"/>
      <c r="I188" s="222"/>
      <c r="J188" s="222"/>
      <c r="K188" s="222"/>
    </row>
    <row r="189" spans="2:11">
      <c r="B189" s="228"/>
      <c r="C189" s="228"/>
      <c r="D189" s="229"/>
      <c r="E189" s="229"/>
      <c r="F189" s="229"/>
      <c r="G189" s="229"/>
      <c r="H189" s="229"/>
      <c r="I189" s="222"/>
      <c r="J189" s="222"/>
      <c r="K189" s="222"/>
    </row>
    <row r="190" spans="2:11">
      <c r="B190" s="228"/>
      <c r="C190" s="228"/>
      <c r="D190" s="229"/>
      <c r="E190" s="229"/>
      <c r="F190" s="229"/>
      <c r="G190" s="229"/>
      <c r="H190" s="229"/>
      <c r="I190" s="222"/>
      <c r="J190" s="222"/>
      <c r="K190" s="222"/>
    </row>
    <row r="191" spans="2:11">
      <c r="B191" s="228"/>
      <c r="C191" s="228"/>
      <c r="D191" s="229"/>
      <c r="E191" s="229"/>
      <c r="F191" s="229"/>
      <c r="G191" s="229"/>
      <c r="H191" s="229"/>
      <c r="I191" s="222"/>
      <c r="J191" s="222"/>
      <c r="K191" s="222"/>
    </row>
    <row r="192" spans="2:11">
      <c r="B192" s="228"/>
      <c r="C192" s="228"/>
      <c r="D192" s="229"/>
      <c r="E192" s="229"/>
      <c r="F192" s="229"/>
      <c r="G192" s="229"/>
      <c r="H192" s="229"/>
      <c r="I192" s="222"/>
      <c r="J192" s="222"/>
      <c r="K192" s="222"/>
    </row>
    <row r="193" spans="2:11">
      <c r="B193" s="228"/>
      <c r="C193" s="228"/>
      <c r="D193" s="229"/>
      <c r="E193" s="229"/>
      <c r="F193" s="229"/>
      <c r="G193" s="229"/>
      <c r="H193" s="229"/>
      <c r="I193" s="222"/>
      <c r="J193" s="222"/>
      <c r="K193" s="222"/>
    </row>
    <row r="194" spans="2:11">
      <c r="B194" s="228"/>
      <c r="C194" s="228"/>
      <c r="D194" s="229"/>
      <c r="E194" s="229"/>
      <c r="F194" s="229"/>
      <c r="G194" s="229"/>
      <c r="H194" s="229"/>
      <c r="I194" s="222"/>
      <c r="J194" s="222"/>
      <c r="K194" s="222"/>
    </row>
    <row r="195" spans="2:11">
      <c r="B195" s="228"/>
      <c r="C195" s="228"/>
      <c r="D195" s="229"/>
      <c r="E195" s="229"/>
      <c r="F195" s="229"/>
      <c r="G195" s="229"/>
      <c r="H195" s="229"/>
      <c r="I195" s="222"/>
      <c r="J195" s="222"/>
      <c r="K195" s="222"/>
    </row>
    <row r="196" spans="2:11">
      <c r="B196" s="228"/>
      <c r="C196" s="228"/>
      <c r="D196" s="229"/>
      <c r="E196" s="229"/>
      <c r="F196" s="229"/>
      <c r="G196" s="229"/>
      <c r="H196" s="229"/>
      <c r="I196" s="222"/>
      <c r="J196" s="222"/>
      <c r="K196" s="222"/>
    </row>
    <row r="197" spans="2:11">
      <c r="B197" s="228"/>
      <c r="C197" s="228"/>
      <c r="D197" s="229"/>
      <c r="E197" s="229"/>
      <c r="F197" s="229"/>
      <c r="G197" s="229"/>
      <c r="H197" s="229"/>
      <c r="I197" s="222"/>
      <c r="J197" s="222"/>
      <c r="K197" s="222"/>
    </row>
    <row r="198" spans="2:11">
      <c r="B198" s="228"/>
      <c r="C198" s="228"/>
      <c r="D198" s="229"/>
      <c r="E198" s="229"/>
      <c r="F198" s="229"/>
      <c r="G198" s="229"/>
      <c r="H198" s="229"/>
      <c r="I198" s="222"/>
      <c r="J198" s="222"/>
      <c r="K198" s="222"/>
    </row>
    <row r="199" spans="2:11">
      <c r="B199" s="228"/>
      <c r="C199" s="228"/>
      <c r="D199" s="229"/>
      <c r="E199" s="229"/>
      <c r="F199" s="229"/>
      <c r="G199" s="229"/>
      <c r="H199" s="229"/>
      <c r="I199" s="222"/>
      <c r="J199" s="222"/>
      <c r="K199" s="222"/>
    </row>
    <row r="200" spans="2:11">
      <c r="B200" s="228"/>
      <c r="C200" s="228"/>
      <c r="D200" s="229"/>
      <c r="E200" s="229"/>
      <c r="F200" s="229"/>
      <c r="G200" s="229"/>
      <c r="H200" s="229"/>
      <c r="I200" s="222"/>
      <c r="J200" s="222"/>
      <c r="K200" s="222"/>
    </row>
    <row r="201" spans="2:11">
      <c r="B201" s="228"/>
      <c r="C201" s="228"/>
      <c r="D201" s="229"/>
      <c r="E201" s="229"/>
      <c r="F201" s="229"/>
      <c r="G201" s="229"/>
      <c r="H201" s="229"/>
      <c r="I201" s="222"/>
      <c r="J201" s="222"/>
      <c r="K201" s="222"/>
    </row>
    <row r="202" spans="2:11">
      <c r="B202" s="228"/>
      <c r="C202" s="228"/>
      <c r="D202" s="229"/>
      <c r="E202" s="229"/>
      <c r="F202" s="229"/>
      <c r="G202" s="229"/>
      <c r="H202" s="229"/>
      <c r="I202" s="222"/>
      <c r="J202" s="222"/>
      <c r="K202" s="222"/>
    </row>
    <row r="203" spans="2:11">
      <c r="B203" s="228"/>
      <c r="C203" s="228"/>
      <c r="D203" s="229"/>
      <c r="E203" s="229"/>
      <c r="F203" s="229"/>
      <c r="G203" s="229"/>
      <c r="H203" s="229"/>
      <c r="I203" s="222"/>
      <c r="J203" s="222"/>
      <c r="K203" s="222"/>
    </row>
    <row r="204" spans="2:11">
      <c r="B204" s="228"/>
      <c r="C204" s="228"/>
      <c r="D204" s="229"/>
      <c r="E204" s="229"/>
      <c r="F204" s="229"/>
      <c r="G204" s="229"/>
      <c r="H204" s="229"/>
      <c r="I204" s="222"/>
      <c r="J204" s="222"/>
      <c r="K204" s="222"/>
    </row>
    <row r="205" spans="2:11">
      <c r="B205" s="228"/>
      <c r="C205" s="228"/>
      <c r="D205" s="229"/>
      <c r="E205" s="229"/>
      <c r="F205" s="229"/>
      <c r="G205" s="229"/>
      <c r="H205" s="229"/>
      <c r="I205" s="222"/>
      <c r="J205" s="222"/>
      <c r="K205" s="222"/>
    </row>
    <row r="206" spans="2:11">
      <c r="B206" s="228"/>
      <c r="C206" s="228"/>
      <c r="D206" s="229"/>
      <c r="E206" s="229"/>
      <c r="F206" s="229"/>
      <c r="G206" s="229"/>
      <c r="H206" s="229"/>
      <c r="I206" s="222"/>
      <c r="J206" s="222"/>
      <c r="K206" s="222"/>
    </row>
    <row r="207" spans="2:11">
      <c r="B207" s="228"/>
      <c r="C207" s="228"/>
      <c r="D207" s="229"/>
      <c r="E207" s="229"/>
      <c r="F207" s="229"/>
      <c r="G207" s="229"/>
      <c r="H207" s="229"/>
      <c r="I207" s="222"/>
      <c r="J207" s="222"/>
      <c r="K207" s="222"/>
    </row>
    <row r="208" spans="2:11">
      <c r="B208" s="228"/>
      <c r="C208" s="228"/>
      <c r="D208" s="229"/>
      <c r="E208" s="229"/>
      <c r="F208" s="229"/>
      <c r="G208" s="229"/>
      <c r="H208" s="229"/>
      <c r="I208" s="222"/>
      <c r="J208" s="222"/>
      <c r="K208" s="222"/>
    </row>
    <row r="209" spans="2:11">
      <c r="B209" s="228"/>
      <c r="C209" s="228"/>
      <c r="D209" s="229"/>
      <c r="E209" s="229"/>
      <c r="F209" s="229"/>
      <c r="G209" s="229"/>
      <c r="H209" s="229"/>
      <c r="I209" s="222"/>
      <c r="J209" s="222"/>
      <c r="K209" s="222"/>
    </row>
    <row r="210" spans="2:11">
      <c r="B210" s="228"/>
      <c r="C210" s="228"/>
      <c r="D210" s="229"/>
      <c r="E210" s="229"/>
      <c r="F210" s="229"/>
      <c r="G210" s="229"/>
      <c r="H210" s="229"/>
      <c r="I210" s="222"/>
      <c r="J210" s="222"/>
      <c r="K210" s="222"/>
    </row>
    <row r="211" spans="2:11">
      <c r="B211" s="228"/>
      <c r="C211" s="228"/>
      <c r="D211" s="229"/>
      <c r="E211" s="229"/>
      <c r="F211" s="229"/>
      <c r="G211" s="229"/>
      <c r="H211" s="229"/>
      <c r="I211" s="222"/>
      <c r="J211" s="222"/>
      <c r="K211" s="222"/>
    </row>
    <row r="212" spans="2:11">
      <c r="B212" s="228"/>
      <c r="C212" s="228"/>
      <c r="D212" s="229"/>
      <c r="E212" s="229"/>
      <c r="F212" s="229"/>
      <c r="G212" s="229"/>
      <c r="H212" s="229"/>
      <c r="I212" s="222"/>
      <c r="J212" s="222"/>
      <c r="K212" s="222"/>
    </row>
    <row r="213" spans="2:11">
      <c r="B213" s="228"/>
      <c r="C213" s="228"/>
      <c r="D213" s="229"/>
      <c r="E213" s="229"/>
      <c r="F213" s="229"/>
      <c r="G213" s="229"/>
      <c r="H213" s="229"/>
      <c r="I213" s="222"/>
      <c r="J213" s="222"/>
      <c r="K213" s="222"/>
    </row>
    <row r="214" spans="2:11">
      <c r="B214" s="228"/>
      <c r="C214" s="228"/>
      <c r="D214" s="229"/>
      <c r="E214" s="229"/>
      <c r="F214" s="229"/>
      <c r="G214" s="229"/>
      <c r="H214" s="229"/>
      <c r="I214" s="222"/>
      <c r="J214" s="222"/>
      <c r="K214" s="222"/>
    </row>
    <row r="215" spans="2:11">
      <c r="B215" s="228"/>
      <c r="C215" s="228"/>
      <c r="D215" s="229"/>
      <c r="E215" s="229"/>
      <c r="F215" s="229"/>
      <c r="G215" s="229"/>
      <c r="H215" s="229"/>
      <c r="I215" s="222"/>
      <c r="J215" s="222"/>
      <c r="K215" s="222"/>
    </row>
    <row r="216" spans="2:11">
      <c r="B216" s="228"/>
      <c r="C216" s="228"/>
      <c r="D216" s="229"/>
      <c r="E216" s="229"/>
      <c r="F216" s="229"/>
      <c r="G216" s="229"/>
      <c r="H216" s="229"/>
      <c r="I216" s="222"/>
      <c r="J216" s="222"/>
      <c r="K216" s="222"/>
    </row>
    <row r="217" spans="2:11">
      <c r="B217" s="228"/>
      <c r="C217" s="228"/>
      <c r="D217" s="229"/>
      <c r="E217" s="229"/>
      <c r="F217" s="229"/>
      <c r="G217" s="229"/>
      <c r="H217" s="229"/>
      <c r="I217" s="222"/>
      <c r="J217" s="222"/>
      <c r="K217" s="222"/>
    </row>
    <row r="218" spans="2:11">
      <c r="B218" s="228"/>
      <c r="C218" s="228"/>
      <c r="D218" s="229"/>
      <c r="E218" s="229"/>
      <c r="F218" s="229"/>
      <c r="G218" s="229"/>
      <c r="H218" s="229"/>
      <c r="I218" s="222"/>
      <c r="J218" s="222"/>
      <c r="K218" s="222"/>
    </row>
    <row r="219" spans="2:11">
      <c r="B219" s="228"/>
      <c r="C219" s="228"/>
      <c r="D219" s="229"/>
      <c r="E219" s="229"/>
      <c r="F219" s="229"/>
      <c r="G219" s="229"/>
      <c r="H219" s="229"/>
      <c r="I219" s="222"/>
      <c r="J219" s="222"/>
      <c r="K219" s="222"/>
    </row>
    <row r="220" spans="2:11">
      <c r="B220" s="228"/>
      <c r="C220" s="228"/>
      <c r="D220" s="229"/>
      <c r="E220" s="229"/>
      <c r="F220" s="229"/>
      <c r="G220" s="229"/>
      <c r="H220" s="229"/>
      <c r="I220" s="222"/>
      <c r="J220" s="222"/>
      <c r="K220" s="222"/>
    </row>
    <row r="221" spans="2:11">
      <c r="B221" s="228"/>
      <c r="C221" s="228"/>
      <c r="D221" s="229"/>
      <c r="E221" s="229"/>
      <c r="F221" s="229"/>
      <c r="G221" s="229"/>
      <c r="H221" s="229"/>
      <c r="I221" s="222"/>
      <c r="J221" s="222"/>
      <c r="K221" s="222"/>
    </row>
    <row r="222" spans="2:11">
      <c r="B222" s="228"/>
      <c r="C222" s="228"/>
      <c r="D222" s="229"/>
      <c r="E222" s="229"/>
      <c r="F222" s="229"/>
      <c r="G222" s="229"/>
      <c r="H222" s="229"/>
      <c r="I222" s="222"/>
      <c r="J222" s="222"/>
      <c r="K222" s="222"/>
    </row>
    <row r="223" spans="2:11">
      <c r="B223" s="228"/>
      <c r="C223" s="228"/>
      <c r="D223" s="229"/>
      <c r="E223" s="229"/>
      <c r="F223" s="229"/>
      <c r="G223" s="229"/>
      <c r="H223" s="229"/>
      <c r="I223" s="222"/>
      <c r="J223" s="222"/>
      <c r="K223" s="222"/>
    </row>
    <row r="224" spans="2:11">
      <c r="B224" s="228"/>
      <c r="C224" s="228"/>
      <c r="D224" s="229"/>
      <c r="E224" s="229"/>
      <c r="F224" s="229"/>
      <c r="G224" s="229"/>
      <c r="H224" s="229"/>
      <c r="I224" s="222"/>
      <c r="J224" s="222"/>
      <c r="K224" s="222"/>
    </row>
    <row r="225" spans="2:11">
      <c r="B225" s="228"/>
      <c r="C225" s="228"/>
      <c r="D225" s="229"/>
      <c r="E225" s="229"/>
      <c r="F225" s="229"/>
      <c r="G225" s="229"/>
      <c r="H225" s="229"/>
      <c r="I225" s="222"/>
      <c r="J225" s="222"/>
      <c r="K225" s="222"/>
    </row>
    <row r="226" spans="2:11">
      <c r="B226" s="228"/>
      <c r="C226" s="228"/>
      <c r="D226" s="229"/>
      <c r="E226" s="229"/>
      <c r="F226" s="229"/>
      <c r="G226" s="229"/>
      <c r="H226" s="229"/>
      <c r="I226" s="222"/>
      <c r="J226" s="222"/>
      <c r="K226" s="222"/>
    </row>
    <row r="227" spans="2:11">
      <c r="B227" s="228"/>
      <c r="C227" s="228"/>
      <c r="D227" s="229"/>
      <c r="E227" s="229"/>
      <c r="F227" s="229"/>
      <c r="G227" s="229"/>
      <c r="H227" s="229"/>
      <c r="I227" s="222"/>
      <c r="J227" s="222"/>
      <c r="K227" s="222"/>
    </row>
    <row r="228" spans="2:11">
      <c r="B228" s="228"/>
      <c r="C228" s="228"/>
      <c r="D228" s="229"/>
      <c r="E228" s="229"/>
      <c r="F228" s="229"/>
      <c r="G228" s="229"/>
      <c r="H228" s="229"/>
      <c r="I228" s="222"/>
      <c r="J228" s="222"/>
      <c r="K228" s="222"/>
    </row>
    <row r="229" spans="2:11">
      <c r="B229" s="228"/>
      <c r="C229" s="228"/>
      <c r="D229" s="229"/>
      <c r="E229" s="229"/>
      <c r="F229" s="229"/>
      <c r="G229" s="229"/>
      <c r="H229" s="229"/>
      <c r="I229" s="222"/>
      <c r="J229" s="222"/>
      <c r="K229" s="222"/>
    </row>
    <row r="230" spans="2:11">
      <c r="B230" s="228"/>
      <c r="C230" s="228"/>
      <c r="D230" s="229"/>
      <c r="E230" s="229"/>
      <c r="F230" s="229"/>
      <c r="G230" s="229"/>
      <c r="H230" s="229"/>
      <c r="I230" s="222"/>
      <c r="J230" s="222"/>
      <c r="K230" s="222"/>
    </row>
    <row r="231" spans="2:11">
      <c r="B231" s="228"/>
      <c r="C231" s="228"/>
      <c r="D231" s="229"/>
      <c r="E231" s="229"/>
      <c r="F231" s="229"/>
      <c r="G231" s="229"/>
      <c r="H231" s="229"/>
      <c r="I231" s="222"/>
      <c r="J231" s="222"/>
      <c r="K231" s="222"/>
    </row>
    <row r="232" spans="2:11">
      <c r="B232" s="228"/>
      <c r="C232" s="228"/>
      <c r="D232" s="229"/>
      <c r="E232" s="229"/>
      <c r="F232" s="229"/>
      <c r="G232" s="229"/>
      <c r="H232" s="229"/>
      <c r="I232" s="222"/>
      <c r="J232" s="222"/>
      <c r="K232" s="222"/>
    </row>
    <row r="233" spans="2:11">
      <c r="B233" s="228"/>
      <c r="C233" s="228"/>
      <c r="D233" s="229"/>
      <c r="E233" s="229"/>
      <c r="F233" s="229"/>
      <c r="G233" s="229"/>
      <c r="H233" s="229"/>
      <c r="I233" s="222"/>
      <c r="J233" s="222"/>
      <c r="K233" s="222"/>
    </row>
    <row r="234" spans="2:11">
      <c r="B234" s="228"/>
      <c r="C234" s="228"/>
      <c r="D234" s="229"/>
      <c r="E234" s="229"/>
      <c r="F234" s="229"/>
      <c r="G234" s="229"/>
      <c r="H234" s="229"/>
      <c r="I234" s="222"/>
      <c r="J234" s="222"/>
      <c r="K234" s="222"/>
    </row>
    <row r="235" spans="2:11">
      <c r="B235" s="228"/>
      <c r="C235" s="228"/>
      <c r="D235" s="229"/>
      <c r="E235" s="229"/>
      <c r="F235" s="229"/>
      <c r="G235" s="229"/>
      <c r="H235" s="229"/>
      <c r="I235" s="222"/>
      <c r="J235" s="222"/>
      <c r="K235" s="222"/>
    </row>
    <row r="236" spans="2:11">
      <c r="B236" s="228"/>
      <c r="C236" s="228"/>
      <c r="D236" s="229"/>
      <c r="E236" s="229"/>
      <c r="F236" s="229"/>
      <c r="G236" s="229"/>
      <c r="H236" s="229"/>
      <c r="I236" s="222"/>
      <c r="J236" s="222"/>
      <c r="K236" s="222"/>
    </row>
    <row r="237" spans="2:11">
      <c r="B237" s="228"/>
      <c r="C237" s="228"/>
      <c r="D237" s="229"/>
      <c r="E237" s="229"/>
      <c r="F237" s="229"/>
      <c r="G237" s="229"/>
      <c r="H237" s="229"/>
      <c r="I237" s="222"/>
      <c r="J237" s="222"/>
      <c r="K237" s="222"/>
    </row>
    <row r="238" spans="2:11">
      <c r="B238" s="228"/>
      <c r="C238" s="228"/>
      <c r="D238" s="229"/>
      <c r="E238" s="229"/>
      <c r="F238" s="229"/>
      <c r="G238" s="229"/>
      <c r="H238" s="229"/>
      <c r="I238" s="222"/>
      <c r="J238" s="222"/>
      <c r="K238" s="222"/>
    </row>
    <row r="239" spans="2:11">
      <c r="B239" s="228"/>
      <c r="C239" s="228"/>
      <c r="D239" s="229"/>
      <c r="E239" s="229"/>
      <c r="F239" s="229"/>
      <c r="G239" s="229"/>
      <c r="H239" s="229"/>
      <c r="I239" s="222"/>
      <c r="J239" s="222"/>
      <c r="K239" s="222"/>
    </row>
    <row r="240" spans="2:11">
      <c r="B240" s="228"/>
      <c r="C240" s="228"/>
      <c r="D240" s="229"/>
      <c r="E240" s="229"/>
      <c r="F240" s="229"/>
      <c r="G240" s="229"/>
      <c r="H240" s="229"/>
      <c r="I240" s="222"/>
      <c r="J240" s="222"/>
      <c r="K240" s="222"/>
    </row>
    <row r="241" spans="2:11">
      <c r="B241" s="228"/>
      <c r="C241" s="228"/>
      <c r="D241" s="229"/>
      <c r="E241" s="229"/>
      <c r="F241" s="229"/>
      <c r="G241" s="229"/>
      <c r="H241" s="229"/>
      <c r="I241" s="222"/>
      <c r="J241" s="222"/>
      <c r="K241" s="222"/>
    </row>
    <row r="242" spans="2:11">
      <c r="B242" s="228"/>
      <c r="C242" s="228"/>
      <c r="D242" s="229"/>
      <c r="E242" s="229"/>
      <c r="F242" s="229"/>
      <c r="G242" s="229"/>
      <c r="H242" s="229"/>
      <c r="I242" s="222"/>
      <c r="J242" s="222"/>
      <c r="K242" s="222"/>
    </row>
    <row r="243" spans="2:11">
      <c r="B243" s="228"/>
      <c r="C243" s="228"/>
      <c r="D243" s="229"/>
      <c r="E243" s="229"/>
      <c r="F243" s="229"/>
      <c r="G243" s="229"/>
      <c r="H243" s="229"/>
      <c r="I243" s="222"/>
      <c r="J243" s="222"/>
      <c r="K243" s="222"/>
    </row>
    <row r="244" spans="2:11">
      <c r="B244" s="228"/>
      <c r="C244" s="228"/>
      <c r="D244" s="229"/>
      <c r="E244" s="229"/>
      <c r="F244" s="229"/>
      <c r="G244" s="229"/>
      <c r="H244" s="229"/>
      <c r="I244" s="222"/>
      <c r="J244" s="222"/>
      <c r="K244" s="222"/>
    </row>
    <row r="245" spans="2:11">
      <c r="B245" s="228"/>
      <c r="C245" s="228"/>
      <c r="D245" s="229"/>
      <c r="E245" s="229"/>
      <c r="F245" s="229"/>
      <c r="G245" s="229"/>
      <c r="H245" s="229"/>
      <c r="I245" s="222"/>
      <c r="J245" s="222"/>
      <c r="K245" s="222"/>
    </row>
    <row r="246" spans="2:11">
      <c r="B246" s="228"/>
      <c r="C246" s="228"/>
      <c r="D246" s="229"/>
      <c r="E246" s="229"/>
      <c r="F246" s="229"/>
      <c r="G246" s="229"/>
      <c r="H246" s="229"/>
      <c r="I246" s="222"/>
      <c r="J246" s="222"/>
      <c r="K246" s="222"/>
    </row>
    <row r="247" spans="2:11">
      <c r="B247" s="228"/>
      <c r="C247" s="228"/>
      <c r="D247" s="229"/>
      <c r="E247" s="229"/>
      <c r="F247" s="229"/>
      <c r="G247" s="229"/>
      <c r="H247" s="229"/>
      <c r="I247" s="222"/>
      <c r="J247" s="222"/>
      <c r="K247" s="222"/>
    </row>
    <row r="248" spans="2:11">
      <c r="B248" s="228"/>
      <c r="C248" s="228"/>
      <c r="D248" s="229"/>
      <c r="E248" s="229"/>
      <c r="F248" s="229"/>
      <c r="G248" s="229"/>
      <c r="H248" s="229"/>
      <c r="I248" s="222"/>
      <c r="J248" s="222"/>
      <c r="K248" s="222"/>
    </row>
    <row r="249" spans="2:11">
      <c r="B249" s="228"/>
      <c r="C249" s="228"/>
      <c r="D249" s="229"/>
      <c r="E249" s="229"/>
      <c r="F249" s="229"/>
      <c r="G249" s="229"/>
      <c r="H249" s="229"/>
      <c r="I249" s="222"/>
      <c r="J249" s="222"/>
      <c r="K249" s="222"/>
    </row>
    <row r="250" spans="2:11">
      <c r="B250" s="228"/>
      <c r="C250" s="228"/>
      <c r="D250" s="229"/>
      <c r="E250" s="229"/>
      <c r="F250" s="229"/>
      <c r="G250" s="229"/>
      <c r="H250" s="229"/>
      <c r="I250" s="222"/>
      <c r="J250" s="222"/>
      <c r="K250" s="222"/>
    </row>
    <row r="251" spans="2:11">
      <c r="B251" s="228"/>
      <c r="C251" s="228"/>
      <c r="D251" s="229"/>
      <c r="E251" s="229"/>
      <c r="F251" s="229"/>
      <c r="G251" s="229"/>
      <c r="H251" s="229"/>
      <c r="I251" s="222"/>
      <c r="J251" s="222"/>
      <c r="K251" s="222"/>
    </row>
    <row r="252" spans="2:11">
      <c r="B252" s="228"/>
      <c r="C252" s="228"/>
      <c r="D252" s="229"/>
      <c r="E252" s="229"/>
      <c r="F252" s="229"/>
      <c r="G252" s="229"/>
      <c r="H252" s="229"/>
      <c r="I252" s="222"/>
      <c r="J252" s="222"/>
      <c r="K252" s="222"/>
    </row>
    <row r="253" spans="2:11">
      <c r="B253" s="228"/>
      <c r="C253" s="228"/>
      <c r="D253" s="229"/>
      <c r="E253" s="229"/>
      <c r="F253" s="229"/>
      <c r="G253" s="229"/>
      <c r="H253" s="229"/>
      <c r="I253" s="222"/>
      <c r="J253" s="222"/>
      <c r="K253" s="222"/>
    </row>
    <row r="254" spans="2:11">
      <c r="B254" s="228"/>
      <c r="C254" s="228"/>
      <c r="D254" s="229"/>
      <c r="E254" s="229"/>
      <c r="F254" s="229"/>
      <c r="G254" s="229"/>
      <c r="H254" s="229"/>
      <c r="I254" s="222"/>
      <c r="J254" s="222"/>
      <c r="K254" s="222"/>
    </row>
    <row r="255" spans="2:11">
      <c r="B255" s="228"/>
      <c r="C255" s="228"/>
      <c r="D255" s="229"/>
      <c r="E255" s="229"/>
      <c r="F255" s="229"/>
      <c r="G255" s="229"/>
      <c r="H255" s="229"/>
      <c r="I255" s="222"/>
      <c r="J255" s="222"/>
      <c r="K255" s="222"/>
    </row>
    <row r="256" spans="2:11">
      <c r="B256" s="228"/>
      <c r="C256" s="228"/>
      <c r="D256" s="229"/>
      <c r="E256" s="229"/>
      <c r="F256" s="229"/>
      <c r="G256" s="229"/>
      <c r="H256" s="229"/>
      <c r="I256" s="222"/>
      <c r="J256" s="222"/>
      <c r="K256" s="222"/>
    </row>
    <row r="257" spans="2:11">
      <c r="B257" s="228"/>
      <c r="C257" s="228"/>
      <c r="D257" s="229"/>
      <c r="E257" s="229"/>
      <c r="F257" s="229"/>
      <c r="G257" s="229"/>
      <c r="H257" s="229"/>
      <c r="I257" s="222"/>
      <c r="J257" s="222"/>
      <c r="K257" s="222"/>
    </row>
    <row r="258" spans="2:11">
      <c r="B258" s="228"/>
      <c r="C258" s="228"/>
      <c r="D258" s="229"/>
      <c r="E258" s="229"/>
      <c r="F258" s="229"/>
      <c r="G258" s="229"/>
      <c r="H258" s="229"/>
      <c r="I258" s="222"/>
      <c r="J258" s="222"/>
      <c r="K258" s="222"/>
    </row>
    <row r="259" spans="2:11">
      <c r="B259" s="228"/>
      <c r="C259" s="228"/>
      <c r="D259" s="229"/>
      <c r="E259" s="229"/>
      <c r="F259" s="229"/>
      <c r="G259" s="229"/>
      <c r="H259" s="229"/>
      <c r="I259" s="222"/>
      <c r="J259" s="222"/>
      <c r="K259" s="222"/>
    </row>
    <row r="260" spans="2:11">
      <c r="B260" s="228"/>
      <c r="C260" s="228"/>
      <c r="D260" s="229"/>
      <c r="E260" s="229"/>
      <c r="F260" s="229"/>
      <c r="G260" s="229"/>
      <c r="H260" s="229"/>
      <c r="I260" s="222"/>
      <c r="J260" s="222"/>
      <c r="K260" s="222"/>
    </row>
    <row r="261" spans="2:11">
      <c r="B261" s="228"/>
      <c r="C261" s="228"/>
      <c r="D261" s="229"/>
      <c r="E261" s="229"/>
      <c r="F261" s="229"/>
      <c r="G261" s="229"/>
      <c r="H261" s="229"/>
      <c r="I261" s="222"/>
      <c r="J261" s="222"/>
      <c r="K261" s="222"/>
    </row>
    <row r="262" spans="2:11">
      <c r="B262" s="228"/>
      <c r="C262" s="228"/>
      <c r="D262" s="229"/>
      <c r="E262" s="229"/>
      <c r="F262" s="229"/>
      <c r="G262" s="229"/>
      <c r="H262" s="229"/>
      <c r="I262" s="222"/>
      <c r="J262" s="222"/>
      <c r="K262" s="222"/>
    </row>
    <row r="263" spans="2:11">
      <c r="B263" s="228"/>
      <c r="C263" s="228"/>
      <c r="D263" s="229"/>
      <c r="E263" s="229"/>
      <c r="F263" s="229"/>
      <c r="G263" s="229"/>
      <c r="H263" s="229"/>
      <c r="I263" s="222"/>
      <c r="J263" s="222"/>
      <c r="K263" s="222"/>
    </row>
    <row r="264" spans="2:11">
      <c r="B264" s="228"/>
      <c r="C264" s="228"/>
      <c r="D264" s="229"/>
      <c r="E264" s="229"/>
      <c r="F264" s="229"/>
      <c r="G264" s="229"/>
      <c r="H264" s="229"/>
      <c r="I264" s="222"/>
      <c r="J264" s="222"/>
      <c r="K264" s="222"/>
    </row>
    <row r="265" spans="2:11">
      <c r="B265" s="228"/>
      <c r="C265" s="228"/>
      <c r="D265" s="229"/>
      <c r="E265" s="229"/>
      <c r="F265" s="229"/>
      <c r="G265" s="229"/>
      <c r="H265" s="229"/>
      <c r="I265" s="222"/>
      <c r="J265" s="222"/>
      <c r="K265" s="222"/>
    </row>
    <row r="266" spans="2:11">
      <c r="B266" s="228"/>
      <c r="C266" s="228"/>
      <c r="D266" s="229"/>
      <c r="E266" s="229"/>
      <c r="F266" s="229"/>
      <c r="G266" s="229"/>
      <c r="H266" s="229"/>
      <c r="I266" s="222"/>
      <c r="J266" s="222"/>
      <c r="K266" s="222"/>
    </row>
    <row r="267" spans="2:11">
      <c r="B267" s="228"/>
      <c r="C267" s="228"/>
      <c r="D267" s="229"/>
      <c r="E267" s="229"/>
      <c r="F267" s="229"/>
      <c r="G267" s="229"/>
      <c r="H267" s="229"/>
      <c r="I267" s="222"/>
      <c r="J267" s="222"/>
      <c r="K267" s="222"/>
    </row>
    <row r="268" spans="2:11">
      <c r="B268" s="228"/>
      <c r="C268" s="228"/>
      <c r="D268" s="229"/>
      <c r="E268" s="229"/>
      <c r="F268" s="229"/>
      <c r="G268" s="229"/>
      <c r="H268" s="229"/>
      <c r="I268" s="222"/>
      <c r="J268" s="222"/>
      <c r="K268" s="222"/>
    </row>
    <row r="269" spans="2:11">
      <c r="B269" s="228"/>
      <c r="C269" s="228"/>
      <c r="D269" s="229"/>
      <c r="E269" s="229"/>
      <c r="F269" s="229"/>
      <c r="G269" s="229"/>
      <c r="H269" s="229"/>
      <c r="I269" s="222"/>
      <c r="J269" s="222"/>
      <c r="K269" s="222"/>
    </row>
    <row r="270" spans="2:11">
      <c r="B270" s="228"/>
      <c r="C270" s="228"/>
      <c r="D270" s="229"/>
      <c r="E270" s="229"/>
      <c r="F270" s="229"/>
      <c r="G270" s="229"/>
      <c r="H270" s="229"/>
      <c r="I270" s="222"/>
      <c r="J270" s="222"/>
      <c r="K270" s="222"/>
    </row>
    <row r="271" spans="2:11">
      <c r="B271" s="228"/>
      <c r="C271" s="228"/>
      <c r="D271" s="229"/>
      <c r="E271" s="229"/>
      <c r="F271" s="229"/>
      <c r="G271" s="229"/>
      <c r="H271" s="229"/>
      <c r="I271" s="222"/>
      <c r="J271" s="222"/>
      <c r="K271" s="222"/>
    </row>
    <row r="272" spans="2:11">
      <c r="B272" s="228"/>
      <c r="C272" s="228"/>
      <c r="D272" s="229"/>
      <c r="E272" s="229"/>
      <c r="F272" s="229"/>
      <c r="G272" s="229"/>
      <c r="H272" s="229"/>
      <c r="I272" s="222"/>
      <c r="J272" s="222"/>
      <c r="K272" s="222"/>
    </row>
    <row r="273" spans="2:11">
      <c r="B273" s="228"/>
      <c r="C273" s="228"/>
      <c r="D273" s="229"/>
      <c r="E273" s="229"/>
      <c r="F273" s="229"/>
      <c r="G273" s="229"/>
      <c r="H273" s="229"/>
      <c r="I273" s="222"/>
      <c r="J273" s="222"/>
      <c r="K273" s="222"/>
    </row>
    <row r="274" spans="2:11">
      <c r="B274" s="228"/>
      <c r="C274" s="228"/>
      <c r="D274" s="229"/>
      <c r="E274" s="229"/>
      <c r="F274" s="229"/>
      <c r="G274" s="229"/>
      <c r="H274" s="229"/>
      <c r="I274" s="222"/>
      <c r="J274" s="222"/>
      <c r="K274" s="222"/>
    </row>
    <row r="275" spans="2:11">
      <c r="B275" s="228"/>
      <c r="C275" s="228"/>
      <c r="D275" s="229"/>
      <c r="E275" s="229"/>
      <c r="F275" s="229"/>
      <c r="G275" s="229"/>
      <c r="H275" s="229"/>
      <c r="I275" s="222"/>
      <c r="J275" s="222"/>
      <c r="K275" s="222"/>
    </row>
    <row r="276" spans="2:11">
      <c r="B276" s="228"/>
      <c r="C276" s="228"/>
      <c r="D276" s="229"/>
      <c r="E276" s="229"/>
      <c r="F276" s="229"/>
      <c r="G276" s="229"/>
      <c r="H276" s="229"/>
      <c r="I276" s="222"/>
      <c r="J276" s="222"/>
      <c r="K276" s="222"/>
    </row>
    <row r="277" spans="2:11">
      <c r="B277" s="228"/>
      <c r="C277" s="228"/>
      <c r="D277" s="229"/>
      <c r="E277" s="229"/>
      <c r="F277" s="229"/>
      <c r="G277" s="229"/>
      <c r="H277" s="229"/>
      <c r="I277" s="222"/>
      <c r="J277" s="222"/>
      <c r="K277" s="222"/>
    </row>
    <row r="278" spans="2:11">
      <c r="B278" s="228"/>
      <c r="C278" s="228"/>
      <c r="D278" s="229"/>
      <c r="E278" s="229"/>
      <c r="F278" s="229"/>
      <c r="G278" s="229"/>
      <c r="H278" s="229"/>
      <c r="I278" s="222"/>
      <c r="J278" s="222"/>
      <c r="K278" s="222"/>
    </row>
    <row r="279" spans="2:11">
      <c r="B279" s="228"/>
      <c r="C279" s="228"/>
      <c r="D279" s="229"/>
      <c r="E279" s="229"/>
      <c r="F279" s="229"/>
      <c r="G279" s="229"/>
      <c r="H279" s="229"/>
      <c r="I279" s="222"/>
      <c r="J279" s="222"/>
      <c r="K279" s="222"/>
    </row>
    <row r="280" spans="2:11">
      <c r="B280" s="228"/>
      <c r="C280" s="228"/>
      <c r="D280" s="229"/>
      <c r="E280" s="229"/>
      <c r="F280" s="229"/>
      <c r="G280" s="229"/>
      <c r="H280" s="229"/>
      <c r="I280" s="222"/>
      <c r="J280" s="222"/>
      <c r="K280" s="222"/>
    </row>
    <row r="281" spans="2:11">
      <c r="B281" s="228"/>
      <c r="C281" s="228"/>
      <c r="D281" s="229"/>
      <c r="E281" s="229"/>
      <c r="F281" s="229"/>
      <c r="G281" s="229"/>
      <c r="H281" s="229"/>
      <c r="I281" s="222"/>
      <c r="J281" s="222"/>
      <c r="K281" s="222"/>
    </row>
    <row r="282" spans="2:11">
      <c r="B282" s="228"/>
      <c r="C282" s="228"/>
      <c r="D282" s="229"/>
      <c r="E282" s="229"/>
      <c r="F282" s="229"/>
      <c r="G282" s="229"/>
      <c r="H282" s="229"/>
      <c r="I282" s="222"/>
      <c r="J282" s="222"/>
      <c r="K282" s="222"/>
    </row>
    <row r="283" spans="2:11">
      <c r="B283" s="228"/>
      <c r="C283" s="228"/>
      <c r="D283" s="229"/>
      <c r="E283" s="229"/>
      <c r="F283" s="229"/>
      <c r="G283" s="229"/>
      <c r="H283" s="229"/>
      <c r="I283" s="222"/>
      <c r="J283" s="222"/>
      <c r="K283" s="222"/>
    </row>
    <row r="284" spans="2:11">
      <c r="B284" s="228"/>
      <c r="C284" s="228"/>
      <c r="D284" s="229"/>
      <c r="E284" s="229"/>
      <c r="F284" s="229"/>
      <c r="G284" s="229"/>
      <c r="H284" s="229"/>
      <c r="I284" s="222"/>
      <c r="J284" s="222"/>
      <c r="K284" s="222"/>
    </row>
    <row r="285" spans="2:11">
      <c r="B285" s="228"/>
      <c r="C285" s="228"/>
      <c r="D285" s="229"/>
      <c r="E285" s="229"/>
      <c r="F285" s="229"/>
      <c r="G285" s="229"/>
      <c r="H285" s="229"/>
      <c r="I285" s="222"/>
      <c r="J285" s="222"/>
      <c r="K285" s="222"/>
    </row>
    <row r="286" spans="2:11">
      <c r="B286" s="228"/>
      <c r="C286" s="228"/>
      <c r="D286" s="229"/>
      <c r="E286" s="229"/>
      <c r="F286" s="229"/>
      <c r="G286" s="229"/>
      <c r="H286" s="229"/>
      <c r="I286" s="222"/>
      <c r="J286" s="222"/>
      <c r="K286" s="222"/>
    </row>
    <row r="287" spans="2:11">
      <c r="B287" s="228"/>
      <c r="C287" s="228"/>
      <c r="D287" s="229"/>
      <c r="E287" s="229"/>
      <c r="F287" s="229"/>
      <c r="G287" s="229"/>
      <c r="H287" s="229"/>
      <c r="I287" s="222"/>
      <c r="J287" s="222"/>
      <c r="K287" s="222"/>
    </row>
    <row r="288" spans="2:11">
      <c r="B288" s="228"/>
      <c r="C288" s="228"/>
      <c r="D288" s="229"/>
      <c r="E288" s="229"/>
      <c r="F288" s="229"/>
      <c r="G288" s="229"/>
      <c r="H288" s="229"/>
      <c r="I288" s="222"/>
      <c r="J288" s="222"/>
      <c r="K288" s="222"/>
    </row>
    <row r="289" spans="2:11">
      <c r="B289" s="228"/>
      <c r="C289" s="228"/>
      <c r="D289" s="229"/>
      <c r="E289" s="229"/>
      <c r="F289" s="229"/>
      <c r="G289" s="229"/>
      <c r="H289" s="229"/>
      <c r="I289" s="222"/>
      <c r="J289" s="222"/>
      <c r="K289" s="222"/>
    </row>
    <row r="290" spans="2:11">
      <c r="B290" s="228"/>
      <c r="C290" s="228"/>
      <c r="D290" s="229"/>
      <c r="E290" s="229"/>
      <c r="F290" s="229"/>
      <c r="G290" s="229"/>
      <c r="H290" s="229"/>
      <c r="I290" s="222"/>
      <c r="J290" s="222"/>
      <c r="K290" s="222"/>
    </row>
    <row r="291" spans="2:11">
      <c r="B291" s="228"/>
      <c r="C291" s="228"/>
      <c r="D291" s="229"/>
      <c r="E291" s="229"/>
      <c r="F291" s="229"/>
      <c r="G291" s="229"/>
      <c r="H291" s="229"/>
      <c r="I291" s="222"/>
      <c r="J291" s="222"/>
      <c r="K291" s="222"/>
    </row>
    <row r="292" spans="2:11">
      <c r="B292" s="228"/>
      <c r="C292" s="228"/>
      <c r="D292" s="229"/>
      <c r="E292" s="229"/>
      <c r="F292" s="229"/>
      <c r="G292" s="229"/>
      <c r="H292" s="229"/>
      <c r="I292" s="222"/>
      <c r="J292" s="222"/>
      <c r="K292" s="222"/>
    </row>
    <row r="293" spans="2:11">
      <c r="B293" s="228"/>
      <c r="C293" s="228"/>
      <c r="D293" s="229"/>
      <c r="E293" s="229"/>
      <c r="F293" s="229"/>
      <c r="G293" s="229"/>
      <c r="H293" s="229"/>
      <c r="I293" s="222"/>
      <c r="J293" s="222"/>
      <c r="K293" s="222"/>
    </row>
    <row r="294" spans="2:11">
      <c r="B294" s="228"/>
      <c r="C294" s="228"/>
      <c r="D294" s="229"/>
      <c r="E294" s="229"/>
      <c r="F294" s="229"/>
      <c r="G294" s="229"/>
      <c r="H294" s="229"/>
      <c r="I294" s="222"/>
      <c r="J294" s="222"/>
      <c r="K294" s="222"/>
    </row>
    <row r="295" spans="2:11">
      <c r="B295" s="228"/>
      <c r="C295" s="228"/>
      <c r="D295" s="229"/>
      <c r="E295" s="229"/>
      <c r="F295" s="229"/>
      <c r="G295" s="229"/>
      <c r="H295" s="229"/>
      <c r="I295" s="222"/>
      <c r="J295" s="222"/>
      <c r="K295" s="222"/>
    </row>
    <row r="296" spans="2:11">
      <c r="B296" s="228"/>
      <c r="C296" s="228"/>
      <c r="D296" s="229"/>
      <c r="E296" s="229"/>
      <c r="F296" s="229"/>
      <c r="G296" s="229"/>
      <c r="H296" s="229"/>
      <c r="I296" s="222"/>
      <c r="J296" s="222"/>
      <c r="K296" s="222"/>
    </row>
    <row r="297" spans="2:11">
      <c r="B297" s="228"/>
      <c r="C297" s="228"/>
      <c r="D297" s="229"/>
      <c r="E297" s="229"/>
      <c r="F297" s="229"/>
      <c r="G297" s="229"/>
      <c r="H297" s="229"/>
      <c r="I297" s="222"/>
      <c r="J297" s="222"/>
      <c r="K297" s="222"/>
    </row>
    <row r="298" spans="2:11">
      <c r="B298" s="228"/>
      <c r="C298" s="228"/>
      <c r="D298" s="229"/>
      <c r="E298" s="229"/>
      <c r="F298" s="229"/>
      <c r="G298" s="229"/>
      <c r="H298" s="229"/>
      <c r="I298" s="222"/>
      <c r="J298" s="222"/>
      <c r="K298" s="222"/>
    </row>
    <row r="299" spans="2:11">
      <c r="B299" s="228"/>
      <c r="C299" s="228"/>
      <c r="D299" s="229"/>
      <c r="E299" s="229"/>
      <c r="F299" s="229"/>
      <c r="G299" s="229"/>
      <c r="H299" s="229"/>
      <c r="I299" s="222"/>
      <c r="J299" s="222"/>
      <c r="K299" s="222"/>
    </row>
    <row r="300" spans="2:11">
      <c r="B300" s="228"/>
      <c r="C300" s="228"/>
      <c r="D300" s="229"/>
      <c r="E300" s="229"/>
      <c r="F300" s="229"/>
      <c r="G300" s="229"/>
      <c r="H300" s="229"/>
      <c r="I300" s="222"/>
      <c r="J300" s="222"/>
      <c r="K300" s="222"/>
    </row>
    <row r="301" spans="2:11">
      <c r="B301" s="228"/>
      <c r="C301" s="228"/>
      <c r="D301" s="229"/>
      <c r="E301" s="229"/>
      <c r="F301" s="229"/>
      <c r="G301" s="229"/>
      <c r="H301" s="229"/>
      <c r="I301" s="222"/>
      <c r="J301" s="222"/>
      <c r="K301" s="222"/>
    </row>
    <row r="302" spans="2:11">
      <c r="B302" s="228"/>
      <c r="C302" s="228"/>
      <c r="D302" s="229"/>
      <c r="E302" s="229"/>
      <c r="F302" s="229"/>
      <c r="G302" s="229"/>
      <c r="H302" s="229"/>
      <c r="I302" s="222"/>
      <c r="J302" s="222"/>
      <c r="K302" s="222"/>
    </row>
    <row r="303" spans="2:11">
      <c r="B303" s="228"/>
      <c r="C303" s="228"/>
      <c r="D303" s="229"/>
      <c r="E303" s="229"/>
      <c r="F303" s="229"/>
      <c r="G303" s="229"/>
      <c r="H303" s="229"/>
      <c r="I303" s="222"/>
      <c r="J303" s="222"/>
      <c r="K303" s="222"/>
    </row>
    <row r="304" spans="2:11">
      <c r="B304" s="228"/>
      <c r="C304" s="228"/>
      <c r="D304" s="229"/>
      <c r="E304" s="229"/>
      <c r="F304" s="229"/>
      <c r="G304" s="229"/>
      <c r="H304" s="229"/>
      <c r="I304" s="222"/>
      <c r="J304" s="222"/>
      <c r="K304" s="222"/>
    </row>
    <row r="305" spans="2:11">
      <c r="B305" s="228"/>
      <c r="C305" s="228"/>
      <c r="D305" s="229"/>
      <c r="E305" s="229"/>
      <c r="F305" s="229"/>
      <c r="G305" s="229"/>
      <c r="H305" s="229"/>
      <c r="I305" s="222"/>
      <c r="J305" s="222"/>
      <c r="K305" s="222"/>
    </row>
    <row r="306" spans="2:11">
      <c r="B306" s="228"/>
      <c r="C306" s="228"/>
      <c r="D306" s="229"/>
      <c r="E306" s="229"/>
      <c r="F306" s="229"/>
      <c r="G306" s="229"/>
      <c r="H306" s="229"/>
      <c r="I306" s="222"/>
      <c r="J306" s="222"/>
      <c r="K306" s="222"/>
    </row>
    <row r="307" spans="2:11">
      <c r="B307" s="228"/>
      <c r="C307" s="228"/>
      <c r="D307" s="229"/>
      <c r="E307" s="229"/>
      <c r="F307" s="229"/>
      <c r="G307" s="229"/>
      <c r="H307" s="229"/>
      <c r="I307" s="222"/>
      <c r="J307" s="222"/>
      <c r="K307" s="222"/>
    </row>
    <row r="308" spans="2:11">
      <c r="B308" s="228"/>
      <c r="C308" s="228"/>
      <c r="D308" s="229"/>
      <c r="E308" s="229"/>
      <c r="F308" s="229"/>
      <c r="G308" s="229"/>
      <c r="H308" s="229"/>
      <c r="I308" s="222"/>
      <c r="J308" s="222"/>
      <c r="K308" s="222"/>
    </row>
    <row r="309" spans="2:11">
      <c r="B309" s="228"/>
      <c r="C309" s="228"/>
      <c r="D309" s="229"/>
      <c r="E309" s="229"/>
      <c r="F309" s="229"/>
      <c r="G309" s="229"/>
      <c r="H309" s="229"/>
      <c r="I309" s="222"/>
      <c r="J309" s="222"/>
      <c r="K309" s="222"/>
    </row>
    <row r="310" spans="2:11">
      <c r="B310" s="228"/>
      <c r="C310" s="228"/>
      <c r="D310" s="229"/>
      <c r="E310" s="229"/>
      <c r="F310" s="229"/>
      <c r="G310" s="229"/>
      <c r="H310" s="229"/>
      <c r="I310" s="222"/>
      <c r="J310" s="222"/>
      <c r="K310" s="222"/>
    </row>
    <row r="311" spans="2:11">
      <c r="B311" s="228"/>
      <c r="C311" s="228"/>
      <c r="D311" s="229"/>
      <c r="E311" s="229"/>
      <c r="F311" s="229"/>
      <c r="G311" s="229"/>
      <c r="H311" s="229"/>
      <c r="I311" s="222"/>
      <c r="J311" s="222"/>
      <c r="K311" s="222"/>
    </row>
    <row r="312" spans="2:11">
      <c r="B312" s="228"/>
      <c r="C312" s="228"/>
      <c r="D312" s="229"/>
      <c r="E312" s="229"/>
      <c r="F312" s="229"/>
      <c r="G312" s="229"/>
      <c r="H312" s="229"/>
      <c r="I312" s="222"/>
      <c r="J312" s="222"/>
      <c r="K312" s="222"/>
    </row>
    <row r="313" spans="2:11">
      <c r="B313" s="228"/>
      <c r="C313" s="228"/>
      <c r="D313" s="229"/>
      <c r="E313" s="229"/>
      <c r="F313" s="229"/>
      <c r="G313" s="229"/>
      <c r="H313" s="229"/>
      <c r="I313" s="222"/>
      <c r="J313" s="222"/>
      <c r="K313" s="222"/>
    </row>
    <row r="314" spans="2:11">
      <c r="B314" s="228"/>
      <c r="C314" s="228"/>
      <c r="D314" s="229"/>
      <c r="E314" s="229"/>
      <c r="F314" s="229"/>
      <c r="G314" s="229"/>
      <c r="H314" s="229"/>
      <c r="I314" s="222"/>
      <c r="J314" s="222"/>
      <c r="K314" s="222"/>
    </row>
    <row r="315" spans="2:11">
      <c r="B315" s="228"/>
      <c r="C315" s="228"/>
      <c r="D315" s="229"/>
      <c r="E315" s="229"/>
      <c r="F315" s="229"/>
      <c r="G315" s="229"/>
      <c r="H315" s="229"/>
      <c r="I315" s="222"/>
      <c r="J315" s="222"/>
      <c r="K315" s="222"/>
    </row>
    <row r="316" spans="2:11">
      <c r="B316" s="228"/>
      <c r="C316" s="228"/>
      <c r="D316" s="229"/>
      <c r="E316" s="229"/>
      <c r="F316" s="229"/>
      <c r="G316" s="229"/>
      <c r="H316" s="229"/>
      <c r="I316" s="222"/>
      <c r="J316" s="222"/>
      <c r="K316" s="222"/>
    </row>
    <row r="317" spans="2:11">
      <c r="B317" s="228"/>
      <c r="C317" s="228"/>
      <c r="D317" s="229"/>
      <c r="E317" s="229"/>
      <c r="F317" s="229"/>
      <c r="G317" s="229"/>
      <c r="H317" s="229"/>
      <c r="I317" s="222"/>
      <c r="J317" s="222"/>
      <c r="K317" s="222"/>
    </row>
    <row r="318" spans="2:11">
      <c r="B318" s="228"/>
      <c r="C318" s="228"/>
      <c r="D318" s="229"/>
      <c r="E318" s="229"/>
      <c r="F318" s="229"/>
      <c r="G318" s="229"/>
      <c r="H318" s="229"/>
      <c r="I318" s="222"/>
      <c r="J318" s="222"/>
      <c r="K318" s="222"/>
    </row>
    <row r="319" spans="2:11">
      <c r="B319" s="228"/>
      <c r="C319" s="228"/>
      <c r="D319" s="229"/>
      <c r="E319" s="229"/>
      <c r="F319" s="229"/>
      <c r="G319" s="229"/>
      <c r="H319" s="229"/>
      <c r="I319" s="222"/>
      <c r="J319" s="222"/>
      <c r="K319" s="222"/>
    </row>
    <row r="320" spans="2:11">
      <c r="B320" s="228"/>
      <c r="C320" s="228"/>
      <c r="D320" s="229"/>
      <c r="E320" s="229"/>
      <c r="F320" s="229"/>
      <c r="G320" s="229"/>
      <c r="H320" s="229"/>
      <c r="I320" s="222"/>
      <c r="J320" s="222"/>
      <c r="K320" s="222"/>
    </row>
    <row r="321" spans="2:11">
      <c r="B321" s="228"/>
      <c r="C321" s="228"/>
      <c r="D321" s="229"/>
      <c r="E321" s="229"/>
      <c r="F321" s="229"/>
      <c r="G321" s="229"/>
      <c r="H321" s="229"/>
      <c r="I321" s="222"/>
      <c r="J321" s="222"/>
      <c r="K321" s="222"/>
    </row>
    <row r="322" spans="2:11">
      <c r="B322" s="228"/>
      <c r="C322" s="228"/>
      <c r="D322" s="229"/>
      <c r="E322" s="229"/>
      <c r="F322" s="229"/>
      <c r="G322" s="229"/>
      <c r="H322" s="229"/>
      <c r="I322" s="222"/>
      <c r="J322" s="222"/>
      <c r="K322" s="222"/>
    </row>
    <row r="323" spans="2:11">
      <c r="B323" s="228"/>
      <c r="C323" s="228"/>
      <c r="D323" s="229"/>
      <c r="E323" s="229"/>
      <c r="F323" s="229"/>
      <c r="G323" s="229"/>
      <c r="H323" s="229"/>
      <c r="I323" s="222"/>
      <c r="J323" s="222"/>
      <c r="K323" s="222"/>
    </row>
    <row r="324" spans="2:11">
      <c r="B324" s="228"/>
      <c r="C324" s="228"/>
      <c r="D324" s="229"/>
      <c r="E324" s="229"/>
      <c r="F324" s="229"/>
      <c r="G324" s="229"/>
      <c r="H324" s="229"/>
      <c r="I324" s="222"/>
      <c r="J324" s="222"/>
      <c r="K324" s="222"/>
    </row>
    <row r="325" spans="2:11">
      <c r="B325" s="228"/>
      <c r="C325" s="228"/>
      <c r="D325" s="229"/>
      <c r="E325" s="229"/>
      <c r="F325" s="229"/>
      <c r="G325" s="229"/>
      <c r="H325" s="229"/>
      <c r="I325" s="222"/>
      <c r="J325" s="222"/>
      <c r="K325" s="222"/>
    </row>
    <row r="326" spans="2:11">
      <c r="B326" s="228"/>
      <c r="C326" s="228"/>
      <c r="D326" s="229"/>
      <c r="E326" s="229"/>
      <c r="F326" s="229"/>
      <c r="G326" s="229"/>
      <c r="H326" s="229"/>
      <c r="I326" s="222"/>
      <c r="J326" s="222"/>
      <c r="K326" s="222"/>
    </row>
    <row r="327" spans="2:11">
      <c r="B327" s="228"/>
      <c r="C327" s="228"/>
      <c r="D327" s="229"/>
      <c r="E327" s="229"/>
      <c r="F327" s="229"/>
      <c r="G327" s="229"/>
      <c r="H327" s="229"/>
      <c r="I327" s="222"/>
      <c r="J327" s="222"/>
      <c r="K327" s="222"/>
    </row>
    <row r="328" spans="2:11">
      <c r="B328" s="228"/>
      <c r="C328" s="228"/>
      <c r="D328" s="229"/>
      <c r="E328" s="229"/>
      <c r="F328" s="229"/>
      <c r="G328" s="229"/>
      <c r="H328" s="229"/>
      <c r="I328" s="222"/>
      <c r="J328" s="222"/>
      <c r="K328" s="222"/>
    </row>
    <row r="329" spans="2:11">
      <c r="B329" s="228"/>
      <c r="C329" s="228"/>
      <c r="D329" s="229"/>
      <c r="E329" s="229"/>
      <c r="F329" s="229"/>
      <c r="G329" s="229"/>
      <c r="H329" s="229"/>
      <c r="I329" s="222"/>
      <c r="J329" s="222"/>
      <c r="K329" s="222"/>
    </row>
    <row r="330" spans="2:11">
      <c r="B330" s="228"/>
      <c r="C330" s="228"/>
      <c r="D330" s="229"/>
      <c r="E330" s="229"/>
      <c r="F330" s="229"/>
      <c r="G330" s="229"/>
      <c r="H330" s="229"/>
      <c r="I330" s="222"/>
      <c r="J330" s="222"/>
      <c r="K330" s="222"/>
    </row>
    <row r="331" spans="2:11">
      <c r="B331" s="228"/>
      <c r="C331" s="228"/>
      <c r="D331" s="229"/>
      <c r="E331" s="229"/>
      <c r="F331" s="229"/>
      <c r="G331" s="229"/>
      <c r="H331" s="229"/>
      <c r="I331" s="222"/>
      <c r="J331" s="222"/>
      <c r="K331" s="222"/>
    </row>
    <row r="332" spans="2:11">
      <c r="B332" s="228"/>
      <c r="C332" s="228"/>
      <c r="D332" s="229"/>
      <c r="E332" s="229"/>
      <c r="F332" s="229"/>
      <c r="G332" s="229"/>
      <c r="H332" s="229"/>
      <c r="I332" s="222"/>
      <c r="J332" s="222"/>
      <c r="K332" s="222"/>
    </row>
    <row r="333" spans="2:11">
      <c r="B333" s="228"/>
      <c r="C333" s="228"/>
      <c r="D333" s="229"/>
      <c r="E333" s="229"/>
      <c r="F333" s="229"/>
      <c r="G333" s="229"/>
      <c r="H333" s="229"/>
      <c r="I333" s="222"/>
      <c r="J333" s="222"/>
      <c r="K333" s="222"/>
    </row>
    <row r="334" spans="2:11">
      <c r="B334" s="228"/>
      <c r="C334" s="228"/>
      <c r="D334" s="229"/>
      <c r="E334" s="229"/>
      <c r="F334" s="229"/>
      <c r="G334" s="229"/>
      <c r="H334" s="229"/>
      <c r="I334" s="222"/>
      <c r="J334" s="222"/>
      <c r="K334" s="222"/>
    </row>
    <row r="335" spans="2:11">
      <c r="B335" s="228"/>
      <c r="C335" s="228"/>
      <c r="D335" s="229"/>
      <c r="E335" s="229"/>
      <c r="F335" s="229"/>
      <c r="G335" s="229"/>
      <c r="H335" s="229"/>
      <c r="I335" s="222"/>
      <c r="J335" s="222"/>
      <c r="K335" s="222"/>
    </row>
    <row r="336" spans="2:11">
      <c r="B336" s="228"/>
      <c r="C336" s="228"/>
      <c r="D336" s="229"/>
      <c r="E336" s="229"/>
      <c r="F336" s="229"/>
      <c r="G336" s="229"/>
      <c r="H336" s="229"/>
      <c r="I336" s="222"/>
      <c r="J336" s="222"/>
      <c r="K336" s="222"/>
    </row>
    <row r="337" spans="2:11">
      <c r="B337" s="228"/>
      <c r="C337" s="228"/>
      <c r="D337" s="229"/>
      <c r="E337" s="229"/>
      <c r="F337" s="229"/>
      <c r="G337" s="229"/>
      <c r="H337" s="229"/>
      <c r="I337" s="222"/>
      <c r="J337" s="222"/>
      <c r="K337" s="222"/>
    </row>
    <row r="338" spans="2:11">
      <c r="B338" s="228"/>
      <c r="C338" s="228"/>
      <c r="D338" s="229"/>
      <c r="E338" s="229"/>
      <c r="F338" s="229"/>
      <c r="G338" s="229"/>
      <c r="H338" s="229"/>
      <c r="I338" s="222"/>
      <c r="J338" s="222"/>
      <c r="K338" s="222"/>
    </row>
    <row r="339" spans="2:11">
      <c r="B339" s="228"/>
      <c r="C339" s="228"/>
      <c r="D339" s="229"/>
      <c r="E339" s="229"/>
      <c r="F339" s="229"/>
      <c r="G339" s="229"/>
      <c r="H339" s="229"/>
      <c r="I339" s="222"/>
      <c r="J339" s="222"/>
      <c r="K339" s="222"/>
    </row>
    <row r="340" spans="2:11">
      <c r="B340" s="228"/>
      <c r="C340" s="228"/>
      <c r="D340" s="229"/>
      <c r="E340" s="229"/>
      <c r="F340" s="229"/>
      <c r="G340" s="229"/>
      <c r="H340" s="229"/>
      <c r="I340" s="222"/>
      <c r="J340" s="222"/>
      <c r="K340" s="222"/>
    </row>
    <row r="341" spans="2:11">
      <c r="B341" s="228"/>
      <c r="C341" s="228"/>
      <c r="D341" s="229"/>
      <c r="E341" s="229"/>
      <c r="F341" s="229"/>
      <c r="G341" s="229"/>
      <c r="H341" s="229"/>
      <c r="I341" s="222"/>
      <c r="J341" s="222"/>
      <c r="K341" s="222"/>
    </row>
    <row r="342" spans="2:11">
      <c r="B342" s="228"/>
      <c r="C342" s="228"/>
      <c r="D342" s="229"/>
      <c r="E342" s="229"/>
      <c r="F342" s="229"/>
      <c r="G342" s="229"/>
      <c r="H342" s="229"/>
      <c r="I342" s="222"/>
      <c r="J342" s="222"/>
      <c r="K342" s="222"/>
    </row>
    <row r="343" spans="2:11">
      <c r="B343" s="228"/>
      <c r="C343" s="228"/>
      <c r="D343" s="229"/>
      <c r="E343" s="229"/>
      <c r="F343" s="229"/>
      <c r="G343" s="229"/>
      <c r="H343" s="229"/>
      <c r="I343" s="222"/>
      <c r="J343" s="222"/>
      <c r="K343" s="222"/>
    </row>
    <row r="344" spans="2:11">
      <c r="B344" s="228"/>
      <c r="C344" s="228"/>
      <c r="D344" s="229"/>
      <c r="E344" s="229"/>
      <c r="F344" s="229"/>
      <c r="G344" s="229"/>
      <c r="H344" s="229"/>
      <c r="I344" s="222"/>
      <c r="J344" s="222"/>
      <c r="K344" s="222"/>
    </row>
    <row r="345" spans="2:11">
      <c r="B345" s="228"/>
      <c r="C345" s="228"/>
      <c r="D345" s="229"/>
      <c r="E345" s="229"/>
      <c r="F345" s="229"/>
      <c r="G345" s="229"/>
      <c r="H345" s="229"/>
      <c r="I345" s="222"/>
      <c r="J345" s="222"/>
      <c r="K345" s="222"/>
    </row>
    <row r="346" spans="2:11">
      <c r="B346" s="228"/>
      <c r="C346" s="228"/>
      <c r="D346" s="229"/>
      <c r="E346" s="229"/>
      <c r="F346" s="229"/>
      <c r="G346" s="229"/>
      <c r="H346" s="229"/>
      <c r="I346" s="222"/>
      <c r="J346" s="222"/>
      <c r="K346" s="222"/>
    </row>
    <row r="347" spans="2:11">
      <c r="B347" s="228"/>
      <c r="C347" s="228"/>
      <c r="D347" s="229"/>
      <c r="E347" s="229"/>
      <c r="F347" s="229"/>
      <c r="G347" s="229"/>
      <c r="H347" s="229"/>
      <c r="I347" s="222"/>
      <c r="J347" s="222"/>
      <c r="K347" s="222"/>
    </row>
    <row r="348" spans="2:11">
      <c r="B348" s="228"/>
      <c r="C348" s="228"/>
      <c r="D348" s="229"/>
      <c r="E348" s="229"/>
      <c r="F348" s="229"/>
      <c r="G348" s="229"/>
      <c r="H348" s="229"/>
      <c r="I348" s="222"/>
      <c r="J348" s="222"/>
      <c r="K348" s="222"/>
    </row>
    <row r="349" spans="2:11">
      <c r="B349" s="228"/>
      <c r="C349" s="228"/>
      <c r="D349" s="229"/>
      <c r="E349" s="229"/>
      <c r="F349" s="229"/>
      <c r="G349" s="229"/>
      <c r="H349" s="229"/>
      <c r="I349" s="222"/>
      <c r="J349" s="222"/>
      <c r="K349" s="222"/>
    </row>
    <row r="350" spans="2:11">
      <c r="B350" s="228"/>
      <c r="C350" s="228"/>
      <c r="D350" s="229"/>
      <c r="E350" s="229"/>
      <c r="F350" s="229"/>
      <c r="G350" s="229"/>
      <c r="H350" s="229"/>
      <c r="I350" s="222"/>
      <c r="J350" s="222"/>
      <c r="K350" s="222"/>
    </row>
    <row r="351" spans="2:11">
      <c r="B351" s="228"/>
      <c r="C351" s="228"/>
      <c r="D351" s="229"/>
      <c r="E351" s="229"/>
      <c r="F351" s="229"/>
      <c r="G351" s="229"/>
      <c r="H351" s="229"/>
      <c r="I351" s="222"/>
      <c r="J351" s="222"/>
      <c r="K351" s="222"/>
    </row>
    <row r="352" spans="2:11">
      <c r="B352" s="228"/>
      <c r="C352" s="228"/>
      <c r="D352" s="229"/>
      <c r="E352" s="229"/>
      <c r="F352" s="229"/>
      <c r="G352" s="229"/>
      <c r="H352" s="229"/>
      <c r="I352" s="222"/>
      <c r="J352" s="222"/>
      <c r="K352" s="222"/>
    </row>
    <row r="353" spans="2:11">
      <c r="B353" s="228"/>
      <c r="C353" s="228"/>
      <c r="D353" s="229"/>
      <c r="E353" s="229"/>
      <c r="F353" s="229"/>
      <c r="G353" s="229"/>
      <c r="H353" s="229"/>
      <c r="I353" s="222"/>
      <c r="J353" s="222"/>
      <c r="K353" s="222"/>
    </row>
    <row r="354" spans="2:11">
      <c r="B354" s="228"/>
      <c r="C354" s="228"/>
      <c r="D354" s="229"/>
      <c r="E354" s="229"/>
      <c r="F354" s="229"/>
      <c r="G354" s="229"/>
      <c r="H354" s="229"/>
      <c r="I354" s="222"/>
      <c r="J354" s="222"/>
      <c r="K354" s="222"/>
    </row>
    <row r="355" spans="2:11">
      <c r="B355" s="228"/>
      <c r="C355" s="228"/>
      <c r="D355" s="229"/>
      <c r="E355" s="229"/>
      <c r="F355" s="229"/>
      <c r="G355" s="229"/>
      <c r="H355" s="229"/>
      <c r="I355" s="222"/>
      <c r="J355" s="222"/>
      <c r="K355" s="222"/>
    </row>
    <row r="356" spans="2:11">
      <c r="B356" s="228"/>
      <c r="C356" s="228"/>
      <c r="D356" s="229"/>
      <c r="E356" s="229"/>
      <c r="F356" s="229"/>
      <c r="G356" s="229"/>
      <c r="H356" s="229"/>
      <c r="I356" s="222"/>
      <c r="J356" s="222"/>
      <c r="K356" s="222"/>
    </row>
    <row r="357" spans="2:11">
      <c r="B357" s="228"/>
      <c r="C357" s="228"/>
      <c r="D357" s="229"/>
      <c r="E357" s="229"/>
      <c r="F357" s="229"/>
      <c r="G357" s="229"/>
      <c r="H357" s="229"/>
      <c r="I357" s="222"/>
      <c r="J357" s="222"/>
      <c r="K357" s="222"/>
    </row>
    <row r="358" spans="2:11">
      <c r="B358" s="228"/>
      <c r="C358" s="228"/>
      <c r="D358" s="229"/>
      <c r="E358" s="229"/>
      <c r="F358" s="229"/>
      <c r="G358" s="229"/>
      <c r="H358" s="229"/>
      <c r="I358" s="222"/>
      <c r="J358" s="222"/>
      <c r="K358" s="222"/>
    </row>
    <row r="359" spans="2:11">
      <c r="B359" s="228"/>
      <c r="C359" s="228"/>
      <c r="D359" s="229"/>
      <c r="E359" s="229"/>
      <c r="F359" s="229"/>
      <c r="G359" s="229"/>
      <c r="H359" s="229"/>
      <c r="I359" s="222"/>
      <c r="J359" s="222"/>
      <c r="K359" s="222"/>
    </row>
    <row r="360" spans="2:11">
      <c r="B360" s="228"/>
      <c r="C360" s="228"/>
      <c r="D360" s="229"/>
      <c r="E360" s="229"/>
      <c r="F360" s="229"/>
      <c r="G360" s="229"/>
      <c r="H360" s="229"/>
      <c r="I360" s="222"/>
      <c r="J360" s="222"/>
      <c r="K360" s="222"/>
    </row>
    <row r="361" spans="2:11">
      <c r="B361" s="228"/>
      <c r="C361" s="228"/>
      <c r="D361" s="229"/>
      <c r="E361" s="229"/>
      <c r="F361" s="229"/>
      <c r="G361" s="229"/>
      <c r="H361" s="229"/>
      <c r="I361" s="222"/>
      <c r="J361" s="222"/>
      <c r="K361" s="222"/>
    </row>
    <row r="362" spans="2:11">
      <c r="B362" s="228"/>
      <c r="C362" s="228"/>
      <c r="D362" s="229"/>
      <c r="E362" s="229"/>
      <c r="F362" s="229"/>
      <c r="G362" s="229"/>
      <c r="H362" s="229"/>
      <c r="I362" s="222"/>
      <c r="J362" s="222"/>
      <c r="K362" s="222"/>
    </row>
    <row r="363" spans="2:11">
      <c r="B363" s="228"/>
      <c r="C363" s="228"/>
      <c r="D363" s="229"/>
      <c r="E363" s="229"/>
      <c r="F363" s="229"/>
      <c r="G363" s="229"/>
      <c r="H363" s="229"/>
      <c r="I363" s="222"/>
      <c r="J363" s="222"/>
      <c r="K363" s="222"/>
    </row>
    <row r="364" spans="2:11">
      <c r="B364" s="228"/>
      <c r="C364" s="228"/>
      <c r="D364" s="229"/>
      <c r="E364" s="229"/>
      <c r="F364" s="229"/>
      <c r="G364" s="229"/>
      <c r="H364" s="229"/>
      <c r="I364" s="222"/>
      <c r="J364" s="222"/>
      <c r="K364" s="222"/>
    </row>
    <row r="365" spans="2:11">
      <c r="B365" s="228"/>
      <c r="C365" s="228"/>
      <c r="D365" s="229"/>
      <c r="E365" s="229"/>
      <c r="F365" s="229"/>
      <c r="G365" s="229"/>
      <c r="H365" s="229"/>
      <c r="I365" s="222"/>
      <c r="J365" s="222"/>
      <c r="K365" s="222"/>
    </row>
    <row r="366" spans="2:11">
      <c r="B366" s="228"/>
      <c r="C366" s="228"/>
      <c r="D366" s="229"/>
      <c r="E366" s="229"/>
      <c r="F366" s="229"/>
      <c r="G366" s="229"/>
      <c r="H366" s="229"/>
      <c r="I366" s="222"/>
      <c r="J366" s="222"/>
      <c r="K366" s="222"/>
    </row>
    <row r="367" spans="2:11">
      <c r="B367" s="228"/>
      <c r="C367" s="228"/>
      <c r="D367" s="229"/>
      <c r="E367" s="229"/>
      <c r="F367" s="229"/>
      <c r="G367" s="229"/>
      <c r="H367" s="229"/>
      <c r="I367" s="222"/>
      <c r="J367" s="222"/>
      <c r="K367" s="222"/>
    </row>
    <row r="368" spans="2:11">
      <c r="B368" s="228"/>
      <c r="C368" s="228"/>
      <c r="D368" s="229"/>
      <c r="E368" s="229"/>
      <c r="F368" s="229"/>
      <c r="G368" s="229"/>
      <c r="H368" s="229"/>
      <c r="I368" s="222"/>
      <c r="J368" s="222"/>
      <c r="K368" s="222"/>
    </row>
    <row r="369" spans="2:11">
      <c r="B369" s="228"/>
      <c r="C369" s="228"/>
      <c r="D369" s="229"/>
      <c r="E369" s="229"/>
      <c r="F369" s="229"/>
      <c r="G369" s="229"/>
      <c r="H369" s="229"/>
      <c r="I369" s="222"/>
      <c r="J369" s="222"/>
      <c r="K369" s="222"/>
    </row>
    <row r="370" spans="2:11">
      <c r="B370" s="228"/>
      <c r="C370" s="228"/>
      <c r="D370" s="229"/>
      <c r="E370" s="229"/>
      <c r="F370" s="229"/>
      <c r="G370" s="229"/>
      <c r="H370" s="229"/>
      <c r="I370" s="222"/>
      <c r="J370" s="222"/>
      <c r="K370" s="222"/>
    </row>
    <row r="371" spans="2:11">
      <c r="B371" s="228"/>
      <c r="C371" s="228"/>
      <c r="D371" s="229"/>
      <c r="E371" s="229"/>
      <c r="F371" s="229"/>
      <c r="G371" s="229"/>
      <c r="H371" s="229"/>
      <c r="I371" s="222"/>
      <c r="J371" s="222"/>
      <c r="K371" s="222"/>
    </row>
    <row r="372" spans="2:11">
      <c r="B372" s="228"/>
      <c r="C372" s="228"/>
      <c r="D372" s="229"/>
      <c r="E372" s="229"/>
      <c r="F372" s="229"/>
      <c r="G372" s="229"/>
      <c r="H372" s="229"/>
      <c r="I372" s="222"/>
      <c r="J372" s="222"/>
      <c r="K372" s="222"/>
    </row>
    <row r="373" spans="2:11">
      <c r="B373" s="228"/>
      <c r="C373" s="228"/>
      <c r="D373" s="229"/>
      <c r="E373" s="229"/>
      <c r="F373" s="229"/>
      <c r="G373" s="229"/>
      <c r="H373" s="229"/>
      <c r="I373" s="222"/>
      <c r="J373" s="222"/>
      <c r="K373" s="222"/>
    </row>
    <row r="374" spans="2:11">
      <c r="B374" s="228"/>
      <c r="C374" s="228"/>
      <c r="D374" s="229"/>
      <c r="E374" s="229"/>
      <c r="F374" s="229"/>
      <c r="G374" s="229"/>
      <c r="H374" s="229"/>
      <c r="I374" s="222"/>
      <c r="J374" s="222"/>
      <c r="K374" s="222"/>
    </row>
    <row r="375" spans="2:11">
      <c r="B375" s="228"/>
      <c r="C375" s="228"/>
      <c r="D375" s="229"/>
      <c r="E375" s="229"/>
      <c r="F375" s="229"/>
      <c r="G375" s="229"/>
      <c r="H375" s="229"/>
      <c r="I375" s="222"/>
      <c r="J375" s="222"/>
      <c r="K375" s="222"/>
    </row>
    <row r="376" spans="2:11">
      <c r="B376" s="228"/>
      <c r="C376" s="228"/>
      <c r="D376" s="229"/>
      <c r="E376" s="229"/>
      <c r="F376" s="229"/>
      <c r="G376" s="229"/>
      <c r="H376" s="229"/>
      <c r="I376" s="222"/>
      <c r="J376" s="222"/>
      <c r="K376" s="222"/>
    </row>
    <row r="377" spans="2:11">
      <c r="B377" s="228"/>
      <c r="C377" s="228"/>
      <c r="D377" s="229"/>
      <c r="E377" s="229"/>
      <c r="F377" s="229"/>
      <c r="G377" s="229"/>
      <c r="H377" s="229"/>
      <c r="I377" s="222"/>
      <c r="J377" s="222"/>
      <c r="K377" s="222"/>
    </row>
    <row r="378" spans="2:11">
      <c r="B378" s="228"/>
      <c r="C378" s="228"/>
      <c r="D378" s="229"/>
      <c r="E378" s="229"/>
      <c r="F378" s="229"/>
      <c r="G378" s="229"/>
      <c r="H378" s="229"/>
      <c r="I378" s="222"/>
      <c r="J378" s="222"/>
      <c r="K378" s="222"/>
    </row>
    <row r="379" spans="2:11">
      <c r="B379" s="228"/>
      <c r="C379" s="228"/>
      <c r="D379" s="229"/>
      <c r="E379" s="229"/>
      <c r="F379" s="229"/>
      <c r="G379" s="229"/>
      <c r="H379" s="229"/>
      <c r="I379" s="222"/>
      <c r="J379" s="222"/>
      <c r="K379" s="222"/>
    </row>
    <row r="380" spans="2:11">
      <c r="B380" s="228"/>
      <c r="C380" s="228"/>
      <c r="D380" s="229"/>
      <c r="E380" s="229"/>
      <c r="F380" s="229"/>
      <c r="G380" s="229"/>
      <c r="H380" s="229"/>
      <c r="I380" s="222"/>
      <c r="J380" s="222"/>
      <c r="K380" s="222"/>
    </row>
    <row r="381" spans="2:11">
      <c r="B381" s="228"/>
      <c r="C381" s="228"/>
      <c r="D381" s="229"/>
      <c r="E381" s="229"/>
      <c r="F381" s="229"/>
      <c r="G381" s="229"/>
      <c r="H381" s="229"/>
      <c r="I381" s="222"/>
      <c r="J381" s="222"/>
      <c r="K381" s="222"/>
    </row>
    <row r="382" spans="2:11">
      <c r="B382" s="228"/>
      <c r="C382" s="228"/>
      <c r="D382" s="229"/>
      <c r="E382" s="229"/>
      <c r="F382" s="229"/>
      <c r="G382" s="229"/>
      <c r="H382" s="229"/>
      <c r="I382" s="222"/>
      <c r="J382" s="222"/>
      <c r="K382" s="222"/>
    </row>
    <row r="383" spans="2:11">
      <c r="B383" s="228"/>
      <c r="C383" s="228"/>
      <c r="D383" s="229"/>
      <c r="E383" s="229"/>
      <c r="F383" s="229"/>
      <c r="G383" s="229"/>
      <c r="H383" s="229"/>
      <c r="I383" s="222"/>
      <c r="J383" s="222"/>
      <c r="K383" s="222"/>
    </row>
    <row r="384" spans="2:11">
      <c r="B384" s="228"/>
      <c r="C384" s="228"/>
      <c r="D384" s="229"/>
      <c r="E384" s="229"/>
      <c r="F384" s="229"/>
      <c r="G384" s="229"/>
      <c r="H384" s="229"/>
      <c r="I384" s="222"/>
      <c r="J384" s="222"/>
      <c r="K384" s="222"/>
    </row>
    <row r="385" spans="2:11">
      <c r="B385" s="228"/>
      <c r="C385" s="228"/>
      <c r="D385" s="229"/>
      <c r="E385" s="229"/>
      <c r="F385" s="229"/>
      <c r="G385" s="229"/>
      <c r="H385" s="229"/>
      <c r="I385" s="222"/>
      <c r="J385" s="222"/>
      <c r="K385" s="222"/>
    </row>
    <row r="386" spans="2:11">
      <c r="B386" s="228"/>
      <c r="C386" s="228"/>
      <c r="D386" s="229"/>
      <c r="E386" s="229"/>
      <c r="F386" s="229"/>
      <c r="G386" s="229"/>
      <c r="H386" s="229"/>
      <c r="I386" s="222"/>
      <c r="J386" s="222"/>
      <c r="K386" s="222"/>
    </row>
    <row r="387" spans="2:11">
      <c r="B387" s="228"/>
      <c r="C387" s="228"/>
      <c r="D387" s="229"/>
      <c r="E387" s="229"/>
      <c r="F387" s="229"/>
      <c r="G387" s="229"/>
      <c r="H387" s="229"/>
      <c r="I387" s="222"/>
      <c r="J387" s="222"/>
      <c r="K387" s="222"/>
    </row>
    <row r="388" spans="2:11">
      <c r="B388" s="228"/>
      <c r="C388" s="228"/>
      <c r="D388" s="229"/>
      <c r="E388" s="229"/>
      <c r="F388" s="229"/>
      <c r="G388" s="229"/>
      <c r="H388" s="229"/>
      <c r="I388" s="222"/>
      <c r="J388" s="222"/>
      <c r="K388" s="222"/>
    </row>
    <row r="389" spans="2:11">
      <c r="B389" s="228"/>
      <c r="C389" s="228"/>
      <c r="D389" s="229"/>
      <c r="E389" s="229"/>
      <c r="F389" s="229"/>
      <c r="G389" s="229"/>
      <c r="H389" s="229"/>
      <c r="I389" s="222"/>
      <c r="J389" s="222"/>
      <c r="K389" s="222"/>
    </row>
    <row r="390" spans="2:11">
      <c r="B390" s="228"/>
      <c r="C390" s="228"/>
      <c r="D390" s="229"/>
      <c r="E390" s="229"/>
      <c r="F390" s="229"/>
      <c r="G390" s="229"/>
      <c r="H390" s="229"/>
      <c r="I390" s="222"/>
      <c r="J390" s="222"/>
      <c r="K390" s="222"/>
    </row>
    <row r="391" spans="2:11">
      <c r="B391" s="228"/>
      <c r="C391" s="228"/>
      <c r="D391" s="229"/>
      <c r="E391" s="229"/>
      <c r="F391" s="229"/>
      <c r="G391" s="229"/>
      <c r="H391" s="229"/>
      <c r="I391" s="222"/>
      <c r="J391" s="222"/>
      <c r="K391" s="222"/>
    </row>
    <row r="392" spans="2:11">
      <c r="B392" s="228"/>
      <c r="C392" s="228"/>
      <c r="D392" s="229"/>
      <c r="E392" s="229"/>
      <c r="F392" s="229"/>
      <c r="G392" s="229"/>
      <c r="H392" s="229"/>
      <c r="I392" s="222"/>
      <c r="J392" s="222"/>
      <c r="K392" s="222"/>
    </row>
    <row r="393" spans="2:11">
      <c r="B393" s="228"/>
      <c r="C393" s="228"/>
      <c r="D393" s="229"/>
      <c r="E393" s="229"/>
      <c r="F393" s="229"/>
      <c r="G393" s="229"/>
      <c r="H393" s="229"/>
      <c r="I393" s="222"/>
      <c r="J393" s="222"/>
      <c r="K393" s="222"/>
    </row>
    <row r="394" spans="2:11">
      <c r="B394" s="228"/>
      <c r="C394" s="228"/>
      <c r="D394" s="229"/>
      <c r="E394" s="229"/>
      <c r="F394" s="229"/>
      <c r="G394" s="229"/>
      <c r="H394" s="229"/>
      <c r="I394" s="222"/>
      <c r="J394" s="222"/>
      <c r="K394" s="222"/>
    </row>
    <row r="395" spans="2:11">
      <c r="B395" s="228"/>
      <c r="C395" s="228"/>
      <c r="D395" s="229"/>
      <c r="E395" s="229"/>
      <c r="F395" s="229"/>
      <c r="G395" s="229"/>
      <c r="H395" s="229"/>
      <c r="I395" s="222"/>
      <c r="J395" s="222"/>
      <c r="K395" s="222"/>
    </row>
    <row r="396" spans="2:11">
      <c r="B396" s="228"/>
      <c r="C396" s="228"/>
      <c r="D396" s="229"/>
      <c r="E396" s="229"/>
      <c r="F396" s="229"/>
      <c r="G396" s="229"/>
      <c r="H396" s="229"/>
      <c r="I396" s="222"/>
      <c r="J396" s="222"/>
      <c r="K396" s="222"/>
    </row>
    <row r="397" spans="2:11">
      <c r="B397" s="228"/>
      <c r="C397" s="228"/>
      <c r="D397" s="229"/>
      <c r="E397" s="229"/>
      <c r="F397" s="229"/>
      <c r="G397" s="229"/>
      <c r="H397" s="229"/>
      <c r="I397" s="222"/>
      <c r="J397" s="222"/>
      <c r="K397" s="222"/>
    </row>
    <row r="398" spans="2:11">
      <c r="B398" s="228"/>
      <c r="C398" s="228"/>
      <c r="D398" s="229"/>
      <c r="E398" s="229"/>
      <c r="F398" s="229"/>
      <c r="G398" s="229"/>
      <c r="H398" s="229"/>
      <c r="I398" s="222"/>
      <c r="J398" s="222"/>
      <c r="K398" s="222"/>
    </row>
    <row r="399" spans="2:11">
      <c r="B399" s="228"/>
      <c r="C399" s="228"/>
      <c r="D399" s="229"/>
      <c r="E399" s="229"/>
      <c r="F399" s="229"/>
      <c r="G399" s="229"/>
      <c r="H399" s="229"/>
      <c r="I399" s="222"/>
      <c r="J399" s="222"/>
      <c r="K399" s="222"/>
    </row>
    <row r="400" spans="2:11">
      <c r="B400" s="228"/>
      <c r="C400" s="228"/>
      <c r="D400" s="229"/>
      <c r="E400" s="229"/>
      <c r="F400" s="229"/>
      <c r="G400" s="229"/>
      <c r="H400" s="229"/>
      <c r="I400" s="222"/>
      <c r="J400" s="222"/>
      <c r="K400" s="222"/>
    </row>
    <row r="401" spans="2:11">
      <c r="B401" s="228"/>
      <c r="C401" s="228"/>
      <c r="D401" s="229"/>
      <c r="E401" s="229"/>
      <c r="F401" s="229"/>
      <c r="G401" s="229"/>
      <c r="H401" s="229"/>
      <c r="I401" s="222"/>
      <c r="J401" s="222"/>
      <c r="K401" s="222"/>
    </row>
    <row r="402" spans="2:11">
      <c r="B402" s="228"/>
      <c r="C402" s="228"/>
      <c r="D402" s="229"/>
      <c r="E402" s="229"/>
      <c r="F402" s="229"/>
      <c r="G402" s="229"/>
      <c r="H402" s="229"/>
      <c r="I402" s="222"/>
      <c r="J402" s="222"/>
      <c r="K402" s="222"/>
    </row>
    <row r="403" spans="2:11">
      <c r="B403" s="228"/>
      <c r="C403" s="228"/>
      <c r="D403" s="229"/>
      <c r="E403" s="229"/>
      <c r="F403" s="229"/>
      <c r="G403" s="229"/>
      <c r="H403" s="229"/>
      <c r="I403" s="222"/>
      <c r="J403" s="222"/>
      <c r="K403" s="222"/>
    </row>
    <row r="404" spans="2:11">
      <c r="B404" s="228"/>
      <c r="C404" s="228"/>
      <c r="D404" s="229"/>
      <c r="E404" s="229"/>
      <c r="F404" s="229"/>
      <c r="G404" s="229"/>
      <c r="H404" s="229"/>
      <c r="I404" s="222"/>
      <c r="J404" s="222"/>
      <c r="K404" s="222"/>
    </row>
    <row r="405" spans="2:11">
      <c r="B405" s="228"/>
      <c r="C405" s="228"/>
      <c r="D405" s="229"/>
      <c r="E405" s="229"/>
      <c r="F405" s="229"/>
      <c r="G405" s="229"/>
      <c r="H405" s="229"/>
      <c r="I405" s="222"/>
      <c r="J405" s="222"/>
      <c r="K405" s="222"/>
    </row>
    <row r="406" spans="2:11">
      <c r="B406" s="228"/>
      <c r="C406" s="228"/>
      <c r="D406" s="229"/>
      <c r="E406" s="229"/>
      <c r="F406" s="229"/>
      <c r="G406" s="229"/>
      <c r="H406" s="229"/>
      <c r="I406" s="222"/>
      <c r="J406" s="222"/>
      <c r="K406" s="222"/>
    </row>
    <row r="407" spans="2:11">
      <c r="B407" s="228"/>
      <c r="C407" s="228"/>
      <c r="D407" s="229"/>
      <c r="E407" s="229"/>
      <c r="F407" s="229"/>
      <c r="G407" s="229"/>
      <c r="H407" s="229"/>
      <c r="I407" s="222"/>
      <c r="J407" s="222"/>
      <c r="K407" s="222"/>
    </row>
    <row r="408" spans="2:11">
      <c r="B408" s="228"/>
      <c r="C408" s="228"/>
      <c r="D408" s="229"/>
      <c r="E408" s="229"/>
      <c r="F408" s="229"/>
      <c r="G408" s="229"/>
      <c r="H408" s="229"/>
      <c r="I408" s="222"/>
      <c r="J408" s="222"/>
      <c r="K408" s="222"/>
    </row>
    <row r="409" spans="2:11">
      <c r="B409" s="228"/>
      <c r="C409" s="228"/>
      <c r="D409" s="229"/>
      <c r="E409" s="229"/>
      <c r="F409" s="229"/>
      <c r="G409" s="229"/>
      <c r="H409" s="229"/>
      <c r="I409" s="222"/>
      <c r="J409" s="222"/>
      <c r="K409" s="222"/>
    </row>
    <row r="410" spans="2:11">
      <c r="B410" s="228"/>
      <c r="C410" s="228"/>
      <c r="D410" s="229"/>
      <c r="E410" s="229"/>
      <c r="F410" s="229"/>
      <c r="G410" s="229"/>
      <c r="H410" s="229"/>
      <c r="I410" s="222"/>
      <c r="J410" s="222"/>
      <c r="K410" s="222"/>
    </row>
    <row r="411" spans="2:11">
      <c r="B411" s="228"/>
      <c r="C411" s="228"/>
      <c r="D411" s="229"/>
      <c r="E411" s="229"/>
      <c r="F411" s="229"/>
      <c r="G411" s="229"/>
      <c r="H411" s="229"/>
      <c r="I411" s="222"/>
      <c r="J411" s="222"/>
      <c r="K411" s="222"/>
    </row>
    <row r="412" spans="2:11">
      <c r="B412" s="228"/>
      <c r="C412" s="228"/>
      <c r="D412" s="229"/>
      <c r="E412" s="229"/>
      <c r="F412" s="229"/>
      <c r="G412" s="229"/>
      <c r="H412" s="229"/>
      <c r="I412" s="222"/>
      <c r="J412" s="222"/>
      <c r="K412" s="222"/>
    </row>
    <row r="413" spans="2:11">
      <c r="B413" s="228"/>
      <c r="C413" s="228"/>
      <c r="D413" s="229"/>
      <c r="E413" s="229"/>
      <c r="F413" s="229"/>
      <c r="G413" s="229"/>
      <c r="H413" s="229"/>
      <c r="I413" s="222"/>
      <c r="J413" s="222"/>
      <c r="K413" s="222"/>
    </row>
    <row r="414" spans="2:11">
      <c r="B414" s="228"/>
      <c r="C414" s="228"/>
      <c r="D414" s="229"/>
      <c r="E414" s="229"/>
      <c r="F414" s="229"/>
      <c r="G414" s="229"/>
      <c r="H414" s="229"/>
      <c r="I414" s="222"/>
      <c r="J414" s="222"/>
      <c r="K414" s="222"/>
    </row>
    <row r="415" spans="2:11">
      <c r="B415" s="228"/>
      <c r="C415" s="228"/>
      <c r="D415" s="229"/>
      <c r="E415" s="229"/>
      <c r="F415" s="229"/>
      <c r="G415" s="229"/>
      <c r="H415" s="229"/>
      <c r="I415" s="222"/>
      <c r="J415" s="222"/>
      <c r="K415" s="222"/>
    </row>
    <row r="416" spans="2:11">
      <c r="B416" s="228"/>
      <c r="C416" s="228"/>
      <c r="D416" s="229"/>
      <c r="E416" s="229"/>
      <c r="F416" s="229"/>
      <c r="G416" s="229"/>
      <c r="H416" s="229"/>
      <c r="I416" s="222"/>
      <c r="J416" s="222"/>
      <c r="K416" s="222"/>
    </row>
    <row r="417" spans="2:11">
      <c r="B417" s="228"/>
      <c r="C417" s="228"/>
      <c r="D417" s="229"/>
      <c r="E417" s="229"/>
      <c r="F417" s="229"/>
      <c r="G417" s="229"/>
      <c r="H417" s="229"/>
      <c r="I417" s="222"/>
      <c r="J417" s="222"/>
      <c r="K417" s="222"/>
    </row>
    <row r="418" spans="2:11">
      <c r="B418" s="228"/>
      <c r="C418" s="228"/>
      <c r="D418" s="229"/>
      <c r="E418" s="229"/>
      <c r="F418" s="229"/>
      <c r="G418" s="229"/>
      <c r="H418" s="229"/>
      <c r="I418" s="222"/>
      <c r="J418" s="222"/>
      <c r="K418" s="222"/>
    </row>
    <row r="419" spans="2:11">
      <c r="B419" s="228"/>
      <c r="C419" s="228"/>
      <c r="D419" s="229"/>
      <c r="E419" s="229"/>
      <c r="F419" s="229"/>
      <c r="G419" s="229"/>
      <c r="H419" s="229"/>
      <c r="I419" s="222"/>
      <c r="J419" s="222"/>
      <c r="K419" s="222"/>
    </row>
    <row r="420" spans="2:11">
      <c r="B420" s="228"/>
      <c r="C420" s="228"/>
      <c r="D420" s="229"/>
      <c r="E420" s="229"/>
      <c r="F420" s="229"/>
      <c r="G420" s="229"/>
      <c r="H420" s="229"/>
      <c r="I420" s="222"/>
      <c r="J420" s="222"/>
      <c r="K420" s="222"/>
    </row>
    <row r="421" spans="2:11">
      <c r="B421" s="228"/>
      <c r="C421" s="228"/>
      <c r="D421" s="229"/>
      <c r="E421" s="229"/>
      <c r="F421" s="229"/>
      <c r="G421" s="229"/>
      <c r="H421" s="229"/>
      <c r="I421" s="222"/>
      <c r="J421" s="222"/>
      <c r="K421" s="222"/>
    </row>
    <row r="422" spans="2:11">
      <c r="B422" s="228"/>
      <c r="C422" s="228"/>
      <c r="D422" s="229"/>
      <c r="E422" s="229"/>
      <c r="F422" s="229"/>
      <c r="G422" s="229"/>
      <c r="H422" s="229"/>
      <c r="I422" s="222"/>
      <c r="J422" s="222"/>
      <c r="K422" s="222"/>
    </row>
    <row r="423" spans="2:11">
      <c r="B423" s="228"/>
      <c r="C423" s="228"/>
      <c r="D423" s="229"/>
      <c r="E423" s="229"/>
      <c r="F423" s="229"/>
      <c r="G423" s="229"/>
      <c r="H423" s="229"/>
      <c r="I423" s="222"/>
      <c r="J423" s="222"/>
      <c r="K423" s="222"/>
    </row>
    <row r="424" spans="2:11">
      <c r="B424" s="228"/>
      <c r="C424" s="228"/>
      <c r="D424" s="229"/>
      <c r="E424" s="229"/>
      <c r="F424" s="229"/>
      <c r="G424" s="229"/>
      <c r="H424" s="229"/>
      <c r="I424" s="222"/>
      <c r="J424" s="222"/>
      <c r="K424" s="222"/>
    </row>
    <row r="425" spans="2:11">
      <c r="B425" s="228"/>
      <c r="C425" s="228"/>
      <c r="D425" s="229"/>
      <c r="E425" s="229"/>
      <c r="F425" s="229"/>
      <c r="G425" s="229"/>
      <c r="H425" s="229"/>
      <c r="I425" s="222"/>
      <c r="J425" s="222"/>
      <c r="K425" s="222"/>
    </row>
    <row r="426" spans="2:11">
      <c r="B426" s="228"/>
      <c r="C426" s="228"/>
      <c r="D426" s="229"/>
      <c r="E426" s="229"/>
      <c r="F426" s="229"/>
      <c r="G426" s="229"/>
      <c r="H426" s="229"/>
      <c r="I426" s="222"/>
      <c r="J426" s="222"/>
      <c r="K426" s="222"/>
    </row>
    <row r="427" spans="2:11">
      <c r="B427" s="228"/>
      <c r="C427" s="228"/>
      <c r="D427" s="229"/>
      <c r="E427" s="229"/>
      <c r="F427" s="229"/>
      <c r="G427" s="229"/>
      <c r="H427" s="229"/>
      <c r="I427" s="222"/>
      <c r="J427" s="222"/>
      <c r="K427" s="222"/>
    </row>
    <row r="428" spans="2:11">
      <c r="B428" s="228"/>
      <c r="C428" s="228"/>
      <c r="D428" s="229"/>
      <c r="E428" s="229"/>
      <c r="F428" s="229"/>
      <c r="G428" s="229"/>
      <c r="H428" s="229"/>
      <c r="I428" s="222"/>
      <c r="J428" s="222"/>
      <c r="K428" s="222"/>
    </row>
    <row r="429" spans="2:11">
      <c r="B429" s="228"/>
      <c r="C429" s="228"/>
      <c r="D429" s="229"/>
      <c r="E429" s="229"/>
      <c r="F429" s="229"/>
      <c r="G429" s="229"/>
      <c r="H429" s="229"/>
      <c r="I429" s="222"/>
      <c r="J429" s="222"/>
      <c r="K429" s="222"/>
    </row>
    <row r="430" spans="2:11">
      <c r="B430" s="228"/>
      <c r="C430" s="228"/>
      <c r="D430" s="229"/>
      <c r="E430" s="229"/>
      <c r="F430" s="229"/>
      <c r="G430" s="229"/>
      <c r="H430" s="229"/>
      <c r="I430" s="222"/>
      <c r="J430" s="222"/>
      <c r="K430" s="222"/>
    </row>
    <row r="431" spans="2:11">
      <c r="B431" s="228"/>
      <c r="C431" s="228"/>
      <c r="D431" s="229"/>
      <c r="E431" s="229"/>
      <c r="F431" s="229"/>
      <c r="G431" s="229"/>
      <c r="H431" s="229"/>
      <c r="I431" s="222"/>
      <c r="J431" s="222"/>
      <c r="K431" s="222"/>
    </row>
    <row r="432" spans="2:11">
      <c r="B432" s="228"/>
      <c r="C432" s="228"/>
      <c r="D432" s="229"/>
      <c r="E432" s="229"/>
      <c r="F432" s="229"/>
      <c r="G432" s="229"/>
      <c r="H432" s="229"/>
      <c r="I432" s="222"/>
      <c r="J432" s="222"/>
      <c r="K432" s="222"/>
    </row>
    <row r="433" spans="2:11">
      <c r="B433" s="228"/>
      <c r="C433" s="228"/>
      <c r="D433" s="229"/>
      <c r="E433" s="229"/>
      <c r="F433" s="229"/>
      <c r="G433" s="229"/>
      <c r="H433" s="229"/>
      <c r="I433" s="222"/>
      <c r="J433" s="222"/>
      <c r="K433" s="222"/>
    </row>
    <row r="434" spans="2:11">
      <c r="B434" s="228"/>
      <c r="C434" s="228"/>
      <c r="D434" s="229"/>
      <c r="E434" s="229"/>
      <c r="F434" s="229"/>
      <c r="G434" s="229"/>
      <c r="H434" s="229"/>
      <c r="I434" s="222"/>
      <c r="J434" s="222"/>
      <c r="K434" s="222"/>
    </row>
    <row r="435" spans="2:11">
      <c r="B435" s="228"/>
      <c r="C435" s="228"/>
      <c r="D435" s="229"/>
      <c r="E435" s="229"/>
      <c r="F435" s="229"/>
      <c r="G435" s="229"/>
      <c r="H435" s="229"/>
      <c r="I435" s="222"/>
      <c r="J435" s="222"/>
      <c r="K435" s="222"/>
    </row>
    <row r="436" spans="2:11">
      <c r="B436" s="228"/>
      <c r="C436" s="228"/>
      <c r="D436" s="229"/>
      <c r="E436" s="229"/>
      <c r="F436" s="229"/>
      <c r="G436" s="229"/>
      <c r="H436" s="229"/>
      <c r="I436" s="222"/>
      <c r="J436" s="222"/>
      <c r="K436" s="222"/>
    </row>
    <row r="437" spans="2:11">
      <c r="B437" s="228"/>
      <c r="C437" s="228"/>
      <c r="D437" s="229"/>
      <c r="E437" s="229"/>
      <c r="F437" s="229"/>
      <c r="G437" s="229"/>
      <c r="H437" s="229"/>
      <c r="I437" s="222"/>
      <c r="J437" s="222"/>
      <c r="K437" s="222"/>
    </row>
    <row r="438" spans="2:11">
      <c r="B438" s="228"/>
      <c r="C438" s="228"/>
      <c r="D438" s="229"/>
      <c r="E438" s="229"/>
      <c r="F438" s="229"/>
      <c r="G438" s="229"/>
      <c r="H438" s="229"/>
      <c r="I438" s="222"/>
      <c r="J438" s="222"/>
      <c r="K438" s="222"/>
    </row>
    <row r="439" spans="2:11">
      <c r="B439" s="228"/>
      <c r="C439" s="228"/>
      <c r="D439" s="229"/>
      <c r="E439" s="229"/>
      <c r="F439" s="229"/>
      <c r="G439" s="229"/>
      <c r="H439" s="229"/>
      <c r="I439" s="222"/>
      <c r="J439" s="222"/>
      <c r="K439" s="222"/>
    </row>
    <row r="440" spans="2:11">
      <c r="B440" s="228"/>
      <c r="C440" s="228"/>
      <c r="D440" s="229"/>
      <c r="E440" s="229"/>
      <c r="F440" s="229"/>
      <c r="G440" s="229"/>
      <c r="H440" s="229"/>
      <c r="I440" s="222"/>
      <c r="J440" s="222"/>
      <c r="K440" s="222"/>
    </row>
    <row r="441" spans="2:11">
      <c r="B441" s="228"/>
      <c r="C441" s="228"/>
      <c r="D441" s="229"/>
      <c r="E441" s="229"/>
      <c r="F441" s="229"/>
      <c r="G441" s="229"/>
      <c r="H441" s="229"/>
      <c r="I441" s="222"/>
      <c r="J441" s="222"/>
      <c r="K441" s="222"/>
    </row>
    <row r="442" spans="2:11">
      <c r="B442" s="228"/>
      <c r="C442" s="228"/>
      <c r="D442" s="229"/>
      <c r="E442" s="229"/>
      <c r="F442" s="229"/>
      <c r="G442" s="229"/>
      <c r="H442" s="229"/>
      <c r="I442" s="222"/>
      <c r="J442" s="222"/>
      <c r="K442" s="222"/>
    </row>
    <row r="443" spans="2:11">
      <c r="B443" s="228"/>
      <c r="C443" s="228"/>
      <c r="D443" s="229"/>
      <c r="E443" s="229"/>
      <c r="F443" s="229"/>
      <c r="G443" s="229"/>
      <c r="H443" s="229"/>
      <c r="I443" s="222"/>
      <c r="J443" s="222"/>
      <c r="K443" s="222"/>
    </row>
    <row r="444" spans="2:11">
      <c r="B444" s="228"/>
      <c r="C444" s="228"/>
      <c r="D444" s="229"/>
      <c r="E444" s="229"/>
      <c r="F444" s="229"/>
      <c r="G444" s="229"/>
      <c r="H444" s="229"/>
      <c r="I444" s="222"/>
      <c r="J444" s="222"/>
      <c r="K444" s="222"/>
    </row>
    <row r="445" spans="2:11">
      <c r="B445" s="228"/>
      <c r="C445" s="228"/>
      <c r="D445" s="229"/>
      <c r="E445" s="229"/>
      <c r="F445" s="229"/>
      <c r="G445" s="229"/>
      <c r="H445" s="229"/>
      <c r="I445" s="222"/>
      <c r="J445" s="222"/>
      <c r="K445" s="222"/>
    </row>
    <row r="446" spans="2:11">
      <c r="B446" s="228"/>
      <c r="C446" s="228"/>
      <c r="D446" s="229"/>
      <c r="E446" s="229"/>
      <c r="F446" s="229"/>
      <c r="G446" s="229"/>
      <c r="H446" s="229"/>
      <c r="I446" s="222"/>
      <c r="J446" s="222"/>
      <c r="K446" s="222"/>
    </row>
    <row r="447" spans="2:11">
      <c r="B447" s="228"/>
      <c r="C447" s="228"/>
      <c r="D447" s="229"/>
      <c r="E447" s="229"/>
      <c r="F447" s="229"/>
      <c r="G447" s="229"/>
      <c r="H447" s="229"/>
      <c r="I447" s="222"/>
      <c r="J447" s="222"/>
      <c r="K447" s="222"/>
    </row>
    <row r="448" spans="2:11">
      <c r="B448" s="228"/>
      <c r="C448" s="228"/>
      <c r="D448" s="229"/>
      <c r="E448" s="229"/>
      <c r="F448" s="229"/>
      <c r="G448" s="229"/>
      <c r="H448" s="229"/>
      <c r="I448" s="222"/>
      <c r="J448" s="222"/>
      <c r="K448" s="222"/>
    </row>
    <row r="449" spans="2:11">
      <c r="B449" s="228"/>
      <c r="C449" s="228"/>
      <c r="D449" s="229"/>
      <c r="E449" s="229"/>
      <c r="F449" s="229"/>
      <c r="G449" s="229"/>
      <c r="H449" s="229"/>
      <c r="I449" s="222"/>
      <c r="J449" s="222"/>
      <c r="K449" s="222"/>
    </row>
    <row r="450" spans="2:11">
      <c r="B450" s="228"/>
      <c r="C450" s="228"/>
      <c r="D450" s="229"/>
      <c r="E450" s="229"/>
      <c r="F450" s="229"/>
      <c r="G450" s="229"/>
      <c r="H450" s="229"/>
      <c r="I450" s="222"/>
      <c r="J450" s="222"/>
      <c r="K450" s="222"/>
    </row>
    <row r="451" spans="2:11">
      <c r="B451" s="228"/>
      <c r="C451" s="228"/>
      <c r="D451" s="229"/>
      <c r="E451" s="229"/>
      <c r="F451" s="229"/>
      <c r="G451" s="229"/>
      <c r="H451" s="229"/>
      <c r="I451" s="222"/>
      <c r="J451" s="222"/>
      <c r="K451" s="222"/>
    </row>
    <row r="452" spans="2:11">
      <c r="B452" s="228"/>
      <c r="C452" s="228"/>
      <c r="D452" s="229"/>
      <c r="E452" s="229"/>
      <c r="F452" s="229"/>
      <c r="G452" s="229"/>
      <c r="H452" s="229"/>
      <c r="I452" s="222"/>
      <c r="J452" s="222"/>
      <c r="K452" s="222"/>
    </row>
    <row r="453" spans="2:11">
      <c r="B453" s="228"/>
      <c r="C453" s="228"/>
      <c r="D453" s="229"/>
      <c r="E453" s="229"/>
      <c r="F453" s="229"/>
      <c r="G453" s="229"/>
      <c r="H453" s="229"/>
      <c r="I453" s="222"/>
      <c r="J453" s="222"/>
      <c r="K453" s="222"/>
    </row>
    <row r="454" spans="2:11">
      <c r="B454" s="228"/>
      <c r="C454" s="228"/>
      <c r="D454" s="229"/>
      <c r="E454" s="229"/>
      <c r="F454" s="229"/>
      <c r="G454" s="229"/>
      <c r="H454" s="229"/>
      <c r="I454" s="222"/>
      <c r="J454" s="222"/>
      <c r="K454" s="222"/>
    </row>
    <row r="455" spans="2:11">
      <c r="B455" s="228"/>
      <c r="C455" s="228"/>
      <c r="D455" s="229"/>
      <c r="E455" s="229"/>
      <c r="F455" s="229"/>
      <c r="G455" s="229"/>
      <c r="H455" s="229"/>
      <c r="I455" s="222"/>
      <c r="J455" s="222"/>
      <c r="K455" s="222"/>
    </row>
    <row r="456" spans="2:11">
      <c r="B456" s="228"/>
      <c r="C456" s="228"/>
      <c r="D456" s="229"/>
      <c r="E456" s="229"/>
      <c r="F456" s="229"/>
      <c r="G456" s="229"/>
      <c r="H456" s="229"/>
      <c r="I456" s="222"/>
      <c r="J456" s="222"/>
      <c r="K456" s="222"/>
    </row>
    <row r="457" spans="2:11">
      <c r="B457" s="228"/>
      <c r="C457" s="228"/>
      <c r="D457" s="229"/>
      <c r="E457" s="229"/>
      <c r="F457" s="229"/>
      <c r="G457" s="229"/>
      <c r="H457" s="229"/>
      <c r="I457" s="222"/>
      <c r="J457" s="222"/>
      <c r="K457" s="222"/>
    </row>
    <row r="458" spans="2:11">
      <c r="B458" s="228"/>
      <c r="C458" s="228"/>
      <c r="D458" s="229"/>
      <c r="E458" s="229"/>
      <c r="F458" s="229"/>
      <c r="G458" s="229"/>
      <c r="H458" s="229"/>
      <c r="I458" s="222"/>
      <c r="J458" s="222"/>
      <c r="K458" s="222"/>
    </row>
    <row r="459" spans="2:11">
      <c r="B459" s="228"/>
      <c r="C459" s="228"/>
      <c r="D459" s="229"/>
      <c r="E459" s="229"/>
      <c r="F459" s="229"/>
      <c r="G459" s="229"/>
      <c r="H459" s="229"/>
      <c r="I459" s="222"/>
      <c r="J459" s="222"/>
      <c r="K459" s="222"/>
    </row>
    <row r="460" spans="2:11">
      <c r="B460" s="228"/>
      <c r="C460" s="228"/>
      <c r="D460" s="229"/>
      <c r="E460" s="229"/>
      <c r="F460" s="229"/>
      <c r="G460" s="229"/>
      <c r="H460" s="229"/>
      <c r="I460" s="222"/>
      <c r="J460" s="222"/>
      <c r="K460" s="222"/>
    </row>
    <row r="461" spans="2:11">
      <c r="B461" s="228"/>
      <c r="C461" s="228"/>
      <c r="D461" s="229"/>
      <c r="E461" s="229"/>
      <c r="F461" s="229"/>
      <c r="G461" s="229"/>
      <c r="H461" s="229"/>
      <c r="I461" s="222"/>
      <c r="J461" s="222"/>
      <c r="K461" s="222"/>
    </row>
    <row r="462" spans="2:11">
      <c r="B462" s="228"/>
      <c r="C462" s="228"/>
      <c r="D462" s="229"/>
      <c r="E462" s="229"/>
      <c r="F462" s="229"/>
      <c r="G462" s="229"/>
      <c r="H462" s="229"/>
      <c r="I462" s="222"/>
      <c r="J462" s="222"/>
      <c r="K462" s="222"/>
    </row>
    <row r="463" spans="2:11">
      <c r="B463" s="228"/>
      <c r="C463" s="228"/>
      <c r="D463" s="229"/>
      <c r="E463" s="229"/>
      <c r="F463" s="229"/>
      <c r="G463" s="229"/>
      <c r="H463" s="229"/>
      <c r="I463" s="222"/>
      <c r="J463" s="222"/>
      <c r="K463" s="222"/>
    </row>
    <row r="464" spans="2:11">
      <c r="B464" s="228"/>
      <c r="C464" s="228"/>
      <c r="D464" s="229"/>
      <c r="E464" s="229"/>
      <c r="F464" s="229"/>
      <c r="G464" s="229"/>
      <c r="H464" s="229"/>
      <c r="I464" s="222"/>
      <c r="J464" s="222"/>
      <c r="K464" s="222"/>
    </row>
    <row r="465" spans="2:11">
      <c r="B465" s="228"/>
      <c r="C465" s="228"/>
      <c r="D465" s="229"/>
      <c r="E465" s="229"/>
      <c r="F465" s="229"/>
      <c r="G465" s="229"/>
      <c r="H465" s="229"/>
      <c r="I465" s="222"/>
      <c r="J465" s="222"/>
      <c r="K465" s="222"/>
    </row>
    <row r="466" spans="2:11">
      <c r="B466" s="228"/>
      <c r="C466" s="228"/>
      <c r="D466" s="229"/>
      <c r="E466" s="229"/>
      <c r="F466" s="229"/>
      <c r="G466" s="229"/>
      <c r="H466" s="229"/>
      <c r="I466" s="222"/>
      <c r="J466" s="222"/>
      <c r="K466" s="222"/>
    </row>
    <row r="467" spans="2:11">
      <c r="B467" s="228"/>
      <c r="C467" s="228"/>
      <c r="D467" s="229"/>
      <c r="E467" s="229"/>
      <c r="F467" s="229"/>
      <c r="G467" s="229"/>
      <c r="H467" s="229"/>
      <c r="I467" s="222"/>
      <c r="J467" s="222"/>
      <c r="K467" s="222"/>
    </row>
    <row r="468" spans="2:11">
      <c r="B468" s="228"/>
      <c r="C468" s="228"/>
      <c r="D468" s="229"/>
      <c r="E468" s="229"/>
      <c r="F468" s="229"/>
      <c r="G468" s="229"/>
      <c r="H468" s="229"/>
      <c r="I468" s="222"/>
      <c r="J468" s="222"/>
      <c r="K468" s="222"/>
    </row>
    <row r="469" spans="2:11">
      <c r="B469" s="228"/>
      <c r="C469" s="228"/>
      <c r="D469" s="229"/>
      <c r="E469" s="229"/>
      <c r="F469" s="229"/>
      <c r="G469" s="229"/>
      <c r="H469" s="229"/>
      <c r="I469" s="222"/>
      <c r="J469" s="222"/>
      <c r="K469" s="222"/>
    </row>
    <row r="470" spans="2:11">
      <c r="B470" s="228"/>
      <c r="C470" s="228"/>
      <c r="D470" s="229"/>
      <c r="E470" s="229"/>
      <c r="F470" s="229"/>
      <c r="G470" s="229"/>
      <c r="H470" s="229"/>
      <c r="I470" s="222"/>
      <c r="J470" s="222"/>
      <c r="K470" s="222"/>
    </row>
    <row r="471" spans="2:11">
      <c r="B471" s="228"/>
      <c r="C471" s="228"/>
      <c r="D471" s="229"/>
      <c r="E471" s="229"/>
      <c r="F471" s="229"/>
      <c r="G471" s="229"/>
      <c r="H471" s="229"/>
      <c r="I471" s="222"/>
      <c r="J471" s="222"/>
      <c r="K471" s="222"/>
    </row>
    <row r="472" spans="2:11">
      <c r="B472" s="228"/>
      <c r="C472" s="228"/>
      <c r="D472" s="229"/>
      <c r="E472" s="229"/>
      <c r="F472" s="229"/>
      <c r="G472" s="229"/>
      <c r="H472" s="229"/>
      <c r="I472" s="222"/>
      <c r="J472" s="222"/>
      <c r="K472" s="222"/>
    </row>
    <row r="473" spans="2:11">
      <c r="B473" s="228"/>
      <c r="C473" s="228"/>
      <c r="D473" s="229"/>
      <c r="E473" s="229"/>
      <c r="F473" s="229"/>
      <c r="G473" s="229"/>
      <c r="H473" s="229"/>
      <c r="I473" s="222"/>
      <c r="J473" s="222"/>
      <c r="K473" s="222"/>
    </row>
    <row r="474" spans="2:11">
      <c r="B474" s="228"/>
      <c r="C474" s="228"/>
      <c r="D474" s="229"/>
      <c r="E474" s="229"/>
      <c r="F474" s="229"/>
      <c r="G474" s="229"/>
      <c r="H474" s="229"/>
      <c r="I474" s="222"/>
      <c r="J474" s="222"/>
      <c r="K474" s="222"/>
    </row>
    <row r="475" spans="2:11">
      <c r="B475" s="228"/>
      <c r="C475" s="228"/>
      <c r="D475" s="229"/>
      <c r="E475" s="229"/>
      <c r="F475" s="229"/>
      <c r="G475" s="229"/>
      <c r="H475" s="229"/>
      <c r="I475" s="222"/>
      <c r="J475" s="222"/>
      <c r="K475" s="222"/>
    </row>
    <row r="476" spans="2:11">
      <c r="B476" s="228"/>
      <c r="C476" s="228"/>
      <c r="D476" s="229"/>
      <c r="E476" s="229"/>
      <c r="F476" s="229"/>
      <c r="G476" s="229"/>
      <c r="H476" s="229"/>
      <c r="I476" s="222"/>
      <c r="J476" s="222"/>
      <c r="K476" s="222"/>
    </row>
    <row r="477" spans="2:11">
      <c r="B477" s="228"/>
      <c r="C477" s="228"/>
      <c r="D477" s="229"/>
      <c r="E477" s="229"/>
      <c r="F477" s="229"/>
      <c r="G477" s="229"/>
      <c r="H477" s="229"/>
      <c r="I477" s="222"/>
      <c r="J477" s="222"/>
      <c r="K477" s="222"/>
    </row>
    <row r="478" spans="2:11">
      <c r="B478" s="228"/>
      <c r="C478" s="228"/>
      <c r="D478" s="229"/>
      <c r="E478" s="229"/>
      <c r="F478" s="229"/>
      <c r="G478" s="229"/>
      <c r="H478" s="229"/>
      <c r="I478" s="222"/>
      <c r="J478" s="222"/>
      <c r="K478" s="222"/>
    </row>
    <row r="479" spans="2:11">
      <c r="B479" s="228"/>
      <c r="C479" s="228"/>
      <c r="D479" s="229"/>
      <c r="E479" s="229"/>
      <c r="F479" s="229"/>
      <c r="G479" s="229"/>
      <c r="H479" s="229"/>
      <c r="I479" s="222"/>
      <c r="J479" s="222"/>
      <c r="K479" s="222"/>
    </row>
    <row r="480" spans="2:11">
      <c r="B480" s="228"/>
      <c r="C480" s="228"/>
      <c r="D480" s="229"/>
      <c r="E480" s="229"/>
      <c r="F480" s="229"/>
      <c r="G480" s="229"/>
      <c r="H480" s="229"/>
      <c r="I480" s="222"/>
      <c r="J480" s="222"/>
      <c r="K480" s="222"/>
    </row>
    <row r="481" spans="2:11">
      <c r="B481" s="228"/>
      <c r="C481" s="228"/>
      <c r="D481" s="229"/>
      <c r="E481" s="229"/>
      <c r="F481" s="229"/>
      <c r="G481" s="229"/>
      <c r="H481" s="229"/>
      <c r="I481" s="222"/>
      <c r="J481" s="222"/>
      <c r="K481" s="222"/>
    </row>
    <row r="482" spans="2:11">
      <c r="B482" s="228"/>
      <c r="C482" s="228"/>
      <c r="D482" s="229"/>
      <c r="E482" s="229"/>
      <c r="F482" s="229"/>
      <c r="G482" s="229"/>
      <c r="H482" s="229"/>
      <c r="I482" s="222"/>
      <c r="J482" s="222"/>
      <c r="K482" s="222"/>
    </row>
    <row r="483" spans="2:11">
      <c r="B483" s="228"/>
      <c r="C483" s="228"/>
      <c r="D483" s="229"/>
      <c r="E483" s="229"/>
      <c r="F483" s="229"/>
      <c r="G483" s="229"/>
      <c r="H483" s="229"/>
      <c r="I483" s="222"/>
      <c r="J483" s="222"/>
      <c r="K483" s="222"/>
    </row>
    <row r="484" spans="2:11">
      <c r="B484" s="228"/>
      <c r="C484" s="228"/>
      <c r="D484" s="229"/>
      <c r="E484" s="229"/>
      <c r="F484" s="229"/>
      <c r="G484" s="229"/>
      <c r="H484" s="229"/>
      <c r="I484" s="222"/>
      <c r="J484" s="222"/>
      <c r="K484" s="222"/>
    </row>
    <row r="485" spans="2:11">
      <c r="B485" s="228"/>
      <c r="C485" s="228"/>
      <c r="D485" s="229"/>
      <c r="E485" s="229"/>
      <c r="F485" s="229"/>
      <c r="G485" s="229"/>
      <c r="H485" s="229"/>
      <c r="I485" s="222"/>
      <c r="J485" s="222"/>
      <c r="K485" s="222"/>
    </row>
    <row r="486" spans="2:11">
      <c r="B486" s="228"/>
      <c r="C486" s="228"/>
      <c r="D486" s="229"/>
      <c r="E486" s="229"/>
      <c r="F486" s="229"/>
      <c r="G486" s="229"/>
      <c r="H486" s="229"/>
      <c r="I486" s="222"/>
      <c r="J486" s="222"/>
      <c r="K486" s="222"/>
    </row>
    <row r="487" spans="2:11">
      <c r="B487" s="228"/>
      <c r="C487" s="228"/>
      <c r="D487" s="229"/>
      <c r="E487" s="229"/>
      <c r="F487" s="229"/>
      <c r="G487" s="229"/>
      <c r="H487" s="229"/>
      <c r="I487" s="222"/>
      <c r="J487" s="222"/>
      <c r="K487" s="222"/>
    </row>
    <row r="488" spans="2:11">
      <c r="B488" s="228"/>
      <c r="C488" s="228"/>
      <c r="D488" s="229"/>
      <c r="E488" s="229"/>
      <c r="F488" s="229"/>
      <c r="G488" s="229"/>
      <c r="H488" s="229"/>
      <c r="I488" s="222"/>
      <c r="J488" s="222"/>
      <c r="K488" s="222"/>
    </row>
    <row r="489" spans="2:11">
      <c r="B489" s="228"/>
      <c r="C489" s="228"/>
      <c r="D489" s="229"/>
      <c r="E489" s="229"/>
      <c r="F489" s="229"/>
      <c r="G489" s="229"/>
      <c r="H489" s="229"/>
      <c r="I489" s="222"/>
      <c r="J489" s="222"/>
      <c r="K489" s="222"/>
    </row>
    <row r="490" spans="2:11">
      <c r="B490" s="228"/>
      <c r="C490" s="228"/>
      <c r="D490" s="229"/>
      <c r="E490" s="229"/>
      <c r="F490" s="229"/>
      <c r="G490" s="229"/>
      <c r="H490" s="229"/>
      <c r="I490" s="222"/>
      <c r="J490" s="222"/>
      <c r="K490" s="222"/>
    </row>
    <row r="491" spans="2:11">
      <c r="B491" s="228"/>
      <c r="C491" s="228"/>
      <c r="D491" s="229"/>
      <c r="E491" s="229"/>
      <c r="F491" s="229"/>
      <c r="G491" s="229"/>
      <c r="H491" s="229"/>
      <c r="I491" s="222"/>
      <c r="J491" s="222"/>
      <c r="K491" s="222"/>
    </row>
    <row r="492" spans="2:11">
      <c r="B492" s="228"/>
      <c r="C492" s="228"/>
      <c r="D492" s="229"/>
      <c r="E492" s="229"/>
      <c r="F492" s="229"/>
      <c r="G492" s="229"/>
      <c r="H492" s="229"/>
      <c r="I492" s="222"/>
      <c r="J492" s="222"/>
      <c r="K492" s="222"/>
    </row>
    <row r="493" spans="2:11">
      <c r="B493" s="228"/>
      <c r="C493" s="228"/>
      <c r="D493" s="229"/>
      <c r="E493" s="229"/>
      <c r="F493" s="229"/>
      <c r="G493" s="229"/>
      <c r="H493" s="229"/>
      <c r="I493" s="222"/>
      <c r="J493" s="222"/>
      <c r="K493" s="222"/>
    </row>
    <row r="494" spans="2:11">
      <c r="B494" s="228"/>
      <c r="C494" s="228"/>
      <c r="D494" s="229"/>
      <c r="E494" s="229"/>
      <c r="F494" s="229"/>
      <c r="G494" s="229"/>
      <c r="H494" s="229"/>
      <c r="I494" s="222"/>
      <c r="J494" s="222"/>
      <c r="K494" s="222"/>
    </row>
    <row r="495" spans="2:11">
      <c r="B495" s="228"/>
      <c r="C495" s="228"/>
      <c r="D495" s="229"/>
      <c r="E495" s="229"/>
      <c r="F495" s="229"/>
      <c r="G495" s="229"/>
      <c r="H495" s="229"/>
      <c r="I495" s="222"/>
      <c r="J495" s="222"/>
      <c r="K495" s="222"/>
    </row>
    <row r="496" spans="2:11">
      <c r="B496" s="228"/>
      <c r="C496" s="228"/>
      <c r="D496" s="229"/>
      <c r="E496" s="229"/>
      <c r="F496" s="229"/>
      <c r="G496" s="229"/>
      <c r="H496" s="229"/>
      <c r="I496" s="222"/>
      <c r="J496" s="222"/>
      <c r="K496" s="222"/>
    </row>
    <row r="497" spans="2:11">
      <c r="B497" s="228"/>
      <c r="C497" s="228"/>
      <c r="D497" s="229"/>
      <c r="E497" s="229"/>
      <c r="F497" s="229"/>
      <c r="G497" s="229"/>
      <c r="H497" s="229"/>
      <c r="I497" s="222"/>
      <c r="J497" s="222"/>
      <c r="K497" s="222"/>
    </row>
    <row r="498" spans="2:11">
      <c r="B498" s="228"/>
      <c r="C498" s="228"/>
      <c r="D498" s="229"/>
      <c r="E498" s="229"/>
      <c r="F498" s="229"/>
      <c r="G498" s="229"/>
      <c r="H498" s="229"/>
      <c r="I498" s="222"/>
      <c r="J498" s="222"/>
      <c r="K498" s="222"/>
    </row>
    <row r="499" spans="2:11">
      <c r="B499" s="228"/>
      <c r="C499" s="228"/>
      <c r="D499" s="229"/>
      <c r="E499" s="229"/>
      <c r="F499" s="229"/>
      <c r="G499" s="229"/>
      <c r="H499" s="229"/>
      <c r="I499" s="222"/>
      <c r="J499" s="222"/>
      <c r="K499" s="222"/>
    </row>
    <row r="500" spans="2:11">
      <c r="B500" s="228"/>
      <c r="C500" s="228"/>
      <c r="D500" s="229"/>
      <c r="E500" s="229"/>
      <c r="F500" s="229"/>
      <c r="G500" s="229"/>
      <c r="H500" s="229"/>
      <c r="I500" s="222"/>
      <c r="J500" s="222"/>
      <c r="K500" s="222"/>
    </row>
    <row r="501" spans="2:11">
      <c r="B501" s="228"/>
      <c r="C501" s="228"/>
      <c r="D501" s="229"/>
      <c r="E501" s="229"/>
      <c r="F501" s="229"/>
      <c r="G501" s="229"/>
      <c r="H501" s="229"/>
      <c r="I501" s="222"/>
      <c r="J501" s="222"/>
      <c r="K501" s="222"/>
    </row>
    <row r="502" spans="2:11">
      <c r="B502" s="228"/>
      <c r="C502" s="228"/>
      <c r="D502" s="229"/>
      <c r="E502" s="229"/>
      <c r="F502" s="229"/>
      <c r="G502" s="229"/>
      <c r="H502" s="229"/>
      <c r="I502" s="222"/>
      <c r="J502" s="222"/>
      <c r="K502" s="222"/>
    </row>
    <row r="503" spans="2:11">
      <c r="B503" s="228"/>
      <c r="C503" s="228"/>
      <c r="D503" s="229"/>
      <c r="E503" s="229"/>
      <c r="F503" s="229"/>
      <c r="G503" s="229"/>
      <c r="H503" s="229"/>
      <c r="I503" s="222"/>
      <c r="J503" s="222"/>
      <c r="K503" s="222"/>
    </row>
    <row r="504" spans="2:11">
      <c r="B504" s="228"/>
      <c r="C504" s="228"/>
      <c r="D504" s="229"/>
      <c r="E504" s="229"/>
      <c r="F504" s="229"/>
      <c r="G504" s="229"/>
      <c r="H504" s="229"/>
      <c r="I504" s="222"/>
      <c r="J504" s="222"/>
      <c r="K504" s="222"/>
    </row>
    <row r="505" spans="2:11">
      <c r="B505" s="228"/>
      <c r="C505" s="228"/>
      <c r="D505" s="229"/>
      <c r="E505" s="229"/>
      <c r="F505" s="229"/>
      <c r="G505" s="229"/>
      <c r="H505" s="229"/>
      <c r="I505" s="222"/>
      <c r="J505" s="222"/>
      <c r="K505" s="222"/>
    </row>
    <row r="506" spans="2:11">
      <c r="B506" s="228"/>
      <c r="C506" s="228"/>
      <c r="D506" s="229"/>
      <c r="E506" s="229"/>
      <c r="F506" s="229"/>
      <c r="G506" s="229"/>
      <c r="H506" s="229"/>
      <c r="I506" s="222"/>
      <c r="J506" s="222"/>
      <c r="K506" s="222"/>
    </row>
    <row r="507" spans="2:11">
      <c r="B507" s="228"/>
      <c r="C507" s="228"/>
      <c r="D507" s="229"/>
      <c r="E507" s="229"/>
      <c r="F507" s="229"/>
      <c r="G507" s="229"/>
      <c r="H507" s="229"/>
      <c r="I507" s="222"/>
      <c r="J507" s="222"/>
      <c r="K507" s="222"/>
    </row>
    <row r="508" spans="2:11">
      <c r="B508" s="228"/>
      <c r="C508" s="228"/>
      <c r="D508" s="229"/>
      <c r="E508" s="229"/>
      <c r="F508" s="229"/>
      <c r="G508" s="229"/>
      <c r="H508" s="229"/>
      <c r="I508" s="222"/>
      <c r="J508" s="222"/>
      <c r="K508" s="222"/>
    </row>
    <row r="509" spans="2:11">
      <c r="B509" s="228"/>
      <c r="C509" s="228"/>
      <c r="D509" s="229"/>
      <c r="E509" s="229"/>
      <c r="F509" s="229"/>
      <c r="G509" s="229"/>
      <c r="H509" s="229"/>
      <c r="I509" s="222"/>
      <c r="J509" s="222"/>
      <c r="K509" s="222"/>
    </row>
    <row r="510" spans="2:11">
      <c r="B510" s="228"/>
      <c r="C510" s="228"/>
      <c r="D510" s="229"/>
      <c r="E510" s="229"/>
      <c r="F510" s="229"/>
      <c r="G510" s="229"/>
      <c r="H510" s="229"/>
      <c r="I510" s="222"/>
      <c r="J510" s="222"/>
      <c r="K510" s="222"/>
    </row>
    <row r="511" spans="2:11">
      <c r="B511" s="228"/>
      <c r="C511" s="228"/>
      <c r="D511" s="229"/>
      <c r="E511" s="229"/>
      <c r="F511" s="229"/>
      <c r="G511" s="229"/>
      <c r="H511" s="229"/>
      <c r="I511" s="222"/>
      <c r="J511" s="222"/>
      <c r="K511" s="222"/>
    </row>
    <row r="512" spans="2:11">
      <c r="B512" s="228"/>
      <c r="C512" s="228"/>
      <c r="D512" s="229"/>
      <c r="E512" s="229"/>
      <c r="F512" s="229"/>
      <c r="G512" s="229"/>
      <c r="H512" s="229"/>
      <c r="I512" s="222"/>
      <c r="J512" s="222"/>
      <c r="K512" s="222"/>
    </row>
    <row r="513" spans="2:11">
      <c r="B513" s="228"/>
      <c r="C513" s="228"/>
      <c r="D513" s="229"/>
      <c r="E513" s="229"/>
      <c r="F513" s="229"/>
      <c r="G513" s="229"/>
      <c r="H513" s="229"/>
      <c r="I513" s="222"/>
      <c r="J513" s="222"/>
      <c r="K513" s="222"/>
    </row>
    <row r="514" spans="2:11">
      <c r="B514" s="228"/>
      <c r="C514" s="228"/>
      <c r="D514" s="229"/>
      <c r="E514" s="229"/>
      <c r="F514" s="229"/>
      <c r="G514" s="229"/>
      <c r="H514" s="229"/>
      <c r="I514" s="222"/>
      <c r="J514" s="222"/>
      <c r="K514" s="222"/>
    </row>
    <row r="515" spans="2:11">
      <c r="B515" s="228"/>
      <c r="C515" s="228"/>
      <c r="D515" s="229"/>
      <c r="E515" s="229"/>
      <c r="F515" s="229"/>
      <c r="G515" s="229"/>
      <c r="H515" s="229"/>
      <c r="I515" s="222"/>
      <c r="J515" s="222"/>
      <c r="K515" s="222"/>
    </row>
    <row r="516" spans="2:11">
      <c r="B516" s="228"/>
      <c r="C516" s="228"/>
      <c r="D516" s="229"/>
      <c r="E516" s="229"/>
      <c r="F516" s="229"/>
      <c r="G516" s="229"/>
      <c r="H516" s="229"/>
      <c r="I516" s="222"/>
      <c r="J516" s="222"/>
      <c r="K516" s="222"/>
    </row>
    <row r="517" spans="2:11">
      <c r="B517" s="228"/>
      <c r="C517" s="228"/>
      <c r="D517" s="229"/>
      <c r="E517" s="229"/>
      <c r="F517" s="229"/>
      <c r="G517" s="229"/>
      <c r="H517" s="229"/>
      <c r="I517" s="222"/>
      <c r="J517" s="222"/>
      <c r="K517" s="222"/>
    </row>
    <row r="518" spans="2:11">
      <c r="B518" s="228"/>
      <c r="C518" s="228"/>
      <c r="D518" s="229"/>
      <c r="E518" s="229"/>
      <c r="F518" s="229"/>
      <c r="G518" s="229"/>
      <c r="H518" s="229"/>
      <c r="I518" s="222"/>
      <c r="J518" s="222"/>
      <c r="K518" s="222"/>
    </row>
    <row r="519" spans="2:11">
      <c r="B519" s="228"/>
      <c r="C519" s="228"/>
      <c r="D519" s="229"/>
      <c r="E519" s="229"/>
      <c r="F519" s="229"/>
      <c r="G519" s="229"/>
      <c r="H519" s="229"/>
      <c r="I519" s="222"/>
      <c r="J519" s="222"/>
      <c r="K519" s="222"/>
    </row>
    <row r="520" spans="2:11">
      <c r="B520" s="228"/>
      <c r="C520" s="228"/>
      <c r="D520" s="229"/>
      <c r="E520" s="229"/>
      <c r="F520" s="229"/>
      <c r="G520" s="229"/>
      <c r="H520" s="229"/>
      <c r="I520" s="222"/>
      <c r="J520" s="222"/>
      <c r="K520" s="222"/>
    </row>
    <row r="521" spans="2:11">
      <c r="B521" s="228"/>
      <c r="C521" s="228"/>
      <c r="D521" s="229"/>
      <c r="E521" s="229"/>
      <c r="F521" s="229"/>
      <c r="G521" s="229"/>
      <c r="H521" s="229"/>
      <c r="I521" s="222"/>
      <c r="J521" s="222"/>
      <c r="K521" s="222"/>
    </row>
    <row r="522" spans="2:11">
      <c r="B522" s="228"/>
      <c r="C522" s="228"/>
      <c r="D522" s="229"/>
      <c r="E522" s="229"/>
      <c r="F522" s="229"/>
      <c r="G522" s="229"/>
      <c r="H522" s="229"/>
      <c r="I522" s="222"/>
      <c r="J522" s="222"/>
      <c r="K522" s="222"/>
    </row>
    <row r="523" spans="2:11">
      <c r="B523" s="228"/>
      <c r="C523" s="228"/>
      <c r="D523" s="229"/>
      <c r="E523" s="229"/>
      <c r="F523" s="229"/>
      <c r="G523" s="229"/>
      <c r="H523" s="229"/>
      <c r="I523" s="222"/>
      <c r="J523" s="222"/>
      <c r="K523" s="222"/>
    </row>
    <row r="524" spans="2:11">
      <c r="B524" s="228"/>
      <c r="C524" s="228"/>
      <c r="D524" s="229"/>
      <c r="E524" s="229"/>
      <c r="F524" s="229"/>
      <c r="G524" s="229"/>
      <c r="H524" s="229"/>
      <c r="I524" s="222"/>
      <c r="J524" s="222"/>
      <c r="K524" s="222"/>
    </row>
    <row r="525" spans="2:11">
      <c r="B525" s="228"/>
      <c r="C525" s="228"/>
      <c r="D525" s="229"/>
      <c r="E525" s="229"/>
      <c r="F525" s="229"/>
      <c r="G525" s="229"/>
      <c r="H525" s="229"/>
      <c r="I525" s="222"/>
      <c r="J525" s="222"/>
      <c r="K525" s="222"/>
    </row>
    <row r="526" spans="2:11">
      <c r="B526" s="228"/>
      <c r="C526" s="228"/>
      <c r="D526" s="229"/>
      <c r="E526" s="229"/>
      <c r="F526" s="229"/>
      <c r="G526" s="229"/>
      <c r="H526" s="229"/>
      <c r="I526" s="222"/>
      <c r="J526" s="222"/>
      <c r="K526" s="222"/>
    </row>
    <row r="527" spans="2:11">
      <c r="B527" s="228"/>
      <c r="C527" s="228"/>
      <c r="D527" s="229"/>
      <c r="E527" s="229"/>
      <c r="F527" s="229"/>
      <c r="G527" s="229"/>
      <c r="H527" s="229"/>
      <c r="I527" s="222"/>
      <c r="J527" s="222"/>
      <c r="K527" s="222"/>
    </row>
    <row r="528" spans="2:11">
      <c r="B528" s="228"/>
      <c r="C528" s="228"/>
      <c r="D528" s="229"/>
      <c r="E528" s="229"/>
      <c r="F528" s="229"/>
      <c r="G528" s="229"/>
      <c r="H528" s="229"/>
      <c r="I528" s="222"/>
      <c r="J528" s="222"/>
      <c r="K528" s="222"/>
    </row>
    <row r="529" spans="2:11">
      <c r="B529" s="228"/>
      <c r="C529" s="228"/>
      <c r="D529" s="229"/>
      <c r="E529" s="229"/>
      <c r="F529" s="229"/>
      <c r="G529" s="229"/>
      <c r="H529" s="229"/>
      <c r="I529" s="222"/>
      <c r="J529" s="222"/>
      <c r="K529" s="222"/>
    </row>
    <row r="530" spans="2:11">
      <c r="B530" s="228"/>
      <c r="C530" s="228"/>
      <c r="D530" s="229"/>
      <c r="E530" s="229"/>
      <c r="F530" s="229"/>
      <c r="G530" s="229"/>
      <c r="H530" s="229"/>
      <c r="I530" s="222"/>
      <c r="J530" s="222"/>
      <c r="K530" s="222"/>
    </row>
    <row r="531" spans="2:11">
      <c r="B531" s="228"/>
      <c r="C531" s="228"/>
      <c r="D531" s="229"/>
      <c r="E531" s="229"/>
      <c r="F531" s="229"/>
      <c r="G531" s="229"/>
      <c r="H531" s="229"/>
      <c r="I531" s="222"/>
      <c r="J531" s="222"/>
      <c r="K531" s="222"/>
    </row>
    <row r="532" spans="2:11">
      <c r="B532" s="228"/>
      <c r="C532" s="228"/>
      <c r="D532" s="229"/>
      <c r="E532" s="229"/>
      <c r="F532" s="229"/>
      <c r="G532" s="229"/>
      <c r="H532" s="229"/>
      <c r="I532" s="222"/>
      <c r="J532" s="222"/>
      <c r="K532" s="222"/>
    </row>
    <row r="533" spans="2:11">
      <c r="B533" s="228"/>
      <c r="C533" s="228"/>
      <c r="D533" s="229"/>
      <c r="E533" s="229"/>
      <c r="F533" s="229"/>
      <c r="G533" s="229"/>
      <c r="H533" s="229"/>
      <c r="I533" s="222"/>
      <c r="J533" s="222"/>
      <c r="K533" s="222"/>
    </row>
    <row r="534" spans="2:11">
      <c r="B534" s="228"/>
      <c r="C534" s="228"/>
      <c r="D534" s="229"/>
      <c r="E534" s="229"/>
      <c r="F534" s="229"/>
      <c r="G534" s="229"/>
      <c r="H534" s="229"/>
      <c r="I534" s="222"/>
      <c r="J534" s="222"/>
      <c r="K534" s="222"/>
    </row>
    <row r="535" spans="2:11">
      <c r="B535" s="228"/>
      <c r="C535" s="228"/>
      <c r="D535" s="229"/>
      <c r="E535" s="229"/>
      <c r="F535" s="229"/>
      <c r="G535" s="229"/>
      <c r="H535" s="229"/>
      <c r="I535" s="222"/>
      <c r="J535" s="222"/>
      <c r="K535" s="222"/>
    </row>
    <row r="536" spans="2:11">
      <c r="B536" s="228"/>
      <c r="C536" s="228"/>
      <c r="D536" s="229"/>
      <c r="E536" s="229"/>
      <c r="F536" s="229"/>
      <c r="G536" s="229"/>
      <c r="H536" s="229"/>
      <c r="I536" s="222"/>
      <c r="J536" s="222"/>
      <c r="K536" s="222"/>
    </row>
    <row r="537" spans="2:11">
      <c r="B537" s="228"/>
      <c r="C537" s="228"/>
      <c r="D537" s="229"/>
      <c r="E537" s="229"/>
      <c r="F537" s="229"/>
      <c r="G537" s="229"/>
      <c r="H537" s="229"/>
      <c r="I537" s="222"/>
      <c r="J537" s="222"/>
      <c r="K537" s="222"/>
    </row>
    <row r="538" spans="2:11">
      <c r="B538" s="228"/>
      <c r="C538" s="228"/>
      <c r="D538" s="229"/>
      <c r="E538" s="229"/>
      <c r="F538" s="229"/>
      <c r="G538" s="229"/>
      <c r="H538" s="229"/>
      <c r="I538" s="222"/>
      <c r="J538" s="222"/>
      <c r="K538" s="222"/>
    </row>
    <row r="539" spans="2:11">
      <c r="B539" s="228"/>
      <c r="C539" s="228"/>
      <c r="D539" s="229"/>
      <c r="E539" s="229"/>
      <c r="F539" s="229"/>
      <c r="G539" s="229"/>
      <c r="H539" s="229"/>
      <c r="I539" s="222"/>
      <c r="J539" s="222"/>
      <c r="K539" s="222"/>
    </row>
    <row r="540" spans="2:11">
      <c r="B540" s="228"/>
      <c r="C540" s="228"/>
      <c r="D540" s="229"/>
      <c r="E540" s="229"/>
      <c r="F540" s="229"/>
      <c r="G540" s="229"/>
      <c r="H540" s="229"/>
      <c r="I540" s="222"/>
      <c r="J540" s="222"/>
      <c r="K540" s="222"/>
    </row>
    <row r="541" spans="2:11">
      <c r="B541" s="228"/>
      <c r="C541" s="228"/>
      <c r="D541" s="229"/>
      <c r="E541" s="229"/>
      <c r="F541" s="229"/>
      <c r="G541" s="229"/>
      <c r="H541" s="229"/>
      <c r="I541" s="222"/>
      <c r="J541" s="222"/>
      <c r="K541" s="222"/>
    </row>
    <row r="542" spans="2:11">
      <c r="B542" s="228"/>
      <c r="C542" s="228"/>
      <c r="D542" s="229"/>
      <c r="E542" s="229"/>
      <c r="F542" s="229"/>
      <c r="G542" s="229"/>
      <c r="H542" s="229"/>
      <c r="I542" s="222"/>
      <c r="J542" s="222"/>
      <c r="K542" s="222"/>
    </row>
    <row r="543" spans="2:11">
      <c r="B543" s="228"/>
      <c r="C543" s="228"/>
      <c r="D543" s="229"/>
      <c r="E543" s="229"/>
      <c r="F543" s="229"/>
      <c r="G543" s="229"/>
      <c r="H543" s="229"/>
      <c r="I543" s="222"/>
      <c r="J543" s="222"/>
      <c r="K543" s="222"/>
    </row>
    <row r="544" spans="2:11">
      <c r="B544" s="228"/>
      <c r="C544" s="228"/>
      <c r="D544" s="229"/>
      <c r="E544" s="229"/>
      <c r="F544" s="229"/>
      <c r="G544" s="229"/>
      <c r="H544" s="229"/>
      <c r="I544" s="222"/>
      <c r="J544" s="222"/>
      <c r="K544" s="222"/>
    </row>
    <row r="545" spans="2:11">
      <c r="B545" s="228"/>
      <c r="C545" s="228"/>
      <c r="D545" s="229"/>
      <c r="E545" s="229"/>
      <c r="F545" s="229"/>
      <c r="G545" s="229"/>
      <c r="H545" s="229"/>
      <c r="I545" s="222"/>
      <c r="J545" s="222"/>
      <c r="K545" s="222"/>
    </row>
    <row r="546" spans="2:11">
      <c r="B546" s="228"/>
      <c r="C546" s="228"/>
      <c r="D546" s="229"/>
      <c r="E546" s="229"/>
      <c r="F546" s="229"/>
      <c r="G546" s="229"/>
      <c r="H546" s="229"/>
      <c r="I546" s="222"/>
      <c r="J546" s="222"/>
      <c r="K546" s="222"/>
    </row>
    <row r="547" spans="2:11">
      <c r="B547" s="228"/>
      <c r="C547" s="228"/>
      <c r="D547" s="229"/>
      <c r="E547" s="229"/>
      <c r="F547" s="229"/>
      <c r="G547" s="229"/>
      <c r="H547" s="229"/>
      <c r="I547" s="222"/>
      <c r="J547" s="222"/>
      <c r="K547" s="222"/>
    </row>
    <row r="548" spans="2:11">
      <c r="B548" s="228"/>
      <c r="C548" s="228"/>
      <c r="D548" s="229"/>
      <c r="E548" s="229"/>
      <c r="F548" s="229"/>
      <c r="G548" s="229"/>
      <c r="H548" s="229"/>
      <c r="I548" s="222"/>
      <c r="J548" s="222"/>
      <c r="K548" s="222"/>
    </row>
    <row r="549" spans="2:11">
      <c r="B549" s="228"/>
      <c r="C549" s="228"/>
      <c r="D549" s="229"/>
      <c r="E549" s="229"/>
      <c r="F549" s="229"/>
      <c r="G549" s="229"/>
      <c r="H549" s="229"/>
      <c r="I549" s="222"/>
      <c r="J549" s="222"/>
      <c r="K549" s="222"/>
    </row>
    <row r="550" spans="2:11">
      <c r="B550" s="228"/>
      <c r="C550" s="228"/>
      <c r="D550" s="229"/>
      <c r="E550" s="229"/>
      <c r="F550" s="229"/>
      <c r="G550" s="229"/>
      <c r="H550" s="229"/>
      <c r="I550" s="222"/>
      <c r="J550" s="222"/>
      <c r="K550" s="222"/>
    </row>
    <row r="551" spans="2:11">
      <c r="B551" s="228"/>
      <c r="C551" s="228"/>
      <c r="D551" s="229"/>
      <c r="E551" s="229"/>
      <c r="F551" s="229"/>
      <c r="G551" s="229"/>
      <c r="H551" s="229"/>
      <c r="I551" s="222"/>
      <c r="J551" s="222"/>
      <c r="K551" s="222"/>
    </row>
    <row r="552" spans="2:11">
      <c r="B552" s="228"/>
      <c r="C552" s="228"/>
      <c r="D552" s="229"/>
      <c r="E552" s="229"/>
      <c r="F552" s="229"/>
      <c r="G552" s="229"/>
      <c r="H552" s="229"/>
      <c r="I552" s="222"/>
      <c r="J552" s="222"/>
      <c r="K552" s="222"/>
    </row>
    <row r="553" spans="2:11">
      <c r="B553" s="228"/>
      <c r="C553" s="228"/>
      <c r="D553" s="229"/>
      <c r="E553" s="229"/>
      <c r="F553" s="229"/>
      <c r="G553" s="229"/>
      <c r="H553" s="229"/>
      <c r="I553" s="222"/>
      <c r="J553" s="222"/>
      <c r="K553" s="222"/>
    </row>
    <row r="554" spans="2:11">
      <c r="B554" s="228"/>
      <c r="C554" s="228"/>
      <c r="D554" s="229"/>
      <c r="E554" s="229"/>
      <c r="F554" s="229"/>
      <c r="G554" s="229"/>
      <c r="H554" s="229"/>
      <c r="I554" s="222"/>
      <c r="J554" s="222"/>
      <c r="K554" s="222"/>
    </row>
    <row r="555" spans="2:11">
      <c r="B555" s="228"/>
      <c r="C555" s="228"/>
      <c r="D555" s="229"/>
      <c r="E555" s="229"/>
      <c r="F555" s="229"/>
      <c r="G555" s="229"/>
      <c r="H555" s="229"/>
      <c r="I555" s="222"/>
      <c r="J555" s="222"/>
      <c r="K555" s="222"/>
    </row>
    <row r="556" spans="2:11">
      <c r="B556" s="228"/>
      <c r="C556" s="228"/>
      <c r="D556" s="229"/>
      <c r="E556" s="229"/>
      <c r="F556" s="229"/>
      <c r="G556" s="229"/>
      <c r="H556" s="229"/>
      <c r="I556" s="222"/>
      <c r="J556" s="222"/>
      <c r="K556" s="222"/>
    </row>
    <row r="557" spans="2:11">
      <c r="B557" s="228"/>
      <c r="C557" s="228"/>
      <c r="D557" s="229"/>
      <c r="E557" s="229"/>
      <c r="F557" s="229"/>
      <c r="G557" s="229"/>
      <c r="H557" s="229"/>
      <c r="I557" s="222"/>
      <c r="J557" s="222"/>
      <c r="K557" s="222"/>
    </row>
    <row r="558" spans="2:11">
      <c r="B558" s="228"/>
      <c r="C558" s="228"/>
      <c r="D558" s="229"/>
      <c r="E558" s="229"/>
      <c r="F558" s="229"/>
      <c r="G558" s="229"/>
      <c r="H558" s="229"/>
      <c r="I558" s="222"/>
      <c r="J558" s="222"/>
      <c r="K558" s="222"/>
    </row>
    <row r="559" spans="2:11">
      <c r="B559" s="228"/>
      <c r="C559" s="228"/>
      <c r="D559" s="229"/>
      <c r="E559" s="229"/>
      <c r="F559" s="229"/>
      <c r="G559" s="229"/>
      <c r="H559" s="229"/>
      <c r="I559" s="222"/>
      <c r="J559" s="222"/>
      <c r="K559" s="222"/>
    </row>
    <row r="560" spans="2:11">
      <c r="B560" s="228"/>
      <c r="C560" s="228"/>
      <c r="D560" s="229"/>
      <c r="E560" s="229"/>
      <c r="F560" s="229"/>
      <c r="G560" s="229"/>
      <c r="H560" s="229"/>
      <c r="I560" s="222"/>
      <c r="J560" s="222"/>
      <c r="K560" s="222"/>
    </row>
    <row r="561" spans="2:11">
      <c r="B561" s="228"/>
      <c r="C561" s="228"/>
      <c r="D561" s="229"/>
      <c r="E561" s="229"/>
      <c r="F561" s="229"/>
      <c r="G561" s="229"/>
      <c r="H561" s="229"/>
      <c r="I561" s="222"/>
      <c r="J561" s="222"/>
      <c r="K561" s="222"/>
    </row>
    <row r="562" spans="2:11">
      <c r="B562" s="228"/>
      <c r="C562" s="228"/>
      <c r="D562" s="229"/>
      <c r="E562" s="229"/>
      <c r="F562" s="229"/>
      <c r="G562" s="229"/>
      <c r="H562" s="229"/>
      <c r="I562" s="222"/>
      <c r="J562" s="222"/>
      <c r="K562" s="222"/>
    </row>
    <row r="563" spans="2:11">
      <c r="B563" s="228"/>
      <c r="C563" s="228"/>
      <c r="D563" s="229"/>
      <c r="E563" s="229"/>
      <c r="F563" s="229"/>
      <c r="G563" s="229"/>
      <c r="H563" s="229"/>
      <c r="I563" s="222"/>
      <c r="J563" s="222"/>
      <c r="K563" s="222"/>
    </row>
    <row r="564" spans="2:11">
      <c r="B564" s="228"/>
      <c r="C564" s="228"/>
      <c r="D564" s="229"/>
      <c r="E564" s="229"/>
      <c r="F564" s="229"/>
      <c r="G564" s="229"/>
      <c r="H564" s="229"/>
      <c r="I564" s="222"/>
      <c r="J564" s="222"/>
      <c r="K564" s="222"/>
    </row>
    <row r="565" spans="2:11">
      <c r="B565" s="228"/>
      <c r="C565" s="228"/>
      <c r="D565" s="229"/>
      <c r="E565" s="229"/>
      <c r="F565" s="229"/>
      <c r="G565" s="229"/>
      <c r="H565" s="229"/>
      <c r="I565" s="222"/>
      <c r="J565" s="222"/>
      <c r="K565" s="222"/>
    </row>
    <row r="566" spans="2:11">
      <c r="B566" s="228"/>
      <c r="C566" s="228"/>
      <c r="D566" s="229"/>
      <c r="E566" s="229"/>
      <c r="F566" s="229"/>
      <c r="G566" s="229"/>
      <c r="H566" s="229"/>
      <c r="I566" s="222"/>
      <c r="J566" s="222"/>
      <c r="K566" s="222"/>
    </row>
    <row r="567" spans="2:11">
      <c r="B567" s="228"/>
      <c r="C567" s="228"/>
      <c r="D567" s="229"/>
      <c r="E567" s="229"/>
      <c r="F567" s="229"/>
      <c r="G567" s="229"/>
      <c r="H567" s="229"/>
      <c r="I567" s="222"/>
      <c r="J567" s="222"/>
      <c r="K567" s="222"/>
    </row>
    <row r="568" spans="2:11">
      <c r="B568" s="228"/>
      <c r="C568" s="228"/>
      <c r="D568" s="229"/>
      <c r="E568" s="229"/>
      <c r="F568" s="229"/>
      <c r="G568" s="229"/>
      <c r="H568" s="229"/>
      <c r="I568" s="222"/>
      <c r="J568" s="222"/>
      <c r="K568" s="222"/>
    </row>
    <row r="569" spans="2:11">
      <c r="B569" s="228"/>
      <c r="C569" s="228"/>
      <c r="D569" s="229"/>
      <c r="E569" s="229"/>
      <c r="F569" s="229"/>
      <c r="G569" s="229"/>
      <c r="H569" s="229"/>
      <c r="I569" s="222"/>
      <c r="J569" s="222"/>
      <c r="K569" s="222"/>
    </row>
    <row r="570" spans="2:11">
      <c r="B570" s="228"/>
      <c r="C570" s="228"/>
      <c r="D570" s="229"/>
      <c r="E570" s="229"/>
      <c r="F570" s="229"/>
      <c r="G570" s="229"/>
      <c r="H570" s="229"/>
      <c r="I570" s="222"/>
      <c r="J570" s="222"/>
      <c r="K570" s="222"/>
    </row>
    <row r="571" spans="2:11">
      <c r="B571" s="228"/>
      <c r="C571" s="228"/>
      <c r="D571" s="229"/>
      <c r="E571" s="229"/>
      <c r="F571" s="229"/>
      <c r="G571" s="229"/>
      <c r="H571" s="229"/>
      <c r="I571" s="222"/>
      <c r="J571" s="222"/>
      <c r="K571" s="222"/>
    </row>
    <row r="572" spans="2:11">
      <c r="B572" s="228"/>
      <c r="C572" s="228"/>
      <c r="D572" s="229"/>
      <c r="E572" s="229"/>
      <c r="F572" s="229"/>
      <c r="G572" s="229"/>
      <c r="H572" s="229"/>
      <c r="I572" s="222"/>
      <c r="J572" s="222"/>
      <c r="K572" s="222"/>
    </row>
    <row r="573" spans="2:11">
      <c r="B573" s="228"/>
      <c r="C573" s="228"/>
      <c r="D573" s="229"/>
      <c r="E573" s="229"/>
      <c r="F573" s="229"/>
      <c r="G573" s="229"/>
      <c r="H573" s="229"/>
      <c r="I573" s="222"/>
      <c r="J573" s="222"/>
      <c r="K573" s="222"/>
    </row>
    <row r="574" spans="2:11">
      <c r="B574" s="228"/>
      <c r="C574" s="228"/>
      <c r="D574" s="229"/>
      <c r="E574" s="229"/>
      <c r="F574" s="229"/>
      <c r="G574" s="229"/>
      <c r="H574" s="229"/>
      <c r="I574" s="222"/>
      <c r="J574" s="222"/>
      <c r="K574" s="222"/>
    </row>
    <row r="575" spans="2:11">
      <c r="B575" s="228"/>
      <c r="C575" s="228"/>
      <c r="D575" s="229"/>
      <c r="E575" s="229"/>
      <c r="F575" s="229"/>
      <c r="G575" s="229"/>
      <c r="H575" s="229"/>
      <c r="I575" s="222"/>
      <c r="J575" s="222"/>
      <c r="K575" s="222"/>
    </row>
    <row r="576" spans="2:11">
      <c r="B576" s="228"/>
      <c r="C576" s="228"/>
      <c r="D576" s="229"/>
      <c r="E576" s="229"/>
      <c r="F576" s="229"/>
      <c r="G576" s="229"/>
      <c r="H576" s="229"/>
      <c r="I576" s="222"/>
      <c r="J576" s="222"/>
      <c r="K576" s="222"/>
    </row>
    <row r="577" spans="2:11">
      <c r="B577" s="228"/>
      <c r="C577" s="228"/>
      <c r="D577" s="229"/>
      <c r="E577" s="229"/>
      <c r="F577" s="229"/>
      <c r="G577" s="229"/>
      <c r="H577" s="229"/>
      <c r="I577" s="222"/>
      <c r="J577" s="222"/>
      <c r="K577" s="222"/>
    </row>
    <row r="578" spans="2:11">
      <c r="B578" s="228"/>
      <c r="C578" s="228"/>
      <c r="D578" s="229"/>
      <c r="E578" s="229"/>
      <c r="F578" s="229"/>
      <c r="G578" s="229"/>
      <c r="H578" s="229"/>
      <c r="I578" s="222"/>
      <c r="J578" s="222"/>
      <c r="K578" s="222"/>
    </row>
    <row r="579" spans="2:11">
      <c r="B579" s="228"/>
      <c r="C579" s="228"/>
      <c r="D579" s="229"/>
      <c r="E579" s="229"/>
      <c r="F579" s="229"/>
      <c r="G579" s="229"/>
      <c r="H579" s="229"/>
      <c r="I579" s="222"/>
      <c r="J579" s="222"/>
      <c r="K579" s="222"/>
    </row>
    <row r="580" spans="2:11">
      <c r="B580" s="228"/>
      <c r="C580" s="228"/>
      <c r="D580" s="229"/>
      <c r="E580" s="229"/>
      <c r="F580" s="229"/>
      <c r="G580" s="229"/>
      <c r="H580" s="229"/>
      <c r="I580" s="222"/>
      <c r="J580" s="222"/>
      <c r="K580" s="222"/>
    </row>
    <row r="581" spans="2:11">
      <c r="B581" s="228"/>
      <c r="C581" s="228"/>
      <c r="D581" s="229"/>
      <c r="E581" s="229"/>
      <c r="F581" s="229"/>
      <c r="G581" s="229"/>
      <c r="H581" s="229"/>
      <c r="I581" s="222"/>
      <c r="J581" s="222"/>
      <c r="K581" s="222"/>
    </row>
    <row r="582" spans="2:11">
      <c r="B582" s="228"/>
      <c r="C582" s="228"/>
      <c r="D582" s="229"/>
      <c r="E582" s="229"/>
      <c r="F582" s="229"/>
      <c r="G582" s="229"/>
      <c r="H582" s="229"/>
      <c r="I582" s="222"/>
      <c r="J582" s="222"/>
      <c r="K582" s="222"/>
    </row>
    <row r="583" spans="2:11">
      <c r="B583" s="228"/>
      <c r="C583" s="228"/>
      <c r="D583" s="229"/>
      <c r="E583" s="229"/>
      <c r="F583" s="229"/>
      <c r="G583" s="229"/>
      <c r="H583" s="229"/>
      <c r="I583" s="222"/>
      <c r="J583" s="222"/>
      <c r="K583" s="222"/>
    </row>
    <row r="584" spans="2:11">
      <c r="B584" s="228"/>
      <c r="C584" s="228"/>
      <c r="D584" s="229"/>
      <c r="E584" s="229"/>
      <c r="F584" s="229"/>
      <c r="G584" s="229"/>
      <c r="H584" s="229"/>
      <c r="I584" s="222"/>
      <c r="J584" s="222"/>
      <c r="K584" s="222"/>
    </row>
    <row r="585" spans="2:11">
      <c r="B585" s="228"/>
      <c r="C585" s="228"/>
      <c r="D585" s="229"/>
      <c r="E585" s="229"/>
      <c r="F585" s="229"/>
      <c r="G585" s="229"/>
      <c r="H585" s="229"/>
      <c r="I585" s="222"/>
      <c r="J585" s="222"/>
      <c r="K585" s="222"/>
    </row>
    <row r="586" spans="2:11">
      <c r="B586" s="228"/>
      <c r="C586" s="228"/>
      <c r="D586" s="229"/>
      <c r="E586" s="229"/>
      <c r="F586" s="229"/>
      <c r="G586" s="229"/>
      <c r="H586" s="229"/>
      <c r="I586" s="222"/>
      <c r="J586" s="222"/>
      <c r="K586" s="222"/>
    </row>
    <row r="587" spans="2:11">
      <c r="B587" s="228"/>
      <c r="C587" s="228"/>
      <c r="D587" s="229"/>
      <c r="E587" s="229"/>
      <c r="F587" s="229"/>
      <c r="G587" s="229"/>
      <c r="H587" s="229"/>
      <c r="I587" s="222"/>
      <c r="J587" s="222"/>
      <c r="K587" s="222"/>
    </row>
    <row r="588" spans="2:11">
      <c r="B588" s="228"/>
      <c r="C588" s="228"/>
      <c r="D588" s="229"/>
      <c r="E588" s="229"/>
      <c r="F588" s="229"/>
      <c r="G588" s="229"/>
      <c r="H588" s="229"/>
      <c r="I588" s="222"/>
      <c r="J588" s="222"/>
      <c r="K588" s="222"/>
    </row>
    <row r="589" spans="2:11">
      <c r="B589" s="228"/>
      <c r="C589" s="228"/>
      <c r="D589" s="229"/>
      <c r="E589" s="229"/>
      <c r="F589" s="229"/>
      <c r="G589" s="229"/>
      <c r="H589" s="229"/>
      <c r="I589" s="222"/>
      <c r="J589" s="222"/>
      <c r="K589" s="222"/>
    </row>
    <row r="590" spans="2:11">
      <c r="B590" s="228"/>
      <c r="C590" s="228"/>
      <c r="D590" s="229"/>
      <c r="E590" s="229"/>
      <c r="F590" s="229"/>
      <c r="G590" s="229"/>
      <c r="H590" s="229"/>
      <c r="I590" s="222"/>
      <c r="J590" s="222"/>
      <c r="K590" s="222"/>
    </row>
    <row r="591" spans="2:11">
      <c r="B591" s="228"/>
      <c r="C591" s="228"/>
      <c r="D591" s="229"/>
      <c r="E591" s="229"/>
      <c r="F591" s="229"/>
      <c r="G591" s="229"/>
      <c r="H591" s="229"/>
      <c r="I591" s="222"/>
      <c r="J591" s="222"/>
      <c r="K591" s="222"/>
    </row>
    <row r="592" spans="2:11">
      <c r="B592" s="228"/>
      <c r="C592" s="228"/>
      <c r="D592" s="229"/>
      <c r="E592" s="229"/>
      <c r="F592" s="229"/>
      <c r="G592" s="229"/>
      <c r="H592" s="229"/>
      <c r="I592" s="222"/>
      <c r="J592" s="222"/>
      <c r="K592" s="222"/>
    </row>
    <row r="593" spans="2:11">
      <c r="B593" s="228"/>
      <c r="C593" s="228"/>
      <c r="D593" s="229"/>
      <c r="E593" s="229"/>
      <c r="F593" s="229"/>
      <c r="G593" s="229"/>
      <c r="H593" s="229"/>
      <c r="I593" s="222"/>
      <c r="J593" s="222"/>
      <c r="K593" s="222"/>
    </row>
    <row r="594" spans="2:11">
      <c r="B594" s="228"/>
      <c r="C594" s="228"/>
      <c r="D594" s="229"/>
      <c r="E594" s="229"/>
      <c r="F594" s="229"/>
      <c r="G594" s="229"/>
      <c r="H594" s="229"/>
      <c r="I594" s="222"/>
      <c r="J594" s="222"/>
      <c r="K594" s="222"/>
    </row>
    <row r="595" spans="2:11">
      <c r="B595" s="228"/>
      <c r="C595" s="228"/>
      <c r="D595" s="229"/>
      <c r="E595" s="229"/>
      <c r="F595" s="229"/>
      <c r="G595" s="229"/>
      <c r="H595" s="229"/>
      <c r="I595" s="222"/>
      <c r="J595" s="222"/>
      <c r="K595" s="222"/>
    </row>
    <row r="596" spans="2:11">
      <c r="B596" s="228"/>
      <c r="C596" s="228"/>
      <c r="D596" s="229"/>
      <c r="E596" s="229"/>
      <c r="F596" s="229"/>
      <c r="G596" s="229"/>
      <c r="H596" s="229"/>
      <c r="I596" s="222"/>
      <c r="J596" s="222"/>
      <c r="K596" s="222"/>
    </row>
    <row r="597" spans="2:11">
      <c r="B597" s="228"/>
      <c r="C597" s="228"/>
      <c r="D597" s="229"/>
      <c r="E597" s="229"/>
      <c r="F597" s="229"/>
      <c r="G597" s="229"/>
      <c r="H597" s="229"/>
      <c r="I597" s="222"/>
      <c r="J597" s="222"/>
      <c r="K597" s="222"/>
    </row>
    <row r="598" spans="2:11">
      <c r="B598" s="228"/>
      <c r="C598" s="228"/>
      <c r="D598" s="229"/>
      <c r="E598" s="229"/>
      <c r="F598" s="229"/>
      <c r="G598" s="229"/>
      <c r="H598" s="229"/>
      <c r="I598" s="222"/>
      <c r="J598" s="222"/>
      <c r="K598" s="222"/>
    </row>
    <row r="599" spans="2:11">
      <c r="B599" s="228"/>
      <c r="C599" s="228"/>
      <c r="D599" s="229"/>
      <c r="E599" s="229"/>
      <c r="F599" s="229"/>
      <c r="G599" s="229"/>
      <c r="H599" s="229"/>
      <c r="I599" s="222"/>
      <c r="J599" s="222"/>
      <c r="K599" s="222"/>
    </row>
    <row r="600" spans="2:11">
      <c r="B600" s="228"/>
      <c r="C600" s="228"/>
      <c r="D600" s="229"/>
      <c r="E600" s="229"/>
      <c r="F600" s="229"/>
      <c r="G600" s="229"/>
      <c r="H600" s="229"/>
      <c r="I600" s="222"/>
      <c r="J600" s="222"/>
      <c r="K600" s="222"/>
    </row>
    <row r="601" spans="2:11">
      <c r="B601" s="228"/>
      <c r="C601" s="228"/>
      <c r="D601" s="229"/>
      <c r="E601" s="229"/>
      <c r="F601" s="229"/>
      <c r="G601" s="229"/>
      <c r="H601" s="229"/>
      <c r="I601" s="222"/>
      <c r="J601" s="222"/>
      <c r="K601" s="222"/>
    </row>
    <row r="602" spans="2:11">
      <c r="B602" s="228"/>
      <c r="C602" s="228"/>
      <c r="D602" s="229"/>
      <c r="E602" s="229"/>
      <c r="F602" s="229"/>
      <c r="G602" s="229"/>
      <c r="H602" s="229"/>
      <c r="I602" s="222"/>
      <c r="J602" s="222"/>
      <c r="K602" s="222"/>
    </row>
    <row r="603" spans="2:11">
      <c r="B603" s="228"/>
      <c r="C603" s="228"/>
      <c r="D603" s="229"/>
      <c r="E603" s="229"/>
      <c r="F603" s="229"/>
      <c r="G603" s="229"/>
      <c r="H603" s="229"/>
      <c r="I603" s="222"/>
      <c r="J603" s="222"/>
      <c r="K603" s="222"/>
    </row>
    <row r="604" spans="2:11">
      <c r="B604" s="228"/>
      <c r="C604" s="228"/>
      <c r="D604" s="229"/>
      <c r="E604" s="229"/>
      <c r="F604" s="229"/>
      <c r="G604" s="229"/>
      <c r="H604" s="229"/>
      <c r="I604" s="222"/>
      <c r="J604" s="222"/>
      <c r="K604" s="222"/>
    </row>
    <row r="605" spans="2:11">
      <c r="B605" s="228"/>
      <c r="C605" s="228"/>
      <c r="D605" s="229"/>
      <c r="E605" s="229"/>
      <c r="F605" s="229"/>
      <c r="G605" s="229"/>
      <c r="H605" s="229"/>
      <c r="I605" s="222"/>
      <c r="J605" s="222"/>
      <c r="K605" s="222"/>
    </row>
    <row r="606" spans="2:11">
      <c r="B606" s="228"/>
      <c r="C606" s="228"/>
      <c r="D606" s="229"/>
      <c r="E606" s="229"/>
      <c r="F606" s="229"/>
      <c r="G606" s="229"/>
      <c r="H606" s="229"/>
      <c r="I606" s="222"/>
      <c r="J606" s="222"/>
      <c r="K606" s="222"/>
    </row>
    <row r="607" spans="2:11">
      <c r="B607" s="228"/>
      <c r="C607" s="228"/>
      <c r="D607" s="229"/>
      <c r="E607" s="229"/>
      <c r="F607" s="229"/>
      <c r="G607" s="229"/>
      <c r="H607" s="229"/>
      <c r="I607" s="222"/>
      <c r="J607" s="222"/>
      <c r="K607" s="222"/>
    </row>
    <row r="608" spans="2:11">
      <c r="B608" s="228"/>
      <c r="C608" s="228"/>
      <c r="D608" s="229"/>
      <c r="E608" s="229"/>
      <c r="F608" s="229"/>
      <c r="G608" s="229"/>
      <c r="H608" s="229"/>
      <c r="I608" s="222"/>
      <c r="J608" s="222"/>
      <c r="K608" s="222"/>
    </row>
    <row r="609" spans="2:11">
      <c r="B609" s="228"/>
      <c r="C609" s="228"/>
      <c r="D609" s="229"/>
      <c r="E609" s="229"/>
      <c r="F609" s="229"/>
      <c r="G609" s="229"/>
      <c r="H609" s="229"/>
      <c r="I609" s="222"/>
      <c r="J609" s="222"/>
      <c r="K609" s="222"/>
    </row>
    <row r="610" spans="2:11">
      <c r="B610" s="228"/>
      <c r="C610" s="228"/>
      <c r="D610" s="229"/>
      <c r="E610" s="229"/>
      <c r="F610" s="229"/>
      <c r="G610" s="229"/>
      <c r="H610" s="229"/>
      <c r="I610" s="222"/>
      <c r="J610" s="222"/>
      <c r="K610" s="222"/>
    </row>
    <row r="611" spans="2:11">
      <c r="B611" s="228"/>
      <c r="C611" s="228"/>
      <c r="D611" s="229"/>
      <c r="E611" s="229"/>
      <c r="F611" s="229"/>
      <c r="G611" s="229"/>
      <c r="H611" s="229"/>
      <c r="I611" s="222"/>
      <c r="J611" s="222"/>
      <c r="K611" s="222"/>
    </row>
    <row r="612" spans="2:11">
      <c r="B612" s="228"/>
      <c r="C612" s="228"/>
      <c r="D612" s="229"/>
      <c r="E612" s="229"/>
      <c r="F612" s="229"/>
      <c r="G612" s="229"/>
      <c r="H612" s="229"/>
      <c r="I612" s="222"/>
      <c r="J612" s="222"/>
      <c r="K612" s="222"/>
    </row>
    <row r="613" spans="2:11">
      <c r="B613" s="228"/>
      <c r="C613" s="228"/>
      <c r="D613" s="229"/>
      <c r="E613" s="229"/>
      <c r="F613" s="229"/>
      <c r="G613" s="229"/>
      <c r="H613" s="229"/>
      <c r="I613" s="222"/>
      <c r="J613" s="222"/>
      <c r="K613" s="222"/>
    </row>
    <row r="614" spans="2:11">
      <c r="B614" s="228"/>
      <c r="C614" s="228"/>
      <c r="D614" s="229"/>
      <c r="E614" s="229"/>
      <c r="F614" s="229"/>
      <c r="G614" s="229"/>
      <c r="H614" s="229"/>
      <c r="I614" s="222"/>
      <c r="J614" s="222"/>
      <c r="K614" s="222"/>
    </row>
    <row r="615" spans="2:11">
      <c r="B615" s="228"/>
      <c r="C615" s="228"/>
      <c r="D615" s="229"/>
      <c r="E615" s="229"/>
      <c r="F615" s="229"/>
      <c r="G615" s="229"/>
      <c r="H615" s="229"/>
      <c r="I615" s="222"/>
      <c r="J615" s="222"/>
      <c r="K615" s="222"/>
    </row>
    <row r="616" spans="2:11">
      <c r="B616" s="228"/>
      <c r="C616" s="228"/>
      <c r="D616" s="229"/>
      <c r="E616" s="229"/>
      <c r="F616" s="229"/>
      <c r="G616" s="229"/>
      <c r="H616" s="229"/>
      <c r="I616" s="222"/>
      <c r="J616" s="222"/>
      <c r="K616" s="222"/>
    </row>
    <row r="617" spans="2:11">
      <c r="B617" s="228"/>
      <c r="C617" s="228"/>
      <c r="D617" s="229"/>
      <c r="E617" s="229"/>
      <c r="F617" s="229"/>
      <c r="G617" s="229"/>
      <c r="H617" s="229"/>
      <c r="I617" s="222"/>
      <c r="J617" s="222"/>
      <c r="K617" s="222"/>
    </row>
    <row r="618" spans="2:11">
      <c r="B618" s="228"/>
      <c r="C618" s="228"/>
      <c r="D618" s="229"/>
      <c r="E618" s="229"/>
      <c r="F618" s="229"/>
      <c r="G618" s="229"/>
      <c r="H618" s="229"/>
      <c r="I618" s="222"/>
      <c r="J618" s="222"/>
      <c r="K618" s="222"/>
    </row>
    <row r="619" spans="2:11">
      <c r="B619" s="228"/>
      <c r="C619" s="228"/>
      <c r="D619" s="229"/>
      <c r="E619" s="229"/>
      <c r="F619" s="229"/>
      <c r="G619" s="229"/>
      <c r="H619" s="229"/>
      <c r="I619" s="222"/>
      <c r="J619" s="222"/>
      <c r="K619" s="222"/>
    </row>
    <row r="620" spans="2:11">
      <c r="B620" s="228"/>
      <c r="C620" s="228"/>
      <c r="D620" s="229"/>
      <c r="E620" s="229"/>
      <c r="F620" s="229"/>
      <c r="G620" s="229"/>
      <c r="H620" s="229"/>
      <c r="I620" s="222"/>
      <c r="J620" s="222"/>
      <c r="K620" s="222"/>
    </row>
    <row r="621" spans="2:11">
      <c r="B621" s="228"/>
      <c r="C621" s="228"/>
      <c r="D621" s="229"/>
      <c r="E621" s="229"/>
      <c r="F621" s="229"/>
      <c r="G621" s="229"/>
      <c r="H621" s="229"/>
      <c r="I621" s="222"/>
      <c r="J621" s="222"/>
      <c r="K621" s="222"/>
    </row>
    <row r="622" spans="2:11">
      <c r="B622" s="228"/>
      <c r="C622" s="228"/>
      <c r="D622" s="229"/>
      <c r="E622" s="229"/>
      <c r="F622" s="229"/>
      <c r="G622" s="229"/>
      <c r="H622" s="229"/>
      <c r="I622" s="222"/>
      <c r="J622" s="222"/>
      <c r="K622" s="222"/>
    </row>
    <row r="623" spans="2:11">
      <c r="B623" s="228"/>
      <c r="C623" s="228"/>
      <c r="D623" s="229"/>
      <c r="E623" s="229"/>
      <c r="F623" s="229"/>
      <c r="G623" s="229"/>
      <c r="H623" s="229"/>
      <c r="I623" s="222"/>
      <c r="J623" s="222"/>
      <c r="K623" s="222"/>
    </row>
    <row r="624" spans="2:11">
      <c r="B624" s="228"/>
      <c r="C624" s="228"/>
      <c r="D624" s="229"/>
      <c r="E624" s="229"/>
      <c r="F624" s="229"/>
      <c r="G624" s="229"/>
      <c r="H624" s="229"/>
      <c r="I624" s="222"/>
      <c r="J624" s="222"/>
      <c r="K624" s="222"/>
    </row>
    <row r="625" spans="2:11">
      <c r="B625" s="228"/>
      <c r="C625" s="228"/>
      <c r="D625" s="229"/>
      <c r="E625" s="229"/>
      <c r="F625" s="229"/>
      <c r="G625" s="229"/>
      <c r="H625" s="229"/>
      <c r="I625" s="222"/>
      <c r="J625" s="222"/>
      <c r="K625" s="222"/>
    </row>
    <row r="626" spans="2:11">
      <c r="B626" s="228"/>
      <c r="C626" s="228"/>
      <c r="D626" s="229"/>
      <c r="E626" s="229"/>
      <c r="F626" s="229"/>
      <c r="G626" s="229"/>
      <c r="H626" s="229"/>
      <c r="I626" s="222"/>
      <c r="J626" s="222"/>
      <c r="K626" s="222"/>
    </row>
    <row r="627" spans="2:11">
      <c r="B627" s="228"/>
      <c r="C627" s="228"/>
      <c r="D627" s="229"/>
      <c r="E627" s="229"/>
      <c r="F627" s="229"/>
      <c r="G627" s="229"/>
      <c r="H627" s="229"/>
      <c r="I627" s="222"/>
      <c r="J627" s="222"/>
      <c r="K627" s="222"/>
    </row>
    <row r="628" spans="2:11">
      <c r="B628" s="228"/>
      <c r="C628" s="228"/>
      <c r="D628" s="229"/>
      <c r="E628" s="229"/>
      <c r="F628" s="229"/>
      <c r="G628" s="229"/>
      <c r="H628" s="229"/>
      <c r="I628" s="222"/>
      <c r="J628" s="222"/>
      <c r="K628" s="222"/>
    </row>
    <row r="629" spans="2:11">
      <c r="B629" s="228"/>
      <c r="C629" s="228"/>
      <c r="D629" s="229"/>
      <c r="E629" s="229"/>
      <c r="F629" s="229"/>
      <c r="G629" s="229"/>
      <c r="H629" s="229"/>
      <c r="I629" s="222"/>
      <c r="J629" s="222"/>
      <c r="K629" s="222"/>
    </row>
    <row r="630" spans="2:11">
      <c r="B630" s="228"/>
      <c r="C630" s="228"/>
      <c r="D630" s="229"/>
      <c r="E630" s="229"/>
      <c r="F630" s="229"/>
      <c r="G630" s="229"/>
      <c r="H630" s="229"/>
      <c r="I630" s="222"/>
      <c r="J630" s="222"/>
      <c r="K630" s="222"/>
    </row>
    <row r="631" spans="2:11">
      <c r="B631" s="228"/>
      <c r="C631" s="228"/>
      <c r="D631" s="229"/>
      <c r="E631" s="229"/>
      <c r="F631" s="229"/>
      <c r="G631" s="229"/>
      <c r="H631" s="229"/>
      <c r="I631" s="222"/>
      <c r="J631" s="222"/>
      <c r="K631" s="222"/>
    </row>
    <row r="632" spans="2:11">
      <c r="B632" s="228"/>
      <c r="C632" s="228"/>
      <c r="D632" s="229"/>
      <c r="E632" s="229"/>
      <c r="F632" s="229"/>
      <c r="G632" s="229"/>
      <c r="H632" s="229"/>
      <c r="I632" s="222"/>
      <c r="J632" s="222"/>
      <c r="K632" s="222"/>
    </row>
    <row r="633" spans="2:11">
      <c r="B633" s="228"/>
      <c r="C633" s="228"/>
      <c r="D633" s="229"/>
      <c r="E633" s="229"/>
      <c r="F633" s="229"/>
      <c r="G633" s="229"/>
      <c r="H633" s="229"/>
      <c r="I633" s="222"/>
      <c r="J633" s="222"/>
      <c r="K633" s="222"/>
    </row>
    <row r="634" spans="2:11">
      <c r="B634" s="228"/>
      <c r="C634" s="228"/>
      <c r="D634" s="229"/>
      <c r="E634" s="229"/>
      <c r="F634" s="229"/>
      <c r="G634" s="229"/>
      <c r="H634" s="229"/>
      <c r="I634" s="222"/>
      <c r="J634" s="222"/>
      <c r="K634" s="222"/>
    </row>
    <row r="635" spans="2:11">
      <c r="B635" s="228"/>
      <c r="C635" s="228"/>
      <c r="D635" s="229"/>
      <c r="E635" s="229"/>
      <c r="F635" s="229"/>
      <c r="G635" s="229"/>
      <c r="H635" s="229"/>
      <c r="I635" s="222"/>
      <c r="J635" s="222"/>
      <c r="K635" s="222"/>
    </row>
    <row r="636" spans="2:11">
      <c r="B636" s="228"/>
      <c r="C636" s="228"/>
      <c r="D636" s="229"/>
      <c r="E636" s="229"/>
      <c r="F636" s="229"/>
      <c r="G636" s="229"/>
      <c r="H636" s="229"/>
      <c r="I636" s="222"/>
      <c r="J636" s="222"/>
      <c r="K636" s="222"/>
    </row>
    <row r="637" spans="2:11">
      <c r="B637" s="228"/>
      <c r="C637" s="228"/>
      <c r="D637" s="229"/>
      <c r="E637" s="229"/>
      <c r="F637" s="229"/>
      <c r="G637" s="229"/>
      <c r="H637" s="229"/>
      <c r="I637" s="222"/>
      <c r="J637" s="222"/>
      <c r="K637" s="222"/>
    </row>
    <row r="638" spans="2:11">
      <c r="B638" s="228"/>
      <c r="C638" s="228"/>
      <c r="D638" s="229"/>
      <c r="E638" s="229"/>
      <c r="F638" s="229"/>
      <c r="G638" s="229"/>
      <c r="H638" s="229"/>
      <c r="I638" s="222"/>
      <c r="J638" s="222"/>
      <c r="K638" s="222"/>
    </row>
    <row r="639" spans="2:11">
      <c r="B639" s="228"/>
      <c r="C639" s="228"/>
      <c r="D639" s="229"/>
      <c r="E639" s="229"/>
      <c r="F639" s="229"/>
      <c r="G639" s="229"/>
      <c r="H639" s="229"/>
      <c r="I639" s="222"/>
      <c r="J639" s="222"/>
      <c r="K639" s="222"/>
    </row>
    <row r="640" spans="2:11">
      <c r="B640" s="228"/>
      <c r="C640" s="228"/>
      <c r="D640" s="229"/>
      <c r="E640" s="229"/>
      <c r="F640" s="229"/>
      <c r="G640" s="229"/>
      <c r="H640" s="229"/>
      <c r="I640" s="222"/>
      <c r="J640" s="222"/>
      <c r="K640" s="222"/>
    </row>
    <row r="641" spans="2:11">
      <c r="B641" s="228"/>
      <c r="C641" s="228"/>
      <c r="D641" s="229"/>
      <c r="E641" s="229"/>
      <c r="F641" s="229"/>
      <c r="G641" s="229"/>
      <c r="H641" s="229"/>
      <c r="I641" s="222"/>
      <c r="J641" s="222"/>
      <c r="K641" s="222"/>
    </row>
    <row r="642" spans="2:11">
      <c r="B642" s="228"/>
      <c r="C642" s="228"/>
      <c r="D642" s="229"/>
      <c r="E642" s="229"/>
      <c r="F642" s="229"/>
      <c r="G642" s="229"/>
      <c r="H642" s="229"/>
      <c r="I642" s="222"/>
      <c r="J642" s="222"/>
      <c r="K642" s="222"/>
    </row>
    <row r="643" spans="2:11">
      <c r="B643" s="228"/>
      <c r="C643" s="228"/>
      <c r="D643" s="229"/>
      <c r="E643" s="229"/>
      <c r="F643" s="229"/>
      <c r="G643" s="229"/>
      <c r="H643" s="229"/>
      <c r="I643" s="222"/>
      <c r="J643" s="222"/>
      <c r="K643" s="222"/>
    </row>
    <row r="644" spans="2:11">
      <c r="B644" s="228"/>
      <c r="C644" s="228"/>
      <c r="D644" s="229"/>
      <c r="E644" s="229"/>
      <c r="F644" s="229"/>
      <c r="G644" s="229"/>
      <c r="H644" s="229"/>
      <c r="I644" s="222"/>
      <c r="J644" s="222"/>
      <c r="K644" s="222"/>
    </row>
    <row r="645" spans="2:11">
      <c r="B645" s="228"/>
      <c r="C645" s="228"/>
      <c r="D645" s="229"/>
      <c r="E645" s="229"/>
      <c r="F645" s="229"/>
      <c r="G645" s="229"/>
      <c r="H645" s="229"/>
      <c r="I645" s="222"/>
      <c r="J645" s="222"/>
      <c r="K645" s="222"/>
    </row>
    <row r="646" spans="2:11">
      <c r="B646" s="228"/>
      <c r="C646" s="228"/>
      <c r="D646" s="229"/>
      <c r="E646" s="229"/>
      <c r="F646" s="229"/>
      <c r="G646" s="229"/>
      <c r="H646" s="229"/>
      <c r="I646" s="222"/>
      <c r="J646" s="222"/>
      <c r="K646" s="222"/>
    </row>
    <row r="647" spans="2:11">
      <c r="B647" s="228"/>
      <c r="C647" s="228"/>
      <c r="D647" s="229"/>
      <c r="E647" s="229"/>
      <c r="F647" s="229"/>
      <c r="G647" s="229"/>
      <c r="H647" s="229"/>
      <c r="I647" s="222"/>
      <c r="J647" s="222"/>
      <c r="K647" s="222"/>
    </row>
    <row r="648" spans="2:11">
      <c r="B648" s="228"/>
      <c r="C648" s="228"/>
      <c r="D648" s="229"/>
      <c r="E648" s="229"/>
      <c r="F648" s="229"/>
      <c r="G648" s="229"/>
      <c r="H648" s="229"/>
      <c r="I648" s="222"/>
      <c r="J648" s="222"/>
      <c r="K648" s="222"/>
    </row>
    <row r="649" spans="2:11">
      <c r="B649" s="228"/>
      <c r="C649" s="228"/>
      <c r="D649" s="229"/>
      <c r="E649" s="229"/>
      <c r="F649" s="229"/>
      <c r="G649" s="229"/>
      <c r="H649" s="229"/>
      <c r="I649" s="222"/>
      <c r="J649" s="222"/>
      <c r="K649" s="222"/>
    </row>
    <row r="650" spans="2:11">
      <c r="B650" s="228"/>
      <c r="C650" s="228"/>
      <c r="D650" s="229"/>
      <c r="E650" s="229"/>
      <c r="F650" s="229"/>
      <c r="G650" s="229"/>
      <c r="H650" s="229"/>
      <c r="I650" s="222"/>
      <c r="J650" s="222"/>
      <c r="K650" s="222"/>
    </row>
    <row r="651" spans="2:11">
      <c r="B651" s="228"/>
      <c r="C651" s="228"/>
      <c r="D651" s="229"/>
      <c r="E651" s="229"/>
      <c r="F651" s="229"/>
      <c r="G651" s="229"/>
      <c r="H651" s="229"/>
      <c r="I651" s="222"/>
      <c r="J651" s="222"/>
      <c r="K651" s="222"/>
    </row>
    <row r="652" spans="2:11">
      <c r="B652" s="228"/>
      <c r="C652" s="228"/>
      <c r="D652" s="229"/>
      <c r="E652" s="229"/>
      <c r="F652" s="229"/>
      <c r="G652" s="229"/>
      <c r="H652" s="229"/>
      <c r="I652" s="222"/>
      <c r="J652" s="222"/>
      <c r="K652" s="222"/>
    </row>
    <row r="653" spans="2:11">
      <c r="B653" s="228"/>
      <c r="C653" s="228"/>
      <c r="D653" s="229"/>
      <c r="E653" s="229"/>
      <c r="F653" s="229"/>
      <c r="G653" s="229"/>
      <c r="H653" s="229"/>
      <c r="I653" s="222"/>
      <c r="J653" s="222"/>
      <c r="K653" s="222"/>
    </row>
    <row r="654" spans="2:11">
      <c r="B654" s="228"/>
      <c r="C654" s="228"/>
      <c r="D654" s="229"/>
      <c r="E654" s="229"/>
      <c r="F654" s="229"/>
      <c r="G654" s="229"/>
      <c r="H654" s="229"/>
      <c r="I654" s="222"/>
      <c r="J654" s="222"/>
      <c r="K654" s="222"/>
    </row>
    <row r="655" spans="2:11">
      <c r="B655" s="228"/>
      <c r="C655" s="228"/>
      <c r="D655" s="229"/>
      <c r="E655" s="229"/>
      <c r="F655" s="229"/>
      <c r="G655" s="229"/>
      <c r="H655" s="229"/>
      <c r="I655" s="222"/>
      <c r="J655" s="222"/>
      <c r="K655" s="222"/>
    </row>
    <row r="656" spans="2:11">
      <c r="B656" s="228"/>
      <c r="C656" s="228"/>
      <c r="D656" s="229"/>
      <c r="E656" s="229"/>
      <c r="F656" s="229"/>
      <c r="G656" s="229"/>
      <c r="H656" s="229"/>
      <c r="I656" s="222"/>
      <c r="J656" s="222"/>
      <c r="K656" s="222"/>
    </row>
    <row r="657" spans="2:11">
      <c r="B657" s="228"/>
      <c r="C657" s="228"/>
      <c r="D657" s="229"/>
      <c r="E657" s="229"/>
      <c r="F657" s="229"/>
      <c r="G657" s="229"/>
      <c r="H657" s="229"/>
      <c r="I657" s="222"/>
      <c r="J657" s="222"/>
      <c r="K657" s="222"/>
    </row>
    <row r="658" spans="2:11">
      <c r="B658" s="228"/>
      <c r="C658" s="228"/>
      <c r="D658" s="229"/>
      <c r="E658" s="229"/>
      <c r="F658" s="229"/>
      <c r="G658" s="229"/>
      <c r="H658" s="229"/>
      <c r="I658" s="222"/>
      <c r="J658" s="222"/>
      <c r="K658" s="222"/>
    </row>
    <row r="659" spans="2:11">
      <c r="B659" s="228"/>
      <c r="C659" s="228"/>
      <c r="D659" s="229"/>
      <c r="E659" s="229"/>
      <c r="F659" s="229"/>
      <c r="G659" s="229"/>
      <c r="H659" s="229"/>
      <c r="I659" s="222"/>
      <c r="J659" s="222"/>
      <c r="K659" s="222"/>
    </row>
    <row r="660" spans="2:11">
      <c r="B660" s="228"/>
      <c r="C660" s="228"/>
      <c r="D660" s="229"/>
      <c r="E660" s="229"/>
      <c r="F660" s="229"/>
      <c r="G660" s="229"/>
      <c r="H660" s="229"/>
      <c r="I660" s="222"/>
      <c r="J660" s="222"/>
      <c r="K660" s="222"/>
    </row>
    <row r="661" spans="2:11">
      <c r="B661" s="228"/>
      <c r="C661" s="228"/>
      <c r="D661" s="229"/>
      <c r="E661" s="229"/>
      <c r="F661" s="229"/>
      <c r="G661" s="229"/>
      <c r="H661" s="229"/>
      <c r="I661" s="222"/>
      <c r="J661" s="222"/>
      <c r="K661" s="222"/>
    </row>
    <row r="662" spans="2:11">
      <c r="B662" s="228"/>
      <c r="C662" s="228"/>
      <c r="D662" s="229"/>
      <c r="E662" s="229"/>
      <c r="F662" s="229"/>
      <c r="G662" s="229"/>
      <c r="H662" s="229"/>
      <c r="I662" s="222"/>
      <c r="J662" s="222"/>
      <c r="K662" s="222"/>
    </row>
    <row r="663" spans="2:11">
      <c r="B663" s="228"/>
      <c r="C663" s="228"/>
      <c r="D663" s="229"/>
      <c r="E663" s="229"/>
      <c r="F663" s="229"/>
      <c r="G663" s="229"/>
      <c r="H663" s="229"/>
      <c r="I663" s="222"/>
      <c r="J663" s="222"/>
      <c r="K663" s="222"/>
    </row>
    <row r="664" spans="2:11">
      <c r="B664" s="228"/>
      <c r="C664" s="228"/>
      <c r="D664" s="229"/>
      <c r="E664" s="229"/>
      <c r="F664" s="229"/>
      <c r="G664" s="229"/>
      <c r="H664" s="229"/>
      <c r="I664" s="222"/>
      <c r="J664" s="222"/>
      <c r="K664" s="222"/>
    </row>
    <row r="665" spans="2:11">
      <c r="B665" s="228"/>
      <c r="C665" s="228"/>
      <c r="D665" s="229"/>
      <c r="E665" s="229"/>
      <c r="F665" s="229"/>
      <c r="G665" s="229"/>
      <c r="H665" s="229"/>
      <c r="I665" s="222"/>
      <c r="J665" s="222"/>
      <c r="K665" s="222"/>
    </row>
    <row r="666" spans="2:11">
      <c r="B666" s="228"/>
      <c r="C666" s="228"/>
      <c r="D666" s="229"/>
      <c r="E666" s="229"/>
      <c r="F666" s="229"/>
      <c r="G666" s="229"/>
      <c r="H666" s="229"/>
      <c r="I666" s="222"/>
      <c r="J666" s="222"/>
      <c r="K666" s="222"/>
    </row>
    <row r="667" spans="2:11">
      <c r="B667" s="228"/>
      <c r="C667" s="228"/>
      <c r="D667" s="229"/>
      <c r="E667" s="229"/>
      <c r="F667" s="229"/>
      <c r="G667" s="229"/>
      <c r="H667" s="229"/>
      <c r="I667" s="222"/>
      <c r="J667" s="222"/>
      <c r="K667" s="222"/>
    </row>
    <row r="668" spans="2:11">
      <c r="B668" s="228"/>
      <c r="C668" s="228"/>
      <c r="D668" s="229"/>
      <c r="E668" s="229"/>
      <c r="F668" s="229"/>
      <c r="G668" s="229"/>
      <c r="H668" s="229"/>
      <c r="I668" s="222"/>
      <c r="J668" s="222"/>
      <c r="K668" s="222"/>
    </row>
    <row r="669" spans="2:11">
      <c r="B669" s="228"/>
      <c r="C669" s="228"/>
      <c r="D669" s="229"/>
      <c r="E669" s="229"/>
      <c r="F669" s="229"/>
      <c r="G669" s="229"/>
      <c r="H669" s="229"/>
      <c r="I669" s="222"/>
      <c r="J669" s="222"/>
      <c r="K669" s="222"/>
    </row>
    <row r="670" spans="2:11">
      <c r="B670" s="228"/>
      <c r="C670" s="228"/>
      <c r="D670" s="229"/>
      <c r="E670" s="229"/>
      <c r="F670" s="229"/>
      <c r="G670" s="229"/>
      <c r="H670" s="229"/>
      <c r="I670" s="222"/>
      <c r="J670" s="222"/>
      <c r="K670" s="222"/>
    </row>
    <row r="671" spans="2:11">
      <c r="B671" s="228"/>
      <c r="C671" s="228"/>
      <c r="D671" s="229"/>
      <c r="E671" s="229"/>
      <c r="F671" s="229"/>
      <c r="G671" s="229"/>
      <c r="H671" s="229"/>
      <c r="I671" s="222"/>
      <c r="J671" s="222"/>
      <c r="K671" s="222"/>
    </row>
    <row r="672" spans="2:11">
      <c r="B672" s="228"/>
      <c r="C672" s="228"/>
      <c r="D672" s="229"/>
      <c r="E672" s="229"/>
      <c r="F672" s="229"/>
      <c r="G672" s="229"/>
      <c r="H672" s="229"/>
      <c r="I672" s="222"/>
      <c r="J672" s="222"/>
      <c r="K672" s="222"/>
    </row>
    <row r="673" spans="2:11">
      <c r="B673" s="228"/>
      <c r="C673" s="228"/>
      <c r="D673" s="229"/>
      <c r="E673" s="229"/>
      <c r="F673" s="229"/>
      <c r="G673" s="229"/>
      <c r="H673" s="229"/>
      <c r="I673" s="222"/>
      <c r="J673" s="222"/>
      <c r="K673" s="222"/>
    </row>
    <row r="674" spans="2:11">
      <c r="B674" s="228"/>
      <c r="C674" s="228"/>
      <c r="D674" s="229"/>
      <c r="E674" s="229"/>
      <c r="F674" s="229"/>
      <c r="G674" s="229"/>
      <c r="H674" s="229"/>
      <c r="I674" s="222"/>
      <c r="J674" s="222"/>
      <c r="K674" s="222"/>
    </row>
    <row r="675" spans="2:11">
      <c r="B675" s="228"/>
      <c r="C675" s="228"/>
      <c r="D675" s="229"/>
      <c r="E675" s="229"/>
      <c r="F675" s="229"/>
      <c r="G675" s="229"/>
      <c r="H675" s="229"/>
      <c r="I675" s="222"/>
      <c r="J675" s="222"/>
      <c r="K675" s="222"/>
    </row>
    <row r="676" spans="2:11">
      <c r="B676" s="228"/>
      <c r="C676" s="228"/>
      <c r="D676" s="229"/>
      <c r="E676" s="229"/>
      <c r="F676" s="229"/>
      <c r="G676" s="229"/>
      <c r="H676" s="229"/>
      <c r="I676" s="222"/>
      <c r="J676" s="222"/>
      <c r="K676" s="222"/>
    </row>
    <row r="677" spans="2:11">
      <c r="B677" s="228"/>
      <c r="C677" s="228"/>
      <c r="D677" s="229"/>
      <c r="E677" s="229"/>
      <c r="F677" s="229"/>
      <c r="G677" s="229"/>
      <c r="H677" s="229"/>
      <c r="I677" s="222"/>
      <c r="J677" s="222"/>
      <c r="K677" s="222"/>
    </row>
    <row r="678" spans="2:11">
      <c r="B678" s="228"/>
      <c r="C678" s="228"/>
      <c r="D678" s="229"/>
      <c r="E678" s="229"/>
      <c r="F678" s="229"/>
      <c r="G678" s="229"/>
      <c r="H678" s="229"/>
      <c r="I678" s="222"/>
      <c r="J678" s="222"/>
      <c r="K678" s="222"/>
    </row>
    <row r="679" spans="2:11">
      <c r="B679" s="228"/>
      <c r="C679" s="228"/>
      <c r="D679" s="229"/>
      <c r="E679" s="229"/>
      <c r="F679" s="229"/>
      <c r="G679" s="229"/>
      <c r="H679" s="229"/>
      <c r="I679" s="222"/>
      <c r="J679" s="222"/>
      <c r="K679" s="222"/>
    </row>
    <row r="680" spans="2:11">
      <c r="B680" s="228"/>
      <c r="C680" s="228"/>
      <c r="D680" s="229"/>
      <c r="E680" s="229"/>
      <c r="F680" s="229"/>
      <c r="G680" s="229"/>
      <c r="H680" s="229"/>
      <c r="I680" s="222"/>
      <c r="J680" s="222"/>
      <c r="K680" s="222"/>
    </row>
    <row r="681" spans="2:11">
      <c r="B681" s="228"/>
      <c r="C681" s="228"/>
      <c r="D681" s="229"/>
      <c r="E681" s="229"/>
      <c r="F681" s="229"/>
      <c r="G681" s="229"/>
      <c r="H681" s="229"/>
      <c r="I681" s="222"/>
      <c r="J681" s="222"/>
      <c r="K681" s="222"/>
    </row>
    <row r="682" spans="2:11">
      <c r="B682" s="228"/>
      <c r="C682" s="228"/>
      <c r="D682" s="229"/>
      <c r="E682" s="229"/>
      <c r="F682" s="229"/>
      <c r="G682" s="229"/>
      <c r="H682" s="229"/>
      <c r="I682" s="222"/>
      <c r="J682" s="222"/>
      <c r="K682" s="222"/>
    </row>
    <row r="683" spans="2:11">
      <c r="B683" s="228"/>
      <c r="C683" s="228"/>
      <c r="D683" s="229"/>
      <c r="E683" s="229"/>
      <c r="F683" s="229"/>
      <c r="G683" s="229"/>
      <c r="H683" s="229"/>
      <c r="I683" s="222"/>
      <c r="J683" s="222"/>
      <c r="K683" s="222"/>
    </row>
    <row r="684" spans="2:11">
      <c r="B684" s="228"/>
      <c r="C684" s="228"/>
      <c r="D684" s="229"/>
      <c r="E684" s="229"/>
      <c r="F684" s="229"/>
      <c r="G684" s="229"/>
      <c r="H684" s="229"/>
      <c r="I684" s="222"/>
      <c r="J684" s="222"/>
      <c r="K684" s="222"/>
    </row>
    <row r="685" spans="2:11">
      <c r="B685" s="228"/>
      <c r="C685" s="228"/>
      <c r="D685" s="229"/>
      <c r="E685" s="229"/>
      <c r="F685" s="229"/>
      <c r="G685" s="229"/>
      <c r="H685" s="229"/>
      <c r="I685" s="222"/>
      <c r="J685" s="222"/>
      <c r="K685" s="222"/>
    </row>
    <row r="686" spans="2:11">
      <c r="B686" s="228"/>
      <c r="C686" s="228"/>
      <c r="D686" s="229"/>
      <c r="E686" s="229"/>
      <c r="F686" s="229"/>
      <c r="G686" s="229"/>
      <c r="H686" s="229"/>
      <c r="I686" s="222"/>
      <c r="J686" s="222"/>
      <c r="K686" s="222"/>
    </row>
    <row r="687" spans="2:11">
      <c r="B687" s="228"/>
      <c r="C687" s="228"/>
      <c r="D687" s="229"/>
      <c r="E687" s="229"/>
      <c r="F687" s="229"/>
      <c r="G687" s="229"/>
      <c r="H687" s="229"/>
      <c r="I687" s="222"/>
      <c r="J687" s="222"/>
      <c r="K687" s="222"/>
    </row>
    <row r="688" spans="2:11">
      <c r="B688" s="228"/>
      <c r="C688" s="228"/>
      <c r="D688" s="229"/>
      <c r="E688" s="229"/>
      <c r="F688" s="229"/>
      <c r="G688" s="229"/>
      <c r="H688" s="229"/>
      <c r="I688" s="222"/>
      <c r="J688" s="222"/>
      <c r="K688" s="222"/>
    </row>
    <row r="689" spans="2:11">
      <c r="B689" s="228"/>
      <c r="C689" s="228"/>
      <c r="D689" s="229"/>
      <c r="E689" s="229"/>
      <c r="F689" s="229"/>
      <c r="G689" s="229"/>
      <c r="H689" s="229"/>
      <c r="I689" s="222"/>
      <c r="J689" s="222"/>
      <c r="K689" s="222"/>
    </row>
    <row r="690" spans="2:11">
      <c r="B690" s="228"/>
      <c r="C690" s="228"/>
      <c r="D690" s="229"/>
      <c r="E690" s="229"/>
      <c r="F690" s="229"/>
      <c r="G690" s="229"/>
      <c r="H690" s="229"/>
      <c r="I690" s="222"/>
      <c r="J690" s="222"/>
      <c r="K690" s="222"/>
    </row>
    <row r="691" spans="2:11">
      <c r="B691" s="228"/>
      <c r="C691" s="228"/>
      <c r="D691" s="229"/>
      <c r="E691" s="229"/>
      <c r="F691" s="229"/>
      <c r="G691" s="229"/>
      <c r="H691" s="229"/>
      <c r="I691" s="222"/>
      <c r="J691" s="222"/>
      <c r="K691" s="222"/>
    </row>
    <row r="692" spans="2:11">
      <c r="B692" s="228"/>
      <c r="C692" s="228"/>
      <c r="D692" s="229"/>
      <c r="E692" s="229"/>
      <c r="F692" s="229"/>
      <c r="G692" s="229"/>
      <c r="H692" s="229"/>
      <c r="I692" s="222"/>
      <c r="J692" s="222"/>
      <c r="K692" s="222"/>
    </row>
    <row r="693" spans="2:11">
      <c r="B693" s="228"/>
      <c r="C693" s="228"/>
      <c r="D693" s="229"/>
      <c r="E693" s="229"/>
      <c r="F693" s="229"/>
      <c r="G693" s="229"/>
      <c r="H693" s="229"/>
      <c r="I693" s="222"/>
      <c r="J693" s="222"/>
      <c r="K693" s="222"/>
    </row>
    <row r="694" spans="2:11">
      <c r="B694" s="228"/>
      <c r="C694" s="228"/>
      <c r="D694" s="229"/>
      <c r="E694" s="229"/>
      <c r="F694" s="229"/>
      <c r="G694" s="229"/>
      <c r="H694" s="229"/>
      <c r="I694" s="222"/>
      <c r="J694" s="222"/>
      <c r="K694" s="222"/>
    </row>
    <row r="695" spans="2:11">
      <c r="B695" s="228"/>
      <c r="C695" s="228"/>
      <c r="D695" s="229"/>
      <c r="E695" s="229"/>
      <c r="F695" s="229"/>
      <c r="G695" s="229"/>
      <c r="H695" s="229"/>
      <c r="I695" s="222"/>
      <c r="J695" s="222"/>
      <c r="K695" s="222"/>
    </row>
    <row r="696" spans="2:11">
      <c r="B696" s="228"/>
      <c r="C696" s="228"/>
      <c r="D696" s="229"/>
      <c r="E696" s="229"/>
      <c r="F696" s="229"/>
      <c r="G696" s="229"/>
      <c r="H696" s="229"/>
      <c r="I696" s="222"/>
      <c r="J696" s="222"/>
      <c r="K696" s="222"/>
    </row>
    <row r="697" spans="2:11">
      <c r="B697" s="228"/>
      <c r="C697" s="228"/>
      <c r="D697" s="229"/>
      <c r="E697" s="229"/>
      <c r="F697" s="229"/>
      <c r="G697" s="229"/>
      <c r="H697" s="229"/>
      <c r="I697" s="222"/>
      <c r="J697" s="222"/>
      <c r="K697" s="222"/>
    </row>
    <row r="698" spans="2:11">
      <c r="B698" s="228"/>
      <c r="C698" s="228"/>
      <c r="D698" s="229"/>
      <c r="E698" s="229"/>
      <c r="F698" s="229"/>
      <c r="G698" s="229"/>
      <c r="H698" s="229"/>
      <c r="I698" s="222"/>
      <c r="J698" s="222"/>
      <c r="K698" s="222"/>
    </row>
    <row r="699" spans="2:11">
      <c r="B699" s="228"/>
      <c r="C699" s="228"/>
      <c r="D699" s="229"/>
      <c r="E699" s="229"/>
      <c r="F699" s="229"/>
      <c r="G699" s="229"/>
      <c r="H699" s="229"/>
      <c r="I699" s="222"/>
      <c r="J699" s="222"/>
      <c r="K699" s="222"/>
    </row>
    <row r="700" spans="2:11">
      <c r="B700" s="228"/>
      <c r="C700" s="228"/>
      <c r="D700" s="229"/>
      <c r="E700" s="229"/>
      <c r="F700" s="229"/>
      <c r="G700" s="229"/>
      <c r="H700" s="229"/>
      <c r="I700" s="222"/>
      <c r="J700" s="222"/>
      <c r="K700" s="222"/>
    </row>
    <row r="701" spans="2:11">
      <c r="B701" s="228"/>
      <c r="C701" s="228"/>
      <c r="D701" s="229"/>
      <c r="E701" s="229"/>
      <c r="F701" s="229"/>
      <c r="G701" s="229"/>
      <c r="H701" s="229"/>
      <c r="I701" s="222"/>
      <c r="J701" s="222"/>
      <c r="K701" s="222"/>
    </row>
    <row r="702" spans="2:11">
      <c r="B702" s="228"/>
      <c r="C702" s="228"/>
      <c r="D702" s="229"/>
      <c r="E702" s="229"/>
      <c r="F702" s="229"/>
      <c r="G702" s="229"/>
      <c r="H702" s="229"/>
      <c r="I702" s="222"/>
      <c r="J702" s="222"/>
      <c r="K702" s="222"/>
    </row>
    <row r="703" spans="2:11">
      <c r="B703" s="228"/>
      <c r="C703" s="228"/>
      <c r="D703" s="229"/>
      <c r="E703" s="229"/>
      <c r="F703" s="229"/>
      <c r="G703" s="229"/>
      <c r="H703" s="229"/>
      <c r="I703" s="222"/>
      <c r="J703" s="222"/>
      <c r="K703" s="222"/>
    </row>
    <row r="704" spans="2:11">
      <c r="B704" s="228"/>
      <c r="C704" s="228"/>
      <c r="D704" s="229"/>
      <c r="E704" s="229"/>
      <c r="F704" s="229"/>
      <c r="G704" s="229"/>
      <c r="H704" s="229"/>
      <c r="I704" s="222"/>
      <c r="J704" s="222"/>
      <c r="K704" s="222"/>
    </row>
    <row r="705" spans="2:11">
      <c r="B705" s="228"/>
      <c r="C705" s="228"/>
      <c r="D705" s="229"/>
      <c r="E705" s="229"/>
      <c r="F705" s="229"/>
      <c r="G705" s="229"/>
      <c r="H705" s="229"/>
      <c r="I705" s="222"/>
      <c r="J705" s="222"/>
      <c r="K705" s="222"/>
    </row>
    <row r="706" spans="2:11">
      <c r="B706" s="228"/>
      <c r="C706" s="228"/>
      <c r="D706" s="229"/>
      <c r="E706" s="229"/>
      <c r="F706" s="229"/>
      <c r="G706" s="229"/>
      <c r="H706" s="229"/>
      <c r="I706" s="222"/>
      <c r="J706" s="222"/>
      <c r="K706" s="222"/>
    </row>
    <row r="707" spans="2:11">
      <c r="B707" s="228"/>
      <c r="C707" s="228"/>
      <c r="D707" s="229"/>
      <c r="E707" s="229"/>
      <c r="F707" s="229"/>
      <c r="G707" s="229"/>
      <c r="H707" s="229"/>
      <c r="I707" s="222"/>
      <c r="J707" s="222"/>
      <c r="K707" s="222"/>
    </row>
    <row r="708" spans="2:11">
      <c r="B708" s="228"/>
      <c r="C708" s="228"/>
      <c r="D708" s="229"/>
      <c r="E708" s="229"/>
      <c r="F708" s="229"/>
      <c r="G708" s="229"/>
      <c r="H708" s="229"/>
      <c r="I708" s="222"/>
      <c r="J708" s="222"/>
      <c r="K708" s="222"/>
    </row>
    <row r="709" spans="2:11">
      <c r="B709" s="228"/>
      <c r="C709" s="228"/>
      <c r="D709" s="229"/>
      <c r="E709" s="229"/>
      <c r="F709" s="229"/>
      <c r="G709" s="229"/>
      <c r="H709" s="229"/>
      <c r="I709" s="222"/>
      <c r="J709" s="222"/>
      <c r="K709" s="222"/>
    </row>
    <row r="710" spans="2:11">
      <c r="B710" s="228"/>
      <c r="C710" s="228"/>
      <c r="D710" s="229"/>
      <c r="E710" s="229"/>
      <c r="F710" s="229"/>
      <c r="G710" s="229"/>
      <c r="H710" s="229"/>
      <c r="I710" s="222"/>
      <c r="J710" s="222"/>
      <c r="K710" s="222"/>
    </row>
    <row r="711" spans="2:11">
      <c r="B711" s="228"/>
      <c r="C711" s="228"/>
      <c r="D711" s="229"/>
      <c r="E711" s="229"/>
      <c r="F711" s="229"/>
      <c r="G711" s="229"/>
      <c r="H711" s="229"/>
      <c r="I711" s="222"/>
      <c r="J711" s="222"/>
      <c r="K711" s="222"/>
    </row>
    <row r="712" spans="2:11">
      <c r="B712" s="228"/>
      <c r="C712" s="228"/>
      <c r="D712" s="229"/>
      <c r="E712" s="229"/>
      <c r="F712" s="229"/>
      <c r="G712" s="229"/>
      <c r="H712" s="229"/>
      <c r="I712" s="222"/>
      <c r="J712" s="222"/>
      <c r="K712" s="222"/>
    </row>
    <row r="713" spans="2:11">
      <c r="B713" s="228"/>
      <c r="C713" s="228"/>
      <c r="D713" s="229"/>
      <c r="E713" s="229"/>
      <c r="F713" s="229"/>
      <c r="G713" s="229"/>
      <c r="H713" s="229"/>
      <c r="I713" s="222"/>
      <c r="J713" s="222"/>
      <c r="K713" s="222"/>
    </row>
    <row r="714" spans="2:11">
      <c r="B714" s="228"/>
      <c r="C714" s="228"/>
      <c r="D714" s="229"/>
      <c r="E714" s="229"/>
      <c r="F714" s="229"/>
      <c r="G714" s="229"/>
      <c r="H714" s="229"/>
      <c r="I714" s="222"/>
      <c r="J714" s="222"/>
      <c r="K714" s="222"/>
    </row>
    <row r="715" spans="2:11">
      <c r="B715" s="228"/>
      <c r="C715" s="228"/>
      <c r="D715" s="229"/>
      <c r="E715" s="229"/>
      <c r="F715" s="229"/>
      <c r="G715" s="229"/>
      <c r="H715" s="229"/>
      <c r="I715" s="222"/>
      <c r="J715" s="222"/>
      <c r="K715" s="222"/>
    </row>
    <row r="716" spans="2:11">
      <c r="B716" s="228"/>
      <c r="C716" s="228"/>
      <c r="D716" s="229"/>
      <c r="E716" s="229"/>
      <c r="F716" s="229"/>
      <c r="G716" s="229"/>
      <c r="H716" s="229"/>
      <c r="I716" s="222"/>
      <c r="J716" s="222"/>
      <c r="K716" s="222"/>
    </row>
    <row r="717" spans="2:11">
      <c r="B717" s="228"/>
      <c r="C717" s="228"/>
      <c r="D717" s="229"/>
      <c r="E717" s="229"/>
      <c r="F717" s="229"/>
      <c r="G717" s="229"/>
      <c r="H717" s="229"/>
      <c r="I717" s="222"/>
      <c r="J717" s="222"/>
      <c r="K717" s="222"/>
    </row>
    <row r="718" spans="2:11">
      <c r="B718" s="228"/>
      <c r="C718" s="228"/>
      <c r="D718" s="229"/>
      <c r="E718" s="229"/>
      <c r="F718" s="229"/>
      <c r="G718" s="229"/>
      <c r="H718" s="229"/>
      <c r="I718" s="222"/>
      <c r="J718" s="222"/>
      <c r="K718" s="222"/>
    </row>
    <row r="719" spans="2:11">
      <c r="B719" s="228"/>
      <c r="C719" s="228"/>
      <c r="D719" s="229"/>
      <c r="E719" s="229"/>
      <c r="F719" s="229"/>
      <c r="G719" s="229"/>
      <c r="H719" s="229"/>
      <c r="I719" s="222"/>
      <c r="J719" s="222"/>
      <c r="K719" s="222"/>
    </row>
    <row r="720" spans="2:11">
      <c r="B720" s="228"/>
      <c r="C720" s="228"/>
      <c r="D720" s="229"/>
      <c r="E720" s="229"/>
      <c r="F720" s="229"/>
      <c r="G720" s="229"/>
      <c r="H720" s="229"/>
      <c r="I720" s="222"/>
      <c r="J720" s="222"/>
      <c r="K720" s="222"/>
    </row>
    <row r="721" spans="2:11">
      <c r="B721" s="228"/>
      <c r="C721" s="228"/>
      <c r="D721" s="229"/>
      <c r="E721" s="229"/>
      <c r="F721" s="229"/>
      <c r="G721" s="229"/>
      <c r="H721" s="229"/>
      <c r="I721" s="222"/>
      <c r="J721" s="222"/>
      <c r="K721" s="222"/>
    </row>
    <row r="722" spans="2:11">
      <c r="B722" s="228"/>
      <c r="C722" s="228"/>
      <c r="D722" s="229"/>
      <c r="E722" s="229"/>
      <c r="F722" s="229"/>
      <c r="G722" s="229"/>
      <c r="H722" s="229"/>
      <c r="I722" s="222"/>
      <c r="J722" s="222"/>
      <c r="K722" s="222"/>
    </row>
    <row r="723" spans="2:11">
      <c r="B723" s="228"/>
      <c r="C723" s="228"/>
      <c r="D723" s="229"/>
      <c r="E723" s="229"/>
      <c r="F723" s="229"/>
      <c r="G723" s="229"/>
      <c r="H723" s="229"/>
      <c r="I723" s="222"/>
      <c r="J723" s="222"/>
      <c r="K723" s="222"/>
    </row>
    <row r="724" spans="2:11">
      <c r="B724" s="228"/>
      <c r="C724" s="228"/>
      <c r="D724" s="229"/>
      <c r="E724" s="229"/>
      <c r="F724" s="229"/>
      <c r="G724" s="229"/>
      <c r="H724" s="229"/>
      <c r="I724" s="222"/>
      <c r="J724" s="222"/>
      <c r="K724" s="222"/>
    </row>
    <row r="725" spans="2:11">
      <c r="B725" s="228"/>
      <c r="C725" s="228"/>
      <c r="D725" s="229"/>
      <c r="E725" s="229"/>
      <c r="F725" s="229"/>
      <c r="G725" s="229"/>
      <c r="H725" s="229"/>
      <c r="I725" s="222"/>
      <c r="J725" s="222"/>
      <c r="K725" s="222"/>
    </row>
    <row r="726" spans="2:11">
      <c r="B726" s="228"/>
      <c r="C726" s="228"/>
      <c r="D726" s="229"/>
      <c r="E726" s="229"/>
      <c r="F726" s="229"/>
      <c r="G726" s="229"/>
      <c r="H726" s="229"/>
      <c r="I726" s="222"/>
      <c r="J726" s="222"/>
      <c r="K726" s="222"/>
    </row>
    <row r="727" spans="2:11">
      <c r="B727" s="228"/>
      <c r="C727" s="228"/>
      <c r="D727" s="229"/>
      <c r="E727" s="229"/>
      <c r="F727" s="229"/>
      <c r="G727" s="229"/>
      <c r="H727" s="229"/>
      <c r="I727" s="222"/>
      <c r="J727" s="222"/>
      <c r="K727" s="222"/>
    </row>
    <row r="728" spans="2:11">
      <c r="B728" s="228"/>
      <c r="C728" s="228"/>
      <c r="D728" s="229"/>
      <c r="E728" s="229"/>
      <c r="F728" s="229"/>
      <c r="G728" s="229"/>
      <c r="H728" s="229"/>
      <c r="I728" s="222"/>
      <c r="J728" s="222"/>
      <c r="K728" s="222"/>
    </row>
    <row r="729" spans="2:11">
      <c r="B729" s="228"/>
      <c r="C729" s="228"/>
      <c r="D729" s="229"/>
      <c r="E729" s="229"/>
      <c r="F729" s="229"/>
      <c r="G729" s="229"/>
      <c r="H729" s="229"/>
      <c r="I729" s="222"/>
      <c r="J729" s="222"/>
      <c r="K729" s="222"/>
    </row>
    <row r="730" spans="2:11">
      <c r="B730" s="228"/>
      <c r="C730" s="228"/>
      <c r="D730" s="229"/>
      <c r="E730" s="229"/>
      <c r="F730" s="229"/>
      <c r="G730" s="229"/>
      <c r="H730" s="229"/>
      <c r="I730" s="222"/>
      <c r="J730" s="222"/>
      <c r="K730" s="222"/>
    </row>
    <row r="731" spans="2:11">
      <c r="B731" s="228"/>
      <c r="C731" s="228"/>
      <c r="D731" s="229"/>
      <c r="E731" s="229"/>
      <c r="F731" s="229"/>
      <c r="G731" s="229"/>
      <c r="H731" s="229"/>
      <c r="I731" s="222"/>
      <c r="J731" s="222"/>
      <c r="K731" s="222"/>
    </row>
    <row r="732" spans="2:11">
      <c r="B732" s="228"/>
      <c r="C732" s="228"/>
      <c r="D732" s="229"/>
      <c r="E732" s="229"/>
      <c r="F732" s="229"/>
      <c r="G732" s="229"/>
      <c r="H732" s="229"/>
      <c r="I732" s="222"/>
      <c r="J732" s="222"/>
      <c r="K732" s="222"/>
    </row>
    <row r="733" spans="2:11">
      <c r="B733" s="228"/>
      <c r="C733" s="228"/>
      <c r="D733" s="229"/>
      <c r="E733" s="229"/>
      <c r="F733" s="229"/>
      <c r="G733" s="229"/>
      <c r="H733" s="229"/>
      <c r="I733" s="222"/>
      <c r="J733" s="222"/>
      <c r="K733" s="222"/>
    </row>
    <row r="734" spans="2:11">
      <c r="B734" s="228"/>
      <c r="C734" s="228"/>
      <c r="D734" s="229"/>
      <c r="E734" s="229"/>
      <c r="F734" s="229"/>
      <c r="G734" s="229"/>
      <c r="H734" s="229"/>
      <c r="I734" s="222"/>
      <c r="J734" s="222"/>
      <c r="K734" s="222"/>
    </row>
    <row r="735" spans="2:11">
      <c r="B735" s="228"/>
      <c r="C735" s="228"/>
      <c r="D735" s="229"/>
      <c r="E735" s="229"/>
      <c r="F735" s="229"/>
      <c r="G735" s="229"/>
      <c r="H735" s="229"/>
      <c r="I735" s="222"/>
      <c r="J735" s="222"/>
      <c r="K735" s="222"/>
    </row>
    <row r="736" spans="2:11">
      <c r="B736" s="228"/>
      <c r="C736" s="228"/>
      <c r="D736" s="229"/>
      <c r="E736" s="229"/>
      <c r="F736" s="229"/>
      <c r="G736" s="229"/>
      <c r="H736" s="229"/>
      <c r="I736" s="222"/>
      <c r="J736" s="222"/>
      <c r="K736" s="222"/>
    </row>
    <row r="737" spans="2:11">
      <c r="B737" s="228"/>
      <c r="C737" s="228"/>
      <c r="D737" s="229"/>
      <c r="E737" s="229"/>
      <c r="F737" s="229"/>
      <c r="G737" s="229"/>
      <c r="H737" s="229"/>
      <c r="I737" s="222"/>
      <c r="J737" s="222"/>
      <c r="K737" s="222"/>
    </row>
    <row r="738" spans="2:11">
      <c r="B738" s="228"/>
      <c r="C738" s="228"/>
      <c r="D738" s="229"/>
      <c r="E738" s="229"/>
      <c r="F738" s="229"/>
      <c r="G738" s="229"/>
      <c r="H738" s="229"/>
      <c r="I738" s="222"/>
      <c r="J738" s="222"/>
      <c r="K738" s="222"/>
    </row>
    <row r="739" spans="2:11">
      <c r="B739" s="228"/>
      <c r="C739" s="228"/>
      <c r="D739" s="229"/>
      <c r="E739" s="229"/>
      <c r="F739" s="229"/>
      <c r="G739" s="229"/>
      <c r="H739" s="229"/>
      <c r="I739" s="222"/>
      <c r="J739" s="222"/>
      <c r="K739" s="222"/>
    </row>
    <row r="740" spans="2:11">
      <c r="B740" s="228"/>
      <c r="C740" s="228"/>
      <c r="D740" s="229"/>
      <c r="E740" s="229"/>
      <c r="F740" s="229"/>
      <c r="G740" s="229"/>
      <c r="H740" s="229"/>
      <c r="I740" s="222"/>
      <c r="J740" s="222"/>
      <c r="K740" s="222"/>
    </row>
    <row r="741" spans="2:11">
      <c r="B741" s="228"/>
      <c r="C741" s="228"/>
      <c r="D741" s="229"/>
      <c r="E741" s="229"/>
      <c r="F741" s="229"/>
      <c r="G741" s="229"/>
      <c r="H741" s="229"/>
      <c r="I741" s="222"/>
      <c r="J741" s="222"/>
      <c r="K741" s="222"/>
    </row>
    <row r="742" spans="2:11">
      <c r="B742" s="228"/>
      <c r="C742" s="228"/>
      <c r="D742" s="229"/>
      <c r="E742" s="229"/>
      <c r="F742" s="229"/>
      <c r="G742" s="229"/>
      <c r="H742" s="229"/>
      <c r="I742" s="222"/>
      <c r="J742" s="222"/>
      <c r="K742" s="222"/>
    </row>
    <row r="743" spans="2:11">
      <c r="B743" s="228"/>
      <c r="C743" s="228"/>
      <c r="D743" s="229"/>
      <c r="E743" s="229"/>
      <c r="F743" s="229"/>
      <c r="G743" s="229"/>
      <c r="H743" s="229"/>
      <c r="I743" s="222"/>
      <c r="J743" s="222"/>
      <c r="K743" s="222"/>
    </row>
    <row r="744" spans="2:11">
      <c r="B744" s="228"/>
      <c r="C744" s="228"/>
      <c r="D744" s="229"/>
      <c r="E744" s="229"/>
      <c r="F744" s="229"/>
      <c r="G744" s="229"/>
      <c r="H744" s="229"/>
      <c r="I744" s="222"/>
      <c r="J744" s="222"/>
      <c r="K744" s="222"/>
    </row>
    <row r="745" spans="2:11">
      <c r="B745" s="228"/>
      <c r="C745" s="228"/>
      <c r="D745" s="229"/>
      <c r="E745" s="229"/>
      <c r="F745" s="229"/>
      <c r="G745" s="229"/>
      <c r="H745" s="229"/>
      <c r="I745" s="222"/>
      <c r="J745" s="222"/>
      <c r="K745" s="222"/>
    </row>
    <row r="746" spans="2:11">
      <c r="B746" s="228"/>
      <c r="C746" s="228"/>
      <c r="D746" s="229"/>
      <c r="E746" s="229"/>
      <c r="F746" s="229"/>
      <c r="G746" s="229"/>
      <c r="H746" s="229"/>
      <c r="I746" s="222"/>
      <c r="J746" s="222"/>
      <c r="K746" s="222"/>
    </row>
    <row r="747" spans="2:11">
      <c r="B747" s="228"/>
      <c r="C747" s="228"/>
      <c r="D747" s="229"/>
      <c r="E747" s="229"/>
      <c r="F747" s="229"/>
      <c r="G747" s="229"/>
      <c r="H747" s="229"/>
      <c r="I747" s="222"/>
      <c r="J747" s="222"/>
      <c r="K747" s="222"/>
    </row>
    <row r="748" spans="2:11">
      <c r="B748" s="228"/>
      <c r="C748" s="228"/>
      <c r="D748" s="229"/>
      <c r="E748" s="229"/>
      <c r="F748" s="229"/>
      <c r="G748" s="229"/>
      <c r="H748" s="229"/>
      <c r="I748" s="222"/>
      <c r="J748" s="222"/>
      <c r="K748" s="222"/>
    </row>
    <row r="749" spans="2:11">
      <c r="B749" s="228"/>
      <c r="C749" s="228"/>
      <c r="D749" s="229"/>
      <c r="E749" s="229"/>
      <c r="F749" s="229"/>
      <c r="G749" s="229"/>
      <c r="H749" s="229"/>
      <c r="I749" s="222"/>
      <c r="J749" s="222"/>
      <c r="K749" s="222"/>
    </row>
    <row r="750" spans="2:11">
      <c r="B750" s="228"/>
      <c r="C750" s="228"/>
      <c r="D750" s="229"/>
      <c r="E750" s="229"/>
      <c r="F750" s="229"/>
      <c r="G750" s="229"/>
      <c r="H750" s="229"/>
      <c r="I750" s="222"/>
      <c r="J750" s="222"/>
      <c r="K750" s="222"/>
    </row>
    <row r="751" spans="2:11">
      <c r="B751" s="228"/>
      <c r="C751" s="228"/>
      <c r="D751" s="229"/>
      <c r="E751" s="229"/>
      <c r="F751" s="229"/>
      <c r="G751" s="229"/>
      <c r="H751" s="229"/>
      <c r="I751" s="222"/>
      <c r="J751" s="222"/>
      <c r="K751" s="222"/>
    </row>
    <row r="752" spans="2:11">
      <c r="B752" s="228"/>
      <c r="C752" s="228"/>
      <c r="D752" s="229"/>
      <c r="E752" s="229"/>
      <c r="F752" s="229"/>
      <c r="G752" s="229"/>
      <c r="H752" s="229"/>
      <c r="I752" s="222"/>
      <c r="J752" s="222"/>
      <c r="K752" s="222"/>
    </row>
    <row r="753" spans="2:11">
      <c r="B753" s="228"/>
      <c r="C753" s="228"/>
      <c r="D753" s="229"/>
      <c r="E753" s="229"/>
      <c r="F753" s="229"/>
      <c r="G753" s="229"/>
      <c r="H753" s="229"/>
      <c r="I753" s="222"/>
      <c r="J753" s="222"/>
      <c r="K753" s="222"/>
    </row>
    <row r="754" spans="2:11">
      <c r="B754" s="228"/>
      <c r="C754" s="228"/>
      <c r="D754" s="229"/>
      <c r="E754" s="229"/>
      <c r="F754" s="229"/>
      <c r="G754" s="229"/>
      <c r="H754" s="229"/>
      <c r="I754" s="222"/>
      <c r="J754" s="222"/>
      <c r="K754" s="222"/>
    </row>
    <row r="755" spans="2:11">
      <c r="B755" s="228"/>
      <c r="C755" s="228"/>
      <c r="D755" s="229"/>
      <c r="E755" s="229"/>
      <c r="F755" s="229"/>
      <c r="G755" s="229"/>
      <c r="H755" s="229"/>
      <c r="I755" s="222"/>
      <c r="J755" s="222"/>
      <c r="K755" s="222"/>
    </row>
    <row r="756" spans="2:11">
      <c r="B756" s="228"/>
      <c r="C756" s="228"/>
      <c r="D756" s="229"/>
      <c r="E756" s="229"/>
      <c r="F756" s="229"/>
      <c r="G756" s="229"/>
      <c r="H756" s="229"/>
      <c r="I756" s="222"/>
      <c r="J756" s="222"/>
      <c r="K756" s="222"/>
    </row>
    <row r="757" spans="2:11">
      <c r="B757" s="228"/>
      <c r="C757" s="228"/>
      <c r="D757" s="229"/>
      <c r="E757" s="229"/>
      <c r="F757" s="229"/>
      <c r="G757" s="229"/>
      <c r="H757" s="229"/>
      <c r="I757" s="222"/>
      <c r="J757" s="222"/>
      <c r="K757" s="222"/>
    </row>
    <row r="758" spans="2:11">
      <c r="B758" s="228"/>
      <c r="C758" s="228"/>
      <c r="D758" s="229"/>
      <c r="E758" s="229"/>
      <c r="F758" s="229"/>
      <c r="G758" s="229"/>
      <c r="H758" s="229"/>
      <c r="I758" s="222"/>
      <c r="J758" s="222"/>
      <c r="K758" s="222"/>
    </row>
    <row r="759" spans="2:11">
      <c r="B759" s="228"/>
      <c r="C759" s="228"/>
      <c r="D759" s="229"/>
      <c r="E759" s="229"/>
      <c r="F759" s="229"/>
      <c r="G759" s="229"/>
      <c r="H759" s="229"/>
      <c r="I759" s="222"/>
      <c r="J759" s="222"/>
      <c r="K759" s="222"/>
    </row>
    <row r="760" spans="2:11">
      <c r="B760" s="228"/>
      <c r="C760" s="228"/>
      <c r="D760" s="229"/>
      <c r="E760" s="229"/>
      <c r="F760" s="229"/>
      <c r="G760" s="229"/>
      <c r="H760" s="229"/>
      <c r="I760" s="222"/>
      <c r="J760" s="222"/>
      <c r="K760" s="222"/>
    </row>
    <row r="761" spans="2:11">
      <c r="B761" s="228"/>
      <c r="C761" s="228"/>
      <c r="D761" s="229"/>
      <c r="E761" s="229"/>
      <c r="F761" s="229"/>
      <c r="G761" s="229"/>
      <c r="H761" s="229"/>
      <c r="I761" s="222"/>
      <c r="J761" s="222"/>
      <c r="K761" s="222"/>
    </row>
    <row r="762" spans="2:11">
      <c r="B762" s="228"/>
      <c r="C762" s="228"/>
      <c r="D762" s="229"/>
      <c r="E762" s="229"/>
      <c r="F762" s="229"/>
      <c r="G762" s="229"/>
      <c r="H762" s="229"/>
      <c r="I762" s="222"/>
      <c r="J762" s="222"/>
      <c r="K762" s="222"/>
    </row>
    <row r="763" spans="2:11">
      <c r="B763" s="228"/>
      <c r="C763" s="228"/>
      <c r="D763" s="229"/>
      <c r="E763" s="229"/>
      <c r="F763" s="229"/>
      <c r="G763" s="229"/>
      <c r="H763" s="229"/>
      <c r="I763" s="222"/>
      <c r="J763" s="222"/>
      <c r="K763" s="222"/>
    </row>
    <row r="764" spans="2:11">
      <c r="B764" s="228"/>
      <c r="C764" s="228"/>
      <c r="D764" s="229"/>
      <c r="E764" s="229"/>
      <c r="F764" s="229"/>
      <c r="G764" s="229"/>
      <c r="H764" s="229"/>
      <c r="I764" s="222"/>
      <c r="J764" s="222"/>
      <c r="K764" s="222"/>
    </row>
    <row r="765" spans="2:11">
      <c r="B765" s="228"/>
      <c r="C765" s="228"/>
      <c r="D765" s="229"/>
      <c r="E765" s="229"/>
      <c r="F765" s="229"/>
      <c r="G765" s="229"/>
      <c r="H765" s="229"/>
      <c r="I765" s="222"/>
      <c r="J765" s="222"/>
      <c r="K765" s="222"/>
    </row>
    <row r="766" spans="2:11">
      <c r="B766" s="228"/>
      <c r="C766" s="228"/>
      <c r="D766" s="229"/>
      <c r="E766" s="229"/>
      <c r="F766" s="229"/>
      <c r="G766" s="229"/>
      <c r="H766" s="229"/>
      <c r="I766" s="222"/>
      <c r="J766" s="222"/>
      <c r="K766" s="222"/>
    </row>
    <row r="767" spans="2:11">
      <c r="B767" s="228"/>
      <c r="C767" s="228"/>
      <c r="D767" s="229"/>
      <c r="E767" s="229"/>
      <c r="F767" s="229"/>
      <c r="G767" s="229"/>
      <c r="H767" s="229"/>
      <c r="I767" s="222"/>
      <c r="J767" s="222"/>
      <c r="K767" s="222"/>
    </row>
    <row r="768" spans="2:11">
      <c r="B768" s="228"/>
      <c r="C768" s="228"/>
      <c r="D768" s="229"/>
      <c r="E768" s="229"/>
      <c r="F768" s="229"/>
      <c r="G768" s="229"/>
      <c r="H768" s="229"/>
      <c r="I768" s="222"/>
      <c r="J768" s="222"/>
      <c r="K768" s="222"/>
    </row>
    <row r="769" spans="2:11">
      <c r="B769" s="228"/>
      <c r="C769" s="228"/>
      <c r="D769" s="229"/>
      <c r="E769" s="229"/>
      <c r="F769" s="229"/>
      <c r="G769" s="229"/>
      <c r="H769" s="229"/>
      <c r="I769" s="222"/>
      <c r="J769" s="222"/>
      <c r="K769" s="222"/>
    </row>
    <row r="770" spans="2:11">
      <c r="B770" s="228"/>
      <c r="C770" s="228"/>
      <c r="D770" s="229"/>
      <c r="E770" s="229"/>
      <c r="F770" s="229"/>
      <c r="G770" s="229"/>
      <c r="H770" s="229"/>
      <c r="I770" s="222"/>
      <c r="J770" s="222"/>
      <c r="K770" s="222"/>
    </row>
    <row r="771" spans="2:11">
      <c r="B771" s="228"/>
      <c r="C771" s="228"/>
      <c r="D771" s="229"/>
      <c r="E771" s="229"/>
      <c r="F771" s="229"/>
      <c r="G771" s="229"/>
      <c r="H771" s="229"/>
      <c r="I771" s="222"/>
      <c r="J771" s="222"/>
      <c r="K771" s="222"/>
    </row>
    <row r="772" spans="2:11">
      <c r="B772" s="228"/>
      <c r="C772" s="228"/>
      <c r="D772" s="229"/>
      <c r="E772" s="229"/>
      <c r="F772" s="229"/>
      <c r="G772" s="229"/>
      <c r="H772" s="229"/>
      <c r="I772" s="222"/>
      <c r="J772" s="222"/>
      <c r="K772" s="222"/>
    </row>
    <row r="773" spans="2:11">
      <c r="B773" s="228"/>
      <c r="C773" s="228"/>
      <c r="D773" s="229"/>
      <c r="E773" s="229"/>
      <c r="F773" s="229"/>
      <c r="G773" s="229"/>
      <c r="H773" s="229"/>
      <c r="I773" s="222"/>
      <c r="J773" s="222"/>
      <c r="K773" s="222"/>
    </row>
    <row r="774" spans="2:11">
      <c r="B774" s="228"/>
      <c r="C774" s="228"/>
      <c r="D774" s="229"/>
      <c r="E774" s="229"/>
      <c r="F774" s="229"/>
      <c r="G774" s="229"/>
      <c r="H774" s="229"/>
      <c r="I774" s="222"/>
      <c r="J774" s="222"/>
      <c r="K774" s="222"/>
    </row>
    <row r="775" spans="2:11">
      <c r="B775" s="228"/>
      <c r="C775" s="228"/>
      <c r="D775" s="229"/>
      <c r="E775" s="229"/>
      <c r="F775" s="229"/>
      <c r="G775" s="229"/>
      <c r="H775" s="229"/>
      <c r="I775" s="222"/>
      <c r="J775" s="222"/>
      <c r="K775" s="222"/>
    </row>
    <row r="776" spans="2:11">
      <c r="B776" s="228"/>
      <c r="C776" s="228"/>
      <c r="D776" s="229"/>
      <c r="E776" s="229"/>
      <c r="F776" s="229"/>
      <c r="G776" s="229"/>
      <c r="H776" s="229"/>
      <c r="I776" s="222"/>
      <c r="J776" s="222"/>
      <c r="K776" s="222"/>
    </row>
    <row r="777" spans="2:11">
      <c r="B777" s="228"/>
      <c r="C777" s="228"/>
      <c r="D777" s="229"/>
      <c r="E777" s="229"/>
      <c r="F777" s="229"/>
      <c r="G777" s="229"/>
      <c r="H777" s="229"/>
      <c r="I777" s="222"/>
      <c r="J777" s="222"/>
      <c r="K777" s="222"/>
    </row>
    <row r="778" spans="2:11">
      <c r="B778" s="228"/>
      <c r="C778" s="228"/>
      <c r="D778" s="229"/>
      <c r="E778" s="229"/>
      <c r="F778" s="229"/>
      <c r="G778" s="229"/>
      <c r="H778" s="229"/>
      <c r="I778" s="222"/>
      <c r="J778" s="222"/>
      <c r="K778" s="222"/>
    </row>
    <row r="779" spans="2:11">
      <c r="B779" s="228"/>
      <c r="C779" s="228"/>
      <c r="D779" s="229"/>
      <c r="E779" s="229"/>
      <c r="F779" s="229"/>
      <c r="G779" s="229"/>
      <c r="H779" s="229"/>
      <c r="I779" s="222"/>
      <c r="J779" s="222"/>
      <c r="K779" s="222"/>
    </row>
    <row r="780" spans="2:11">
      <c r="B780" s="228"/>
      <c r="C780" s="228"/>
      <c r="D780" s="229"/>
      <c r="E780" s="229"/>
      <c r="F780" s="229"/>
      <c r="G780" s="229"/>
      <c r="H780" s="229"/>
      <c r="I780" s="222"/>
      <c r="J780" s="222"/>
      <c r="K780" s="222"/>
    </row>
    <row r="781" spans="2:11">
      <c r="B781" s="228"/>
      <c r="C781" s="228"/>
      <c r="D781" s="229"/>
      <c r="E781" s="229"/>
      <c r="F781" s="229"/>
      <c r="G781" s="229"/>
      <c r="H781" s="229"/>
      <c r="I781" s="222"/>
      <c r="J781" s="222"/>
      <c r="K781" s="222"/>
    </row>
    <row r="782" spans="2:11">
      <c r="B782" s="228"/>
      <c r="C782" s="228"/>
      <c r="D782" s="229"/>
      <c r="E782" s="229"/>
      <c r="F782" s="229"/>
      <c r="G782" s="229"/>
      <c r="H782" s="229"/>
      <c r="I782" s="222"/>
      <c r="J782" s="222"/>
      <c r="K782" s="222"/>
    </row>
    <row r="783" spans="2:11">
      <c r="B783" s="228"/>
      <c r="C783" s="228"/>
      <c r="D783" s="229"/>
      <c r="E783" s="229"/>
      <c r="F783" s="229"/>
      <c r="G783" s="229"/>
      <c r="H783" s="229"/>
      <c r="I783" s="222"/>
      <c r="J783" s="222"/>
      <c r="K783" s="222"/>
    </row>
    <row r="784" spans="2:11">
      <c r="B784" s="228"/>
      <c r="C784" s="228"/>
      <c r="D784" s="229"/>
      <c r="E784" s="229"/>
      <c r="F784" s="229"/>
      <c r="G784" s="229"/>
      <c r="H784" s="229"/>
      <c r="I784" s="222"/>
      <c r="J784" s="222"/>
      <c r="K784" s="222"/>
    </row>
    <row r="785" spans="2:11">
      <c r="B785" s="228"/>
      <c r="C785" s="228"/>
      <c r="D785" s="229"/>
      <c r="E785" s="229"/>
      <c r="F785" s="229"/>
      <c r="G785" s="229"/>
      <c r="H785" s="229"/>
      <c r="I785" s="222"/>
      <c r="J785" s="222"/>
      <c r="K785" s="222"/>
    </row>
    <row r="786" spans="2:11">
      <c r="B786" s="228"/>
      <c r="C786" s="228"/>
      <c r="D786" s="229"/>
      <c r="E786" s="229"/>
      <c r="F786" s="229"/>
      <c r="G786" s="229"/>
      <c r="H786" s="229"/>
      <c r="I786" s="222"/>
      <c r="J786" s="222"/>
      <c r="K786" s="222"/>
    </row>
    <row r="787" spans="2:11">
      <c r="B787" s="228"/>
      <c r="C787" s="228"/>
      <c r="D787" s="229"/>
      <c r="E787" s="229"/>
      <c r="F787" s="229"/>
      <c r="G787" s="229"/>
      <c r="H787" s="229"/>
      <c r="I787" s="222"/>
      <c r="J787" s="222"/>
      <c r="K787" s="222"/>
    </row>
    <row r="788" spans="2:11">
      <c r="B788" s="228"/>
      <c r="C788" s="228"/>
      <c r="D788" s="229"/>
      <c r="E788" s="229"/>
      <c r="F788" s="229"/>
      <c r="G788" s="229"/>
      <c r="H788" s="229"/>
      <c r="I788" s="222"/>
      <c r="J788" s="222"/>
      <c r="K788" s="222"/>
    </row>
    <row r="789" spans="2:11">
      <c r="B789" s="228"/>
      <c r="C789" s="228"/>
      <c r="D789" s="229"/>
      <c r="E789" s="229"/>
      <c r="F789" s="229"/>
      <c r="G789" s="229"/>
      <c r="H789" s="229"/>
      <c r="I789" s="222"/>
      <c r="J789" s="222"/>
      <c r="K789" s="222"/>
    </row>
    <row r="790" spans="2:11">
      <c r="B790" s="228"/>
      <c r="C790" s="228"/>
      <c r="D790" s="229"/>
      <c r="E790" s="229"/>
      <c r="F790" s="229"/>
      <c r="G790" s="229"/>
      <c r="H790" s="229"/>
      <c r="I790" s="222"/>
      <c r="J790" s="222"/>
      <c r="K790" s="222"/>
    </row>
    <row r="791" spans="2:11">
      <c r="B791" s="228"/>
      <c r="C791" s="228"/>
      <c r="D791" s="229"/>
      <c r="E791" s="229"/>
      <c r="F791" s="229"/>
      <c r="G791" s="229"/>
      <c r="H791" s="229"/>
      <c r="I791" s="222"/>
      <c r="J791" s="222"/>
      <c r="K791" s="222"/>
    </row>
    <row r="792" spans="2:11">
      <c r="B792" s="228"/>
      <c r="C792" s="228"/>
      <c r="D792" s="229"/>
      <c r="E792" s="229"/>
      <c r="F792" s="229"/>
      <c r="G792" s="229"/>
      <c r="H792" s="229"/>
      <c r="I792" s="222"/>
      <c r="J792" s="222"/>
      <c r="K792" s="222"/>
    </row>
    <row r="793" spans="2:11">
      <c r="B793" s="228"/>
      <c r="C793" s="228"/>
      <c r="D793" s="229"/>
      <c r="E793" s="229"/>
      <c r="F793" s="229"/>
      <c r="G793" s="229"/>
      <c r="H793" s="229"/>
      <c r="I793" s="222"/>
      <c r="J793" s="222"/>
      <c r="K793" s="222"/>
    </row>
    <row r="794" spans="2:11">
      <c r="B794" s="228"/>
      <c r="C794" s="228"/>
      <c r="D794" s="229"/>
      <c r="E794" s="229"/>
      <c r="F794" s="229"/>
      <c r="G794" s="229"/>
      <c r="H794" s="229"/>
      <c r="I794" s="222"/>
      <c r="J794" s="222"/>
      <c r="K794" s="222"/>
    </row>
    <row r="795" spans="2:11">
      <c r="B795" s="228"/>
      <c r="C795" s="228"/>
      <c r="D795" s="229"/>
      <c r="E795" s="229"/>
      <c r="F795" s="229"/>
      <c r="G795" s="229"/>
      <c r="H795" s="229"/>
      <c r="I795" s="222"/>
      <c r="J795" s="222"/>
      <c r="K795" s="222"/>
    </row>
    <row r="796" spans="2:11">
      <c r="B796" s="228"/>
      <c r="C796" s="228"/>
      <c r="D796" s="229"/>
      <c r="E796" s="229"/>
      <c r="F796" s="229"/>
      <c r="G796" s="229"/>
      <c r="H796" s="229"/>
      <c r="I796" s="222"/>
      <c r="J796" s="222"/>
      <c r="K796" s="222"/>
    </row>
    <row r="797" spans="2:11">
      <c r="B797" s="228"/>
      <c r="C797" s="228"/>
      <c r="D797" s="229"/>
      <c r="E797" s="229"/>
      <c r="F797" s="229"/>
      <c r="G797" s="229"/>
      <c r="H797" s="229"/>
      <c r="I797" s="222"/>
      <c r="J797" s="222"/>
      <c r="K797" s="222"/>
    </row>
    <row r="798" spans="2:11">
      <c r="B798" s="228"/>
      <c r="C798" s="228"/>
      <c r="D798" s="229"/>
      <c r="E798" s="229"/>
      <c r="F798" s="229"/>
      <c r="G798" s="229"/>
      <c r="H798" s="229"/>
      <c r="I798" s="222"/>
      <c r="J798" s="222"/>
      <c r="K798" s="222"/>
    </row>
    <row r="799" spans="2:11">
      <c r="B799" s="228"/>
      <c r="C799" s="228"/>
      <c r="D799" s="229"/>
      <c r="E799" s="229"/>
      <c r="F799" s="229"/>
      <c r="G799" s="229"/>
      <c r="H799" s="229"/>
      <c r="I799" s="222"/>
      <c r="J799" s="222"/>
      <c r="K799" s="222"/>
    </row>
    <row r="800" spans="2:11">
      <c r="B800" s="228"/>
      <c r="C800" s="228"/>
      <c r="D800" s="229"/>
      <c r="E800" s="229"/>
      <c r="F800" s="229"/>
      <c r="G800" s="229"/>
      <c r="H800" s="229"/>
      <c r="I800" s="222"/>
      <c r="J800" s="222"/>
      <c r="K800" s="222"/>
    </row>
    <row r="801" spans="2:11">
      <c r="B801" s="228"/>
      <c r="C801" s="228"/>
      <c r="D801" s="229"/>
      <c r="E801" s="229"/>
      <c r="F801" s="229"/>
      <c r="G801" s="229"/>
      <c r="H801" s="229"/>
      <c r="I801" s="222"/>
      <c r="J801" s="222"/>
      <c r="K801" s="222"/>
    </row>
    <row r="802" spans="2:11">
      <c r="B802" s="228"/>
      <c r="C802" s="228"/>
      <c r="D802" s="229"/>
      <c r="E802" s="229"/>
      <c r="F802" s="229"/>
      <c r="G802" s="229"/>
      <c r="H802" s="229"/>
      <c r="I802" s="222"/>
      <c r="J802" s="222"/>
      <c r="K802" s="222"/>
    </row>
    <row r="803" spans="2:11">
      <c r="B803" s="228"/>
      <c r="C803" s="228"/>
      <c r="D803" s="229"/>
      <c r="E803" s="229"/>
      <c r="F803" s="229"/>
      <c r="G803" s="229"/>
      <c r="H803" s="229"/>
      <c r="I803" s="222"/>
      <c r="J803" s="222"/>
      <c r="K803" s="222"/>
    </row>
    <row r="804" spans="2:11">
      <c r="B804" s="228"/>
      <c r="C804" s="228"/>
      <c r="D804" s="229"/>
      <c r="E804" s="229"/>
      <c r="F804" s="229"/>
      <c r="G804" s="229"/>
      <c r="H804" s="229"/>
      <c r="I804" s="222"/>
      <c r="J804" s="222"/>
      <c r="K804" s="222"/>
    </row>
    <row r="805" spans="2:11">
      <c r="B805" s="228"/>
      <c r="C805" s="228"/>
      <c r="D805" s="229"/>
      <c r="E805" s="229"/>
      <c r="F805" s="229"/>
      <c r="G805" s="229"/>
      <c r="H805" s="229"/>
      <c r="I805" s="222"/>
      <c r="J805" s="222"/>
      <c r="K805" s="222"/>
    </row>
    <row r="806" spans="2:11">
      <c r="B806" s="228"/>
      <c r="C806" s="228"/>
      <c r="D806" s="229"/>
      <c r="E806" s="229"/>
      <c r="F806" s="229"/>
      <c r="G806" s="229"/>
      <c r="H806" s="229"/>
      <c r="I806" s="222"/>
      <c r="J806" s="222"/>
      <c r="K806" s="222"/>
    </row>
    <row r="807" spans="2:11">
      <c r="B807" s="228"/>
      <c r="C807" s="228"/>
      <c r="D807" s="229"/>
      <c r="E807" s="229"/>
      <c r="F807" s="229"/>
      <c r="G807" s="229"/>
      <c r="H807" s="229"/>
      <c r="I807" s="222"/>
      <c r="J807" s="222"/>
      <c r="K807" s="222"/>
    </row>
    <row r="808" spans="2:11">
      <c r="B808" s="228"/>
      <c r="C808" s="228"/>
      <c r="D808" s="229"/>
      <c r="E808" s="229"/>
      <c r="F808" s="229"/>
      <c r="G808" s="229"/>
      <c r="H808" s="229"/>
      <c r="I808" s="222"/>
      <c r="J808" s="222"/>
      <c r="K808" s="222"/>
    </row>
    <row r="809" spans="2:11">
      <c r="B809" s="228"/>
      <c r="C809" s="228"/>
      <c r="D809" s="229"/>
      <c r="E809" s="229"/>
      <c r="F809" s="229"/>
      <c r="G809" s="229"/>
      <c r="H809" s="229"/>
      <c r="I809" s="222"/>
      <c r="J809" s="222"/>
      <c r="K809" s="222"/>
    </row>
    <row r="810" spans="2:11">
      <c r="B810" s="228"/>
      <c r="C810" s="228"/>
      <c r="D810" s="229"/>
      <c r="E810" s="229"/>
      <c r="F810" s="229"/>
      <c r="G810" s="229"/>
      <c r="H810" s="229"/>
      <c r="I810" s="222"/>
      <c r="J810" s="222"/>
      <c r="K810" s="222"/>
    </row>
    <row r="811" spans="2:11">
      <c r="B811" s="228"/>
      <c r="C811" s="228"/>
      <c r="D811" s="229"/>
      <c r="E811" s="229"/>
      <c r="F811" s="229"/>
      <c r="G811" s="229"/>
      <c r="H811" s="229"/>
      <c r="I811" s="222"/>
      <c r="J811" s="222"/>
      <c r="K811" s="222"/>
    </row>
    <row r="812" spans="2:11">
      <c r="B812" s="228"/>
      <c r="C812" s="228"/>
      <c r="D812" s="229"/>
      <c r="E812" s="229"/>
      <c r="F812" s="229"/>
      <c r="G812" s="229"/>
      <c r="H812" s="229"/>
      <c r="I812" s="222"/>
      <c r="J812" s="222"/>
      <c r="K812" s="222"/>
    </row>
    <row r="813" spans="2:11">
      <c r="B813" s="228"/>
      <c r="C813" s="228"/>
      <c r="D813" s="229"/>
      <c r="E813" s="229"/>
      <c r="F813" s="229"/>
      <c r="G813" s="229"/>
      <c r="H813" s="229"/>
      <c r="I813" s="222"/>
      <c r="J813" s="222"/>
      <c r="K813" s="222"/>
    </row>
    <row r="814" spans="2:11">
      <c r="B814" s="228"/>
      <c r="C814" s="228"/>
      <c r="D814" s="229"/>
      <c r="E814" s="229"/>
      <c r="F814" s="229"/>
      <c r="G814" s="229"/>
      <c r="H814" s="229"/>
      <c r="I814" s="222"/>
      <c r="J814" s="222"/>
      <c r="K814" s="222"/>
    </row>
    <row r="815" spans="2:11">
      <c r="B815" s="228"/>
      <c r="C815" s="228"/>
      <c r="D815" s="229"/>
      <c r="E815" s="229"/>
      <c r="F815" s="229"/>
      <c r="G815" s="229"/>
      <c r="H815" s="229"/>
      <c r="I815" s="222"/>
      <c r="J815" s="222"/>
      <c r="K815" s="222"/>
    </row>
    <row r="816" spans="2:11">
      <c r="B816" s="228"/>
      <c r="C816" s="228"/>
      <c r="D816" s="229"/>
      <c r="E816" s="229"/>
      <c r="F816" s="229"/>
      <c r="G816" s="229"/>
      <c r="H816" s="229"/>
      <c r="I816" s="222"/>
      <c r="J816" s="222"/>
      <c r="K816" s="222"/>
    </row>
    <row r="817" spans="2:11">
      <c r="B817" s="228"/>
      <c r="C817" s="228"/>
      <c r="D817" s="229"/>
      <c r="E817" s="229"/>
      <c r="F817" s="229"/>
      <c r="G817" s="229"/>
      <c r="H817" s="229"/>
      <c r="I817" s="222"/>
      <c r="J817" s="222"/>
      <c r="K817" s="222"/>
    </row>
    <row r="818" spans="2:11">
      <c r="B818" s="228"/>
      <c r="C818" s="228"/>
      <c r="D818" s="229"/>
      <c r="E818" s="229"/>
      <c r="F818" s="229"/>
      <c r="G818" s="229"/>
      <c r="H818" s="229"/>
      <c r="I818" s="222"/>
      <c r="J818" s="222"/>
      <c r="K818" s="222"/>
    </row>
    <row r="819" spans="2:11">
      <c r="B819" s="228"/>
      <c r="C819" s="228"/>
      <c r="D819" s="229"/>
      <c r="E819" s="229"/>
      <c r="F819" s="229"/>
      <c r="G819" s="229"/>
      <c r="H819" s="229"/>
      <c r="I819" s="222"/>
      <c r="J819" s="222"/>
      <c r="K819" s="222"/>
    </row>
    <row r="820" spans="2:11">
      <c r="B820" s="228"/>
      <c r="C820" s="228"/>
      <c r="D820" s="229"/>
      <c r="E820" s="229"/>
      <c r="F820" s="229"/>
      <c r="G820" s="229"/>
      <c r="H820" s="229"/>
      <c r="I820" s="222"/>
      <c r="J820" s="222"/>
      <c r="K820" s="222"/>
    </row>
    <row r="821" spans="2:11">
      <c r="B821" s="228"/>
      <c r="C821" s="228"/>
      <c r="D821" s="229"/>
      <c r="E821" s="229"/>
      <c r="F821" s="229"/>
      <c r="G821" s="229"/>
      <c r="H821" s="229"/>
      <c r="I821" s="222"/>
      <c r="J821" s="222"/>
      <c r="K821" s="222"/>
    </row>
    <row r="822" spans="2:11">
      <c r="B822" s="228"/>
      <c r="C822" s="228"/>
      <c r="D822" s="229"/>
      <c r="E822" s="229"/>
      <c r="F822" s="229"/>
      <c r="G822" s="229"/>
      <c r="H822" s="229"/>
      <c r="I822" s="222"/>
      <c r="J822" s="222"/>
      <c r="K822" s="222"/>
    </row>
    <row r="823" spans="2:11">
      <c r="B823" s="228"/>
      <c r="C823" s="228"/>
      <c r="D823" s="229"/>
      <c r="E823" s="229"/>
      <c r="F823" s="229"/>
      <c r="G823" s="229"/>
      <c r="H823" s="229"/>
      <c r="I823" s="222"/>
      <c r="J823" s="222"/>
      <c r="K823" s="222"/>
    </row>
    <row r="824" spans="2:11">
      <c r="B824" s="228"/>
      <c r="C824" s="228"/>
      <c r="D824" s="229"/>
      <c r="E824" s="229"/>
      <c r="F824" s="229"/>
      <c r="G824" s="229"/>
      <c r="H824" s="229"/>
      <c r="I824" s="222"/>
      <c r="J824" s="222"/>
      <c r="K824" s="222"/>
    </row>
    <row r="825" spans="2:11">
      <c r="B825" s="228"/>
      <c r="C825" s="228"/>
      <c r="D825" s="229"/>
      <c r="E825" s="229"/>
      <c r="F825" s="229"/>
      <c r="G825" s="229"/>
      <c r="H825" s="229"/>
      <c r="I825" s="222"/>
      <c r="J825" s="222"/>
      <c r="K825" s="222"/>
    </row>
    <row r="826" spans="2:11">
      <c r="B826" s="228"/>
      <c r="C826" s="228"/>
      <c r="D826" s="229"/>
      <c r="E826" s="229"/>
      <c r="F826" s="229"/>
      <c r="G826" s="229"/>
      <c r="H826" s="229"/>
      <c r="I826" s="222"/>
      <c r="J826" s="222"/>
      <c r="K826" s="222"/>
    </row>
    <row r="827" spans="2:11">
      <c r="B827" s="228"/>
      <c r="C827" s="228"/>
      <c r="D827" s="229"/>
      <c r="E827" s="229"/>
      <c r="F827" s="229"/>
      <c r="G827" s="229"/>
      <c r="H827" s="229"/>
      <c r="I827" s="222"/>
      <c r="J827" s="222"/>
      <c r="K827" s="222"/>
    </row>
    <row r="828" spans="2:11">
      <c r="B828" s="228"/>
      <c r="C828" s="228"/>
      <c r="D828" s="229"/>
      <c r="E828" s="229"/>
      <c r="F828" s="229"/>
      <c r="G828" s="229"/>
      <c r="H828" s="229"/>
      <c r="I828" s="222"/>
      <c r="J828" s="222"/>
      <c r="K828" s="222"/>
    </row>
    <row r="829" spans="2:11">
      <c r="B829" s="228"/>
      <c r="C829" s="228"/>
      <c r="D829" s="229"/>
      <c r="E829" s="229"/>
      <c r="F829" s="229"/>
      <c r="G829" s="229"/>
      <c r="H829" s="229"/>
      <c r="I829" s="222"/>
      <c r="J829" s="222"/>
      <c r="K829" s="222"/>
    </row>
    <row r="830" spans="2:11">
      <c r="B830" s="228"/>
      <c r="C830" s="228"/>
      <c r="D830" s="229"/>
      <c r="E830" s="229"/>
      <c r="F830" s="229"/>
      <c r="G830" s="229"/>
      <c r="H830" s="229"/>
      <c r="I830" s="222"/>
      <c r="J830" s="222"/>
      <c r="K830" s="222"/>
    </row>
    <row r="831" spans="2:11">
      <c r="B831" s="228"/>
      <c r="C831" s="228"/>
      <c r="D831" s="229"/>
      <c r="E831" s="229"/>
      <c r="F831" s="229"/>
      <c r="G831" s="229"/>
      <c r="H831" s="229"/>
      <c r="I831" s="222"/>
      <c r="J831" s="222"/>
      <c r="K831" s="222"/>
    </row>
    <row r="832" spans="2:11">
      <c r="B832" s="228"/>
      <c r="C832" s="228"/>
      <c r="D832" s="229"/>
      <c r="E832" s="229"/>
      <c r="F832" s="229"/>
      <c r="G832" s="229"/>
      <c r="H832" s="229"/>
      <c r="I832" s="222"/>
      <c r="J832" s="222"/>
      <c r="K832" s="222"/>
    </row>
    <row r="833" spans="2:11">
      <c r="B833" s="228"/>
      <c r="C833" s="228"/>
      <c r="D833" s="229"/>
      <c r="E833" s="229"/>
      <c r="F833" s="229"/>
      <c r="G833" s="229"/>
      <c r="H833" s="229"/>
      <c r="I833" s="222"/>
      <c r="J833" s="222"/>
      <c r="K833" s="222"/>
    </row>
    <row r="834" spans="2:11">
      <c r="B834" s="228"/>
      <c r="C834" s="228"/>
      <c r="D834" s="229"/>
      <c r="E834" s="229"/>
      <c r="F834" s="229"/>
      <c r="G834" s="229"/>
      <c r="H834" s="229"/>
      <c r="I834" s="222"/>
      <c r="J834" s="222"/>
      <c r="K834" s="222"/>
    </row>
    <row r="835" spans="2:11">
      <c r="B835" s="228"/>
      <c r="C835" s="228"/>
      <c r="D835" s="229"/>
      <c r="E835" s="229"/>
      <c r="F835" s="229"/>
      <c r="G835" s="229"/>
      <c r="H835" s="229"/>
      <c r="I835" s="222"/>
      <c r="J835" s="222"/>
      <c r="K835" s="222"/>
    </row>
    <row r="836" spans="2:11">
      <c r="B836" s="228"/>
      <c r="C836" s="228"/>
      <c r="D836" s="229"/>
      <c r="E836" s="229"/>
      <c r="F836" s="229"/>
      <c r="G836" s="229"/>
      <c r="H836" s="229"/>
      <c r="I836" s="222"/>
      <c r="J836" s="222"/>
      <c r="K836" s="222"/>
    </row>
    <row r="837" spans="2:11">
      <c r="B837" s="228"/>
      <c r="C837" s="228"/>
      <c r="D837" s="229"/>
      <c r="E837" s="229"/>
      <c r="F837" s="229"/>
      <c r="G837" s="229"/>
      <c r="H837" s="229"/>
      <c r="I837" s="222"/>
      <c r="J837" s="222"/>
      <c r="K837" s="222"/>
    </row>
    <row r="838" spans="2:11">
      <c r="B838" s="228"/>
      <c r="C838" s="228"/>
      <c r="D838" s="229"/>
      <c r="E838" s="229"/>
      <c r="F838" s="229"/>
      <c r="G838" s="229"/>
      <c r="H838" s="229"/>
      <c r="I838" s="222"/>
      <c r="J838" s="222"/>
      <c r="K838" s="222"/>
    </row>
    <row r="839" spans="2:11">
      <c r="B839" s="228"/>
      <c r="C839" s="228"/>
      <c r="D839" s="229"/>
      <c r="E839" s="229"/>
      <c r="F839" s="229"/>
      <c r="G839" s="229"/>
      <c r="H839" s="229"/>
      <c r="I839" s="222"/>
      <c r="J839" s="222"/>
      <c r="K839" s="222"/>
    </row>
    <row r="840" spans="2:11">
      <c r="B840" s="228"/>
      <c r="C840" s="228"/>
      <c r="D840" s="229"/>
      <c r="E840" s="229"/>
      <c r="F840" s="229"/>
      <c r="G840" s="229"/>
      <c r="H840" s="229"/>
      <c r="I840" s="222"/>
      <c r="J840" s="222"/>
      <c r="K840" s="222"/>
    </row>
    <row r="841" spans="2:11">
      <c r="B841" s="228"/>
      <c r="C841" s="228"/>
      <c r="D841" s="229"/>
      <c r="E841" s="229"/>
      <c r="F841" s="229"/>
      <c r="G841" s="229"/>
      <c r="H841" s="229"/>
      <c r="I841" s="222"/>
      <c r="J841" s="222"/>
      <c r="K841" s="222"/>
    </row>
    <row r="842" spans="2:11">
      <c r="B842" s="228"/>
      <c r="C842" s="228"/>
      <c r="D842" s="229"/>
      <c r="E842" s="229"/>
      <c r="F842" s="229"/>
      <c r="G842" s="229"/>
      <c r="H842" s="229"/>
      <c r="I842" s="222"/>
      <c r="J842" s="222"/>
      <c r="K842" s="222"/>
    </row>
    <row r="843" spans="2:11">
      <c r="B843" s="228"/>
      <c r="C843" s="228"/>
      <c r="D843" s="229"/>
      <c r="E843" s="229"/>
      <c r="F843" s="229"/>
      <c r="G843" s="229"/>
      <c r="H843" s="229"/>
      <c r="I843" s="222"/>
      <c r="J843" s="222"/>
      <c r="K843" s="222"/>
    </row>
    <row r="844" spans="2:11">
      <c r="B844" s="228"/>
      <c r="C844" s="228"/>
      <c r="D844" s="229"/>
      <c r="E844" s="229"/>
      <c r="F844" s="229"/>
      <c r="G844" s="229"/>
      <c r="H844" s="229"/>
      <c r="I844" s="222"/>
      <c r="J844" s="222"/>
      <c r="K844" s="222"/>
    </row>
    <row r="845" spans="2:11">
      <c r="B845" s="228"/>
      <c r="C845" s="228"/>
      <c r="D845" s="229"/>
      <c r="E845" s="229"/>
      <c r="F845" s="229"/>
      <c r="G845" s="229"/>
      <c r="H845" s="229"/>
      <c r="I845" s="222"/>
      <c r="J845" s="222"/>
      <c r="K845" s="222"/>
    </row>
    <row r="846" spans="2:11">
      <c r="B846" s="228"/>
      <c r="C846" s="228"/>
      <c r="D846" s="229"/>
      <c r="E846" s="229"/>
      <c r="F846" s="229"/>
      <c r="G846" s="229"/>
      <c r="H846" s="229"/>
      <c r="I846" s="222"/>
      <c r="J846" s="222"/>
      <c r="K846" s="222"/>
    </row>
    <row r="847" spans="2:11">
      <c r="B847" s="228"/>
      <c r="C847" s="228"/>
      <c r="D847" s="229"/>
      <c r="E847" s="229"/>
      <c r="F847" s="229"/>
      <c r="G847" s="229"/>
      <c r="H847" s="229"/>
      <c r="I847" s="222"/>
      <c r="J847" s="222"/>
      <c r="K847" s="222"/>
    </row>
    <row r="848" spans="2:11">
      <c r="B848" s="228"/>
      <c r="C848" s="228"/>
      <c r="D848" s="229"/>
      <c r="E848" s="229"/>
      <c r="F848" s="229"/>
      <c r="G848" s="229"/>
      <c r="H848" s="229"/>
      <c r="I848" s="222"/>
      <c r="J848" s="222"/>
      <c r="K848" s="222"/>
    </row>
    <row r="849" spans="2:11">
      <c r="B849" s="228"/>
      <c r="C849" s="228"/>
      <c r="D849" s="229"/>
      <c r="E849" s="229"/>
      <c r="F849" s="229"/>
      <c r="G849" s="229"/>
      <c r="H849" s="229"/>
      <c r="I849" s="222"/>
      <c r="J849" s="222"/>
      <c r="K849" s="222"/>
    </row>
    <row r="850" spans="2:11">
      <c r="B850" s="228"/>
      <c r="C850" s="228"/>
      <c r="D850" s="229"/>
      <c r="E850" s="229"/>
      <c r="F850" s="229"/>
      <c r="G850" s="229"/>
      <c r="H850" s="229"/>
      <c r="I850" s="222"/>
      <c r="J850" s="222"/>
      <c r="K850" s="222"/>
    </row>
    <row r="851" spans="2:11">
      <c r="B851" s="228"/>
      <c r="C851" s="228"/>
      <c r="D851" s="229"/>
      <c r="E851" s="229"/>
      <c r="F851" s="229"/>
      <c r="G851" s="229"/>
      <c r="H851" s="229"/>
      <c r="I851" s="222"/>
      <c r="J851" s="222"/>
      <c r="K851" s="222"/>
    </row>
    <row r="852" spans="2:11">
      <c r="B852" s="228"/>
      <c r="C852" s="228"/>
      <c r="D852" s="229"/>
      <c r="E852" s="229"/>
      <c r="F852" s="229"/>
      <c r="G852" s="229"/>
      <c r="H852" s="229"/>
      <c r="I852" s="222"/>
      <c r="J852" s="222"/>
      <c r="K852" s="222"/>
    </row>
    <row r="853" spans="2:11">
      <c r="B853" s="228"/>
      <c r="C853" s="228"/>
      <c r="D853" s="229"/>
      <c r="E853" s="229"/>
      <c r="F853" s="229"/>
      <c r="G853" s="229"/>
      <c r="H853" s="229"/>
      <c r="I853" s="222"/>
      <c r="J853" s="222"/>
      <c r="K853" s="222"/>
    </row>
    <row r="854" spans="2:11">
      <c r="B854" s="228"/>
      <c r="C854" s="228"/>
      <c r="D854" s="229"/>
      <c r="E854" s="229"/>
      <c r="F854" s="229"/>
      <c r="G854" s="229"/>
      <c r="H854" s="229"/>
      <c r="I854" s="222"/>
      <c r="J854" s="222"/>
      <c r="K854" s="222"/>
    </row>
    <row r="855" spans="2:11">
      <c r="B855" s="228"/>
      <c r="C855" s="228"/>
      <c r="D855" s="229"/>
      <c r="E855" s="229"/>
      <c r="F855" s="229"/>
      <c r="G855" s="229"/>
      <c r="H855" s="229"/>
      <c r="I855" s="222"/>
      <c r="J855" s="222"/>
      <c r="K855" s="222"/>
    </row>
    <row r="856" spans="2:11">
      <c r="B856" s="228"/>
      <c r="C856" s="228"/>
      <c r="D856" s="229"/>
      <c r="E856" s="229"/>
      <c r="F856" s="229"/>
      <c r="G856" s="229"/>
      <c r="H856" s="229"/>
      <c r="I856" s="222"/>
      <c r="J856" s="222"/>
      <c r="K856" s="222"/>
    </row>
    <row r="857" spans="2:11">
      <c r="B857" s="228"/>
      <c r="C857" s="228"/>
      <c r="D857" s="229"/>
      <c r="E857" s="229"/>
      <c r="F857" s="229"/>
      <c r="G857" s="229"/>
      <c r="H857" s="229"/>
      <c r="I857" s="222"/>
      <c r="J857" s="222"/>
      <c r="K857" s="222"/>
    </row>
    <row r="858" spans="2:11">
      <c r="B858" s="228"/>
      <c r="C858" s="228"/>
      <c r="D858" s="229"/>
      <c r="E858" s="229"/>
      <c r="F858" s="229"/>
      <c r="G858" s="229"/>
      <c r="H858" s="229"/>
      <c r="I858" s="222"/>
      <c r="J858" s="222"/>
      <c r="K858" s="222"/>
    </row>
    <row r="859" spans="2:11">
      <c r="B859" s="228"/>
      <c r="C859" s="228"/>
      <c r="D859" s="229"/>
      <c r="E859" s="229"/>
      <c r="F859" s="229"/>
      <c r="G859" s="229"/>
      <c r="H859" s="229"/>
      <c r="I859" s="222"/>
      <c r="J859" s="222"/>
      <c r="K859" s="222"/>
    </row>
    <row r="860" spans="2:11">
      <c r="B860" s="228"/>
      <c r="C860" s="228"/>
      <c r="D860" s="229"/>
      <c r="E860" s="229"/>
      <c r="F860" s="229"/>
      <c r="G860" s="229"/>
      <c r="H860" s="229"/>
      <c r="I860" s="222"/>
      <c r="J860" s="222"/>
      <c r="K860" s="222"/>
    </row>
    <row r="861" spans="2:11">
      <c r="B861" s="228"/>
      <c r="C861" s="228"/>
      <c r="D861" s="229"/>
      <c r="E861" s="229"/>
      <c r="F861" s="229"/>
      <c r="G861" s="229"/>
      <c r="H861" s="229"/>
      <c r="I861" s="222"/>
      <c r="J861" s="222"/>
      <c r="K861" s="222"/>
    </row>
    <row r="862" spans="2:11">
      <c r="B862" s="228"/>
      <c r="C862" s="228"/>
      <c r="D862" s="229"/>
      <c r="E862" s="229"/>
      <c r="F862" s="229"/>
      <c r="G862" s="229"/>
      <c r="H862" s="229"/>
      <c r="I862" s="222"/>
      <c r="J862" s="222"/>
      <c r="K862" s="222"/>
    </row>
    <row r="863" spans="2:11">
      <c r="B863" s="228"/>
      <c r="C863" s="228"/>
      <c r="D863" s="229"/>
      <c r="E863" s="229"/>
      <c r="F863" s="229"/>
      <c r="G863" s="229"/>
      <c r="H863" s="229"/>
      <c r="I863" s="222"/>
      <c r="J863" s="222"/>
      <c r="K863" s="222"/>
    </row>
    <row r="864" spans="2:11">
      <c r="B864" s="228"/>
      <c r="C864" s="228"/>
      <c r="D864" s="229"/>
      <c r="E864" s="229"/>
      <c r="F864" s="229"/>
      <c r="G864" s="229"/>
      <c r="H864" s="229"/>
      <c r="I864" s="222"/>
      <c r="J864" s="222"/>
      <c r="K864" s="222"/>
    </row>
    <row r="865" spans="2:11">
      <c r="B865" s="228"/>
      <c r="C865" s="228"/>
      <c r="D865" s="229"/>
      <c r="E865" s="229"/>
      <c r="F865" s="229"/>
      <c r="G865" s="229"/>
      <c r="H865" s="229"/>
      <c r="I865" s="222"/>
      <c r="J865" s="222"/>
      <c r="K865" s="222"/>
    </row>
    <row r="866" spans="2:11">
      <c r="B866" s="228"/>
      <c r="C866" s="228"/>
      <c r="D866" s="229"/>
      <c r="E866" s="229"/>
      <c r="F866" s="229"/>
      <c r="G866" s="229"/>
      <c r="H866" s="229"/>
      <c r="I866" s="222"/>
      <c r="J866" s="222"/>
      <c r="K866" s="222"/>
    </row>
    <row r="867" spans="2:11">
      <c r="B867" s="228"/>
      <c r="C867" s="228"/>
      <c r="D867" s="229"/>
      <c r="E867" s="229"/>
      <c r="F867" s="229"/>
      <c r="G867" s="229"/>
      <c r="H867" s="229"/>
      <c r="I867" s="222"/>
      <c r="J867" s="222"/>
      <c r="K867" s="222"/>
    </row>
    <row r="868" spans="2:11">
      <c r="B868" s="228"/>
      <c r="C868" s="228"/>
      <c r="D868" s="229"/>
      <c r="E868" s="229"/>
      <c r="F868" s="229"/>
      <c r="G868" s="229"/>
      <c r="H868" s="229"/>
      <c r="I868" s="222"/>
      <c r="J868" s="222"/>
      <c r="K868" s="222"/>
    </row>
    <row r="869" spans="2:11">
      <c r="B869" s="228"/>
      <c r="C869" s="228"/>
      <c r="D869" s="229"/>
      <c r="E869" s="229"/>
      <c r="F869" s="229"/>
      <c r="G869" s="229"/>
      <c r="H869" s="229"/>
      <c r="I869" s="222"/>
      <c r="J869" s="222"/>
      <c r="K869" s="222"/>
    </row>
    <row r="870" spans="2:11">
      <c r="B870" s="228"/>
      <c r="C870" s="228"/>
      <c r="D870" s="229"/>
      <c r="E870" s="229"/>
      <c r="F870" s="229"/>
      <c r="G870" s="229"/>
      <c r="H870" s="229"/>
      <c r="I870" s="222"/>
      <c r="J870" s="222"/>
      <c r="K870" s="222"/>
    </row>
    <row r="871" spans="2:11">
      <c r="B871" s="228"/>
      <c r="C871" s="228"/>
      <c r="D871" s="229"/>
      <c r="E871" s="229"/>
      <c r="F871" s="229"/>
      <c r="G871" s="229"/>
      <c r="H871" s="229"/>
      <c r="I871" s="222"/>
      <c r="J871" s="222"/>
      <c r="K871" s="222"/>
    </row>
    <row r="872" spans="2:11">
      <c r="B872" s="228"/>
      <c r="C872" s="228"/>
      <c r="D872" s="229"/>
      <c r="E872" s="229"/>
      <c r="F872" s="229"/>
      <c r="G872" s="229"/>
      <c r="H872" s="229"/>
      <c r="I872" s="222"/>
      <c r="J872" s="222"/>
      <c r="K872" s="222"/>
    </row>
    <row r="873" spans="2:11">
      <c r="B873" s="228"/>
      <c r="C873" s="228"/>
      <c r="D873" s="229"/>
      <c r="E873" s="229"/>
      <c r="F873" s="229"/>
      <c r="G873" s="229"/>
      <c r="H873" s="229"/>
      <c r="I873" s="222"/>
      <c r="J873" s="222"/>
      <c r="K873" s="222"/>
    </row>
    <row r="874" spans="2:11">
      <c r="B874" s="228"/>
      <c r="C874" s="228"/>
      <c r="D874" s="229"/>
      <c r="E874" s="229"/>
      <c r="F874" s="229"/>
      <c r="G874" s="229"/>
      <c r="H874" s="229"/>
      <c r="I874" s="222"/>
      <c r="J874" s="222"/>
      <c r="K874" s="222"/>
    </row>
    <row r="875" spans="2:11">
      <c r="B875" s="228"/>
      <c r="C875" s="228"/>
      <c r="D875" s="229"/>
      <c r="E875" s="229"/>
      <c r="F875" s="229"/>
      <c r="G875" s="229"/>
      <c r="H875" s="229"/>
      <c r="I875" s="222"/>
      <c r="J875" s="222"/>
      <c r="K875" s="222"/>
    </row>
    <row r="876" spans="2:11">
      <c r="B876" s="228"/>
      <c r="C876" s="228"/>
      <c r="D876" s="229"/>
      <c r="E876" s="229"/>
      <c r="F876" s="229"/>
      <c r="G876" s="229"/>
      <c r="H876" s="229"/>
      <c r="I876" s="222"/>
      <c r="J876" s="222"/>
      <c r="K876" s="222"/>
    </row>
    <row r="877" spans="2:11">
      <c r="B877" s="228"/>
      <c r="C877" s="228"/>
      <c r="D877" s="229"/>
      <c r="E877" s="229"/>
      <c r="F877" s="229"/>
      <c r="G877" s="229"/>
      <c r="H877" s="229"/>
      <c r="I877" s="222"/>
      <c r="J877" s="222"/>
      <c r="K877" s="222"/>
    </row>
    <row r="878" spans="2:11">
      <c r="B878" s="228"/>
      <c r="C878" s="228"/>
      <c r="D878" s="229"/>
      <c r="E878" s="229"/>
      <c r="F878" s="229"/>
      <c r="G878" s="229"/>
      <c r="H878" s="229"/>
      <c r="I878" s="222"/>
      <c r="J878" s="222"/>
      <c r="K878" s="222"/>
    </row>
    <row r="879" spans="2:11">
      <c r="B879" s="228"/>
      <c r="C879" s="228"/>
      <c r="D879" s="229"/>
      <c r="E879" s="229"/>
      <c r="F879" s="229"/>
      <c r="G879" s="229"/>
      <c r="H879" s="229"/>
      <c r="I879" s="222"/>
      <c r="J879" s="222"/>
      <c r="K879" s="222"/>
    </row>
    <row r="880" spans="2:11">
      <c r="B880" s="228"/>
      <c r="C880" s="228"/>
      <c r="D880" s="229"/>
      <c r="E880" s="229"/>
      <c r="F880" s="229"/>
      <c r="G880" s="229"/>
      <c r="H880" s="229"/>
      <c r="I880" s="222"/>
      <c r="J880" s="222"/>
      <c r="K880" s="222"/>
    </row>
    <row r="881" spans="2:11">
      <c r="B881" s="228"/>
      <c r="C881" s="228"/>
      <c r="D881" s="229"/>
      <c r="E881" s="229"/>
      <c r="F881" s="229"/>
      <c r="G881" s="229"/>
      <c r="H881" s="229"/>
      <c r="I881" s="222"/>
      <c r="J881" s="222"/>
      <c r="K881" s="222"/>
    </row>
    <row r="882" spans="2:11">
      <c r="B882" s="228"/>
      <c r="C882" s="228"/>
      <c r="D882" s="229"/>
      <c r="E882" s="229"/>
      <c r="F882" s="229"/>
      <c r="G882" s="229"/>
      <c r="H882" s="229"/>
      <c r="I882" s="222"/>
      <c r="J882" s="222"/>
      <c r="K882" s="222"/>
    </row>
    <row r="883" spans="2:11">
      <c r="B883" s="228"/>
      <c r="C883" s="228"/>
      <c r="D883" s="229"/>
      <c r="E883" s="229"/>
      <c r="F883" s="229"/>
      <c r="G883" s="229"/>
      <c r="H883" s="229"/>
      <c r="I883" s="222"/>
      <c r="J883" s="222"/>
      <c r="K883" s="222"/>
    </row>
    <row r="884" spans="2:11">
      <c r="B884" s="228"/>
      <c r="C884" s="228"/>
      <c r="D884" s="229"/>
      <c r="E884" s="229"/>
      <c r="F884" s="229"/>
      <c r="G884" s="229"/>
      <c r="H884" s="229"/>
      <c r="I884" s="222"/>
      <c r="J884" s="222"/>
      <c r="K884" s="222"/>
    </row>
    <row r="885" spans="2:11">
      <c r="B885" s="228"/>
      <c r="C885" s="228"/>
      <c r="D885" s="229"/>
      <c r="E885" s="229"/>
      <c r="F885" s="229"/>
      <c r="G885" s="229"/>
      <c r="H885" s="229"/>
      <c r="I885" s="222"/>
      <c r="J885" s="222"/>
      <c r="K885" s="222"/>
    </row>
    <row r="886" spans="2:11">
      <c r="B886" s="228"/>
      <c r="C886" s="228"/>
      <c r="D886" s="229"/>
      <c r="E886" s="229"/>
      <c r="F886" s="229"/>
      <c r="G886" s="229"/>
      <c r="H886" s="229"/>
      <c r="I886" s="222"/>
      <c r="J886" s="222"/>
      <c r="K886" s="222"/>
    </row>
    <row r="887" spans="2:11">
      <c r="B887" s="228"/>
      <c r="C887" s="228"/>
      <c r="D887" s="229"/>
      <c r="E887" s="229"/>
      <c r="F887" s="229"/>
      <c r="G887" s="229"/>
      <c r="H887" s="229"/>
      <c r="I887" s="222"/>
      <c r="J887" s="222"/>
      <c r="K887" s="222"/>
    </row>
    <row r="888" spans="2:11">
      <c r="B888" s="228"/>
      <c r="C888" s="228"/>
      <c r="D888" s="229"/>
      <c r="E888" s="229"/>
      <c r="F888" s="229"/>
      <c r="G888" s="229"/>
      <c r="H888" s="229"/>
      <c r="I888" s="222"/>
      <c r="J888" s="222"/>
      <c r="K888" s="222"/>
    </row>
    <row r="889" spans="2:11">
      <c r="B889" s="228"/>
      <c r="C889" s="228"/>
      <c r="D889" s="229"/>
      <c r="E889" s="229"/>
      <c r="F889" s="229"/>
      <c r="G889" s="229"/>
      <c r="H889" s="229"/>
      <c r="I889" s="222"/>
      <c r="J889" s="222"/>
      <c r="K889" s="222"/>
    </row>
    <row r="890" spans="2:11">
      <c r="B890" s="228"/>
      <c r="C890" s="228"/>
      <c r="D890" s="229"/>
      <c r="E890" s="229"/>
      <c r="F890" s="229"/>
      <c r="G890" s="229"/>
      <c r="H890" s="229"/>
      <c r="I890" s="222"/>
      <c r="J890" s="222"/>
      <c r="K890" s="222"/>
    </row>
    <row r="891" spans="2:11">
      <c r="B891" s="228"/>
      <c r="C891" s="228"/>
      <c r="D891" s="229"/>
      <c r="E891" s="229"/>
      <c r="F891" s="229"/>
      <c r="G891" s="229"/>
      <c r="H891" s="229"/>
      <c r="I891" s="222"/>
      <c r="J891" s="222"/>
      <c r="K891" s="222"/>
    </row>
    <row r="892" spans="2:11">
      <c r="B892" s="228"/>
      <c r="C892" s="228"/>
      <c r="D892" s="229"/>
      <c r="E892" s="229"/>
      <c r="F892" s="229"/>
      <c r="G892" s="229"/>
      <c r="H892" s="229"/>
      <c r="I892" s="222"/>
      <c r="J892" s="222"/>
      <c r="K892" s="222"/>
    </row>
    <row r="893" spans="2:11">
      <c r="B893" s="228"/>
      <c r="C893" s="228"/>
      <c r="D893" s="229"/>
      <c r="E893" s="229"/>
      <c r="F893" s="229"/>
      <c r="G893" s="229"/>
      <c r="H893" s="229"/>
      <c r="I893" s="222"/>
      <c r="J893" s="222"/>
      <c r="K893" s="222"/>
    </row>
    <row r="894" spans="2:11">
      <c r="B894" s="228"/>
      <c r="C894" s="228"/>
      <c r="D894" s="229"/>
      <c r="E894" s="229"/>
      <c r="F894" s="229"/>
      <c r="G894" s="229"/>
      <c r="H894" s="229"/>
      <c r="I894" s="222"/>
      <c r="J894" s="222"/>
      <c r="K894" s="222"/>
    </row>
    <row r="895" spans="2:11">
      <c r="B895" s="228"/>
      <c r="C895" s="228"/>
      <c r="D895" s="229"/>
      <c r="E895" s="229"/>
      <c r="F895" s="229"/>
      <c r="G895" s="229"/>
      <c r="H895" s="229"/>
      <c r="I895" s="222"/>
      <c r="J895" s="222"/>
      <c r="K895" s="222"/>
    </row>
    <row r="896" spans="2:11">
      <c r="B896" s="228"/>
      <c r="C896" s="228"/>
      <c r="D896" s="229"/>
      <c r="E896" s="229"/>
      <c r="F896" s="229"/>
      <c r="G896" s="229"/>
      <c r="H896" s="229"/>
      <c r="I896" s="222"/>
      <c r="J896" s="222"/>
      <c r="K896" s="222"/>
    </row>
    <row r="897" spans="2:11">
      <c r="B897" s="228"/>
      <c r="C897" s="228"/>
      <c r="D897" s="229"/>
      <c r="E897" s="229"/>
      <c r="F897" s="229"/>
      <c r="G897" s="229"/>
      <c r="H897" s="229"/>
      <c r="I897" s="222"/>
      <c r="J897" s="222"/>
      <c r="K897" s="222"/>
    </row>
    <row r="898" spans="2:11">
      <c r="B898" s="228"/>
      <c r="C898" s="228"/>
      <c r="D898" s="229"/>
      <c r="E898" s="229"/>
      <c r="F898" s="229"/>
      <c r="G898" s="229"/>
      <c r="H898" s="229"/>
      <c r="I898" s="222"/>
      <c r="J898" s="222"/>
      <c r="K898" s="222"/>
    </row>
    <row r="899" spans="2:11">
      <c r="B899" s="228"/>
      <c r="C899" s="228"/>
      <c r="D899" s="229"/>
      <c r="E899" s="229"/>
      <c r="F899" s="229"/>
      <c r="G899" s="229"/>
      <c r="H899" s="229"/>
      <c r="I899" s="222"/>
      <c r="J899" s="222"/>
      <c r="K899" s="222"/>
    </row>
    <row r="900" spans="2:11">
      <c r="B900" s="228"/>
      <c r="C900" s="228"/>
      <c r="D900" s="229"/>
      <c r="E900" s="229"/>
      <c r="F900" s="229"/>
      <c r="G900" s="229"/>
      <c r="H900" s="229"/>
      <c r="I900" s="222"/>
      <c r="J900" s="222"/>
      <c r="K900" s="222"/>
    </row>
    <row r="901" spans="2:11">
      <c r="B901" s="228"/>
      <c r="C901" s="228"/>
      <c r="D901" s="229"/>
      <c r="E901" s="229"/>
      <c r="F901" s="229"/>
      <c r="G901" s="229"/>
      <c r="H901" s="229"/>
      <c r="I901" s="222"/>
      <c r="J901" s="222"/>
      <c r="K901" s="222"/>
    </row>
    <row r="902" spans="2:11">
      <c r="B902" s="228"/>
      <c r="C902" s="228"/>
      <c r="D902" s="229"/>
      <c r="E902" s="229"/>
      <c r="F902" s="229"/>
      <c r="G902" s="229"/>
      <c r="H902" s="229"/>
      <c r="I902" s="222"/>
      <c r="J902" s="222"/>
      <c r="K902" s="222"/>
    </row>
    <row r="903" spans="2:11">
      <c r="B903" s="228"/>
      <c r="C903" s="228"/>
      <c r="D903" s="229"/>
      <c r="E903" s="229"/>
      <c r="F903" s="229"/>
      <c r="G903" s="229"/>
      <c r="H903" s="229"/>
      <c r="I903" s="222"/>
      <c r="J903" s="222"/>
      <c r="K903" s="222"/>
    </row>
    <row r="904" spans="2:11">
      <c r="B904" s="228"/>
      <c r="C904" s="228"/>
      <c r="D904" s="229"/>
      <c r="E904" s="229"/>
      <c r="F904" s="229"/>
      <c r="G904" s="229"/>
      <c r="H904" s="229"/>
      <c r="I904" s="222"/>
      <c r="J904" s="222"/>
      <c r="K904" s="222"/>
    </row>
    <row r="905" spans="2:11">
      <c r="B905" s="228"/>
      <c r="C905" s="228"/>
      <c r="D905" s="229"/>
      <c r="E905" s="229"/>
      <c r="F905" s="229"/>
      <c r="G905" s="229"/>
      <c r="H905" s="229"/>
      <c r="I905" s="222"/>
      <c r="J905" s="222"/>
      <c r="K905" s="222"/>
    </row>
    <row r="906" spans="2:11">
      <c r="B906" s="228"/>
      <c r="C906" s="228"/>
      <c r="D906" s="229"/>
      <c r="E906" s="229"/>
      <c r="F906" s="229"/>
      <c r="G906" s="229"/>
      <c r="H906" s="229"/>
      <c r="I906" s="222"/>
      <c r="J906" s="222"/>
      <c r="K906" s="222"/>
    </row>
    <row r="907" spans="2:11">
      <c r="B907" s="228"/>
      <c r="C907" s="228"/>
      <c r="D907" s="229"/>
      <c r="E907" s="229"/>
      <c r="F907" s="229"/>
      <c r="G907" s="229"/>
      <c r="H907" s="229"/>
      <c r="I907" s="222"/>
      <c r="J907" s="222"/>
      <c r="K907" s="222"/>
    </row>
    <row r="908" spans="2:11">
      <c r="B908" s="228"/>
      <c r="C908" s="228"/>
      <c r="D908" s="229"/>
      <c r="E908" s="229"/>
      <c r="F908" s="229"/>
      <c r="G908" s="229"/>
      <c r="H908" s="229"/>
      <c r="I908" s="222"/>
      <c r="J908" s="222"/>
      <c r="K908" s="222"/>
    </row>
    <row r="909" spans="2:11">
      <c r="B909" s="228"/>
      <c r="C909" s="228"/>
      <c r="D909" s="229"/>
      <c r="E909" s="229"/>
      <c r="F909" s="229"/>
      <c r="G909" s="229"/>
      <c r="H909" s="229"/>
      <c r="I909" s="222"/>
      <c r="J909" s="222"/>
      <c r="K909" s="222"/>
    </row>
    <row r="910" spans="2:11">
      <c r="B910" s="228"/>
      <c r="C910" s="228"/>
      <c r="D910" s="229"/>
      <c r="E910" s="229"/>
      <c r="F910" s="229"/>
      <c r="G910" s="229"/>
      <c r="H910" s="229"/>
      <c r="I910" s="222"/>
      <c r="J910" s="222"/>
      <c r="K910" s="222"/>
    </row>
    <row r="911" spans="2:11">
      <c r="B911" s="228"/>
      <c r="C911" s="228"/>
      <c r="D911" s="229"/>
      <c r="E911" s="229"/>
      <c r="F911" s="229"/>
      <c r="G911" s="229"/>
      <c r="H911" s="229"/>
      <c r="I911" s="222"/>
      <c r="J911" s="222"/>
      <c r="K911" s="222"/>
    </row>
    <row r="912" spans="2:11">
      <c r="B912" s="228"/>
      <c r="C912" s="228"/>
      <c r="D912" s="229"/>
      <c r="E912" s="229"/>
      <c r="F912" s="229"/>
      <c r="G912" s="229"/>
      <c r="H912" s="229"/>
      <c r="I912" s="222"/>
      <c r="J912" s="222"/>
      <c r="K912" s="222"/>
    </row>
    <row r="913" spans="2:11">
      <c r="B913" s="228"/>
      <c r="C913" s="228"/>
      <c r="D913" s="229"/>
      <c r="E913" s="229"/>
      <c r="F913" s="229"/>
      <c r="G913" s="229"/>
      <c r="H913" s="229"/>
      <c r="I913" s="222"/>
      <c r="J913" s="222"/>
      <c r="K913" s="222"/>
    </row>
    <row r="914" spans="2:11">
      <c r="B914" s="228"/>
      <c r="C914" s="228"/>
      <c r="D914" s="229"/>
      <c r="E914" s="229"/>
      <c r="F914" s="229"/>
      <c r="G914" s="229"/>
      <c r="H914" s="229"/>
      <c r="I914" s="222"/>
      <c r="J914" s="222"/>
      <c r="K914" s="222"/>
    </row>
    <row r="915" spans="2:11">
      <c r="B915" s="228"/>
      <c r="C915" s="228"/>
      <c r="D915" s="229"/>
      <c r="E915" s="229"/>
      <c r="F915" s="229"/>
      <c r="G915" s="229"/>
      <c r="H915" s="229"/>
      <c r="I915" s="222"/>
      <c r="J915" s="222"/>
      <c r="K915" s="222"/>
    </row>
    <row r="916" spans="2:11">
      <c r="B916" s="228"/>
      <c r="C916" s="228"/>
      <c r="D916" s="229"/>
      <c r="E916" s="229"/>
      <c r="F916" s="229"/>
      <c r="G916" s="229"/>
      <c r="H916" s="229"/>
      <c r="I916" s="222"/>
      <c r="J916" s="222"/>
      <c r="K916" s="222"/>
    </row>
    <row r="917" spans="2:11">
      <c r="B917" s="228"/>
      <c r="C917" s="228"/>
      <c r="D917" s="229"/>
      <c r="E917" s="229"/>
      <c r="F917" s="229"/>
      <c r="G917" s="229"/>
      <c r="H917" s="229"/>
      <c r="I917" s="222"/>
      <c r="J917" s="222"/>
      <c r="K917" s="222"/>
    </row>
    <row r="918" spans="2:11">
      <c r="B918" s="228"/>
      <c r="C918" s="228"/>
      <c r="D918" s="229"/>
      <c r="E918" s="229"/>
      <c r="F918" s="229"/>
      <c r="G918" s="229"/>
      <c r="H918" s="229"/>
      <c r="I918" s="222"/>
      <c r="J918" s="222"/>
      <c r="K918" s="222"/>
    </row>
    <row r="919" spans="2:11">
      <c r="B919" s="228"/>
      <c r="C919" s="228"/>
      <c r="D919" s="229"/>
      <c r="E919" s="229"/>
      <c r="F919" s="229"/>
      <c r="G919" s="229"/>
      <c r="H919" s="229"/>
      <c r="I919" s="222"/>
      <c r="J919" s="222"/>
      <c r="K919" s="222"/>
    </row>
    <row r="920" spans="2:11">
      <c r="B920" s="228"/>
      <c r="C920" s="228"/>
      <c r="D920" s="229"/>
      <c r="E920" s="229"/>
      <c r="F920" s="229"/>
      <c r="G920" s="229"/>
      <c r="H920" s="229"/>
      <c r="I920" s="222"/>
      <c r="J920" s="222"/>
      <c r="K920" s="222"/>
    </row>
    <row r="921" spans="2:11">
      <c r="B921" s="228"/>
      <c r="C921" s="228"/>
      <c r="D921" s="229"/>
      <c r="E921" s="229"/>
      <c r="F921" s="229"/>
      <c r="G921" s="229"/>
      <c r="H921" s="229"/>
      <c r="I921" s="222"/>
      <c r="J921" s="222"/>
      <c r="K921" s="222"/>
    </row>
    <row r="922" spans="2:11">
      <c r="B922" s="228"/>
      <c r="C922" s="228"/>
      <c r="D922" s="229"/>
      <c r="E922" s="229"/>
      <c r="F922" s="229"/>
      <c r="G922" s="229"/>
      <c r="H922" s="229"/>
      <c r="I922" s="222"/>
      <c r="J922" s="222"/>
      <c r="K922" s="222"/>
    </row>
    <row r="923" spans="2:11">
      <c r="B923" s="228"/>
      <c r="C923" s="228"/>
      <c r="D923" s="229"/>
      <c r="E923" s="229"/>
      <c r="F923" s="229"/>
      <c r="G923" s="229"/>
      <c r="H923" s="229"/>
      <c r="I923" s="222"/>
      <c r="J923" s="222"/>
      <c r="K923" s="222"/>
    </row>
    <row r="924" spans="2:11">
      <c r="B924" s="228"/>
      <c r="C924" s="228"/>
      <c r="D924" s="229"/>
      <c r="E924" s="229"/>
      <c r="F924" s="229"/>
      <c r="G924" s="229"/>
      <c r="H924" s="229"/>
      <c r="I924" s="222"/>
      <c r="J924" s="222"/>
      <c r="K924" s="222"/>
    </row>
    <row r="925" spans="2:11">
      <c r="B925" s="228"/>
      <c r="C925" s="228"/>
      <c r="D925" s="229"/>
      <c r="E925" s="229"/>
      <c r="F925" s="229"/>
      <c r="G925" s="229"/>
      <c r="H925" s="229"/>
      <c r="I925" s="222"/>
      <c r="J925" s="222"/>
      <c r="K925" s="222"/>
    </row>
    <row r="926" spans="2:11">
      <c r="B926" s="228"/>
      <c r="C926" s="228"/>
      <c r="D926" s="229"/>
      <c r="E926" s="229"/>
      <c r="F926" s="229"/>
      <c r="G926" s="229"/>
      <c r="H926" s="229"/>
      <c r="I926" s="222"/>
      <c r="J926" s="222"/>
      <c r="K926" s="222"/>
    </row>
    <row r="927" spans="2:11">
      <c r="B927" s="228"/>
      <c r="C927" s="228"/>
      <c r="D927" s="229"/>
      <c r="E927" s="229"/>
      <c r="F927" s="229"/>
      <c r="G927" s="229"/>
      <c r="H927" s="229"/>
      <c r="I927" s="222"/>
      <c r="J927" s="222"/>
      <c r="K927" s="222"/>
    </row>
    <row r="928" spans="2:11">
      <c r="B928" s="228"/>
      <c r="C928" s="228"/>
      <c r="D928" s="229"/>
      <c r="E928" s="229"/>
      <c r="F928" s="229"/>
      <c r="G928" s="229"/>
      <c r="H928" s="229"/>
      <c r="I928" s="222"/>
      <c r="J928" s="222"/>
      <c r="K928" s="222"/>
    </row>
    <row r="929" spans="2:11">
      <c r="B929" s="228"/>
      <c r="C929" s="228"/>
      <c r="D929" s="229"/>
      <c r="E929" s="229"/>
      <c r="F929" s="229"/>
      <c r="G929" s="229"/>
      <c r="H929" s="229"/>
      <c r="I929" s="222"/>
      <c r="J929" s="222"/>
      <c r="K929" s="222"/>
    </row>
    <row r="930" spans="2:11">
      <c r="B930" s="228"/>
      <c r="C930" s="228"/>
      <c r="D930" s="229"/>
      <c r="E930" s="229"/>
      <c r="F930" s="229"/>
      <c r="G930" s="229"/>
      <c r="H930" s="229"/>
      <c r="I930" s="222"/>
      <c r="J930" s="222"/>
      <c r="K930" s="222"/>
    </row>
    <row r="931" spans="2:11">
      <c r="B931" s="228"/>
      <c r="C931" s="228"/>
      <c r="D931" s="229"/>
      <c r="E931" s="229"/>
      <c r="F931" s="229"/>
      <c r="G931" s="229"/>
      <c r="H931" s="229"/>
      <c r="I931" s="222"/>
      <c r="J931" s="222"/>
      <c r="K931" s="222"/>
    </row>
    <row r="932" spans="2:11">
      <c r="B932" s="228"/>
      <c r="C932" s="228"/>
      <c r="D932" s="229"/>
      <c r="E932" s="229"/>
      <c r="F932" s="229"/>
      <c r="G932" s="229"/>
      <c r="H932" s="229"/>
      <c r="I932" s="222"/>
      <c r="J932" s="222"/>
      <c r="K932" s="222"/>
    </row>
    <row r="933" spans="2:11">
      <c r="B933" s="228"/>
      <c r="C933" s="228"/>
      <c r="D933" s="229"/>
      <c r="E933" s="229"/>
      <c r="F933" s="229"/>
      <c r="G933" s="229"/>
      <c r="H933" s="229"/>
      <c r="I933" s="222"/>
      <c r="J933" s="222"/>
      <c r="K933" s="222"/>
    </row>
    <row r="934" spans="2:11">
      <c r="B934" s="228"/>
      <c r="C934" s="228"/>
      <c r="D934" s="229"/>
      <c r="E934" s="229"/>
      <c r="F934" s="229"/>
      <c r="G934" s="229"/>
      <c r="H934" s="229"/>
      <c r="I934" s="222"/>
      <c r="J934" s="222"/>
      <c r="K934" s="222"/>
    </row>
    <row r="935" spans="2:11">
      <c r="B935" s="228"/>
      <c r="C935" s="228"/>
      <c r="D935" s="229"/>
      <c r="E935" s="229"/>
      <c r="F935" s="229"/>
      <c r="G935" s="229"/>
      <c r="H935" s="229"/>
      <c r="I935" s="222"/>
      <c r="J935" s="222"/>
      <c r="K935" s="222"/>
    </row>
    <row r="936" spans="2:11">
      <c r="B936" s="228"/>
      <c r="C936" s="228"/>
      <c r="D936" s="229"/>
      <c r="E936" s="229"/>
      <c r="F936" s="229"/>
      <c r="G936" s="229"/>
      <c r="H936" s="229"/>
      <c r="I936" s="222"/>
      <c r="J936" s="222"/>
      <c r="K936" s="222"/>
    </row>
    <row r="937" spans="2:11">
      <c r="B937" s="228"/>
      <c r="C937" s="228"/>
      <c r="D937" s="229"/>
      <c r="E937" s="229"/>
      <c r="F937" s="229"/>
      <c r="G937" s="229"/>
      <c r="H937" s="229"/>
      <c r="I937" s="222"/>
      <c r="J937" s="222"/>
      <c r="K937" s="222"/>
    </row>
    <row r="938" spans="2:11">
      <c r="B938" s="228"/>
      <c r="C938" s="228"/>
      <c r="D938" s="229"/>
      <c r="E938" s="229"/>
      <c r="F938" s="229"/>
      <c r="G938" s="229"/>
      <c r="H938" s="229"/>
      <c r="I938" s="222"/>
      <c r="J938" s="222"/>
      <c r="K938" s="222"/>
    </row>
    <row r="939" spans="2:11">
      <c r="B939" s="228"/>
      <c r="C939" s="228"/>
      <c r="D939" s="229"/>
      <c r="E939" s="229"/>
      <c r="F939" s="229"/>
      <c r="G939" s="229"/>
      <c r="H939" s="229"/>
      <c r="I939" s="222"/>
      <c r="J939" s="222"/>
      <c r="K939" s="222"/>
    </row>
    <row r="940" spans="2:11">
      <c r="B940" s="228"/>
      <c r="C940" s="228"/>
      <c r="D940" s="229"/>
      <c r="E940" s="229"/>
      <c r="F940" s="229"/>
      <c r="G940" s="229"/>
      <c r="H940" s="229"/>
      <c r="I940" s="222"/>
      <c r="J940" s="222"/>
      <c r="K940" s="222"/>
    </row>
    <row r="941" spans="2:11">
      <c r="B941" s="228"/>
      <c r="C941" s="228"/>
      <c r="D941" s="229"/>
      <c r="E941" s="229"/>
      <c r="F941" s="229"/>
      <c r="G941" s="229"/>
      <c r="H941" s="229"/>
      <c r="I941" s="222"/>
      <c r="J941" s="222"/>
      <c r="K941" s="222"/>
    </row>
    <row r="942" spans="2:11">
      <c r="B942" s="228"/>
      <c r="C942" s="228"/>
      <c r="D942" s="229"/>
      <c r="E942" s="229"/>
      <c r="F942" s="229"/>
      <c r="G942" s="229"/>
      <c r="H942" s="229"/>
      <c r="I942" s="222"/>
      <c r="J942" s="222"/>
      <c r="K942" s="222"/>
    </row>
    <row r="943" spans="2:11">
      <c r="B943" s="228"/>
      <c r="C943" s="228"/>
      <c r="D943" s="229"/>
      <c r="E943" s="229"/>
      <c r="F943" s="229"/>
      <c r="G943" s="229"/>
      <c r="H943" s="229"/>
      <c r="I943" s="222"/>
      <c r="J943" s="222"/>
      <c r="K943" s="222"/>
    </row>
    <row r="944" spans="2:11">
      <c r="B944" s="228"/>
      <c r="C944" s="228"/>
      <c r="D944" s="229"/>
      <c r="E944" s="229"/>
      <c r="F944" s="229"/>
      <c r="G944" s="229"/>
      <c r="H944" s="229"/>
      <c r="I944" s="222"/>
      <c r="J944" s="222"/>
      <c r="K944" s="222"/>
    </row>
    <row r="945" spans="2:11">
      <c r="B945" s="228"/>
      <c r="C945" s="228"/>
      <c r="D945" s="229"/>
      <c r="E945" s="229"/>
      <c r="F945" s="229"/>
      <c r="G945" s="229"/>
      <c r="H945" s="229"/>
      <c r="I945" s="222"/>
      <c r="J945" s="222"/>
      <c r="K945" s="222"/>
    </row>
    <row r="946" spans="2:11">
      <c r="B946" s="228"/>
      <c r="C946" s="228"/>
      <c r="D946" s="229"/>
      <c r="E946" s="229"/>
      <c r="F946" s="229"/>
      <c r="G946" s="229"/>
      <c r="H946" s="229"/>
      <c r="I946" s="222"/>
      <c r="J946" s="222"/>
      <c r="K946" s="222"/>
    </row>
    <row r="947" spans="2:11">
      <c r="B947" s="228"/>
      <c r="C947" s="228"/>
      <c r="D947" s="229"/>
      <c r="E947" s="229"/>
      <c r="F947" s="229"/>
      <c r="G947" s="229"/>
      <c r="H947" s="229"/>
      <c r="I947" s="222"/>
      <c r="J947" s="222"/>
      <c r="K947" s="222"/>
    </row>
    <row r="948" spans="2:11">
      <c r="B948" s="228"/>
      <c r="C948" s="228"/>
      <c r="D948" s="229"/>
      <c r="E948" s="229"/>
      <c r="F948" s="229"/>
      <c r="G948" s="229"/>
      <c r="H948" s="229"/>
      <c r="I948" s="222"/>
      <c r="J948" s="222"/>
      <c r="K948" s="222"/>
    </row>
    <row r="949" spans="2:11">
      <c r="B949" s="228"/>
      <c r="C949" s="228"/>
      <c r="D949" s="229"/>
      <c r="E949" s="229"/>
      <c r="F949" s="229"/>
      <c r="G949" s="229"/>
      <c r="H949" s="229"/>
      <c r="I949" s="222"/>
      <c r="J949" s="222"/>
      <c r="K949" s="222"/>
    </row>
    <row r="950" spans="2:11">
      <c r="B950" s="228"/>
      <c r="C950" s="228"/>
      <c r="D950" s="229"/>
      <c r="E950" s="229"/>
      <c r="F950" s="229"/>
      <c r="G950" s="229"/>
      <c r="H950" s="229"/>
      <c r="I950" s="222"/>
      <c r="J950" s="222"/>
      <c r="K950" s="222"/>
    </row>
    <row r="951" spans="2:11">
      <c r="B951" s="228"/>
      <c r="C951" s="228"/>
      <c r="D951" s="229"/>
      <c r="E951" s="229"/>
      <c r="F951" s="229"/>
      <c r="G951" s="229"/>
      <c r="H951" s="229"/>
      <c r="I951" s="222"/>
      <c r="J951" s="222"/>
      <c r="K951" s="222"/>
    </row>
    <row r="952" spans="2:11">
      <c r="B952" s="228"/>
      <c r="C952" s="228"/>
      <c r="D952" s="229"/>
      <c r="E952" s="229"/>
      <c r="F952" s="229"/>
      <c r="G952" s="229"/>
      <c r="H952" s="229"/>
      <c r="I952" s="222"/>
      <c r="J952" s="222"/>
      <c r="K952" s="222"/>
    </row>
    <row r="953" spans="2:11">
      <c r="B953" s="228"/>
      <c r="C953" s="228"/>
      <c r="D953" s="229"/>
      <c r="E953" s="229"/>
      <c r="F953" s="229"/>
      <c r="G953" s="229"/>
      <c r="H953" s="229"/>
      <c r="I953" s="222"/>
      <c r="J953" s="222"/>
      <c r="K953" s="222"/>
    </row>
    <row r="954" spans="2:11">
      <c r="B954" s="228"/>
      <c r="C954" s="228"/>
      <c r="D954" s="229"/>
      <c r="E954" s="229"/>
      <c r="F954" s="229"/>
      <c r="G954" s="229"/>
      <c r="H954" s="229"/>
      <c r="I954" s="222"/>
      <c r="J954" s="222"/>
      <c r="K954" s="222"/>
    </row>
    <row r="955" spans="2:11">
      <c r="B955" s="228"/>
      <c r="C955" s="228"/>
      <c r="D955" s="229"/>
      <c r="E955" s="229"/>
      <c r="F955" s="229"/>
      <c r="G955" s="229"/>
      <c r="H955" s="229"/>
      <c r="I955" s="222"/>
      <c r="J955" s="222"/>
      <c r="K955" s="222"/>
    </row>
    <row r="956" spans="2:11">
      <c r="B956" s="228"/>
      <c r="C956" s="228"/>
      <c r="D956" s="229"/>
      <c r="E956" s="229"/>
      <c r="F956" s="229"/>
      <c r="G956" s="229"/>
      <c r="H956" s="229"/>
      <c r="I956" s="222"/>
      <c r="J956" s="222"/>
      <c r="K956" s="222"/>
    </row>
    <row r="957" spans="2:11">
      <c r="B957" s="228"/>
      <c r="C957" s="228"/>
      <c r="D957" s="229"/>
      <c r="E957" s="229"/>
      <c r="F957" s="229"/>
      <c r="G957" s="229"/>
      <c r="H957" s="229"/>
      <c r="I957" s="222"/>
      <c r="J957" s="222"/>
      <c r="K957" s="222"/>
    </row>
    <row r="958" spans="2:11">
      <c r="B958" s="228"/>
      <c r="C958" s="228"/>
      <c r="D958" s="229"/>
      <c r="E958" s="229"/>
      <c r="F958" s="229"/>
      <c r="G958" s="229"/>
      <c r="H958" s="229"/>
      <c r="I958" s="222"/>
      <c r="J958" s="222"/>
      <c r="K958" s="222"/>
    </row>
    <row r="959" spans="2:11">
      <c r="B959" s="228"/>
      <c r="C959" s="228"/>
      <c r="D959" s="229"/>
      <c r="E959" s="229"/>
      <c r="F959" s="229"/>
      <c r="G959" s="229"/>
      <c r="H959" s="229"/>
      <c r="I959" s="222"/>
      <c r="J959" s="222"/>
      <c r="K959" s="222"/>
    </row>
    <row r="960" spans="2:11">
      <c r="B960" s="228"/>
      <c r="C960" s="228"/>
      <c r="D960" s="229"/>
      <c r="E960" s="229"/>
      <c r="F960" s="229"/>
      <c r="G960" s="229"/>
      <c r="H960" s="229"/>
      <c r="I960" s="222"/>
      <c r="J960" s="222"/>
      <c r="K960" s="222"/>
    </row>
    <row r="961" spans="2:11">
      <c r="B961" s="228"/>
      <c r="C961" s="228"/>
      <c r="D961" s="229"/>
      <c r="E961" s="229"/>
      <c r="F961" s="229"/>
      <c r="G961" s="229"/>
      <c r="H961" s="229"/>
      <c r="I961" s="222"/>
      <c r="J961" s="222"/>
      <c r="K961" s="222"/>
    </row>
    <row r="962" spans="2:11">
      <c r="B962" s="228"/>
      <c r="C962" s="228"/>
      <c r="D962" s="229"/>
      <c r="E962" s="229"/>
      <c r="F962" s="229"/>
      <c r="G962" s="229"/>
      <c r="H962" s="229"/>
      <c r="I962" s="222"/>
      <c r="J962" s="222"/>
      <c r="K962" s="222"/>
    </row>
    <row r="963" spans="2:11">
      <c r="B963" s="228"/>
      <c r="C963" s="228"/>
      <c r="D963" s="229"/>
      <c r="E963" s="229"/>
      <c r="F963" s="229"/>
      <c r="G963" s="229"/>
      <c r="H963" s="229"/>
      <c r="I963" s="222"/>
      <c r="J963" s="222"/>
      <c r="K963" s="222"/>
    </row>
    <row r="964" spans="2:11">
      <c r="B964" s="228"/>
      <c r="C964" s="228"/>
      <c r="D964" s="229"/>
      <c r="E964" s="229"/>
      <c r="F964" s="229"/>
      <c r="G964" s="229"/>
      <c r="H964" s="229"/>
      <c r="I964" s="222"/>
      <c r="J964" s="222"/>
      <c r="K964" s="222"/>
    </row>
    <row r="965" spans="2:11">
      <c r="B965" s="228"/>
      <c r="C965" s="228"/>
      <c r="D965" s="229"/>
      <c r="E965" s="229"/>
      <c r="F965" s="229"/>
      <c r="G965" s="229"/>
      <c r="H965" s="229"/>
      <c r="I965" s="222"/>
      <c r="J965" s="222"/>
      <c r="K965" s="222"/>
    </row>
    <row r="966" spans="2:11">
      <c r="B966" s="228"/>
      <c r="C966" s="228"/>
      <c r="D966" s="229"/>
      <c r="E966" s="229"/>
      <c r="F966" s="229"/>
      <c r="G966" s="229"/>
      <c r="H966" s="229"/>
      <c r="I966" s="222"/>
      <c r="J966" s="222"/>
      <c r="K966" s="222"/>
    </row>
    <row r="967" spans="2:11">
      <c r="B967" s="228"/>
      <c r="C967" s="228"/>
      <c r="D967" s="229"/>
      <c r="E967" s="229"/>
      <c r="F967" s="229"/>
      <c r="G967" s="229"/>
      <c r="H967" s="229"/>
      <c r="I967" s="222"/>
      <c r="J967" s="222"/>
      <c r="K967" s="222"/>
    </row>
    <row r="968" spans="2:11">
      <c r="B968" s="228"/>
      <c r="C968" s="228"/>
      <c r="D968" s="229"/>
      <c r="E968" s="229"/>
      <c r="F968" s="229"/>
      <c r="G968" s="229"/>
      <c r="H968" s="229"/>
      <c r="I968" s="222"/>
      <c r="J968" s="222"/>
      <c r="K968" s="222"/>
    </row>
    <row r="969" spans="2:11">
      <c r="B969" s="228"/>
      <c r="C969" s="228"/>
      <c r="D969" s="229"/>
      <c r="E969" s="229"/>
      <c r="F969" s="229"/>
      <c r="G969" s="229"/>
      <c r="H969" s="229"/>
      <c r="I969" s="222"/>
      <c r="J969" s="222"/>
      <c r="K969" s="222"/>
    </row>
    <row r="970" spans="2:11">
      <c r="B970" s="228"/>
      <c r="C970" s="228"/>
      <c r="D970" s="229"/>
      <c r="E970" s="229"/>
      <c r="F970" s="229"/>
      <c r="G970" s="229"/>
      <c r="H970" s="229"/>
      <c r="I970" s="222"/>
      <c r="J970" s="222"/>
      <c r="K970" s="222"/>
    </row>
    <row r="971" spans="2:11">
      <c r="B971" s="228"/>
      <c r="C971" s="228"/>
      <c r="D971" s="229"/>
      <c r="E971" s="229"/>
      <c r="F971" s="229"/>
      <c r="G971" s="229"/>
      <c r="H971" s="229"/>
      <c r="I971" s="222"/>
      <c r="J971" s="222"/>
      <c r="K971" s="222"/>
    </row>
    <row r="972" spans="2:11">
      <c r="B972" s="228"/>
      <c r="C972" s="228"/>
      <c r="D972" s="229"/>
      <c r="E972" s="229"/>
      <c r="F972" s="229"/>
      <c r="G972" s="229"/>
      <c r="H972" s="229"/>
      <c r="I972" s="222"/>
      <c r="J972" s="222"/>
      <c r="K972" s="222"/>
    </row>
    <row r="973" spans="2:11">
      <c r="B973" s="228"/>
      <c r="C973" s="228"/>
      <c r="D973" s="229"/>
      <c r="E973" s="229"/>
      <c r="F973" s="229"/>
      <c r="G973" s="229"/>
      <c r="H973" s="229"/>
      <c r="I973" s="222"/>
      <c r="J973" s="222"/>
      <c r="K973" s="222"/>
    </row>
    <row r="974" spans="2:11">
      <c r="B974" s="228"/>
      <c r="C974" s="228"/>
      <c r="D974" s="229"/>
      <c r="E974" s="229"/>
      <c r="F974" s="229"/>
      <c r="G974" s="229"/>
      <c r="H974" s="229"/>
      <c r="I974" s="222"/>
      <c r="J974" s="222"/>
      <c r="K974" s="222"/>
    </row>
    <row r="975" spans="2:11">
      <c r="B975" s="228"/>
      <c r="C975" s="228"/>
      <c r="D975" s="229"/>
      <c r="E975" s="229"/>
      <c r="F975" s="229"/>
      <c r="G975" s="229"/>
      <c r="H975" s="229"/>
      <c r="I975" s="222"/>
      <c r="J975" s="222"/>
      <c r="K975" s="222"/>
    </row>
    <row r="976" spans="2:11">
      <c r="B976" s="228"/>
      <c r="C976" s="228"/>
      <c r="D976" s="229"/>
      <c r="E976" s="229"/>
      <c r="F976" s="229"/>
      <c r="G976" s="229"/>
      <c r="H976" s="229"/>
      <c r="I976" s="222"/>
      <c r="J976" s="222"/>
      <c r="K976" s="222"/>
    </row>
    <row r="977" spans="2:11">
      <c r="B977" s="228"/>
      <c r="C977" s="228"/>
      <c r="D977" s="229"/>
      <c r="E977" s="229"/>
      <c r="F977" s="229"/>
      <c r="G977" s="229"/>
      <c r="H977" s="229"/>
      <c r="I977" s="222"/>
      <c r="J977" s="222"/>
      <c r="K977" s="222"/>
    </row>
    <row r="978" spans="2:11">
      <c r="B978" s="228"/>
      <c r="C978" s="228"/>
      <c r="D978" s="229"/>
      <c r="E978" s="229"/>
      <c r="F978" s="229"/>
      <c r="G978" s="229"/>
      <c r="H978" s="229"/>
      <c r="I978" s="222"/>
      <c r="J978" s="222"/>
      <c r="K978" s="222"/>
    </row>
    <row r="979" spans="2:11">
      <c r="B979" s="228"/>
      <c r="C979" s="228"/>
      <c r="D979" s="229"/>
      <c r="E979" s="229"/>
      <c r="F979" s="229"/>
      <c r="G979" s="229"/>
      <c r="H979" s="229"/>
      <c r="I979" s="222"/>
      <c r="J979" s="222"/>
      <c r="K979" s="222"/>
    </row>
    <row r="980" spans="2:11">
      <c r="B980" s="228"/>
      <c r="C980" s="228"/>
      <c r="D980" s="229"/>
      <c r="E980" s="229"/>
      <c r="F980" s="229"/>
      <c r="G980" s="229"/>
      <c r="H980" s="229"/>
      <c r="I980" s="222"/>
      <c r="J980" s="222"/>
      <c r="K980" s="222"/>
    </row>
    <row r="981" spans="2:11">
      <c r="B981" s="228"/>
      <c r="C981" s="228"/>
      <c r="D981" s="229"/>
      <c r="E981" s="229"/>
      <c r="F981" s="229"/>
      <c r="G981" s="229"/>
      <c r="H981" s="229"/>
      <c r="I981" s="222"/>
      <c r="J981" s="222"/>
      <c r="K981" s="222"/>
    </row>
    <row r="982" spans="2:11">
      <c r="B982" s="228"/>
      <c r="C982" s="228"/>
      <c r="D982" s="229"/>
      <c r="E982" s="229"/>
      <c r="F982" s="229"/>
      <c r="G982" s="229"/>
      <c r="H982" s="229"/>
      <c r="I982" s="222"/>
      <c r="J982" s="222"/>
      <c r="K982" s="222"/>
    </row>
    <row r="983" spans="2:11">
      <c r="B983" s="228"/>
      <c r="C983" s="228"/>
      <c r="D983" s="229"/>
      <c r="E983" s="229"/>
      <c r="F983" s="229"/>
      <c r="G983" s="229"/>
      <c r="H983" s="229"/>
      <c r="I983" s="222"/>
      <c r="J983" s="222"/>
      <c r="K983" s="222"/>
    </row>
    <row r="984" spans="2:11">
      <c r="B984" s="228"/>
      <c r="C984" s="228"/>
      <c r="D984" s="229"/>
      <c r="E984" s="229"/>
      <c r="F984" s="229"/>
      <c r="G984" s="229"/>
      <c r="H984" s="229"/>
      <c r="I984" s="222"/>
      <c r="J984" s="222"/>
      <c r="K984" s="222"/>
    </row>
    <row r="985" spans="2:11">
      <c r="B985" s="228"/>
      <c r="C985" s="228"/>
      <c r="D985" s="229"/>
      <c r="E985" s="229"/>
      <c r="F985" s="229"/>
      <c r="G985" s="229"/>
      <c r="H985" s="229"/>
      <c r="I985" s="222"/>
      <c r="J985" s="222"/>
      <c r="K985" s="222"/>
    </row>
    <row r="986" spans="2:11">
      <c r="B986" s="228"/>
      <c r="C986" s="228"/>
      <c r="D986" s="229"/>
      <c r="E986" s="229"/>
      <c r="F986" s="229"/>
      <c r="G986" s="229"/>
      <c r="H986" s="229"/>
      <c r="I986" s="222"/>
      <c r="J986" s="222"/>
      <c r="K986" s="222"/>
    </row>
    <row r="987" spans="2:11">
      <c r="B987" s="228"/>
      <c r="C987" s="228"/>
      <c r="D987" s="229"/>
      <c r="E987" s="229"/>
      <c r="F987" s="229"/>
      <c r="G987" s="229"/>
      <c r="H987" s="229"/>
      <c r="I987" s="222"/>
      <c r="J987" s="222"/>
      <c r="K987" s="222"/>
    </row>
    <row r="988" spans="2:11">
      <c r="B988" s="228"/>
      <c r="C988" s="228"/>
      <c r="D988" s="229"/>
      <c r="E988" s="229"/>
      <c r="F988" s="229"/>
      <c r="G988" s="229"/>
      <c r="H988" s="229"/>
      <c r="I988" s="222"/>
      <c r="J988" s="222"/>
      <c r="K988" s="222"/>
    </row>
    <row r="989" spans="2:11">
      <c r="B989" s="228"/>
      <c r="C989" s="228"/>
      <c r="D989" s="229"/>
      <c r="E989" s="229"/>
      <c r="F989" s="229"/>
      <c r="G989" s="229"/>
      <c r="H989" s="229"/>
      <c r="I989" s="222"/>
      <c r="J989" s="222"/>
      <c r="K989" s="222"/>
    </row>
    <row r="990" spans="2:11">
      <c r="B990" s="228"/>
      <c r="C990" s="228"/>
      <c r="D990" s="229"/>
      <c r="E990" s="229"/>
      <c r="F990" s="229"/>
      <c r="G990" s="229"/>
      <c r="H990" s="229"/>
      <c r="I990" s="222"/>
      <c r="J990" s="222"/>
      <c r="K990" s="222"/>
    </row>
    <row r="991" spans="2:11">
      <c r="B991" s="228"/>
      <c r="C991" s="228"/>
      <c r="D991" s="229"/>
      <c r="E991" s="229"/>
      <c r="F991" s="229"/>
      <c r="G991" s="229"/>
      <c r="H991" s="229"/>
      <c r="I991" s="222"/>
      <c r="J991" s="222"/>
      <c r="K991" s="222"/>
    </row>
    <row r="992" spans="2:11">
      <c r="B992" s="228"/>
      <c r="C992" s="228"/>
      <c r="D992" s="229"/>
      <c r="E992" s="229"/>
      <c r="F992" s="229"/>
      <c r="G992" s="229"/>
      <c r="H992" s="229"/>
      <c r="I992" s="222"/>
      <c r="J992" s="222"/>
      <c r="K992" s="222"/>
    </row>
    <row r="993" spans="2:11">
      <c r="B993" s="228"/>
      <c r="C993" s="228"/>
      <c r="D993" s="229"/>
      <c r="E993" s="229"/>
      <c r="F993" s="229"/>
      <c r="G993" s="229"/>
      <c r="H993" s="229"/>
      <c r="I993" s="222"/>
      <c r="J993" s="222"/>
      <c r="K993" s="222"/>
    </row>
    <row r="994" spans="2:11">
      <c r="B994" s="228"/>
      <c r="C994" s="228"/>
      <c r="D994" s="229"/>
      <c r="E994" s="229"/>
      <c r="F994" s="229"/>
      <c r="G994" s="229"/>
      <c r="H994" s="229"/>
      <c r="I994" s="222"/>
      <c r="J994" s="222"/>
      <c r="K994" s="222"/>
    </row>
    <row r="995" spans="2:11">
      <c r="B995" s="228"/>
      <c r="C995" s="228"/>
      <c r="D995" s="229"/>
      <c r="E995" s="229"/>
      <c r="F995" s="229"/>
      <c r="G995" s="229"/>
      <c r="H995" s="229"/>
      <c r="I995" s="222"/>
      <c r="J995" s="222"/>
      <c r="K995" s="222"/>
    </row>
    <row r="996" spans="2:11">
      <c r="B996" s="228"/>
      <c r="C996" s="228"/>
      <c r="D996" s="229"/>
      <c r="E996" s="229"/>
      <c r="F996" s="229"/>
      <c r="G996" s="229"/>
      <c r="H996" s="229"/>
      <c r="I996" s="222"/>
      <c r="J996" s="222"/>
      <c r="K996" s="222"/>
    </row>
    <row r="997" spans="2:11">
      <c r="B997" s="228"/>
      <c r="C997" s="228"/>
      <c r="D997" s="229"/>
      <c r="E997" s="229"/>
      <c r="F997" s="229"/>
      <c r="G997" s="229"/>
      <c r="H997" s="229"/>
      <c r="I997" s="222"/>
      <c r="J997" s="222"/>
      <c r="K997" s="222"/>
    </row>
    <row r="998" spans="2:11">
      <c r="B998" s="228"/>
      <c r="C998" s="228"/>
      <c r="D998" s="229"/>
      <c r="E998" s="229"/>
      <c r="F998" s="229"/>
      <c r="G998" s="229"/>
      <c r="H998" s="229"/>
      <c r="I998" s="222"/>
      <c r="J998" s="222"/>
      <c r="K998" s="222"/>
    </row>
    <row r="999" spans="2:11">
      <c r="B999" s="228"/>
      <c r="C999" s="228"/>
      <c r="D999" s="229"/>
      <c r="E999" s="229"/>
      <c r="F999" s="229"/>
      <c r="G999" s="229"/>
      <c r="H999" s="229"/>
      <c r="I999" s="222"/>
      <c r="J999" s="222"/>
      <c r="K999" s="222"/>
    </row>
    <row r="1000" spans="2:11">
      <c r="B1000" s="228"/>
      <c r="C1000" s="228"/>
      <c r="D1000" s="229"/>
      <c r="E1000" s="229"/>
      <c r="F1000" s="229"/>
      <c r="G1000" s="229"/>
      <c r="H1000" s="229"/>
      <c r="I1000" s="222"/>
      <c r="J1000" s="222"/>
      <c r="K1000" s="222"/>
    </row>
    <row r="1001" spans="2:11">
      <c r="B1001" s="228"/>
      <c r="C1001" s="228"/>
      <c r="D1001" s="229"/>
      <c r="E1001" s="229"/>
      <c r="F1001" s="229"/>
      <c r="G1001" s="229"/>
      <c r="H1001" s="229"/>
      <c r="I1001" s="222"/>
      <c r="J1001" s="222"/>
      <c r="K1001" s="222"/>
    </row>
    <row r="1002" spans="2:11">
      <c r="B1002" s="228"/>
      <c r="C1002" s="228"/>
      <c r="D1002" s="229"/>
      <c r="E1002" s="229"/>
      <c r="F1002" s="229"/>
      <c r="G1002" s="229"/>
      <c r="H1002" s="229"/>
      <c r="I1002" s="222"/>
      <c r="J1002" s="222"/>
      <c r="K1002" s="222"/>
    </row>
    <row r="1003" spans="2:11">
      <c r="B1003" s="228"/>
      <c r="C1003" s="228"/>
      <c r="D1003" s="229"/>
      <c r="E1003" s="229"/>
      <c r="F1003" s="229"/>
      <c r="G1003" s="229"/>
      <c r="H1003" s="229"/>
      <c r="I1003" s="222"/>
      <c r="J1003" s="222"/>
      <c r="K1003" s="222"/>
    </row>
    <row r="1004" spans="2:11">
      <c r="B1004" s="228"/>
      <c r="C1004" s="228"/>
      <c r="D1004" s="229"/>
      <c r="E1004" s="229"/>
      <c r="F1004" s="229"/>
      <c r="G1004" s="229"/>
      <c r="H1004" s="229"/>
      <c r="I1004" s="222"/>
      <c r="J1004" s="222"/>
      <c r="K1004" s="222"/>
    </row>
    <row r="1005" spans="2:11">
      <c r="B1005" s="228"/>
      <c r="C1005" s="228"/>
      <c r="D1005" s="229"/>
      <c r="E1005" s="229"/>
      <c r="F1005" s="229"/>
      <c r="G1005" s="229"/>
      <c r="H1005" s="229"/>
      <c r="I1005" s="222"/>
      <c r="J1005" s="222"/>
      <c r="K1005" s="222"/>
    </row>
    <row r="1006" spans="2:11">
      <c r="B1006" s="228"/>
      <c r="C1006" s="228"/>
      <c r="D1006" s="229"/>
      <c r="E1006" s="229"/>
      <c r="F1006" s="229"/>
      <c r="G1006" s="229"/>
      <c r="H1006" s="229"/>
      <c r="I1006" s="222"/>
      <c r="J1006" s="222"/>
      <c r="K1006" s="222"/>
    </row>
    <row r="1007" spans="2:11">
      <c r="B1007" s="228"/>
      <c r="C1007" s="228"/>
      <c r="D1007" s="229"/>
      <c r="E1007" s="229"/>
      <c r="F1007" s="229"/>
      <c r="G1007" s="229"/>
      <c r="H1007" s="229"/>
      <c r="I1007" s="222"/>
      <c r="J1007" s="222"/>
      <c r="K1007" s="222"/>
    </row>
    <row r="1008" spans="2:11">
      <c r="B1008" s="228"/>
      <c r="C1008" s="228"/>
      <c r="D1008" s="229"/>
      <c r="E1008" s="229"/>
      <c r="F1008" s="229"/>
      <c r="G1008" s="229"/>
      <c r="H1008" s="229"/>
      <c r="I1008" s="222"/>
      <c r="J1008" s="222"/>
      <c r="K1008" s="222"/>
    </row>
    <row r="1009" spans="2:11">
      <c r="B1009" s="228"/>
      <c r="C1009" s="228"/>
      <c r="D1009" s="229"/>
      <c r="E1009" s="229"/>
      <c r="F1009" s="229"/>
      <c r="G1009" s="229"/>
      <c r="H1009" s="229"/>
      <c r="I1009" s="222"/>
      <c r="J1009" s="222"/>
      <c r="K1009" s="222"/>
    </row>
    <row r="1010" spans="2:11">
      <c r="B1010" s="228"/>
      <c r="C1010" s="228"/>
      <c r="D1010" s="229"/>
      <c r="E1010" s="229"/>
      <c r="F1010" s="229"/>
      <c r="G1010" s="229"/>
      <c r="H1010" s="229"/>
      <c r="I1010" s="222"/>
      <c r="J1010" s="222"/>
      <c r="K1010" s="222"/>
    </row>
    <row r="1011" spans="2:11">
      <c r="B1011" s="228"/>
      <c r="C1011" s="228"/>
      <c r="D1011" s="229"/>
      <c r="E1011" s="229"/>
      <c r="F1011" s="229"/>
      <c r="G1011" s="229"/>
      <c r="H1011" s="229"/>
      <c r="I1011" s="222"/>
      <c r="J1011" s="222"/>
      <c r="K1011" s="222"/>
    </row>
    <row r="1012" spans="2:11">
      <c r="B1012" s="228"/>
      <c r="C1012" s="228"/>
      <c r="D1012" s="229"/>
      <c r="E1012" s="229"/>
      <c r="F1012" s="229"/>
      <c r="G1012" s="229"/>
      <c r="H1012" s="229"/>
      <c r="I1012" s="222"/>
      <c r="J1012" s="222"/>
      <c r="K1012" s="222"/>
    </row>
    <row r="1013" spans="2:11">
      <c r="B1013" s="228"/>
      <c r="C1013" s="228"/>
      <c r="D1013" s="229"/>
      <c r="E1013" s="229"/>
      <c r="F1013" s="229"/>
      <c r="G1013" s="229"/>
      <c r="H1013" s="229"/>
      <c r="I1013" s="222"/>
      <c r="J1013" s="222"/>
      <c r="K1013" s="222"/>
    </row>
    <row r="1014" spans="2:11">
      <c r="B1014" s="228"/>
      <c r="C1014" s="228"/>
      <c r="D1014" s="229"/>
      <c r="E1014" s="229"/>
      <c r="F1014" s="229"/>
      <c r="G1014" s="229"/>
      <c r="H1014" s="229"/>
      <c r="I1014" s="222"/>
      <c r="J1014" s="222"/>
      <c r="K1014" s="222"/>
    </row>
    <row r="1015" spans="2:11">
      <c r="B1015" s="228"/>
      <c r="C1015" s="228"/>
      <c r="D1015" s="229"/>
      <c r="E1015" s="229"/>
      <c r="F1015" s="229"/>
      <c r="G1015" s="229"/>
      <c r="H1015" s="229"/>
      <c r="I1015" s="222"/>
      <c r="J1015" s="222"/>
      <c r="K1015" s="222"/>
    </row>
    <row r="1016" spans="2:11">
      <c r="B1016" s="228"/>
      <c r="C1016" s="228"/>
      <c r="D1016" s="229"/>
      <c r="E1016" s="229"/>
      <c r="F1016" s="229"/>
      <c r="G1016" s="229"/>
      <c r="H1016" s="229"/>
      <c r="I1016" s="222"/>
      <c r="J1016" s="222"/>
      <c r="K1016" s="222"/>
    </row>
    <row r="1017" spans="2:11">
      <c r="B1017" s="228"/>
      <c r="C1017" s="228"/>
      <c r="D1017" s="229"/>
      <c r="E1017" s="229"/>
      <c r="F1017" s="229"/>
      <c r="G1017" s="229"/>
      <c r="H1017" s="229"/>
      <c r="I1017" s="222"/>
      <c r="J1017" s="222"/>
      <c r="K1017" s="222"/>
    </row>
    <row r="1018" spans="2:11">
      <c r="B1018" s="228"/>
      <c r="C1018" s="228"/>
      <c r="D1018" s="229"/>
      <c r="E1018" s="229"/>
      <c r="F1018" s="229"/>
      <c r="G1018" s="229"/>
      <c r="H1018" s="229"/>
      <c r="I1018" s="222"/>
      <c r="J1018" s="222"/>
      <c r="K1018" s="222"/>
    </row>
    <row r="1019" spans="2:11">
      <c r="B1019" s="228"/>
      <c r="C1019" s="228"/>
      <c r="D1019" s="229"/>
      <c r="E1019" s="229"/>
      <c r="F1019" s="229"/>
      <c r="G1019" s="229"/>
      <c r="H1019" s="229"/>
      <c r="I1019" s="222"/>
      <c r="J1019" s="222"/>
      <c r="K1019" s="222"/>
    </row>
    <row r="1020" spans="2:11">
      <c r="B1020" s="228"/>
      <c r="C1020" s="228"/>
      <c r="D1020" s="229"/>
      <c r="E1020" s="229"/>
      <c r="F1020" s="229"/>
      <c r="G1020" s="229"/>
      <c r="H1020" s="229"/>
      <c r="I1020" s="222"/>
      <c r="J1020" s="222"/>
      <c r="K1020" s="222"/>
    </row>
    <row r="1021" spans="2:11">
      <c r="B1021" s="228"/>
      <c r="C1021" s="228"/>
      <c r="D1021" s="229"/>
      <c r="E1021" s="229"/>
      <c r="F1021" s="229"/>
      <c r="G1021" s="229"/>
      <c r="H1021" s="229"/>
      <c r="I1021" s="222"/>
      <c r="J1021" s="222"/>
      <c r="K1021" s="222"/>
    </row>
    <row r="1022" spans="2:11">
      <c r="B1022" s="228"/>
      <c r="C1022" s="228"/>
      <c r="D1022" s="229"/>
      <c r="E1022" s="229"/>
      <c r="F1022" s="229"/>
      <c r="G1022" s="229"/>
      <c r="H1022" s="229"/>
      <c r="I1022" s="222"/>
      <c r="J1022" s="222"/>
      <c r="K1022" s="222"/>
    </row>
    <row r="1023" spans="2:11">
      <c r="B1023" s="228"/>
      <c r="C1023" s="228"/>
      <c r="D1023" s="229"/>
      <c r="E1023" s="229"/>
      <c r="F1023" s="229"/>
      <c r="G1023" s="229"/>
      <c r="H1023" s="229"/>
      <c r="I1023" s="222"/>
      <c r="J1023" s="222"/>
      <c r="K1023" s="222"/>
    </row>
    <row r="1024" spans="2:11">
      <c r="B1024" s="228"/>
      <c r="C1024" s="228"/>
      <c r="D1024" s="229"/>
      <c r="E1024" s="229"/>
      <c r="F1024" s="229"/>
      <c r="G1024" s="229"/>
      <c r="H1024" s="229"/>
      <c r="I1024" s="222"/>
      <c r="J1024" s="222"/>
      <c r="K1024" s="222"/>
    </row>
    <row r="1025" spans="2:11">
      <c r="B1025" s="228"/>
      <c r="C1025" s="228"/>
      <c r="D1025" s="229"/>
      <c r="E1025" s="229"/>
      <c r="F1025" s="229"/>
      <c r="G1025" s="229"/>
      <c r="H1025" s="229"/>
      <c r="I1025" s="222"/>
      <c r="J1025" s="222"/>
      <c r="K1025" s="222"/>
    </row>
    <row r="1026" spans="2:11">
      <c r="B1026" s="228"/>
      <c r="C1026" s="228"/>
      <c r="D1026" s="229"/>
      <c r="E1026" s="229"/>
      <c r="F1026" s="229"/>
      <c r="G1026" s="229"/>
      <c r="H1026" s="229"/>
      <c r="I1026" s="222"/>
      <c r="J1026" s="222"/>
      <c r="K1026" s="222"/>
    </row>
    <row r="1027" spans="2:11">
      <c r="B1027" s="228"/>
      <c r="C1027" s="228"/>
      <c r="D1027" s="229"/>
      <c r="E1027" s="229"/>
      <c r="F1027" s="229"/>
      <c r="G1027" s="229"/>
      <c r="H1027" s="229"/>
      <c r="I1027" s="222"/>
      <c r="J1027" s="222"/>
      <c r="K1027" s="222"/>
    </row>
    <row r="1028" spans="2:11">
      <c r="B1028" s="228"/>
      <c r="C1028" s="228"/>
      <c r="D1028" s="229"/>
      <c r="E1028" s="229"/>
      <c r="F1028" s="229"/>
      <c r="G1028" s="229"/>
      <c r="H1028" s="229"/>
      <c r="I1028" s="222"/>
      <c r="J1028" s="222"/>
      <c r="K1028" s="222"/>
    </row>
    <row r="1029" spans="2:11">
      <c r="B1029" s="228"/>
      <c r="C1029" s="228"/>
      <c r="D1029" s="229"/>
      <c r="E1029" s="229"/>
      <c r="F1029" s="229"/>
      <c r="G1029" s="229"/>
      <c r="H1029" s="229"/>
      <c r="I1029" s="222"/>
      <c r="J1029" s="222"/>
      <c r="K1029" s="222"/>
    </row>
    <row r="1030" spans="2:11">
      <c r="B1030" s="228"/>
      <c r="C1030" s="228"/>
      <c r="D1030" s="229"/>
      <c r="E1030" s="229"/>
      <c r="F1030" s="229"/>
      <c r="G1030" s="229"/>
      <c r="H1030" s="229"/>
      <c r="I1030" s="222"/>
      <c r="J1030" s="222"/>
      <c r="K1030" s="222"/>
    </row>
    <row r="1031" spans="2:11">
      <c r="B1031" s="228"/>
      <c r="C1031" s="228"/>
      <c r="D1031" s="229"/>
      <c r="E1031" s="229"/>
      <c r="F1031" s="229"/>
      <c r="G1031" s="229"/>
      <c r="H1031" s="229"/>
      <c r="I1031" s="222"/>
      <c r="J1031" s="222"/>
      <c r="K1031" s="222"/>
    </row>
    <row r="1032" spans="2:11">
      <c r="B1032" s="228"/>
      <c r="C1032" s="228"/>
      <c r="D1032" s="229"/>
      <c r="E1032" s="229"/>
      <c r="F1032" s="229"/>
      <c r="G1032" s="229"/>
      <c r="H1032" s="229"/>
      <c r="I1032" s="222"/>
      <c r="J1032" s="222"/>
      <c r="K1032" s="222"/>
    </row>
    <row r="1033" spans="2:11">
      <c r="B1033" s="228"/>
      <c r="C1033" s="228"/>
      <c r="D1033" s="229"/>
      <c r="E1033" s="229"/>
      <c r="F1033" s="229"/>
      <c r="G1033" s="229"/>
      <c r="H1033" s="229"/>
      <c r="I1033" s="222"/>
      <c r="J1033" s="222"/>
      <c r="K1033" s="222"/>
    </row>
    <row r="1034" spans="2:11">
      <c r="B1034" s="228"/>
      <c r="C1034" s="228"/>
      <c r="D1034" s="229"/>
      <c r="E1034" s="229"/>
      <c r="F1034" s="229"/>
      <c r="G1034" s="229"/>
      <c r="H1034" s="229"/>
      <c r="I1034" s="222"/>
      <c r="J1034" s="222"/>
      <c r="K1034" s="222"/>
    </row>
    <row r="1035" spans="2:11">
      <c r="B1035" s="228"/>
      <c r="C1035" s="228"/>
      <c r="D1035" s="229"/>
      <c r="E1035" s="229"/>
      <c r="F1035" s="229"/>
      <c r="G1035" s="229"/>
      <c r="H1035" s="229"/>
      <c r="I1035" s="222"/>
      <c r="J1035" s="222"/>
      <c r="K1035" s="222"/>
    </row>
    <row r="1036" spans="2:11">
      <c r="B1036" s="228"/>
      <c r="C1036" s="228"/>
      <c r="D1036" s="229"/>
      <c r="E1036" s="229"/>
      <c r="F1036" s="229"/>
      <c r="G1036" s="229"/>
      <c r="H1036" s="229"/>
      <c r="I1036" s="222"/>
      <c r="J1036" s="222"/>
      <c r="K1036" s="222"/>
    </row>
    <row r="1037" spans="2:11">
      <c r="B1037" s="228"/>
      <c r="C1037" s="228"/>
      <c r="D1037" s="229"/>
      <c r="E1037" s="229"/>
      <c r="F1037" s="229"/>
      <c r="G1037" s="229"/>
      <c r="H1037" s="229"/>
      <c r="I1037" s="222"/>
      <c r="J1037" s="222"/>
      <c r="K1037" s="222"/>
    </row>
    <row r="1038" spans="2:11">
      <c r="B1038" s="228"/>
      <c r="C1038" s="228"/>
      <c r="D1038" s="229"/>
      <c r="E1038" s="229"/>
      <c r="F1038" s="229"/>
      <c r="G1038" s="229"/>
      <c r="H1038" s="229"/>
      <c r="I1038" s="222"/>
      <c r="J1038" s="222"/>
      <c r="K1038" s="222"/>
    </row>
    <row r="1039" spans="2:11">
      <c r="B1039" s="228"/>
      <c r="C1039" s="228"/>
      <c r="D1039" s="229"/>
      <c r="E1039" s="229"/>
      <c r="F1039" s="229"/>
      <c r="G1039" s="229"/>
      <c r="H1039" s="229"/>
      <c r="I1039" s="222"/>
      <c r="J1039" s="222"/>
      <c r="K1039" s="222"/>
    </row>
    <row r="1040" spans="2:11">
      <c r="B1040" s="228"/>
      <c r="C1040" s="228"/>
      <c r="D1040" s="229"/>
      <c r="E1040" s="229"/>
      <c r="F1040" s="229"/>
      <c r="G1040" s="229"/>
      <c r="H1040" s="229"/>
      <c r="I1040" s="222"/>
      <c r="J1040" s="222"/>
      <c r="K1040" s="222"/>
    </row>
    <row r="1041" spans="2:11">
      <c r="B1041" s="228"/>
      <c r="C1041" s="228"/>
      <c r="D1041" s="229"/>
      <c r="E1041" s="229"/>
      <c r="F1041" s="229"/>
      <c r="G1041" s="229"/>
      <c r="H1041" s="229"/>
      <c r="I1041" s="222"/>
      <c r="J1041" s="222"/>
      <c r="K1041" s="222"/>
    </row>
    <row r="1042" spans="2:11">
      <c r="B1042" s="228"/>
      <c r="C1042" s="228"/>
      <c r="D1042" s="229"/>
      <c r="E1042" s="229"/>
      <c r="F1042" s="229"/>
      <c r="G1042" s="229"/>
      <c r="H1042" s="229"/>
      <c r="I1042" s="222"/>
      <c r="J1042" s="222"/>
      <c r="K1042" s="222"/>
    </row>
    <row r="1043" spans="2:11">
      <c r="B1043" s="228"/>
      <c r="C1043" s="228"/>
      <c r="D1043" s="229"/>
      <c r="E1043" s="229"/>
      <c r="F1043" s="229"/>
      <c r="G1043" s="229"/>
      <c r="H1043" s="229"/>
      <c r="I1043" s="222"/>
      <c r="J1043" s="222"/>
      <c r="K1043" s="222"/>
    </row>
    <row r="1044" spans="2:11">
      <c r="B1044" s="228"/>
      <c r="C1044" s="228"/>
      <c r="D1044" s="229"/>
      <c r="E1044" s="229"/>
      <c r="F1044" s="229"/>
      <c r="G1044" s="229"/>
      <c r="H1044" s="229"/>
      <c r="I1044" s="222"/>
      <c r="J1044" s="222"/>
      <c r="K1044" s="222"/>
    </row>
    <row r="1045" spans="2:11">
      <c r="B1045" s="228"/>
      <c r="C1045" s="228"/>
      <c r="D1045" s="229"/>
      <c r="E1045" s="229"/>
      <c r="F1045" s="229"/>
      <c r="G1045" s="229"/>
      <c r="H1045" s="229"/>
      <c r="I1045" s="222"/>
      <c r="J1045" s="222"/>
      <c r="K1045" s="222"/>
    </row>
    <row r="1046" spans="2:11">
      <c r="B1046" s="228"/>
      <c r="C1046" s="228"/>
      <c r="D1046" s="229"/>
      <c r="E1046" s="229"/>
      <c r="F1046" s="229"/>
      <c r="G1046" s="229"/>
      <c r="H1046" s="229"/>
      <c r="I1046" s="222"/>
      <c r="J1046" s="222"/>
      <c r="K1046" s="222"/>
    </row>
    <row r="1047" spans="2:11">
      <c r="B1047" s="228"/>
      <c r="C1047" s="228"/>
      <c r="D1047" s="229"/>
      <c r="E1047" s="229"/>
      <c r="F1047" s="229"/>
      <c r="G1047" s="229"/>
      <c r="H1047" s="229"/>
      <c r="I1047" s="222"/>
      <c r="J1047" s="222"/>
      <c r="K1047" s="222"/>
    </row>
    <row r="1048" spans="2:11">
      <c r="B1048" s="228"/>
      <c r="C1048" s="228"/>
      <c r="D1048" s="229"/>
      <c r="E1048" s="229"/>
      <c r="F1048" s="229"/>
      <c r="G1048" s="229"/>
      <c r="H1048" s="229"/>
      <c r="I1048" s="222"/>
      <c r="J1048" s="222"/>
      <c r="K1048" s="222"/>
    </row>
    <row r="1049" spans="2:11">
      <c r="B1049" s="228"/>
      <c r="C1049" s="228"/>
      <c r="D1049" s="229"/>
      <c r="E1049" s="229"/>
      <c r="F1049" s="229"/>
      <c r="G1049" s="229"/>
      <c r="H1049" s="229"/>
      <c r="I1049" s="222"/>
      <c r="J1049" s="222"/>
      <c r="K1049" s="222"/>
    </row>
    <row r="1050" spans="2:11">
      <c r="B1050" s="228"/>
      <c r="C1050" s="228"/>
      <c r="D1050" s="229"/>
      <c r="E1050" s="229"/>
      <c r="F1050" s="229"/>
      <c r="G1050" s="229"/>
      <c r="H1050" s="229"/>
      <c r="I1050" s="222"/>
      <c r="J1050" s="222"/>
      <c r="K1050" s="222"/>
    </row>
    <row r="1051" spans="2:11">
      <c r="B1051" s="228"/>
      <c r="C1051" s="228"/>
      <c r="D1051" s="229"/>
      <c r="E1051" s="229"/>
      <c r="F1051" s="229"/>
      <c r="G1051" s="229"/>
      <c r="H1051" s="229"/>
      <c r="I1051" s="222"/>
      <c r="J1051" s="222"/>
      <c r="K1051" s="222"/>
    </row>
    <row r="1052" spans="2:11">
      <c r="B1052" s="228"/>
      <c r="C1052" s="228"/>
      <c r="D1052" s="229"/>
      <c r="E1052" s="229"/>
      <c r="F1052" s="229"/>
      <c r="G1052" s="229"/>
      <c r="H1052" s="229"/>
      <c r="I1052" s="222"/>
      <c r="J1052" s="222"/>
      <c r="K1052" s="222"/>
    </row>
    <row r="1053" spans="2:11">
      <c r="B1053" s="228"/>
      <c r="C1053" s="228"/>
      <c r="D1053" s="229"/>
      <c r="E1053" s="229"/>
      <c r="F1053" s="229"/>
      <c r="G1053" s="229"/>
      <c r="H1053" s="229"/>
      <c r="I1053" s="222"/>
      <c r="J1053" s="222"/>
      <c r="K1053" s="222"/>
    </row>
    <row r="1054" spans="2:11">
      <c r="B1054" s="228"/>
      <c r="C1054" s="228"/>
      <c r="D1054" s="229"/>
      <c r="E1054" s="229"/>
      <c r="F1054" s="229"/>
      <c r="G1054" s="229"/>
      <c r="H1054" s="229"/>
      <c r="I1054" s="222"/>
      <c r="J1054" s="222"/>
      <c r="K1054" s="222"/>
    </row>
    <row r="1055" spans="2:11">
      <c r="B1055" s="228"/>
      <c r="C1055" s="228"/>
      <c r="D1055" s="229"/>
      <c r="E1055" s="229"/>
      <c r="F1055" s="229"/>
      <c r="G1055" s="229"/>
      <c r="H1055" s="229"/>
      <c r="I1055" s="222"/>
      <c r="J1055" s="222"/>
      <c r="K1055" s="222"/>
    </row>
    <row r="1056" spans="2:11">
      <c r="B1056" s="228"/>
      <c r="C1056" s="228"/>
      <c r="D1056" s="229"/>
      <c r="E1056" s="229"/>
      <c r="F1056" s="229"/>
      <c r="G1056" s="229"/>
      <c r="H1056" s="229"/>
      <c r="I1056" s="222"/>
      <c r="J1056" s="222"/>
      <c r="K1056" s="222"/>
    </row>
    <row r="1057" spans="2:11">
      <c r="B1057" s="228"/>
      <c r="C1057" s="228"/>
      <c r="D1057" s="229"/>
      <c r="E1057" s="229"/>
      <c r="F1057" s="229"/>
      <c r="G1057" s="229"/>
      <c r="H1057" s="229"/>
      <c r="I1057" s="222"/>
      <c r="J1057" s="222"/>
      <c r="K1057" s="222"/>
    </row>
    <row r="1058" spans="2:11">
      <c r="B1058" s="228"/>
      <c r="C1058" s="228"/>
      <c r="D1058" s="229"/>
      <c r="E1058" s="229"/>
      <c r="F1058" s="229"/>
      <c r="G1058" s="229"/>
      <c r="H1058" s="229"/>
      <c r="I1058" s="222"/>
      <c r="J1058" s="222"/>
      <c r="K1058" s="222"/>
    </row>
    <row r="1059" spans="2:11">
      <c r="B1059" s="228"/>
      <c r="C1059" s="228"/>
      <c r="D1059" s="229"/>
      <c r="E1059" s="229"/>
      <c r="F1059" s="229"/>
      <c r="G1059" s="229"/>
      <c r="H1059" s="229"/>
      <c r="I1059" s="222"/>
      <c r="J1059" s="222"/>
      <c r="K1059" s="222"/>
    </row>
    <row r="1060" spans="2:11">
      <c r="B1060" s="228"/>
      <c r="C1060" s="228"/>
      <c r="D1060" s="229"/>
      <c r="E1060" s="229"/>
      <c r="F1060" s="229"/>
      <c r="G1060" s="229"/>
      <c r="H1060" s="229"/>
      <c r="I1060" s="222"/>
      <c r="J1060" s="222"/>
      <c r="K1060" s="222"/>
    </row>
    <row r="1061" spans="2:11">
      <c r="B1061" s="228"/>
      <c r="C1061" s="228"/>
      <c r="D1061" s="229"/>
      <c r="E1061" s="229"/>
      <c r="F1061" s="229"/>
      <c r="G1061" s="229"/>
      <c r="H1061" s="229"/>
      <c r="I1061" s="222"/>
      <c r="J1061" s="222"/>
      <c r="K1061" s="222"/>
    </row>
    <row r="1062" spans="2:11">
      <c r="B1062" s="228"/>
      <c r="C1062" s="228"/>
      <c r="D1062" s="229"/>
      <c r="E1062" s="229"/>
      <c r="F1062" s="229"/>
      <c r="G1062" s="229"/>
      <c r="H1062" s="229"/>
      <c r="I1062" s="222"/>
      <c r="J1062" s="222"/>
      <c r="K1062" s="222"/>
    </row>
    <row r="1063" spans="2:11">
      <c r="B1063" s="228"/>
      <c r="C1063" s="228"/>
      <c r="D1063" s="229"/>
      <c r="E1063" s="229"/>
      <c r="F1063" s="229"/>
      <c r="G1063" s="229"/>
      <c r="H1063" s="229"/>
      <c r="I1063" s="222"/>
      <c r="J1063" s="222"/>
      <c r="K1063" s="222"/>
    </row>
    <row r="1064" spans="2:11">
      <c r="B1064" s="228"/>
      <c r="C1064" s="228"/>
      <c r="D1064" s="229"/>
      <c r="E1064" s="229"/>
      <c r="F1064" s="229"/>
      <c r="G1064" s="229"/>
      <c r="H1064" s="229"/>
      <c r="I1064" s="222"/>
      <c r="J1064" s="222"/>
      <c r="K1064" s="222"/>
    </row>
    <row r="1065" spans="2:11">
      <c r="B1065" s="228"/>
      <c r="C1065" s="228"/>
      <c r="D1065" s="229"/>
      <c r="E1065" s="229"/>
      <c r="F1065" s="229"/>
      <c r="G1065" s="229"/>
      <c r="H1065" s="229"/>
      <c r="I1065" s="222"/>
      <c r="J1065" s="222"/>
      <c r="K1065" s="222"/>
    </row>
    <row r="1066" spans="2:11">
      <c r="B1066" s="228"/>
      <c r="C1066" s="228"/>
      <c r="D1066" s="229"/>
      <c r="E1066" s="229"/>
      <c r="F1066" s="229"/>
      <c r="G1066" s="229"/>
      <c r="H1066" s="229"/>
      <c r="I1066" s="222"/>
      <c r="J1066" s="222"/>
      <c r="K1066" s="222"/>
    </row>
    <row r="1067" spans="2:11">
      <c r="B1067" s="228"/>
      <c r="C1067" s="228"/>
      <c r="D1067" s="229"/>
      <c r="E1067" s="229"/>
      <c r="F1067" s="229"/>
      <c r="G1067" s="229"/>
      <c r="H1067" s="229"/>
      <c r="I1067" s="222"/>
      <c r="J1067" s="222"/>
      <c r="K1067" s="222"/>
    </row>
    <row r="1068" spans="2:11">
      <c r="B1068" s="228"/>
      <c r="C1068" s="228"/>
      <c r="D1068" s="229"/>
      <c r="E1068" s="229"/>
      <c r="F1068" s="229"/>
      <c r="G1068" s="229"/>
      <c r="H1068" s="229"/>
      <c r="I1068" s="222"/>
      <c r="J1068" s="222"/>
      <c r="K1068" s="222"/>
    </row>
    <row r="1069" spans="2:11">
      <c r="B1069" s="228"/>
      <c r="C1069" s="228"/>
      <c r="D1069" s="229"/>
      <c r="E1069" s="229"/>
      <c r="F1069" s="229"/>
      <c r="G1069" s="229"/>
      <c r="H1069" s="229"/>
      <c r="I1069" s="222"/>
      <c r="J1069" s="222"/>
      <c r="K1069" s="222"/>
    </row>
    <row r="1070" spans="2:11">
      <c r="B1070" s="228"/>
      <c r="C1070" s="228"/>
      <c r="D1070" s="229"/>
      <c r="E1070" s="229"/>
      <c r="F1070" s="229"/>
      <c r="G1070" s="229"/>
      <c r="H1070" s="229"/>
      <c r="I1070" s="222"/>
      <c r="J1070" s="222"/>
      <c r="K1070" s="222"/>
    </row>
    <row r="1071" spans="2:11">
      <c r="B1071" s="228"/>
      <c r="C1071" s="228"/>
      <c r="D1071" s="229"/>
      <c r="E1071" s="229"/>
      <c r="F1071" s="229"/>
      <c r="G1071" s="229"/>
      <c r="H1071" s="229"/>
      <c r="I1071" s="222"/>
      <c r="J1071" s="222"/>
      <c r="K1071" s="222"/>
    </row>
    <row r="1072" spans="2:11">
      <c r="B1072" s="228"/>
      <c r="C1072" s="228"/>
      <c r="D1072" s="229"/>
      <c r="E1072" s="229"/>
      <c r="F1072" s="229"/>
      <c r="G1072" s="229"/>
      <c r="H1072" s="229"/>
      <c r="I1072" s="222"/>
      <c r="J1072" s="222"/>
      <c r="K1072" s="222"/>
    </row>
    <row r="1073" spans="2:11">
      <c r="B1073" s="228"/>
      <c r="C1073" s="228"/>
      <c r="D1073" s="229"/>
      <c r="E1073" s="229"/>
      <c r="F1073" s="229"/>
      <c r="G1073" s="229"/>
      <c r="H1073" s="229"/>
      <c r="I1073" s="222"/>
      <c r="J1073" s="222"/>
      <c r="K1073" s="222"/>
    </row>
    <row r="1074" spans="2:11">
      <c r="B1074" s="228"/>
      <c r="C1074" s="228"/>
      <c r="D1074" s="229"/>
      <c r="E1074" s="229"/>
      <c r="F1074" s="229"/>
      <c r="G1074" s="229"/>
      <c r="H1074" s="229"/>
      <c r="I1074" s="222"/>
      <c r="J1074" s="222"/>
      <c r="K1074" s="222"/>
    </row>
    <row r="1075" spans="2:11">
      <c r="B1075" s="228"/>
      <c r="C1075" s="228"/>
      <c r="D1075" s="229"/>
      <c r="E1075" s="229"/>
      <c r="F1075" s="229"/>
      <c r="G1075" s="229"/>
      <c r="H1075" s="229"/>
      <c r="I1075" s="222"/>
      <c r="J1075" s="222"/>
      <c r="K1075" s="222"/>
    </row>
    <row r="1076" spans="2:11">
      <c r="B1076" s="228"/>
      <c r="C1076" s="228"/>
      <c r="D1076" s="229"/>
      <c r="E1076" s="229"/>
      <c r="F1076" s="229"/>
      <c r="G1076" s="229"/>
      <c r="H1076" s="229"/>
      <c r="I1076" s="222"/>
      <c r="J1076" s="222"/>
      <c r="K1076" s="222"/>
    </row>
    <row r="1077" spans="2:11">
      <c r="B1077" s="228"/>
      <c r="C1077" s="228"/>
      <c r="D1077" s="229"/>
      <c r="E1077" s="229"/>
      <c r="F1077" s="229"/>
      <c r="G1077" s="229"/>
      <c r="H1077" s="229"/>
      <c r="I1077" s="222"/>
      <c r="J1077" s="222"/>
      <c r="K1077" s="222"/>
    </row>
    <row r="1078" spans="2:11">
      <c r="B1078" s="228"/>
      <c r="C1078" s="228"/>
      <c r="D1078" s="229"/>
      <c r="E1078" s="229"/>
      <c r="F1078" s="229"/>
      <c r="G1078" s="229"/>
      <c r="H1078" s="229"/>
      <c r="I1078" s="222"/>
      <c r="J1078" s="222"/>
      <c r="K1078" s="222"/>
    </row>
    <row r="1079" spans="2:11">
      <c r="B1079" s="228"/>
      <c r="C1079" s="228"/>
      <c r="D1079" s="229"/>
      <c r="E1079" s="229"/>
      <c r="F1079" s="229"/>
      <c r="G1079" s="229"/>
      <c r="H1079" s="229"/>
      <c r="I1079" s="222"/>
      <c r="J1079" s="222"/>
      <c r="K1079" s="222"/>
    </row>
    <row r="1080" spans="2:11">
      <c r="B1080" s="228"/>
      <c r="C1080" s="228"/>
      <c r="D1080" s="229"/>
      <c r="E1080" s="229"/>
      <c r="F1080" s="229"/>
      <c r="G1080" s="229"/>
      <c r="H1080" s="229"/>
      <c r="I1080" s="222"/>
      <c r="J1080" s="222"/>
      <c r="K1080" s="222"/>
    </row>
    <row r="1081" spans="2:11">
      <c r="B1081" s="228"/>
      <c r="C1081" s="228"/>
      <c r="D1081" s="229"/>
      <c r="E1081" s="229"/>
      <c r="F1081" s="229"/>
      <c r="G1081" s="229"/>
      <c r="H1081" s="229"/>
      <c r="I1081" s="222"/>
      <c r="J1081" s="222"/>
      <c r="K1081" s="222"/>
    </row>
    <row r="1082" spans="2:11">
      <c r="B1082" s="228"/>
      <c r="C1082" s="228"/>
      <c r="D1082" s="229"/>
      <c r="E1082" s="229"/>
      <c r="F1082" s="229"/>
      <c r="G1082" s="229"/>
      <c r="H1082" s="229"/>
      <c r="I1082" s="222"/>
      <c r="J1082" s="222"/>
      <c r="K1082" s="222"/>
    </row>
    <row r="1083" spans="2:11">
      <c r="B1083" s="228"/>
      <c r="C1083" s="228"/>
      <c r="D1083" s="229"/>
      <c r="E1083" s="229"/>
      <c r="F1083" s="229"/>
      <c r="G1083" s="229"/>
      <c r="H1083" s="229"/>
      <c r="I1083" s="222"/>
      <c r="J1083" s="222"/>
      <c r="K1083" s="222"/>
    </row>
    <row r="1084" spans="2:11">
      <c r="B1084" s="228"/>
      <c r="C1084" s="228"/>
      <c r="D1084" s="229"/>
      <c r="E1084" s="229"/>
      <c r="F1084" s="229"/>
      <c r="G1084" s="229"/>
      <c r="H1084" s="229"/>
      <c r="I1084" s="222"/>
      <c r="J1084" s="222"/>
      <c r="K1084" s="222"/>
    </row>
    <row r="1085" spans="2:11">
      <c r="B1085" s="228"/>
      <c r="C1085" s="228"/>
      <c r="D1085" s="229"/>
      <c r="E1085" s="229"/>
      <c r="F1085" s="229"/>
      <c r="G1085" s="229"/>
      <c r="H1085" s="229"/>
      <c r="I1085" s="222"/>
      <c r="J1085" s="222"/>
      <c r="K1085" s="222"/>
    </row>
    <row r="1086" spans="2:11">
      <c r="B1086" s="228"/>
      <c r="C1086" s="228"/>
      <c r="D1086" s="229"/>
      <c r="E1086" s="229"/>
      <c r="F1086" s="229"/>
      <c r="G1086" s="229"/>
      <c r="H1086" s="229"/>
      <c r="I1086" s="222"/>
      <c r="J1086" s="222"/>
      <c r="K1086" s="222"/>
    </row>
    <row r="1087" spans="2:11">
      <c r="B1087" s="228"/>
      <c r="C1087" s="228"/>
      <c r="D1087" s="229"/>
      <c r="E1087" s="229"/>
      <c r="F1087" s="229"/>
      <c r="G1087" s="229"/>
      <c r="H1087" s="229"/>
      <c r="I1087" s="222"/>
      <c r="J1087" s="222"/>
      <c r="K1087" s="222"/>
    </row>
    <row r="1088" spans="2:11">
      <c r="B1088" s="228"/>
      <c r="C1088" s="228"/>
      <c r="D1088" s="229"/>
      <c r="E1088" s="229"/>
      <c r="F1088" s="229"/>
      <c r="G1088" s="229"/>
      <c r="H1088" s="229"/>
      <c r="I1088" s="222"/>
      <c r="J1088" s="222"/>
      <c r="K1088" s="222"/>
    </row>
    <row r="1089" spans="2:11">
      <c r="B1089" s="228"/>
      <c r="C1089" s="228"/>
      <c r="D1089" s="229"/>
      <c r="E1089" s="229"/>
      <c r="F1089" s="229"/>
      <c r="G1089" s="229"/>
      <c r="H1089" s="229"/>
      <c r="I1089" s="222"/>
      <c r="J1089" s="222"/>
      <c r="K1089" s="222"/>
    </row>
    <row r="1090" spans="2:11">
      <c r="B1090" s="228"/>
      <c r="C1090" s="228"/>
      <c r="D1090" s="229"/>
      <c r="E1090" s="229"/>
      <c r="F1090" s="229"/>
      <c r="G1090" s="229"/>
      <c r="H1090" s="229"/>
      <c r="I1090" s="222"/>
      <c r="J1090" s="222"/>
      <c r="K1090" s="222"/>
    </row>
    <row r="1091" spans="2:11">
      <c r="B1091" s="228"/>
      <c r="C1091" s="228"/>
      <c r="D1091" s="229"/>
      <c r="E1091" s="229"/>
      <c r="F1091" s="229"/>
      <c r="G1091" s="229"/>
      <c r="H1091" s="229"/>
      <c r="I1091" s="222"/>
      <c r="J1091" s="222"/>
      <c r="K1091" s="222"/>
    </row>
    <row r="1092" spans="2:11">
      <c r="B1092" s="228"/>
      <c r="C1092" s="228"/>
      <c r="D1092" s="229"/>
      <c r="E1092" s="229"/>
      <c r="F1092" s="229"/>
      <c r="G1092" s="229"/>
      <c r="H1092" s="229"/>
      <c r="I1092" s="222"/>
      <c r="J1092" s="222"/>
      <c r="K1092" s="222"/>
    </row>
    <row r="1093" spans="2:11">
      <c r="B1093" s="228"/>
      <c r="C1093" s="228"/>
      <c r="D1093" s="229"/>
      <c r="E1093" s="229"/>
      <c r="F1093" s="229"/>
      <c r="G1093" s="229"/>
      <c r="H1093" s="229"/>
      <c r="I1093" s="222"/>
      <c r="J1093" s="222"/>
      <c r="K1093" s="222"/>
    </row>
    <row r="1094" spans="2:11">
      <c r="B1094" s="228"/>
      <c r="C1094" s="228"/>
      <c r="D1094" s="229"/>
      <c r="E1094" s="229"/>
      <c r="F1094" s="229"/>
      <c r="G1094" s="229"/>
      <c r="H1094" s="229"/>
      <c r="I1094" s="222"/>
      <c r="J1094" s="222"/>
      <c r="K1094" s="222"/>
    </row>
    <row r="1095" spans="2:11">
      <c r="B1095" s="228"/>
      <c r="C1095" s="228"/>
      <c r="D1095" s="229"/>
      <c r="E1095" s="229"/>
      <c r="F1095" s="229"/>
      <c r="G1095" s="229"/>
      <c r="H1095" s="229"/>
      <c r="I1095" s="222"/>
      <c r="J1095" s="222"/>
      <c r="K1095" s="222"/>
    </row>
    <row r="1096" spans="2:11">
      <c r="B1096" s="228"/>
      <c r="C1096" s="228"/>
      <c r="D1096" s="229"/>
      <c r="E1096" s="229"/>
      <c r="F1096" s="229"/>
      <c r="G1096" s="229"/>
      <c r="H1096" s="229"/>
      <c r="I1096" s="222"/>
      <c r="J1096" s="222"/>
      <c r="K1096" s="222"/>
    </row>
    <row r="1097" spans="2:11">
      <c r="B1097" s="228"/>
      <c r="C1097" s="228"/>
      <c r="D1097" s="229"/>
      <c r="E1097" s="229"/>
      <c r="F1097" s="229"/>
      <c r="G1097" s="229"/>
      <c r="H1097" s="229"/>
      <c r="I1097" s="222"/>
      <c r="J1097" s="222"/>
      <c r="K1097" s="222"/>
    </row>
    <row r="1098" spans="2:11">
      <c r="B1098" s="228"/>
      <c r="C1098" s="228"/>
      <c r="D1098" s="229"/>
      <c r="E1098" s="229"/>
      <c r="F1098" s="229"/>
      <c r="G1098" s="229"/>
      <c r="H1098" s="229"/>
      <c r="I1098" s="222"/>
      <c r="J1098" s="222"/>
      <c r="K1098" s="222"/>
    </row>
    <row r="1099" spans="2:11">
      <c r="B1099" s="228"/>
      <c r="C1099" s="228"/>
      <c r="D1099" s="229"/>
      <c r="E1099" s="229"/>
      <c r="F1099" s="229"/>
      <c r="G1099" s="229"/>
      <c r="H1099" s="229"/>
      <c r="I1099" s="222"/>
      <c r="J1099" s="222"/>
      <c r="K1099" s="222"/>
    </row>
    <row r="1100" spans="2:11">
      <c r="B1100" s="228"/>
      <c r="C1100" s="228"/>
      <c r="D1100" s="229"/>
      <c r="E1100" s="229"/>
      <c r="F1100" s="229"/>
      <c r="G1100" s="229"/>
      <c r="H1100" s="229"/>
      <c r="I1100" s="222"/>
      <c r="J1100" s="222"/>
      <c r="K1100" s="222"/>
    </row>
    <row r="1101" spans="2:11">
      <c r="B1101" s="228"/>
      <c r="C1101" s="228"/>
      <c r="D1101" s="229"/>
      <c r="E1101" s="229"/>
      <c r="F1101" s="229"/>
      <c r="G1101" s="229"/>
      <c r="H1101" s="229"/>
      <c r="I1101" s="222"/>
      <c r="J1101" s="222"/>
      <c r="K1101" s="222"/>
    </row>
    <row r="1102" spans="2:11">
      <c r="B1102" s="228"/>
      <c r="C1102" s="228"/>
      <c r="D1102" s="229"/>
      <c r="E1102" s="229"/>
      <c r="F1102" s="229"/>
      <c r="G1102" s="229"/>
      <c r="H1102" s="229"/>
      <c r="I1102" s="222"/>
      <c r="J1102" s="222"/>
      <c r="K1102" s="222"/>
    </row>
    <row r="1103" spans="2:11">
      <c r="B1103" s="228"/>
      <c r="C1103" s="228"/>
      <c r="D1103" s="229"/>
      <c r="E1103" s="229"/>
      <c r="F1103" s="229"/>
      <c r="G1103" s="229"/>
      <c r="H1103" s="229"/>
      <c r="I1103" s="222"/>
      <c r="J1103" s="222"/>
      <c r="K1103" s="222"/>
    </row>
    <row r="1104" spans="2:11">
      <c r="B1104" s="228"/>
      <c r="C1104" s="228"/>
      <c r="D1104" s="229"/>
      <c r="E1104" s="229"/>
      <c r="F1104" s="229"/>
      <c r="G1104" s="229"/>
      <c r="H1104" s="229"/>
      <c r="I1104" s="222"/>
      <c r="J1104" s="222"/>
      <c r="K1104" s="222"/>
    </row>
    <row r="1105" spans="2:11">
      <c r="B1105" s="228"/>
      <c r="C1105" s="228"/>
      <c r="D1105" s="229"/>
      <c r="E1105" s="229"/>
      <c r="F1105" s="229"/>
      <c r="G1105" s="229"/>
      <c r="H1105" s="229"/>
      <c r="I1105" s="222"/>
      <c r="J1105" s="222"/>
      <c r="K1105" s="222"/>
    </row>
    <row r="1106" spans="2:11">
      <c r="B1106" s="228"/>
      <c r="C1106" s="228"/>
      <c r="D1106" s="229"/>
      <c r="E1106" s="229"/>
      <c r="F1106" s="229"/>
      <c r="G1106" s="229"/>
      <c r="H1106" s="229"/>
      <c r="I1106" s="222"/>
      <c r="J1106" s="222"/>
      <c r="K1106" s="222"/>
    </row>
    <row r="1107" spans="2:11">
      <c r="B1107" s="228"/>
      <c r="C1107" s="228"/>
      <c r="D1107" s="229"/>
      <c r="E1107" s="229"/>
      <c r="F1107" s="229"/>
      <c r="G1107" s="229"/>
      <c r="H1107" s="229"/>
      <c r="I1107" s="222"/>
      <c r="J1107" s="222"/>
      <c r="K1107" s="222"/>
    </row>
    <row r="1108" spans="2:11">
      <c r="B1108" s="228"/>
      <c r="C1108" s="228"/>
      <c r="D1108" s="229"/>
      <c r="E1108" s="229"/>
      <c r="F1108" s="229"/>
      <c r="G1108" s="229"/>
      <c r="H1108" s="229"/>
      <c r="I1108" s="222"/>
      <c r="J1108" s="222"/>
      <c r="K1108" s="222"/>
    </row>
    <row r="1109" spans="2:11">
      <c r="B1109" s="228"/>
      <c r="C1109" s="228"/>
      <c r="D1109" s="229"/>
      <c r="E1109" s="229"/>
      <c r="F1109" s="229"/>
      <c r="G1109" s="229"/>
      <c r="H1109" s="229"/>
      <c r="I1109" s="222"/>
      <c r="J1109" s="222"/>
      <c r="K1109" s="222"/>
    </row>
    <row r="1110" spans="2:11">
      <c r="B1110" s="228"/>
      <c r="C1110" s="228"/>
      <c r="D1110" s="229"/>
      <c r="E1110" s="229"/>
      <c r="F1110" s="229"/>
      <c r="G1110" s="229"/>
      <c r="H1110" s="229"/>
      <c r="I1110" s="222"/>
      <c r="J1110" s="222"/>
      <c r="K1110" s="222"/>
    </row>
    <row r="1111" spans="2:11">
      <c r="B1111" s="228"/>
      <c r="C1111" s="228"/>
      <c r="D1111" s="229"/>
      <c r="E1111" s="229"/>
      <c r="F1111" s="229"/>
      <c r="G1111" s="229"/>
      <c r="H1111" s="229"/>
      <c r="I1111" s="222"/>
      <c r="J1111" s="222"/>
      <c r="K1111" s="222"/>
    </row>
    <row r="1112" spans="2:11">
      <c r="B1112" s="228"/>
      <c r="C1112" s="228"/>
      <c r="D1112" s="229"/>
      <c r="E1112" s="229"/>
      <c r="F1112" s="229"/>
      <c r="G1112" s="229"/>
      <c r="H1112" s="229"/>
      <c r="I1112" s="222"/>
      <c r="J1112" s="222"/>
      <c r="K1112" s="222"/>
    </row>
    <row r="1113" spans="2:11">
      <c r="B1113" s="228"/>
      <c r="C1113" s="228"/>
      <c r="D1113" s="229"/>
      <c r="E1113" s="229"/>
      <c r="F1113" s="229"/>
      <c r="G1113" s="229"/>
      <c r="H1113" s="229"/>
      <c r="I1113" s="222"/>
      <c r="J1113" s="222"/>
      <c r="K1113" s="222"/>
    </row>
    <row r="1114" spans="2:11">
      <c r="B1114" s="228"/>
      <c r="C1114" s="228"/>
      <c r="D1114" s="229"/>
      <c r="E1114" s="229"/>
      <c r="F1114" s="229"/>
      <c r="G1114" s="229"/>
      <c r="H1114" s="229"/>
      <c r="I1114" s="222"/>
      <c r="J1114" s="222"/>
      <c r="K1114" s="222"/>
    </row>
    <row r="1115" spans="2:11">
      <c r="B1115" s="228"/>
      <c r="C1115" s="228"/>
      <c r="D1115" s="229"/>
      <c r="E1115" s="229"/>
      <c r="F1115" s="229"/>
      <c r="G1115" s="229"/>
      <c r="H1115" s="229"/>
      <c r="I1115" s="222"/>
      <c r="J1115" s="222"/>
      <c r="K1115" s="222"/>
    </row>
    <row r="1116" spans="2:11">
      <c r="B1116" s="228"/>
      <c r="C1116" s="228"/>
      <c r="D1116" s="229"/>
      <c r="E1116" s="229"/>
      <c r="F1116" s="229"/>
      <c r="G1116" s="229"/>
      <c r="H1116" s="229"/>
      <c r="I1116" s="222"/>
      <c r="J1116" s="222"/>
      <c r="K1116" s="222"/>
    </row>
    <row r="1117" spans="2:11">
      <c r="B1117" s="228"/>
      <c r="C1117" s="228"/>
      <c r="D1117" s="229"/>
      <c r="E1117" s="229"/>
      <c r="F1117" s="229"/>
      <c r="G1117" s="229"/>
      <c r="H1117" s="229"/>
      <c r="I1117" s="222"/>
      <c r="J1117" s="222"/>
      <c r="K1117" s="222"/>
    </row>
    <row r="1118" spans="2:11">
      <c r="B1118" s="228"/>
      <c r="C1118" s="228"/>
      <c r="D1118" s="229"/>
      <c r="E1118" s="229"/>
      <c r="F1118" s="229"/>
      <c r="G1118" s="229"/>
      <c r="H1118" s="229"/>
      <c r="I1118" s="222"/>
      <c r="J1118" s="222"/>
      <c r="K1118" s="222"/>
    </row>
    <row r="1119" spans="2:11">
      <c r="B1119" s="228"/>
      <c r="C1119" s="228"/>
      <c r="D1119" s="229"/>
      <c r="E1119" s="229"/>
      <c r="F1119" s="229"/>
      <c r="G1119" s="229"/>
      <c r="H1119" s="229"/>
      <c r="I1119" s="222"/>
      <c r="J1119" s="222"/>
      <c r="K1119" s="222"/>
    </row>
    <row r="1120" spans="2:11">
      <c r="B1120" s="228"/>
      <c r="C1120" s="228"/>
      <c r="D1120" s="229"/>
      <c r="E1120" s="229"/>
      <c r="F1120" s="229"/>
      <c r="G1120" s="229"/>
      <c r="H1120" s="229"/>
      <c r="I1120" s="222"/>
      <c r="J1120" s="222"/>
      <c r="K1120" s="222"/>
    </row>
    <row r="1121" spans="2:11">
      <c r="B1121" s="228"/>
      <c r="C1121" s="228"/>
      <c r="D1121" s="229"/>
      <c r="E1121" s="229"/>
      <c r="F1121" s="229"/>
      <c r="G1121" s="229"/>
      <c r="H1121" s="229"/>
      <c r="I1121" s="222"/>
      <c r="J1121" s="222"/>
      <c r="K1121" s="222"/>
    </row>
    <row r="1122" spans="2:11">
      <c r="B1122" s="228"/>
      <c r="C1122" s="228"/>
      <c r="D1122" s="229"/>
      <c r="E1122" s="229"/>
      <c r="F1122" s="229"/>
      <c r="G1122" s="229"/>
      <c r="H1122" s="229"/>
      <c r="I1122" s="222"/>
      <c r="J1122" s="222"/>
      <c r="K1122" s="222"/>
    </row>
    <row r="1123" spans="2:11">
      <c r="B1123" s="228"/>
      <c r="C1123" s="228"/>
      <c r="D1123" s="229"/>
      <c r="E1123" s="229"/>
      <c r="F1123" s="229"/>
      <c r="G1123" s="229"/>
      <c r="H1123" s="229"/>
      <c r="I1123" s="222"/>
      <c r="J1123" s="222"/>
      <c r="K1123" s="222"/>
    </row>
    <row r="1124" spans="2:11">
      <c r="B1124" s="228"/>
      <c r="C1124" s="228"/>
      <c r="D1124" s="229"/>
      <c r="E1124" s="229"/>
      <c r="F1124" s="229"/>
      <c r="G1124" s="229"/>
      <c r="H1124" s="229"/>
      <c r="I1124" s="222"/>
      <c r="J1124" s="222"/>
      <c r="K1124" s="222"/>
    </row>
    <row r="1125" spans="2:11">
      <c r="B1125" s="228"/>
      <c r="C1125" s="228"/>
      <c r="D1125" s="229"/>
      <c r="E1125" s="229"/>
      <c r="F1125" s="229"/>
      <c r="G1125" s="229"/>
      <c r="H1125" s="229"/>
      <c r="I1125" s="222"/>
      <c r="J1125" s="222"/>
      <c r="K1125" s="222"/>
    </row>
    <row r="1126" spans="2:11">
      <c r="B1126" s="228"/>
      <c r="C1126" s="228"/>
      <c r="D1126" s="229"/>
      <c r="E1126" s="229"/>
      <c r="F1126" s="229"/>
      <c r="G1126" s="229"/>
      <c r="H1126" s="229"/>
      <c r="I1126" s="222"/>
      <c r="J1126" s="222"/>
      <c r="K1126" s="222"/>
    </row>
    <row r="1127" spans="2:11">
      <c r="B1127" s="228"/>
      <c r="C1127" s="228"/>
      <c r="D1127" s="229"/>
      <c r="E1127" s="229"/>
      <c r="F1127" s="229"/>
      <c r="G1127" s="229"/>
      <c r="H1127" s="229"/>
      <c r="I1127" s="222"/>
      <c r="J1127" s="222"/>
      <c r="K1127" s="222"/>
    </row>
    <row r="1128" spans="2:11">
      <c r="B1128" s="228"/>
      <c r="C1128" s="228"/>
      <c r="D1128" s="229"/>
      <c r="E1128" s="229"/>
      <c r="F1128" s="229"/>
      <c r="G1128" s="229"/>
      <c r="H1128" s="229"/>
      <c r="I1128" s="222"/>
      <c r="J1128" s="222"/>
      <c r="K1128" s="222"/>
    </row>
    <row r="1129" spans="2:11">
      <c r="B1129" s="228"/>
      <c r="C1129" s="228"/>
      <c r="D1129" s="229"/>
      <c r="E1129" s="229"/>
      <c r="F1129" s="229"/>
      <c r="G1129" s="229"/>
      <c r="H1129" s="229"/>
      <c r="I1129" s="222"/>
      <c r="J1129" s="222"/>
      <c r="K1129" s="222"/>
    </row>
    <row r="1130" spans="2:11">
      <c r="B1130" s="228"/>
      <c r="C1130" s="228"/>
      <c r="D1130" s="229"/>
      <c r="E1130" s="229"/>
      <c r="F1130" s="229"/>
      <c r="G1130" s="229"/>
      <c r="H1130" s="229"/>
      <c r="I1130" s="222"/>
      <c r="J1130" s="222"/>
      <c r="K1130" s="222"/>
    </row>
    <row r="1131" spans="2:11">
      <c r="B1131" s="228"/>
      <c r="C1131" s="228"/>
      <c r="D1131" s="229"/>
      <c r="E1131" s="229"/>
      <c r="F1131" s="229"/>
      <c r="G1131" s="229"/>
      <c r="H1131" s="229"/>
      <c r="I1131" s="222"/>
      <c r="J1131" s="222"/>
      <c r="K1131" s="222"/>
    </row>
    <row r="1132" spans="2:11">
      <c r="B1132" s="228"/>
      <c r="C1132" s="228"/>
      <c r="D1132" s="229"/>
      <c r="E1132" s="229"/>
      <c r="F1132" s="229"/>
      <c r="G1132" s="229"/>
      <c r="H1132" s="229"/>
      <c r="I1132" s="222"/>
      <c r="J1132" s="222"/>
      <c r="K1132" s="222"/>
    </row>
    <row r="1133" spans="2:11">
      <c r="B1133" s="228"/>
      <c r="C1133" s="228"/>
      <c r="D1133" s="229"/>
      <c r="E1133" s="229"/>
      <c r="F1133" s="229"/>
      <c r="G1133" s="229"/>
      <c r="H1133" s="229"/>
      <c r="I1133" s="222"/>
      <c r="J1133" s="222"/>
      <c r="K1133" s="222"/>
    </row>
    <row r="1134" spans="2:11">
      <c r="B1134" s="228"/>
      <c r="C1134" s="228"/>
      <c r="D1134" s="229"/>
      <c r="E1134" s="229"/>
      <c r="F1134" s="229"/>
      <c r="G1134" s="229"/>
      <c r="H1134" s="229"/>
      <c r="I1134" s="222"/>
      <c r="J1134" s="222"/>
      <c r="K1134" s="222"/>
    </row>
    <row r="1135" spans="2:11">
      <c r="B1135" s="228"/>
      <c r="C1135" s="228"/>
      <c r="D1135" s="229"/>
      <c r="E1135" s="229"/>
      <c r="F1135" s="229"/>
      <c r="G1135" s="229"/>
      <c r="H1135" s="229"/>
      <c r="I1135" s="222"/>
      <c r="J1135" s="222"/>
      <c r="K1135" s="222"/>
    </row>
    <row r="1136" spans="2:11">
      <c r="B1136" s="228"/>
      <c r="C1136" s="228"/>
      <c r="D1136" s="229"/>
      <c r="E1136" s="229"/>
      <c r="F1136" s="229"/>
      <c r="G1136" s="229"/>
      <c r="H1136" s="229"/>
      <c r="I1136" s="222"/>
      <c r="J1136" s="222"/>
      <c r="K1136" s="222"/>
    </row>
    <row r="1137" spans="2:11">
      <c r="B1137" s="228"/>
      <c r="C1137" s="228"/>
      <c r="D1137" s="229"/>
      <c r="E1137" s="229"/>
      <c r="F1137" s="229"/>
      <c r="G1137" s="229"/>
      <c r="H1137" s="229"/>
      <c r="I1137" s="222"/>
      <c r="J1137" s="222"/>
      <c r="K1137" s="222"/>
    </row>
    <row r="1138" spans="2:11">
      <c r="B1138" s="228"/>
      <c r="C1138" s="228"/>
      <c r="D1138" s="229"/>
      <c r="E1138" s="229"/>
      <c r="F1138" s="229"/>
      <c r="G1138" s="229"/>
      <c r="H1138" s="229"/>
      <c r="I1138" s="222"/>
      <c r="J1138" s="222"/>
      <c r="K1138" s="222"/>
    </row>
    <row r="1139" spans="2:11">
      <c r="B1139" s="228"/>
      <c r="C1139" s="228"/>
      <c r="D1139" s="229"/>
      <c r="E1139" s="229"/>
      <c r="F1139" s="229"/>
      <c r="G1139" s="229"/>
      <c r="H1139" s="229"/>
      <c r="I1139" s="222"/>
      <c r="J1139" s="222"/>
      <c r="K1139" s="222"/>
    </row>
    <row r="1140" spans="2:11">
      <c r="B1140" s="228"/>
      <c r="C1140" s="228"/>
      <c r="D1140" s="229"/>
      <c r="E1140" s="229"/>
      <c r="F1140" s="229"/>
      <c r="G1140" s="229"/>
      <c r="H1140" s="229"/>
      <c r="I1140" s="222"/>
      <c r="J1140" s="222"/>
      <c r="K1140" s="222"/>
    </row>
    <row r="1141" spans="2:11">
      <c r="B1141" s="228"/>
      <c r="C1141" s="228"/>
      <c r="D1141" s="229"/>
      <c r="E1141" s="229"/>
      <c r="F1141" s="229"/>
      <c r="G1141" s="229"/>
      <c r="H1141" s="229"/>
      <c r="I1141" s="222"/>
      <c r="J1141" s="222"/>
      <c r="K1141" s="222"/>
    </row>
    <row r="1142" spans="2:11">
      <c r="B1142" s="228"/>
      <c r="C1142" s="228"/>
      <c r="D1142" s="229"/>
      <c r="E1142" s="229"/>
      <c r="F1142" s="229"/>
      <c r="G1142" s="229"/>
      <c r="H1142" s="229"/>
      <c r="I1142" s="222"/>
      <c r="J1142" s="222"/>
      <c r="K1142" s="222"/>
    </row>
    <row r="1143" spans="2:11">
      <c r="B1143" s="228"/>
      <c r="C1143" s="228"/>
      <c r="D1143" s="229"/>
      <c r="E1143" s="229"/>
      <c r="F1143" s="229"/>
      <c r="G1143" s="229"/>
      <c r="H1143" s="229"/>
      <c r="I1143" s="222"/>
      <c r="J1143" s="222"/>
      <c r="K1143" s="222"/>
    </row>
    <row r="1144" spans="2:11">
      <c r="B1144" s="228"/>
      <c r="C1144" s="228"/>
      <c r="D1144" s="229"/>
      <c r="E1144" s="229"/>
      <c r="F1144" s="229"/>
      <c r="G1144" s="229"/>
      <c r="H1144" s="229"/>
      <c r="I1144" s="222"/>
      <c r="J1144" s="222"/>
      <c r="K1144" s="222"/>
    </row>
    <row r="1145" spans="2:11">
      <c r="B1145" s="228"/>
      <c r="C1145" s="228"/>
      <c r="D1145" s="229"/>
      <c r="E1145" s="229"/>
      <c r="F1145" s="229"/>
      <c r="G1145" s="229"/>
      <c r="H1145" s="229"/>
      <c r="I1145" s="222"/>
      <c r="J1145" s="222"/>
      <c r="K1145" s="222"/>
    </row>
    <row r="1146" spans="2:11">
      <c r="B1146" s="228"/>
      <c r="C1146" s="228"/>
      <c r="D1146" s="229"/>
      <c r="E1146" s="229"/>
      <c r="F1146" s="229"/>
      <c r="G1146" s="229"/>
      <c r="H1146" s="229"/>
      <c r="I1146" s="222"/>
      <c r="J1146" s="222"/>
      <c r="K1146" s="222"/>
    </row>
    <row r="1147" spans="2:11">
      <c r="B1147" s="228"/>
      <c r="C1147" s="228"/>
      <c r="D1147" s="229"/>
      <c r="E1147" s="229"/>
      <c r="F1147" s="229"/>
      <c r="G1147" s="229"/>
      <c r="H1147" s="229"/>
      <c r="I1147" s="222"/>
      <c r="J1147" s="222"/>
      <c r="K1147" s="222"/>
    </row>
    <row r="1148" spans="2:11">
      <c r="B1148" s="228"/>
      <c r="C1148" s="228"/>
      <c r="D1148" s="229"/>
      <c r="E1148" s="229"/>
      <c r="F1148" s="229"/>
      <c r="G1148" s="229"/>
      <c r="H1148" s="229"/>
      <c r="I1148" s="222"/>
      <c r="J1148" s="222"/>
      <c r="K1148" s="222"/>
    </row>
    <row r="1149" spans="2:11">
      <c r="B1149" s="228"/>
      <c r="C1149" s="228"/>
      <c r="D1149" s="229"/>
      <c r="E1149" s="229"/>
      <c r="F1149" s="229"/>
      <c r="G1149" s="229"/>
      <c r="H1149" s="229"/>
      <c r="I1149" s="222"/>
      <c r="J1149" s="222"/>
      <c r="K1149" s="222"/>
    </row>
    <row r="1150" spans="2:11">
      <c r="B1150" s="228"/>
      <c r="C1150" s="228"/>
      <c r="D1150" s="229"/>
      <c r="E1150" s="229"/>
      <c r="F1150" s="229"/>
      <c r="G1150" s="229"/>
      <c r="H1150" s="229"/>
      <c r="I1150" s="222"/>
      <c r="J1150" s="222"/>
      <c r="K1150" s="222"/>
    </row>
    <row r="1151" spans="2:11">
      <c r="B1151" s="228"/>
      <c r="C1151" s="228"/>
      <c r="D1151" s="229"/>
      <c r="E1151" s="229"/>
      <c r="F1151" s="229"/>
      <c r="G1151" s="229"/>
      <c r="H1151" s="229"/>
      <c r="I1151" s="222"/>
      <c r="J1151" s="222"/>
      <c r="K1151" s="222"/>
    </row>
    <row r="1152" spans="2:11">
      <c r="B1152" s="228"/>
      <c r="C1152" s="228"/>
      <c r="D1152" s="229"/>
      <c r="E1152" s="229"/>
      <c r="F1152" s="229"/>
      <c r="G1152" s="229"/>
      <c r="H1152" s="229"/>
      <c r="I1152" s="222"/>
      <c r="J1152" s="222"/>
      <c r="K1152" s="222"/>
    </row>
    <row r="1153" spans="2:11">
      <c r="B1153" s="228"/>
      <c r="C1153" s="228"/>
      <c r="D1153" s="229"/>
      <c r="E1153" s="229"/>
      <c r="F1153" s="229"/>
      <c r="G1153" s="229"/>
      <c r="H1153" s="229"/>
      <c r="I1153" s="222"/>
      <c r="J1153" s="222"/>
      <c r="K1153" s="222"/>
    </row>
    <row r="1154" spans="2:11">
      <c r="B1154" s="228"/>
      <c r="C1154" s="228"/>
      <c r="D1154" s="229"/>
      <c r="E1154" s="229"/>
      <c r="F1154" s="229"/>
      <c r="G1154" s="229"/>
      <c r="H1154" s="229"/>
      <c r="I1154" s="222"/>
      <c r="J1154" s="222"/>
      <c r="K1154" s="222"/>
    </row>
    <row r="1155" spans="2:11">
      <c r="B1155" s="228"/>
      <c r="C1155" s="228"/>
      <c r="D1155" s="229"/>
      <c r="E1155" s="229"/>
      <c r="F1155" s="229"/>
      <c r="G1155" s="229"/>
      <c r="H1155" s="229"/>
      <c r="I1155" s="222"/>
      <c r="J1155" s="222"/>
      <c r="K1155" s="222"/>
    </row>
    <row r="1156" spans="2:11">
      <c r="B1156" s="228"/>
      <c r="C1156" s="228"/>
      <c r="D1156" s="229"/>
      <c r="E1156" s="229"/>
      <c r="F1156" s="229"/>
      <c r="G1156" s="229"/>
      <c r="H1156" s="229"/>
      <c r="I1156" s="222"/>
      <c r="J1156" s="222"/>
      <c r="K1156" s="222"/>
    </row>
    <row r="1157" spans="2:11">
      <c r="B1157" s="228"/>
      <c r="C1157" s="228"/>
      <c r="D1157" s="229"/>
      <c r="E1157" s="229"/>
      <c r="F1157" s="229"/>
      <c r="G1157" s="229"/>
      <c r="H1157" s="229"/>
      <c r="I1157" s="222"/>
      <c r="J1157" s="222"/>
      <c r="K1157" s="222"/>
    </row>
    <row r="1158" spans="2:11">
      <c r="B1158" s="228"/>
      <c r="C1158" s="228"/>
      <c r="D1158" s="229"/>
      <c r="E1158" s="229"/>
      <c r="F1158" s="229"/>
      <c r="G1158" s="229"/>
      <c r="H1158" s="229"/>
      <c r="I1158" s="222"/>
      <c r="J1158" s="222"/>
      <c r="K1158" s="222"/>
    </row>
    <row r="1159" spans="2:11">
      <c r="B1159" s="228"/>
      <c r="C1159" s="228"/>
      <c r="D1159" s="229"/>
      <c r="E1159" s="229"/>
      <c r="F1159" s="229"/>
      <c r="G1159" s="229"/>
      <c r="H1159" s="229"/>
      <c r="I1159" s="222"/>
      <c r="J1159" s="222"/>
      <c r="K1159" s="222"/>
    </row>
    <row r="1160" spans="2:11">
      <c r="B1160" s="228"/>
      <c r="C1160" s="228"/>
      <c r="D1160" s="229"/>
      <c r="E1160" s="229"/>
      <c r="F1160" s="229"/>
      <c r="G1160" s="229"/>
      <c r="H1160" s="229"/>
      <c r="I1160" s="222"/>
      <c r="J1160" s="222"/>
      <c r="K1160" s="222"/>
    </row>
    <row r="1161" spans="2:11">
      <c r="B1161" s="228"/>
      <c r="C1161" s="228"/>
      <c r="D1161" s="229"/>
      <c r="E1161" s="229"/>
      <c r="F1161" s="229"/>
      <c r="G1161" s="229"/>
      <c r="H1161" s="229"/>
      <c r="I1161" s="222"/>
      <c r="J1161" s="222"/>
      <c r="K1161" s="222"/>
    </row>
    <row r="1162" spans="2:11">
      <c r="B1162" s="228"/>
      <c r="C1162" s="228"/>
      <c r="D1162" s="229"/>
      <c r="E1162" s="229"/>
      <c r="F1162" s="229"/>
      <c r="G1162" s="229"/>
      <c r="H1162" s="229"/>
      <c r="I1162" s="222"/>
      <c r="J1162" s="222"/>
      <c r="K1162" s="222"/>
    </row>
    <row r="1163" spans="2:11">
      <c r="B1163" s="228"/>
      <c r="C1163" s="228"/>
      <c r="D1163" s="229"/>
      <c r="E1163" s="229"/>
      <c r="F1163" s="229"/>
      <c r="G1163" s="229"/>
      <c r="H1163" s="229"/>
      <c r="I1163" s="222"/>
      <c r="J1163" s="222"/>
      <c r="K1163" s="222"/>
    </row>
    <row r="1164" spans="2:11">
      <c r="B1164" s="228"/>
      <c r="C1164" s="228"/>
      <c r="D1164" s="229"/>
      <c r="E1164" s="229"/>
      <c r="F1164" s="229"/>
      <c r="G1164" s="229"/>
      <c r="H1164" s="229"/>
      <c r="I1164" s="222"/>
      <c r="J1164" s="222"/>
      <c r="K1164" s="222"/>
    </row>
    <row r="1165" spans="2:11">
      <c r="B1165" s="228"/>
      <c r="C1165" s="228"/>
      <c r="D1165" s="229"/>
      <c r="E1165" s="229"/>
      <c r="F1165" s="229"/>
      <c r="G1165" s="229"/>
      <c r="H1165" s="229"/>
      <c r="I1165" s="222"/>
      <c r="J1165" s="222"/>
      <c r="K1165" s="222"/>
    </row>
    <row r="1166" spans="2:11">
      <c r="B1166" s="228"/>
      <c r="C1166" s="228"/>
      <c r="D1166" s="229"/>
      <c r="E1166" s="229"/>
      <c r="F1166" s="229"/>
      <c r="G1166" s="229"/>
      <c r="H1166" s="229"/>
      <c r="I1166" s="222"/>
      <c r="J1166" s="222"/>
      <c r="K1166" s="222"/>
    </row>
    <row r="1167" spans="2:11">
      <c r="B1167" s="228"/>
      <c r="C1167" s="228"/>
      <c r="D1167" s="229"/>
      <c r="E1167" s="229"/>
      <c r="F1167" s="229"/>
      <c r="G1167" s="229"/>
      <c r="H1167" s="229"/>
      <c r="I1167" s="222"/>
      <c r="J1167" s="222"/>
      <c r="K1167" s="222"/>
    </row>
    <row r="1168" spans="2:11">
      <c r="B1168" s="228"/>
      <c r="C1168" s="228"/>
      <c r="D1168" s="229"/>
      <c r="E1168" s="229"/>
      <c r="F1168" s="229"/>
      <c r="G1168" s="229"/>
      <c r="H1168" s="229"/>
      <c r="I1168" s="222"/>
      <c r="J1168" s="222"/>
      <c r="K1168" s="222"/>
    </row>
    <row r="1169" spans="2:11">
      <c r="B1169" s="228"/>
      <c r="C1169" s="228"/>
      <c r="D1169" s="229"/>
      <c r="E1169" s="229"/>
      <c r="F1169" s="229"/>
      <c r="G1169" s="229"/>
      <c r="H1169" s="229"/>
      <c r="I1169" s="222"/>
      <c r="J1169" s="222"/>
      <c r="K1169" s="222"/>
    </row>
    <row r="1170" spans="2:11">
      <c r="B1170" s="228"/>
      <c r="C1170" s="228"/>
      <c r="D1170" s="229"/>
      <c r="E1170" s="229"/>
      <c r="F1170" s="229"/>
      <c r="G1170" s="229"/>
      <c r="H1170" s="229"/>
      <c r="I1170" s="222"/>
      <c r="J1170" s="222"/>
      <c r="K1170" s="222"/>
    </row>
    <row r="1171" spans="2:11">
      <c r="B1171" s="228"/>
      <c r="C1171" s="228"/>
      <c r="D1171" s="229"/>
      <c r="E1171" s="229"/>
      <c r="F1171" s="229"/>
      <c r="G1171" s="229"/>
      <c r="H1171" s="229"/>
      <c r="I1171" s="222"/>
      <c r="J1171" s="222"/>
      <c r="K1171" s="222"/>
    </row>
    <row r="1172" spans="2:11">
      <c r="B1172" s="228"/>
      <c r="C1172" s="228"/>
      <c r="D1172" s="229"/>
      <c r="E1172" s="229"/>
      <c r="F1172" s="229"/>
      <c r="G1172" s="229"/>
      <c r="H1172" s="229"/>
      <c r="I1172" s="222"/>
      <c r="J1172" s="222"/>
      <c r="K1172" s="222"/>
    </row>
    <row r="1173" spans="2:11">
      <c r="B1173" s="228"/>
      <c r="C1173" s="228"/>
      <c r="D1173" s="229"/>
      <c r="E1173" s="229"/>
      <c r="F1173" s="229"/>
      <c r="G1173" s="229"/>
      <c r="H1173" s="229"/>
      <c r="I1173" s="222"/>
      <c r="J1173" s="222"/>
      <c r="K1173" s="222"/>
    </row>
    <row r="1174" spans="2:11">
      <c r="B1174" s="228"/>
      <c r="C1174" s="228"/>
      <c r="D1174" s="229"/>
      <c r="E1174" s="229"/>
      <c r="F1174" s="229"/>
      <c r="G1174" s="229"/>
      <c r="H1174" s="229"/>
      <c r="I1174" s="222"/>
      <c r="J1174" s="222"/>
      <c r="K1174" s="222"/>
    </row>
    <row r="1175" spans="2:11">
      <c r="B1175" s="228"/>
      <c r="C1175" s="228"/>
      <c r="D1175" s="229"/>
      <c r="E1175" s="229"/>
      <c r="F1175" s="229"/>
      <c r="G1175" s="229"/>
      <c r="H1175" s="229"/>
      <c r="I1175" s="222"/>
      <c r="J1175" s="222"/>
      <c r="K1175" s="222"/>
    </row>
    <row r="1176" spans="2:11">
      <c r="B1176" s="228"/>
      <c r="C1176" s="228"/>
      <c r="D1176" s="229"/>
      <c r="E1176" s="229"/>
      <c r="F1176" s="229"/>
      <c r="G1176" s="229"/>
      <c r="H1176" s="229"/>
      <c r="I1176" s="222"/>
      <c r="J1176" s="222"/>
      <c r="K1176" s="222"/>
    </row>
    <row r="1177" spans="2:11">
      <c r="B1177" s="228"/>
      <c r="C1177" s="228"/>
      <c r="D1177" s="229"/>
      <c r="E1177" s="229"/>
      <c r="F1177" s="229"/>
      <c r="G1177" s="229"/>
      <c r="H1177" s="229"/>
      <c r="I1177" s="222"/>
      <c r="J1177" s="222"/>
      <c r="K1177" s="222"/>
    </row>
    <row r="1178" spans="2:11">
      <c r="B1178" s="228"/>
      <c r="C1178" s="228"/>
      <c r="D1178" s="229"/>
      <c r="E1178" s="229"/>
      <c r="F1178" s="229"/>
      <c r="G1178" s="229"/>
      <c r="H1178" s="229"/>
      <c r="I1178" s="222"/>
      <c r="J1178" s="222"/>
      <c r="K1178" s="222"/>
    </row>
    <row r="1179" spans="2:11">
      <c r="B1179" s="228"/>
      <c r="C1179" s="228"/>
      <c r="D1179" s="229"/>
      <c r="E1179" s="229"/>
      <c r="F1179" s="229"/>
      <c r="G1179" s="229"/>
      <c r="H1179" s="229"/>
      <c r="I1179" s="222"/>
      <c r="J1179" s="222"/>
      <c r="K1179" s="222"/>
    </row>
    <row r="1180" spans="2:11">
      <c r="B1180" s="228"/>
      <c r="C1180" s="228"/>
      <c r="D1180" s="229"/>
      <c r="E1180" s="229"/>
      <c r="F1180" s="229"/>
      <c r="G1180" s="229"/>
      <c r="H1180" s="229"/>
      <c r="I1180" s="222"/>
      <c r="J1180" s="222"/>
      <c r="K1180" s="222"/>
    </row>
    <row r="1181" spans="2:11">
      <c r="B1181" s="228"/>
      <c r="C1181" s="228"/>
      <c r="D1181" s="229"/>
      <c r="E1181" s="229"/>
      <c r="F1181" s="229"/>
      <c r="G1181" s="229"/>
      <c r="H1181" s="229"/>
      <c r="I1181" s="222"/>
      <c r="J1181" s="222"/>
      <c r="K1181" s="222"/>
    </row>
    <row r="1182" spans="2:11">
      <c r="B1182" s="228"/>
      <c r="C1182" s="228"/>
      <c r="D1182" s="229"/>
      <c r="E1182" s="229"/>
      <c r="F1182" s="229"/>
      <c r="G1182" s="229"/>
      <c r="H1182" s="229"/>
      <c r="I1182" s="222"/>
      <c r="J1182" s="222"/>
      <c r="K1182" s="222"/>
    </row>
    <row r="1183" spans="2:11">
      <c r="B1183" s="228"/>
      <c r="C1183" s="228"/>
      <c r="D1183" s="229"/>
      <c r="E1183" s="229"/>
      <c r="F1183" s="229"/>
      <c r="G1183" s="229"/>
      <c r="H1183" s="229"/>
      <c r="I1183" s="222"/>
      <c r="J1183" s="222"/>
      <c r="K1183" s="222"/>
    </row>
    <row r="1184" spans="2:11">
      <c r="B1184" s="228"/>
      <c r="C1184" s="228"/>
      <c r="D1184" s="229"/>
      <c r="E1184" s="229"/>
      <c r="F1184" s="229"/>
      <c r="G1184" s="229"/>
      <c r="H1184" s="229"/>
      <c r="I1184" s="222"/>
      <c r="J1184" s="222"/>
      <c r="K1184" s="222"/>
    </row>
    <row r="1185" spans="2:11">
      <c r="B1185" s="228"/>
      <c r="C1185" s="228"/>
      <c r="D1185" s="229"/>
      <c r="E1185" s="229"/>
      <c r="F1185" s="229"/>
      <c r="G1185" s="229"/>
      <c r="H1185" s="229"/>
      <c r="I1185" s="222"/>
      <c r="J1185" s="222"/>
      <c r="K1185" s="222"/>
    </row>
    <row r="1186" spans="2:11">
      <c r="B1186" s="228"/>
      <c r="C1186" s="228"/>
      <c r="D1186" s="229"/>
      <c r="E1186" s="229"/>
      <c r="F1186" s="229"/>
      <c r="G1186" s="229"/>
      <c r="H1186" s="229"/>
      <c r="I1186" s="222"/>
      <c r="J1186" s="222"/>
      <c r="K1186" s="222"/>
    </row>
    <row r="1187" spans="2:11">
      <c r="B1187" s="228"/>
      <c r="C1187" s="228"/>
      <c r="D1187" s="229"/>
      <c r="E1187" s="229"/>
      <c r="F1187" s="229"/>
      <c r="G1187" s="229"/>
      <c r="H1187" s="229"/>
      <c r="I1187" s="222"/>
      <c r="J1187" s="222"/>
      <c r="K1187" s="222"/>
    </row>
    <row r="1188" spans="2:11">
      <c r="B1188" s="228"/>
      <c r="C1188" s="228"/>
      <c r="D1188" s="229"/>
      <c r="E1188" s="229"/>
      <c r="F1188" s="229"/>
      <c r="G1188" s="229"/>
      <c r="H1188" s="229"/>
      <c r="I1188" s="222"/>
      <c r="J1188" s="222"/>
      <c r="K1188" s="222"/>
    </row>
    <row r="1189" spans="2:11">
      <c r="B1189" s="228"/>
      <c r="C1189" s="228"/>
      <c r="D1189" s="229"/>
      <c r="E1189" s="229"/>
      <c r="F1189" s="229"/>
      <c r="G1189" s="229"/>
      <c r="H1189" s="229"/>
      <c r="I1189" s="222"/>
      <c r="J1189" s="222"/>
      <c r="K1189" s="222"/>
    </row>
    <row r="1190" spans="2:11">
      <c r="B1190" s="228"/>
      <c r="C1190" s="228"/>
      <c r="D1190" s="229"/>
      <c r="E1190" s="229"/>
      <c r="F1190" s="229"/>
      <c r="G1190" s="229"/>
      <c r="H1190" s="229"/>
      <c r="I1190" s="222"/>
      <c r="J1190" s="222"/>
      <c r="K1190" s="222"/>
    </row>
    <row r="1191" spans="2:11">
      <c r="B1191" s="228"/>
      <c r="C1191" s="228"/>
      <c r="D1191" s="229"/>
      <c r="E1191" s="229"/>
      <c r="F1191" s="229"/>
      <c r="G1191" s="229"/>
      <c r="H1191" s="229"/>
      <c r="I1191" s="222"/>
      <c r="J1191" s="222"/>
      <c r="K1191" s="222"/>
    </row>
    <row r="1192" spans="2:11">
      <c r="B1192" s="228"/>
      <c r="C1192" s="228"/>
      <c r="D1192" s="229"/>
      <c r="E1192" s="229"/>
      <c r="F1192" s="229"/>
      <c r="G1192" s="229"/>
      <c r="H1192" s="229"/>
      <c r="I1192" s="222"/>
      <c r="J1192" s="222"/>
      <c r="K1192" s="222"/>
    </row>
    <row r="1193" spans="2:11">
      <c r="B1193" s="228"/>
      <c r="C1193" s="228"/>
      <c r="D1193" s="229"/>
      <c r="E1193" s="229"/>
      <c r="F1193" s="229"/>
      <c r="G1193" s="229"/>
      <c r="H1193" s="229"/>
      <c r="I1193" s="222"/>
      <c r="J1193" s="222"/>
      <c r="K1193" s="222"/>
    </row>
    <row r="1194" spans="2:11">
      <c r="B1194" s="228"/>
      <c r="C1194" s="228"/>
      <c r="D1194" s="229"/>
      <c r="E1194" s="229"/>
      <c r="F1194" s="229"/>
      <c r="G1194" s="229"/>
      <c r="H1194" s="229"/>
      <c r="I1194" s="222"/>
      <c r="J1194" s="222"/>
      <c r="K1194" s="222"/>
    </row>
    <row r="1195" spans="2:11">
      <c r="B1195" s="228"/>
      <c r="C1195" s="228"/>
      <c r="D1195" s="229"/>
      <c r="E1195" s="229"/>
      <c r="F1195" s="229"/>
      <c r="G1195" s="229"/>
      <c r="H1195" s="229"/>
      <c r="I1195" s="222"/>
      <c r="J1195" s="222"/>
      <c r="K1195" s="222"/>
    </row>
    <row r="1196" spans="2:11">
      <c r="B1196" s="228"/>
      <c r="C1196" s="228"/>
      <c r="D1196" s="229"/>
      <c r="E1196" s="229"/>
      <c r="F1196" s="229"/>
      <c r="G1196" s="229"/>
      <c r="H1196" s="229"/>
      <c r="I1196" s="222"/>
      <c r="J1196" s="222"/>
      <c r="K1196" s="222"/>
    </row>
    <row r="1197" spans="2:11">
      <c r="B1197" s="228"/>
      <c r="C1197" s="228"/>
      <c r="D1197" s="229"/>
      <c r="E1197" s="229"/>
      <c r="F1197" s="229"/>
      <c r="G1197" s="229"/>
      <c r="H1197" s="229"/>
      <c r="I1197" s="222"/>
      <c r="J1197" s="222"/>
      <c r="K1197" s="222"/>
    </row>
    <row r="1198" spans="2:11">
      <c r="B1198" s="228"/>
      <c r="C1198" s="228"/>
      <c r="D1198" s="229"/>
      <c r="E1198" s="229"/>
      <c r="F1198" s="229"/>
      <c r="G1198" s="229"/>
      <c r="H1198" s="229"/>
      <c r="I1198" s="222"/>
      <c r="J1198" s="222"/>
      <c r="K1198" s="222"/>
    </row>
    <row r="1199" spans="2:11">
      <c r="B1199" s="228"/>
      <c r="C1199" s="228"/>
      <c r="D1199" s="229"/>
      <c r="E1199" s="229"/>
      <c r="F1199" s="229"/>
      <c r="G1199" s="229"/>
      <c r="H1199" s="229"/>
      <c r="I1199" s="222"/>
      <c r="J1199" s="222"/>
      <c r="K1199" s="222"/>
    </row>
    <row r="1200" spans="2:11">
      <c r="B1200" s="228"/>
      <c r="C1200" s="228"/>
      <c r="D1200" s="229"/>
      <c r="E1200" s="229"/>
      <c r="F1200" s="229"/>
      <c r="G1200" s="229"/>
      <c r="H1200" s="229"/>
      <c r="I1200" s="222"/>
      <c r="J1200" s="222"/>
      <c r="K1200" s="222"/>
    </row>
    <row r="1201" spans="2:11">
      <c r="B1201" s="228"/>
      <c r="C1201" s="228"/>
      <c r="D1201" s="229"/>
      <c r="E1201" s="229"/>
      <c r="F1201" s="229"/>
      <c r="G1201" s="229"/>
      <c r="H1201" s="229"/>
      <c r="I1201" s="222"/>
      <c r="J1201" s="222"/>
      <c r="K1201" s="222"/>
    </row>
    <row r="1202" spans="2:11">
      <c r="B1202" s="228"/>
      <c r="C1202" s="228"/>
      <c r="D1202" s="229"/>
      <c r="E1202" s="229"/>
      <c r="F1202" s="229"/>
      <c r="G1202" s="229"/>
      <c r="H1202" s="229"/>
      <c r="I1202" s="222"/>
      <c r="J1202" s="222"/>
      <c r="K1202" s="222"/>
    </row>
    <row r="1203" spans="2:11">
      <c r="B1203" s="228"/>
      <c r="C1203" s="228"/>
      <c r="D1203" s="229"/>
      <c r="E1203" s="229"/>
      <c r="F1203" s="229"/>
      <c r="G1203" s="229"/>
      <c r="H1203" s="229"/>
      <c r="I1203" s="222"/>
      <c r="J1203" s="222"/>
      <c r="K1203" s="222"/>
    </row>
    <row r="1204" spans="2:11">
      <c r="B1204" s="228"/>
      <c r="C1204" s="228"/>
      <c r="D1204" s="229"/>
      <c r="E1204" s="229"/>
      <c r="F1204" s="229"/>
      <c r="G1204" s="229"/>
      <c r="H1204" s="229"/>
      <c r="I1204" s="222"/>
      <c r="J1204" s="222"/>
      <c r="K1204" s="222"/>
    </row>
    <row r="1205" spans="2:11">
      <c r="B1205" s="228"/>
      <c r="C1205" s="228"/>
      <c r="D1205" s="229"/>
      <c r="E1205" s="229"/>
      <c r="F1205" s="229"/>
      <c r="G1205" s="229"/>
      <c r="H1205" s="229"/>
      <c r="I1205" s="222"/>
      <c r="J1205" s="222"/>
      <c r="K1205" s="222"/>
    </row>
    <row r="1206" spans="2:11">
      <c r="B1206" s="228"/>
      <c r="C1206" s="228"/>
      <c r="D1206" s="229"/>
      <c r="E1206" s="229"/>
      <c r="F1206" s="229"/>
      <c r="G1206" s="229"/>
      <c r="H1206" s="229"/>
      <c r="I1206" s="222"/>
      <c r="J1206" s="222"/>
      <c r="K1206" s="222"/>
    </row>
    <row r="1207" spans="2:11">
      <c r="B1207" s="228"/>
      <c r="C1207" s="228"/>
      <c r="D1207" s="229"/>
      <c r="E1207" s="229"/>
      <c r="F1207" s="229"/>
      <c r="G1207" s="229"/>
      <c r="H1207" s="229"/>
      <c r="I1207" s="222"/>
      <c r="J1207" s="222"/>
      <c r="K1207" s="222"/>
    </row>
    <row r="1208" spans="2:11">
      <c r="B1208" s="228"/>
      <c r="C1208" s="228"/>
      <c r="D1208" s="229"/>
      <c r="E1208" s="229"/>
      <c r="F1208" s="229"/>
      <c r="G1208" s="229"/>
      <c r="H1208" s="229"/>
      <c r="I1208" s="222"/>
      <c r="J1208" s="222"/>
      <c r="K1208" s="222"/>
    </row>
    <row r="1209" spans="2:11">
      <c r="B1209" s="228"/>
      <c r="C1209" s="228"/>
      <c r="D1209" s="229"/>
      <c r="E1209" s="229"/>
      <c r="F1209" s="229"/>
      <c r="G1209" s="229"/>
      <c r="H1209" s="229"/>
      <c r="I1209" s="222"/>
      <c r="J1209" s="222"/>
      <c r="K1209" s="222"/>
    </row>
    <row r="1210" spans="2:11">
      <c r="B1210" s="228"/>
      <c r="C1210" s="228"/>
      <c r="D1210" s="229"/>
      <c r="E1210" s="229"/>
      <c r="F1210" s="229"/>
      <c r="G1210" s="229"/>
      <c r="H1210" s="229"/>
      <c r="I1210" s="222"/>
      <c r="J1210" s="222"/>
      <c r="K1210" s="222"/>
    </row>
    <row r="1211" spans="2:11">
      <c r="B1211" s="228"/>
      <c r="C1211" s="228"/>
      <c r="D1211" s="229"/>
      <c r="E1211" s="229"/>
      <c r="F1211" s="229"/>
      <c r="G1211" s="229"/>
      <c r="H1211" s="229"/>
      <c r="I1211" s="222"/>
      <c r="J1211" s="222"/>
      <c r="K1211" s="222"/>
    </row>
    <row r="1212" spans="2:11">
      <c r="B1212" s="228"/>
      <c r="C1212" s="228"/>
      <c r="D1212" s="229"/>
      <c r="E1212" s="229"/>
      <c r="F1212" s="229"/>
      <c r="G1212" s="229"/>
      <c r="H1212" s="229"/>
      <c r="I1212" s="222"/>
      <c r="J1212" s="222"/>
      <c r="K1212" s="222"/>
    </row>
    <row r="1213" spans="2:11">
      <c r="B1213" s="228"/>
      <c r="C1213" s="228"/>
      <c r="D1213" s="229"/>
      <c r="E1213" s="229"/>
      <c r="F1213" s="229"/>
      <c r="G1213" s="229"/>
      <c r="H1213" s="229"/>
      <c r="I1213" s="222"/>
      <c r="J1213" s="222"/>
      <c r="K1213" s="222"/>
    </row>
    <row r="1214" spans="2:11">
      <c r="B1214" s="228"/>
      <c r="C1214" s="228"/>
      <c r="D1214" s="229"/>
      <c r="E1214" s="229"/>
      <c r="F1214" s="229"/>
      <c r="G1214" s="229"/>
      <c r="H1214" s="229"/>
      <c r="I1214" s="222"/>
      <c r="J1214" s="222"/>
      <c r="K1214" s="222"/>
    </row>
    <row r="1215" spans="2:11">
      <c r="B1215" s="228"/>
      <c r="C1215" s="228"/>
      <c r="D1215" s="229"/>
      <c r="E1215" s="229"/>
      <c r="F1215" s="229"/>
      <c r="G1215" s="229"/>
      <c r="H1215" s="229"/>
      <c r="I1215" s="222"/>
      <c r="J1215" s="222"/>
      <c r="K1215" s="222"/>
    </row>
    <row r="1216" spans="2:11">
      <c r="B1216" s="228"/>
      <c r="C1216" s="228"/>
      <c r="D1216" s="229"/>
      <c r="E1216" s="229"/>
      <c r="F1216" s="229"/>
      <c r="G1216" s="229"/>
      <c r="H1216" s="229"/>
      <c r="I1216" s="222"/>
      <c r="J1216" s="222"/>
      <c r="K1216" s="222"/>
    </row>
    <row r="1217" spans="2:11">
      <c r="B1217" s="228"/>
      <c r="C1217" s="228"/>
      <c r="D1217" s="229"/>
      <c r="E1217" s="229"/>
      <c r="F1217" s="229"/>
      <c r="G1217" s="229"/>
      <c r="H1217" s="229"/>
      <c r="I1217" s="222"/>
      <c r="J1217" s="222"/>
      <c r="K1217" s="222"/>
    </row>
    <row r="1218" spans="2:11">
      <c r="B1218" s="228"/>
      <c r="C1218" s="228"/>
      <c r="D1218" s="229"/>
      <c r="E1218" s="229"/>
      <c r="F1218" s="229"/>
      <c r="G1218" s="229"/>
      <c r="H1218" s="229"/>
      <c r="I1218" s="222"/>
      <c r="J1218" s="222"/>
      <c r="K1218" s="222"/>
    </row>
    <row r="1219" spans="2:11">
      <c r="B1219" s="228"/>
      <c r="C1219" s="228"/>
      <c r="D1219" s="229"/>
      <c r="E1219" s="229"/>
      <c r="F1219" s="229"/>
      <c r="G1219" s="229"/>
      <c r="H1219" s="229"/>
      <c r="I1219" s="222"/>
      <c r="J1219" s="222"/>
      <c r="K1219" s="222"/>
    </row>
    <row r="1220" spans="2:11">
      <c r="B1220" s="228"/>
      <c r="C1220" s="228"/>
      <c r="D1220" s="229"/>
      <c r="E1220" s="229"/>
      <c r="F1220" s="229"/>
      <c r="G1220" s="229"/>
      <c r="H1220" s="229"/>
      <c r="I1220" s="222"/>
      <c r="J1220" s="222"/>
      <c r="K1220" s="222"/>
    </row>
    <row r="1221" spans="2:11">
      <c r="B1221" s="228"/>
      <c r="C1221" s="228"/>
      <c r="D1221" s="229"/>
      <c r="E1221" s="229"/>
      <c r="F1221" s="229"/>
      <c r="G1221" s="229"/>
      <c r="H1221" s="229"/>
      <c r="I1221" s="222"/>
      <c r="J1221" s="222"/>
      <c r="K1221" s="222"/>
    </row>
    <row r="1222" spans="2:11">
      <c r="B1222" s="228"/>
      <c r="C1222" s="228"/>
      <c r="D1222" s="229"/>
      <c r="E1222" s="229"/>
      <c r="F1222" s="229"/>
      <c r="G1222" s="229"/>
      <c r="H1222" s="229"/>
      <c r="I1222" s="222"/>
      <c r="J1222" s="222"/>
      <c r="K1222" s="222"/>
    </row>
    <row r="1223" spans="2:11">
      <c r="B1223" s="228"/>
      <c r="C1223" s="228"/>
      <c r="D1223" s="229"/>
      <c r="E1223" s="229"/>
      <c r="F1223" s="229"/>
      <c r="G1223" s="229"/>
      <c r="H1223" s="229"/>
      <c r="I1223" s="222"/>
      <c r="J1223" s="222"/>
      <c r="K1223" s="222"/>
    </row>
    <row r="1224" spans="2:11">
      <c r="B1224" s="228"/>
      <c r="C1224" s="228"/>
      <c r="D1224" s="229"/>
      <c r="E1224" s="229"/>
      <c r="F1224" s="229"/>
      <c r="G1224" s="229"/>
      <c r="H1224" s="229"/>
      <c r="I1224" s="222"/>
      <c r="J1224" s="222"/>
      <c r="K1224" s="222"/>
    </row>
    <row r="1225" spans="2:11">
      <c r="B1225" s="228"/>
      <c r="C1225" s="228"/>
      <c r="D1225" s="229"/>
      <c r="E1225" s="229"/>
      <c r="F1225" s="229"/>
      <c r="G1225" s="229"/>
      <c r="H1225" s="229"/>
      <c r="I1225" s="222"/>
      <c r="J1225" s="222"/>
      <c r="K1225" s="222"/>
    </row>
    <row r="1226" spans="2:11">
      <c r="B1226" s="228"/>
      <c r="C1226" s="228"/>
      <c r="D1226" s="229"/>
      <c r="E1226" s="229"/>
      <c r="F1226" s="229"/>
      <c r="G1226" s="229"/>
      <c r="H1226" s="229"/>
      <c r="I1226" s="222"/>
      <c r="J1226" s="222"/>
      <c r="K1226" s="222"/>
    </row>
    <row r="1227" spans="2:11">
      <c r="B1227" s="228"/>
      <c r="C1227" s="228"/>
      <c r="D1227" s="229"/>
      <c r="E1227" s="229"/>
      <c r="F1227" s="229"/>
      <c r="G1227" s="229"/>
      <c r="H1227" s="229"/>
      <c r="I1227" s="222"/>
      <c r="J1227" s="222"/>
      <c r="K1227" s="222"/>
    </row>
    <row r="1228" spans="2:11">
      <c r="B1228" s="228"/>
      <c r="C1228" s="228"/>
      <c r="D1228" s="229"/>
      <c r="E1228" s="229"/>
      <c r="F1228" s="229"/>
      <c r="G1228" s="229"/>
      <c r="H1228" s="229"/>
      <c r="I1228" s="222"/>
      <c r="J1228" s="222"/>
      <c r="K1228" s="222"/>
    </row>
    <row r="1229" spans="2:11">
      <c r="B1229" s="228"/>
      <c r="C1229" s="228"/>
      <c r="D1229" s="229"/>
      <c r="E1229" s="229"/>
      <c r="F1229" s="229"/>
      <c r="G1229" s="229"/>
      <c r="H1229" s="229"/>
      <c r="I1229" s="222"/>
      <c r="J1229" s="222"/>
      <c r="K1229" s="222"/>
    </row>
    <row r="1230" spans="2:11">
      <c r="B1230" s="228"/>
      <c r="C1230" s="228"/>
      <c r="D1230" s="229"/>
      <c r="E1230" s="229"/>
      <c r="F1230" s="229"/>
      <c r="G1230" s="229"/>
      <c r="H1230" s="229"/>
      <c r="I1230" s="222"/>
      <c r="J1230" s="222"/>
      <c r="K1230" s="222"/>
    </row>
    <row r="1231" spans="2:11">
      <c r="B1231" s="228"/>
      <c r="C1231" s="228"/>
      <c r="D1231" s="229"/>
      <c r="E1231" s="229"/>
      <c r="F1231" s="229"/>
      <c r="G1231" s="229"/>
      <c r="H1231" s="229"/>
      <c r="I1231" s="222"/>
      <c r="J1231" s="222"/>
      <c r="K1231" s="222"/>
    </row>
    <row r="1232" spans="2:11">
      <c r="B1232" s="228"/>
      <c r="C1232" s="228"/>
      <c r="D1232" s="229"/>
      <c r="E1232" s="229"/>
      <c r="F1232" s="229"/>
      <c r="G1232" s="229"/>
      <c r="H1232" s="229"/>
      <c r="I1232" s="222"/>
      <c r="J1232" s="222"/>
      <c r="K1232" s="222"/>
    </row>
    <row r="1233" spans="2:11">
      <c r="B1233" s="228"/>
      <c r="C1233" s="228"/>
      <c r="D1233" s="229"/>
      <c r="E1233" s="229"/>
      <c r="F1233" s="229"/>
      <c r="G1233" s="229"/>
      <c r="H1233" s="229"/>
      <c r="I1233" s="222"/>
      <c r="J1233" s="222"/>
      <c r="K1233" s="222"/>
    </row>
    <row r="1234" spans="2:11">
      <c r="B1234" s="228"/>
      <c r="C1234" s="228"/>
      <c r="D1234" s="229"/>
      <c r="E1234" s="229"/>
      <c r="F1234" s="229"/>
      <c r="G1234" s="229"/>
      <c r="H1234" s="229"/>
      <c r="I1234" s="222"/>
      <c r="J1234" s="222"/>
      <c r="K1234" s="222"/>
    </row>
    <row r="1235" spans="2:11">
      <c r="B1235" s="228"/>
      <c r="C1235" s="228"/>
      <c r="D1235" s="229"/>
      <c r="E1235" s="229"/>
      <c r="F1235" s="229"/>
      <c r="G1235" s="229"/>
      <c r="H1235" s="229"/>
      <c r="I1235" s="222"/>
      <c r="J1235" s="222"/>
      <c r="K1235" s="222"/>
    </row>
    <row r="1236" spans="2:11">
      <c r="B1236" s="228"/>
      <c r="C1236" s="228"/>
      <c r="D1236" s="229"/>
      <c r="E1236" s="229"/>
      <c r="F1236" s="229"/>
      <c r="G1236" s="229"/>
      <c r="H1236" s="229"/>
      <c r="I1236" s="222"/>
      <c r="J1236" s="222"/>
      <c r="K1236" s="222"/>
    </row>
    <row r="1237" spans="2:11">
      <c r="B1237" s="228"/>
      <c r="C1237" s="228"/>
      <c r="D1237" s="229"/>
      <c r="E1237" s="229"/>
      <c r="F1237" s="229"/>
      <c r="G1237" s="229"/>
      <c r="H1237" s="229"/>
      <c r="I1237" s="222"/>
      <c r="J1237" s="222"/>
      <c r="K1237" s="222"/>
    </row>
    <row r="1238" spans="2:11">
      <c r="B1238" s="228"/>
      <c r="C1238" s="228"/>
      <c r="D1238" s="229"/>
      <c r="E1238" s="229"/>
      <c r="F1238" s="229"/>
      <c r="G1238" s="229"/>
      <c r="H1238" s="229"/>
      <c r="I1238" s="222"/>
      <c r="J1238" s="222"/>
      <c r="K1238" s="222"/>
    </row>
    <row r="1239" spans="2:11">
      <c r="B1239" s="228"/>
      <c r="C1239" s="228"/>
      <c r="D1239" s="229"/>
      <c r="E1239" s="229"/>
      <c r="F1239" s="229"/>
      <c r="G1239" s="229"/>
      <c r="H1239" s="229"/>
      <c r="I1239" s="222"/>
      <c r="J1239" s="222"/>
      <c r="K1239" s="222"/>
    </row>
    <row r="1240" spans="2:11">
      <c r="B1240" s="228"/>
      <c r="C1240" s="228"/>
      <c r="D1240" s="229"/>
      <c r="E1240" s="229"/>
      <c r="F1240" s="229"/>
      <c r="G1240" s="229"/>
      <c r="H1240" s="229"/>
      <c r="I1240" s="222"/>
      <c r="J1240" s="222"/>
      <c r="K1240" s="222"/>
    </row>
    <row r="1241" spans="2:11">
      <c r="B1241" s="228"/>
      <c r="C1241" s="228"/>
      <c r="D1241" s="229"/>
      <c r="E1241" s="229"/>
      <c r="F1241" s="229"/>
      <c r="G1241" s="229"/>
      <c r="H1241" s="229"/>
      <c r="I1241" s="222"/>
      <c r="J1241" s="222"/>
      <c r="K1241" s="222"/>
    </row>
    <row r="1242" spans="2:11">
      <c r="B1242" s="228"/>
      <c r="C1242" s="228"/>
      <c r="D1242" s="229"/>
      <c r="E1242" s="229"/>
      <c r="F1242" s="229"/>
      <c r="G1242" s="229"/>
      <c r="H1242" s="229"/>
      <c r="I1242" s="222"/>
      <c r="J1242" s="222"/>
      <c r="K1242" s="222"/>
    </row>
    <row r="1243" spans="2:11">
      <c r="B1243" s="228"/>
      <c r="C1243" s="228"/>
      <c r="D1243" s="229"/>
      <c r="E1243" s="229"/>
      <c r="F1243" s="229"/>
      <c r="G1243" s="229"/>
      <c r="H1243" s="229"/>
      <c r="I1243" s="222"/>
      <c r="J1243" s="222"/>
      <c r="K1243" s="222"/>
    </row>
    <row r="1244" spans="2:11">
      <c r="B1244" s="228"/>
      <c r="C1244" s="228"/>
      <c r="D1244" s="229"/>
      <c r="E1244" s="229"/>
      <c r="F1244" s="229"/>
      <c r="G1244" s="229"/>
      <c r="H1244" s="229"/>
      <c r="I1244" s="222"/>
      <c r="J1244" s="222"/>
      <c r="K1244" s="222"/>
    </row>
    <row r="1245" spans="2:11">
      <c r="B1245" s="228"/>
      <c r="C1245" s="228"/>
      <c r="D1245" s="229"/>
      <c r="E1245" s="229"/>
      <c r="F1245" s="229"/>
      <c r="G1245" s="229"/>
      <c r="H1245" s="229"/>
      <c r="I1245" s="222"/>
      <c r="J1245" s="222"/>
      <c r="K1245" s="222"/>
    </row>
    <row r="1246" spans="2:11">
      <c r="B1246" s="228"/>
      <c r="C1246" s="228"/>
      <c r="D1246" s="229"/>
      <c r="E1246" s="229"/>
      <c r="F1246" s="229"/>
      <c r="G1246" s="229"/>
      <c r="H1246" s="229"/>
      <c r="I1246" s="222"/>
      <c r="J1246" s="222"/>
      <c r="K1246" s="222"/>
    </row>
    <row r="1247" spans="2:11">
      <c r="B1247" s="228"/>
      <c r="C1247" s="228"/>
      <c r="D1247" s="229"/>
      <c r="E1247" s="229"/>
      <c r="F1247" s="229"/>
      <c r="G1247" s="229"/>
      <c r="H1247" s="229"/>
      <c r="I1247" s="222"/>
      <c r="J1247" s="222"/>
      <c r="K1247" s="222"/>
    </row>
    <row r="1248" spans="2:11">
      <c r="B1248" s="228"/>
      <c r="C1248" s="228"/>
      <c r="D1248" s="229"/>
      <c r="E1248" s="229"/>
      <c r="F1248" s="229"/>
      <c r="G1248" s="229"/>
      <c r="H1248" s="229"/>
      <c r="I1248" s="222"/>
      <c r="J1248" s="222"/>
      <c r="K1248" s="222"/>
    </row>
    <row r="1249" spans="2:11">
      <c r="B1249" s="228"/>
      <c r="C1249" s="228"/>
      <c r="D1249" s="229"/>
      <c r="E1249" s="229"/>
      <c r="F1249" s="229"/>
      <c r="G1249" s="229"/>
      <c r="H1249" s="229"/>
      <c r="I1249" s="222"/>
      <c r="J1249" s="222"/>
      <c r="K1249" s="222"/>
    </row>
    <row r="1250" spans="2:11">
      <c r="B1250" s="228"/>
      <c r="C1250" s="228"/>
      <c r="D1250" s="229"/>
      <c r="E1250" s="229"/>
      <c r="F1250" s="229"/>
      <c r="G1250" s="229"/>
      <c r="H1250" s="229"/>
      <c r="I1250" s="222"/>
      <c r="J1250" s="222"/>
      <c r="K1250" s="222"/>
    </row>
    <row r="1251" spans="2:11">
      <c r="B1251" s="228"/>
      <c r="C1251" s="228"/>
      <c r="D1251" s="229"/>
      <c r="E1251" s="229"/>
      <c r="F1251" s="229"/>
      <c r="G1251" s="229"/>
      <c r="H1251" s="229"/>
      <c r="I1251" s="222"/>
      <c r="J1251" s="222"/>
      <c r="K1251" s="222"/>
    </row>
    <row r="1252" spans="2:11">
      <c r="B1252" s="228"/>
      <c r="C1252" s="228"/>
      <c r="D1252" s="229"/>
      <c r="E1252" s="229"/>
      <c r="F1252" s="229"/>
      <c r="G1252" s="229"/>
      <c r="H1252" s="229"/>
      <c r="I1252" s="222"/>
      <c r="J1252" s="222"/>
      <c r="K1252" s="222"/>
    </row>
    <row r="1253" spans="2:11">
      <c r="B1253" s="228"/>
      <c r="C1253" s="228"/>
      <c r="D1253" s="229"/>
      <c r="E1253" s="229"/>
      <c r="F1253" s="229"/>
      <c r="G1253" s="229"/>
      <c r="H1253" s="229"/>
      <c r="I1253" s="222"/>
      <c r="J1253" s="222"/>
      <c r="K1253" s="222"/>
    </row>
    <row r="1254" spans="2:11">
      <c r="B1254" s="228"/>
      <c r="C1254" s="228"/>
      <c r="D1254" s="229"/>
      <c r="E1254" s="229"/>
      <c r="F1254" s="229"/>
      <c r="G1254" s="229"/>
      <c r="H1254" s="229"/>
      <c r="I1254" s="222"/>
      <c r="J1254" s="222"/>
      <c r="K1254" s="222"/>
    </row>
    <row r="1255" spans="2:11">
      <c r="B1255" s="228"/>
      <c r="C1255" s="228"/>
      <c r="D1255" s="229"/>
      <c r="E1255" s="229"/>
      <c r="F1255" s="229"/>
      <c r="G1255" s="229"/>
      <c r="H1255" s="229"/>
      <c r="I1255" s="222"/>
      <c r="J1255" s="222"/>
      <c r="K1255" s="222"/>
    </row>
    <row r="1256" spans="2:11">
      <c r="B1256" s="228"/>
      <c r="C1256" s="228"/>
      <c r="D1256" s="229"/>
      <c r="E1256" s="229"/>
      <c r="F1256" s="229"/>
      <c r="G1256" s="229"/>
      <c r="H1256" s="229"/>
      <c r="I1256" s="222"/>
      <c r="J1256" s="222"/>
      <c r="K1256" s="222"/>
    </row>
    <row r="1257" spans="2:11">
      <c r="B1257" s="228"/>
      <c r="C1257" s="228"/>
      <c r="D1257" s="229"/>
      <c r="E1257" s="229"/>
      <c r="F1257" s="229"/>
      <c r="G1257" s="229"/>
      <c r="H1257" s="229"/>
      <c r="I1257" s="222"/>
      <c r="J1257" s="222"/>
      <c r="K1257" s="222"/>
    </row>
    <row r="1258" spans="2:11">
      <c r="B1258" s="228"/>
      <c r="C1258" s="228"/>
      <c r="D1258" s="229"/>
      <c r="E1258" s="229"/>
      <c r="F1258" s="229"/>
      <c r="G1258" s="229"/>
      <c r="H1258" s="229"/>
      <c r="I1258" s="222"/>
      <c r="J1258" s="222"/>
      <c r="K1258" s="222"/>
    </row>
    <row r="1259" spans="2:11">
      <c r="B1259" s="228"/>
      <c r="C1259" s="228"/>
      <c r="D1259" s="229"/>
      <c r="E1259" s="229"/>
      <c r="F1259" s="229"/>
      <c r="G1259" s="229"/>
      <c r="H1259" s="229"/>
      <c r="I1259" s="222"/>
      <c r="J1259" s="222"/>
      <c r="K1259" s="222"/>
    </row>
    <row r="1260" spans="2:11">
      <c r="B1260" s="228"/>
      <c r="C1260" s="228"/>
      <c r="D1260" s="229"/>
      <c r="E1260" s="229"/>
      <c r="F1260" s="229"/>
      <c r="G1260" s="229"/>
      <c r="H1260" s="229"/>
      <c r="I1260" s="222"/>
      <c r="J1260" s="222"/>
      <c r="K1260" s="222"/>
    </row>
    <row r="1261" spans="2:11">
      <c r="B1261" s="228"/>
      <c r="C1261" s="228"/>
      <c r="D1261" s="229"/>
      <c r="E1261" s="229"/>
      <c r="F1261" s="229"/>
      <c r="G1261" s="229"/>
      <c r="H1261" s="229"/>
      <c r="I1261" s="222"/>
      <c r="J1261" s="222"/>
      <c r="K1261" s="222"/>
    </row>
    <row r="1262" spans="2:11">
      <c r="B1262" s="228"/>
      <c r="C1262" s="228"/>
      <c r="D1262" s="229"/>
      <c r="E1262" s="229"/>
      <c r="F1262" s="229"/>
      <c r="G1262" s="229"/>
      <c r="H1262" s="229"/>
      <c r="I1262" s="222"/>
      <c r="J1262" s="222"/>
      <c r="K1262" s="222"/>
    </row>
    <row r="1263" spans="2:11">
      <c r="B1263" s="228"/>
      <c r="C1263" s="228"/>
      <c r="D1263" s="229"/>
      <c r="E1263" s="229"/>
      <c r="F1263" s="229"/>
      <c r="G1263" s="229"/>
      <c r="H1263" s="229"/>
      <c r="I1263" s="222"/>
      <c r="J1263" s="222"/>
      <c r="K1263" s="222"/>
    </row>
    <row r="1264" spans="2:11">
      <c r="B1264" s="228"/>
      <c r="C1264" s="228"/>
      <c r="D1264" s="229"/>
      <c r="E1264" s="229"/>
      <c r="F1264" s="229"/>
      <c r="G1264" s="229"/>
      <c r="H1264" s="229"/>
      <c r="I1264" s="222"/>
      <c r="J1264" s="222"/>
      <c r="K1264" s="222"/>
    </row>
    <row r="1265" spans="2:11">
      <c r="B1265" s="228"/>
      <c r="C1265" s="228"/>
      <c r="D1265" s="229"/>
      <c r="E1265" s="229"/>
      <c r="F1265" s="229"/>
      <c r="G1265" s="229"/>
      <c r="H1265" s="229"/>
      <c r="I1265" s="222"/>
      <c r="J1265" s="222"/>
      <c r="K1265" s="222"/>
    </row>
    <row r="1266" spans="2:11">
      <c r="B1266" s="228"/>
      <c r="C1266" s="228"/>
      <c r="D1266" s="229"/>
      <c r="E1266" s="229"/>
      <c r="F1266" s="229"/>
      <c r="G1266" s="229"/>
      <c r="H1266" s="229"/>
      <c r="I1266" s="222"/>
      <c r="J1266" s="222"/>
      <c r="K1266" s="222"/>
    </row>
    <row r="1267" spans="2:11">
      <c r="B1267" s="228"/>
      <c r="C1267" s="228"/>
      <c r="D1267" s="229"/>
      <c r="E1267" s="229"/>
      <c r="F1267" s="229"/>
      <c r="G1267" s="229"/>
      <c r="H1267" s="229"/>
      <c r="I1267" s="222"/>
      <c r="J1267" s="222"/>
      <c r="K1267" s="222"/>
    </row>
    <row r="1268" spans="2:11">
      <c r="B1268" s="228"/>
      <c r="C1268" s="228"/>
      <c r="D1268" s="229"/>
      <c r="E1268" s="229"/>
      <c r="F1268" s="229"/>
      <c r="G1268" s="229"/>
      <c r="H1268" s="229"/>
      <c r="I1268" s="222"/>
      <c r="J1268" s="222"/>
      <c r="K1268" s="222"/>
    </row>
    <row r="1269" spans="2:11">
      <c r="B1269" s="228"/>
      <c r="C1269" s="228"/>
      <c r="D1269" s="229"/>
      <c r="E1269" s="229"/>
      <c r="F1269" s="229"/>
      <c r="G1269" s="229"/>
      <c r="H1269" s="229"/>
      <c r="I1269" s="222"/>
      <c r="J1269" s="222"/>
      <c r="K1269" s="222"/>
    </row>
    <row r="1270" spans="2:11">
      <c r="B1270" s="228"/>
      <c r="C1270" s="228"/>
      <c r="D1270" s="229"/>
      <c r="E1270" s="229"/>
      <c r="F1270" s="229"/>
      <c r="G1270" s="229"/>
      <c r="H1270" s="229"/>
      <c r="I1270" s="222"/>
      <c r="J1270" s="222"/>
      <c r="K1270" s="222"/>
    </row>
    <row r="1271" spans="2:11">
      <c r="B1271" s="228"/>
      <c r="C1271" s="228"/>
      <c r="D1271" s="229"/>
      <c r="E1271" s="229"/>
      <c r="F1271" s="229"/>
      <c r="G1271" s="229"/>
      <c r="H1271" s="229"/>
      <c r="I1271" s="222"/>
      <c r="J1271" s="222"/>
      <c r="K1271" s="222"/>
    </row>
    <row r="1272" spans="2:11">
      <c r="B1272" s="228"/>
      <c r="C1272" s="228"/>
      <c r="D1272" s="229"/>
      <c r="E1272" s="229"/>
      <c r="F1272" s="229"/>
      <c r="G1272" s="229"/>
      <c r="H1272" s="229"/>
      <c r="I1272" s="222"/>
      <c r="J1272" s="222"/>
      <c r="K1272" s="222"/>
    </row>
    <row r="1273" spans="2:11">
      <c r="B1273" s="228"/>
      <c r="C1273" s="228"/>
      <c r="D1273" s="229"/>
      <c r="E1273" s="229"/>
      <c r="F1273" s="229"/>
      <c r="G1273" s="229"/>
      <c r="H1273" s="229"/>
      <c r="I1273" s="222"/>
      <c r="J1273" s="222"/>
      <c r="K1273" s="222"/>
    </row>
    <row r="1274" spans="2:11">
      <c r="B1274" s="228"/>
      <c r="C1274" s="228"/>
      <c r="D1274" s="229"/>
      <c r="E1274" s="229"/>
      <c r="F1274" s="229"/>
      <c r="G1274" s="229"/>
      <c r="H1274" s="229"/>
      <c r="I1274" s="222"/>
      <c r="J1274" s="222"/>
      <c r="K1274" s="222"/>
    </row>
    <row r="1275" spans="2:11">
      <c r="B1275" s="228"/>
      <c r="C1275" s="228"/>
      <c r="D1275" s="229"/>
      <c r="E1275" s="229"/>
      <c r="F1275" s="229"/>
      <c r="G1275" s="229"/>
      <c r="H1275" s="229"/>
      <c r="I1275" s="222"/>
      <c r="J1275" s="222"/>
      <c r="K1275" s="222"/>
    </row>
    <row r="1276" spans="2:11">
      <c r="B1276" s="228"/>
      <c r="C1276" s="228"/>
      <c r="D1276" s="229"/>
      <c r="E1276" s="229"/>
      <c r="F1276" s="229"/>
      <c r="G1276" s="229"/>
      <c r="H1276" s="229"/>
      <c r="I1276" s="222"/>
      <c r="J1276" s="222"/>
      <c r="K1276" s="222"/>
    </row>
    <row r="1277" spans="2:11">
      <c r="B1277" s="228"/>
      <c r="C1277" s="228"/>
      <c r="D1277" s="229"/>
      <c r="E1277" s="229"/>
      <c r="F1277" s="229"/>
      <c r="G1277" s="229"/>
      <c r="H1277" s="229"/>
      <c r="I1277" s="222"/>
      <c r="J1277" s="222"/>
      <c r="K1277" s="222"/>
    </row>
    <row r="1278" spans="2:11">
      <c r="B1278" s="228"/>
      <c r="C1278" s="228"/>
      <c r="D1278" s="229"/>
      <c r="E1278" s="229"/>
      <c r="F1278" s="229"/>
      <c r="G1278" s="229"/>
      <c r="H1278" s="229"/>
      <c r="I1278" s="222"/>
      <c r="J1278" s="222"/>
      <c r="K1278" s="222"/>
    </row>
    <row r="1279" spans="2:11">
      <c r="B1279" s="228"/>
      <c r="C1279" s="228"/>
      <c r="D1279" s="229"/>
      <c r="E1279" s="229"/>
      <c r="F1279" s="229"/>
      <c r="G1279" s="229"/>
      <c r="H1279" s="229"/>
      <c r="I1279" s="222"/>
      <c r="J1279" s="222"/>
      <c r="K1279" s="222"/>
    </row>
    <row r="1280" spans="2:11">
      <c r="B1280" s="228"/>
      <c r="C1280" s="228"/>
      <c r="D1280" s="229"/>
      <c r="E1280" s="229"/>
      <c r="F1280" s="229"/>
      <c r="G1280" s="229"/>
      <c r="H1280" s="229"/>
      <c r="I1280" s="222"/>
      <c r="J1280" s="222"/>
      <c r="K1280" s="222"/>
    </row>
    <row r="1281" spans="2:11">
      <c r="B1281" s="228"/>
      <c r="C1281" s="228"/>
      <c r="D1281" s="229"/>
      <c r="E1281" s="229"/>
      <c r="F1281" s="229"/>
      <c r="G1281" s="229"/>
      <c r="H1281" s="229"/>
      <c r="I1281" s="222"/>
      <c r="J1281" s="222"/>
      <c r="K1281" s="222"/>
    </row>
    <row r="1282" spans="2:11">
      <c r="B1282" s="228"/>
      <c r="C1282" s="228"/>
      <c r="D1282" s="229"/>
      <c r="E1282" s="229"/>
      <c r="F1282" s="229"/>
      <c r="G1282" s="229"/>
      <c r="H1282" s="229"/>
      <c r="I1282" s="222"/>
      <c r="J1282" s="222"/>
      <c r="K1282" s="222"/>
    </row>
    <row r="1283" spans="2:11">
      <c r="B1283" s="228"/>
      <c r="C1283" s="228"/>
      <c r="D1283" s="229"/>
      <c r="E1283" s="229"/>
      <c r="F1283" s="229"/>
      <c r="G1283" s="229"/>
      <c r="H1283" s="229"/>
      <c r="I1283" s="222"/>
      <c r="J1283" s="222"/>
      <c r="K1283" s="222"/>
    </row>
    <row r="1284" spans="2:11">
      <c r="B1284" s="228"/>
      <c r="C1284" s="228"/>
      <c r="D1284" s="229"/>
      <c r="E1284" s="229"/>
      <c r="F1284" s="229"/>
      <c r="G1284" s="229"/>
      <c r="H1284" s="229"/>
      <c r="I1284" s="222"/>
      <c r="J1284" s="222"/>
      <c r="K1284" s="222"/>
    </row>
    <row r="1285" spans="2:11">
      <c r="B1285" s="228"/>
      <c r="C1285" s="228"/>
      <c r="D1285" s="229"/>
      <c r="E1285" s="229"/>
      <c r="F1285" s="229"/>
      <c r="G1285" s="229"/>
      <c r="H1285" s="229"/>
      <c r="I1285" s="222"/>
      <c r="J1285" s="222"/>
      <c r="K1285" s="222"/>
    </row>
    <row r="1286" spans="2:11">
      <c r="B1286" s="228"/>
      <c r="C1286" s="228"/>
      <c r="D1286" s="229"/>
      <c r="E1286" s="229"/>
      <c r="F1286" s="229"/>
      <c r="G1286" s="229"/>
      <c r="H1286" s="229"/>
      <c r="I1286" s="222"/>
      <c r="J1286" s="222"/>
      <c r="K1286" s="222"/>
    </row>
    <row r="1287" spans="2:11">
      <c r="B1287" s="228"/>
      <c r="C1287" s="228"/>
      <c r="D1287" s="229"/>
      <c r="E1287" s="229"/>
      <c r="F1287" s="229"/>
      <c r="G1287" s="229"/>
      <c r="H1287" s="229"/>
      <c r="I1287" s="222"/>
      <c r="J1287" s="222"/>
      <c r="K1287" s="222"/>
    </row>
    <row r="1288" spans="2:11">
      <c r="B1288" s="228"/>
      <c r="C1288" s="228"/>
      <c r="D1288" s="229"/>
      <c r="E1288" s="229"/>
      <c r="F1288" s="229"/>
      <c r="G1288" s="229"/>
      <c r="H1288" s="229"/>
      <c r="I1288" s="222"/>
      <c r="J1288" s="222"/>
      <c r="K1288" s="222"/>
    </row>
    <row r="1289" spans="2:11">
      <c r="B1289" s="228"/>
      <c r="C1289" s="228"/>
      <c r="D1289" s="229"/>
      <c r="E1289" s="229"/>
      <c r="F1289" s="229"/>
      <c r="G1289" s="229"/>
      <c r="H1289" s="229"/>
      <c r="I1289" s="222"/>
      <c r="J1289" s="222"/>
      <c r="K1289" s="222"/>
    </row>
    <row r="1290" spans="2:11">
      <c r="B1290" s="228"/>
      <c r="C1290" s="228"/>
      <c r="D1290" s="229"/>
      <c r="E1290" s="229"/>
      <c r="F1290" s="229"/>
      <c r="G1290" s="229"/>
      <c r="H1290" s="229"/>
      <c r="I1290" s="222"/>
      <c r="J1290" s="222"/>
      <c r="K1290" s="222"/>
    </row>
    <row r="1291" spans="2:11">
      <c r="B1291" s="228"/>
      <c r="C1291" s="228"/>
      <c r="D1291" s="229"/>
      <c r="E1291" s="229"/>
      <c r="F1291" s="229"/>
      <c r="G1291" s="229"/>
      <c r="H1291" s="229"/>
      <c r="I1291" s="222"/>
      <c r="J1291" s="222"/>
      <c r="K1291" s="222"/>
    </row>
    <row r="1292" spans="2:11">
      <c r="B1292" s="228"/>
      <c r="C1292" s="228"/>
      <c r="D1292" s="229"/>
      <c r="E1292" s="229"/>
      <c r="F1292" s="229"/>
      <c r="G1292" s="229"/>
      <c r="H1292" s="229"/>
      <c r="I1292" s="222"/>
      <c r="J1292" s="222"/>
      <c r="K1292" s="222"/>
    </row>
    <row r="1293" spans="2:11">
      <c r="B1293" s="228"/>
      <c r="C1293" s="228"/>
      <c r="D1293" s="229"/>
      <c r="E1293" s="229"/>
      <c r="F1293" s="229"/>
      <c r="G1293" s="229"/>
      <c r="H1293" s="229"/>
      <c r="I1293" s="222"/>
      <c r="J1293" s="222"/>
      <c r="K1293" s="222"/>
    </row>
    <row r="1294" spans="2:11">
      <c r="B1294" s="228"/>
      <c r="C1294" s="228"/>
      <c r="D1294" s="229"/>
      <c r="E1294" s="229"/>
      <c r="F1294" s="229"/>
      <c r="G1294" s="229"/>
      <c r="H1294" s="229"/>
      <c r="I1294" s="222"/>
      <c r="J1294" s="222"/>
      <c r="K1294" s="222"/>
    </row>
    <row r="1295" spans="2:11">
      <c r="B1295" s="228"/>
      <c r="C1295" s="228"/>
      <c r="D1295" s="229"/>
      <c r="E1295" s="229"/>
      <c r="F1295" s="229"/>
      <c r="G1295" s="229"/>
      <c r="H1295" s="229"/>
      <c r="I1295" s="222"/>
      <c r="J1295" s="222"/>
      <c r="K1295" s="222"/>
    </row>
    <row r="1296" spans="2:11">
      <c r="B1296" s="228"/>
      <c r="C1296" s="228"/>
      <c r="D1296" s="229"/>
      <c r="E1296" s="229"/>
      <c r="F1296" s="229"/>
      <c r="G1296" s="229"/>
      <c r="H1296" s="229"/>
      <c r="I1296" s="222"/>
      <c r="J1296" s="222"/>
      <c r="K1296" s="222"/>
    </row>
    <row r="1297" spans="2:11">
      <c r="B1297" s="228"/>
      <c r="C1297" s="228"/>
      <c r="D1297" s="229"/>
      <c r="E1297" s="229"/>
      <c r="F1297" s="229"/>
      <c r="G1297" s="229"/>
      <c r="H1297" s="229"/>
      <c r="I1297" s="222"/>
      <c r="J1297" s="222"/>
      <c r="K1297" s="222"/>
    </row>
    <row r="1298" spans="2:11">
      <c r="B1298" s="228"/>
      <c r="C1298" s="228"/>
      <c r="D1298" s="229"/>
      <c r="E1298" s="229"/>
      <c r="F1298" s="229"/>
      <c r="G1298" s="229"/>
      <c r="H1298" s="229"/>
      <c r="I1298" s="222"/>
      <c r="J1298" s="222"/>
      <c r="K1298" s="222"/>
    </row>
    <row r="1299" spans="2:11">
      <c r="B1299" s="228"/>
      <c r="C1299" s="228"/>
      <c r="D1299" s="229"/>
      <c r="E1299" s="229"/>
      <c r="F1299" s="229"/>
      <c r="G1299" s="229"/>
      <c r="H1299" s="229"/>
      <c r="I1299" s="222"/>
      <c r="J1299" s="222"/>
      <c r="K1299" s="222"/>
    </row>
    <row r="1300" spans="2:11">
      <c r="B1300" s="228"/>
      <c r="C1300" s="228"/>
      <c r="D1300" s="229"/>
      <c r="E1300" s="229"/>
      <c r="F1300" s="229"/>
      <c r="G1300" s="229"/>
      <c r="H1300" s="229"/>
      <c r="I1300" s="222"/>
      <c r="J1300" s="222"/>
      <c r="K1300" s="222"/>
    </row>
    <row r="1301" spans="2:11">
      <c r="B1301" s="228"/>
      <c r="C1301" s="228"/>
      <c r="D1301" s="229"/>
      <c r="E1301" s="229"/>
      <c r="F1301" s="229"/>
      <c r="G1301" s="229"/>
      <c r="H1301" s="229"/>
      <c r="I1301" s="222"/>
      <c r="J1301" s="222"/>
      <c r="K1301" s="222"/>
    </row>
    <row r="1302" spans="2:11">
      <c r="B1302" s="228"/>
      <c r="C1302" s="228"/>
      <c r="D1302" s="229"/>
      <c r="E1302" s="229"/>
      <c r="F1302" s="229"/>
      <c r="G1302" s="229"/>
      <c r="H1302" s="229"/>
      <c r="I1302" s="222"/>
      <c r="J1302" s="222"/>
      <c r="K1302" s="222"/>
    </row>
    <row r="1303" spans="2:11">
      <c r="B1303" s="228"/>
      <c r="C1303" s="228"/>
      <c r="D1303" s="229"/>
      <c r="E1303" s="229"/>
      <c r="F1303" s="229"/>
      <c r="G1303" s="229"/>
      <c r="H1303" s="229"/>
      <c r="I1303" s="222"/>
      <c r="J1303" s="222"/>
      <c r="K1303" s="222"/>
    </row>
    <row r="1304" spans="2:11">
      <c r="B1304" s="228"/>
      <c r="C1304" s="228"/>
      <c r="D1304" s="229"/>
      <c r="E1304" s="229"/>
      <c r="F1304" s="229"/>
      <c r="G1304" s="229"/>
      <c r="H1304" s="229"/>
      <c r="I1304" s="222"/>
      <c r="J1304" s="222"/>
      <c r="K1304" s="222"/>
    </row>
    <row r="1305" spans="2:11">
      <c r="B1305" s="228"/>
      <c r="C1305" s="228"/>
      <c r="D1305" s="229"/>
      <c r="E1305" s="229"/>
      <c r="F1305" s="229"/>
      <c r="G1305" s="229"/>
      <c r="H1305" s="229"/>
      <c r="I1305" s="222"/>
      <c r="J1305" s="222"/>
      <c r="K1305" s="222"/>
    </row>
    <row r="1306" spans="2:11">
      <c r="B1306" s="228"/>
      <c r="C1306" s="228"/>
      <c r="D1306" s="229"/>
      <c r="E1306" s="229"/>
      <c r="F1306" s="229"/>
      <c r="G1306" s="229"/>
      <c r="H1306" s="229"/>
      <c r="I1306" s="222"/>
      <c r="J1306" s="222"/>
      <c r="K1306" s="222"/>
    </row>
    <row r="1307" spans="2:11">
      <c r="B1307" s="228"/>
      <c r="C1307" s="228"/>
      <c r="D1307" s="229"/>
      <c r="E1307" s="229"/>
      <c r="F1307" s="229"/>
      <c r="G1307" s="229"/>
      <c r="H1307" s="229"/>
      <c r="I1307" s="222"/>
      <c r="J1307" s="222"/>
      <c r="K1307" s="222"/>
    </row>
    <row r="1308" spans="2:11">
      <c r="B1308" s="228"/>
      <c r="C1308" s="228"/>
      <c r="D1308" s="229"/>
      <c r="E1308" s="229"/>
      <c r="F1308" s="229"/>
      <c r="G1308" s="229"/>
      <c r="H1308" s="229"/>
      <c r="I1308" s="222"/>
      <c r="J1308" s="222"/>
      <c r="K1308" s="222"/>
    </row>
    <row r="1309" spans="2:11">
      <c r="B1309" s="228"/>
      <c r="C1309" s="228"/>
      <c r="D1309" s="229"/>
      <c r="E1309" s="229"/>
      <c r="F1309" s="229"/>
      <c r="G1309" s="229"/>
      <c r="H1309" s="229"/>
      <c r="I1309" s="222"/>
      <c r="J1309" s="222"/>
      <c r="K1309" s="222"/>
    </row>
    <row r="1310" spans="2:11">
      <c r="B1310" s="228"/>
      <c r="C1310" s="228"/>
      <c r="D1310" s="229"/>
      <c r="E1310" s="229"/>
      <c r="F1310" s="229"/>
      <c r="G1310" s="229"/>
      <c r="H1310" s="229"/>
      <c r="I1310" s="222"/>
      <c r="J1310" s="222"/>
      <c r="K1310" s="222"/>
    </row>
    <row r="1311" spans="2:11">
      <c r="B1311" s="228"/>
      <c r="C1311" s="228"/>
      <c r="D1311" s="229"/>
      <c r="E1311" s="229"/>
      <c r="F1311" s="229"/>
      <c r="G1311" s="229"/>
      <c r="H1311" s="229"/>
      <c r="I1311" s="222"/>
      <c r="J1311" s="222"/>
      <c r="K1311" s="222"/>
    </row>
    <row r="1312" spans="2:11">
      <c r="B1312" s="228"/>
      <c r="C1312" s="228"/>
      <c r="D1312" s="229"/>
      <c r="E1312" s="229"/>
      <c r="F1312" s="229"/>
      <c r="G1312" s="229"/>
      <c r="H1312" s="229"/>
      <c r="I1312" s="222"/>
      <c r="J1312" s="222"/>
      <c r="K1312" s="222"/>
    </row>
    <row r="1313" spans="2:11">
      <c r="B1313" s="228"/>
      <c r="C1313" s="228"/>
      <c r="D1313" s="229"/>
      <c r="E1313" s="229"/>
      <c r="F1313" s="229"/>
      <c r="G1313" s="229"/>
      <c r="H1313" s="229"/>
      <c r="I1313" s="222"/>
      <c r="J1313" s="222"/>
      <c r="K1313" s="222"/>
    </row>
    <row r="1314" spans="2:11">
      <c r="B1314" s="228"/>
      <c r="C1314" s="228"/>
      <c r="D1314" s="229"/>
      <c r="E1314" s="229"/>
      <c r="F1314" s="229"/>
      <c r="G1314" s="229"/>
      <c r="H1314" s="229"/>
      <c r="I1314" s="222"/>
      <c r="J1314" s="222"/>
      <c r="K1314" s="222"/>
    </row>
    <row r="1315" spans="2:11">
      <c r="B1315" s="228"/>
      <c r="C1315" s="228"/>
      <c r="D1315" s="229"/>
      <c r="E1315" s="229"/>
      <c r="F1315" s="229"/>
      <c r="G1315" s="229"/>
      <c r="H1315" s="229"/>
      <c r="I1315" s="222"/>
      <c r="J1315" s="222"/>
      <c r="K1315" s="222"/>
    </row>
    <row r="1316" spans="2:11">
      <c r="B1316" s="228"/>
      <c r="C1316" s="228"/>
      <c r="D1316" s="229"/>
      <c r="E1316" s="229"/>
      <c r="F1316" s="229"/>
      <c r="G1316" s="229"/>
      <c r="H1316" s="229"/>
      <c r="I1316" s="222"/>
      <c r="J1316" s="222"/>
      <c r="K1316" s="222"/>
    </row>
    <row r="1317" spans="2:11">
      <c r="B1317" s="228"/>
      <c r="C1317" s="228"/>
      <c r="D1317" s="229"/>
      <c r="E1317" s="229"/>
      <c r="F1317" s="229"/>
      <c r="G1317" s="229"/>
      <c r="H1317" s="229"/>
      <c r="I1317" s="222"/>
      <c r="J1317" s="222"/>
      <c r="K1317" s="222"/>
    </row>
    <row r="1318" spans="2:11">
      <c r="B1318" s="228"/>
      <c r="C1318" s="228"/>
      <c r="D1318" s="229"/>
      <c r="E1318" s="229"/>
      <c r="F1318" s="229"/>
      <c r="G1318" s="229"/>
      <c r="H1318" s="229"/>
      <c r="I1318" s="222"/>
      <c r="J1318" s="222"/>
      <c r="K1318" s="222"/>
    </row>
    <row r="1319" spans="2:11">
      <c r="B1319" s="228"/>
      <c r="C1319" s="228"/>
      <c r="D1319" s="229"/>
      <c r="E1319" s="229"/>
      <c r="F1319" s="229"/>
      <c r="G1319" s="229"/>
      <c r="H1319" s="229"/>
      <c r="I1319" s="222"/>
      <c r="J1319" s="222"/>
      <c r="K1319" s="222"/>
    </row>
    <row r="1320" spans="2:11">
      <c r="B1320" s="228"/>
      <c r="C1320" s="228"/>
      <c r="D1320" s="229"/>
      <c r="E1320" s="229"/>
      <c r="F1320" s="229"/>
      <c r="G1320" s="229"/>
      <c r="H1320" s="229"/>
      <c r="I1320" s="222"/>
      <c r="J1320" s="222"/>
      <c r="K1320" s="222"/>
    </row>
    <row r="1321" spans="2:11">
      <c r="B1321" s="228"/>
      <c r="C1321" s="228"/>
      <c r="D1321" s="229"/>
      <c r="E1321" s="229"/>
      <c r="F1321" s="229"/>
      <c r="G1321" s="229"/>
      <c r="H1321" s="229"/>
      <c r="I1321" s="222"/>
      <c r="J1321" s="222"/>
      <c r="K1321" s="222"/>
    </row>
    <row r="1322" spans="2:11">
      <c r="B1322" s="228"/>
      <c r="C1322" s="228"/>
      <c r="D1322" s="229"/>
      <c r="E1322" s="229"/>
      <c r="F1322" s="229"/>
      <c r="G1322" s="229"/>
      <c r="H1322" s="229"/>
      <c r="I1322" s="222"/>
      <c r="J1322" s="222"/>
      <c r="K1322" s="222"/>
    </row>
    <row r="1323" spans="2:11">
      <c r="B1323" s="228"/>
      <c r="C1323" s="228"/>
      <c r="D1323" s="229"/>
      <c r="E1323" s="229"/>
      <c r="F1323" s="229"/>
      <c r="G1323" s="229"/>
      <c r="H1323" s="229"/>
      <c r="I1323" s="222"/>
      <c r="J1323" s="222"/>
      <c r="K1323" s="222"/>
    </row>
    <row r="1324" spans="2:11">
      <c r="B1324" s="228"/>
      <c r="C1324" s="228"/>
      <c r="D1324" s="229"/>
      <c r="E1324" s="229"/>
      <c r="F1324" s="229"/>
      <c r="G1324" s="229"/>
      <c r="H1324" s="229"/>
      <c r="I1324" s="222"/>
      <c r="J1324" s="222"/>
      <c r="K1324" s="222"/>
    </row>
    <row r="1325" spans="2:11">
      <c r="B1325" s="228"/>
      <c r="C1325" s="228"/>
      <c r="D1325" s="229"/>
      <c r="E1325" s="229"/>
      <c r="F1325" s="229"/>
      <c r="G1325" s="229"/>
      <c r="H1325" s="229"/>
      <c r="I1325" s="222"/>
      <c r="J1325" s="222"/>
      <c r="K1325" s="222"/>
    </row>
    <row r="1326" spans="2:11">
      <c r="B1326" s="228"/>
      <c r="C1326" s="228"/>
      <c r="D1326" s="229"/>
      <c r="E1326" s="229"/>
      <c r="F1326" s="229"/>
      <c r="G1326" s="229"/>
      <c r="H1326" s="229"/>
      <c r="I1326" s="222"/>
      <c r="J1326" s="222"/>
      <c r="K1326" s="222"/>
    </row>
    <row r="1327" spans="2:11">
      <c r="B1327" s="228"/>
      <c r="C1327" s="228"/>
      <c r="D1327" s="229"/>
      <c r="E1327" s="229"/>
      <c r="F1327" s="229"/>
      <c r="G1327" s="229"/>
      <c r="H1327" s="229"/>
      <c r="I1327" s="222"/>
      <c r="J1327" s="222"/>
      <c r="K1327" s="222"/>
    </row>
    <row r="1328" spans="2:11">
      <c r="B1328" s="228"/>
      <c r="C1328" s="228"/>
      <c r="D1328" s="229"/>
      <c r="E1328" s="229"/>
      <c r="F1328" s="229"/>
      <c r="G1328" s="229"/>
      <c r="H1328" s="229"/>
      <c r="I1328" s="222"/>
      <c r="J1328" s="222"/>
      <c r="K1328" s="222"/>
    </row>
    <row r="1329" spans="2:11">
      <c r="B1329" s="228"/>
      <c r="C1329" s="228"/>
      <c r="D1329" s="229"/>
      <c r="E1329" s="229"/>
      <c r="F1329" s="229"/>
      <c r="G1329" s="229"/>
      <c r="H1329" s="229"/>
      <c r="I1329" s="222"/>
      <c r="J1329" s="222"/>
      <c r="K1329" s="222"/>
    </row>
    <row r="1330" spans="2:11">
      <c r="B1330" s="228"/>
      <c r="C1330" s="228"/>
      <c r="D1330" s="229"/>
      <c r="E1330" s="229"/>
      <c r="F1330" s="229"/>
      <c r="G1330" s="229"/>
      <c r="H1330" s="229"/>
      <c r="I1330" s="222"/>
      <c r="J1330" s="222"/>
      <c r="K1330" s="222"/>
    </row>
    <row r="1331" spans="2:11">
      <c r="B1331" s="228"/>
      <c r="C1331" s="228"/>
      <c r="D1331" s="229"/>
      <c r="E1331" s="229"/>
      <c r="F1331" s="229"/>
      <c r="G1331" s="229"/>
      <c r="H1331" s="229"/>
      <c r="I1331" s="222"/>
      <c r="J1331" s="222"/>
      <c r="K1331" s="222"/>
    </row>
    <row r="1332" spans="2:11">
      <c r="B1332" s="228"/>
      <c r="C1332" s="228"/>
      <c r="D1332" s="229"/>
      <c r="E1332" s="229"/>
      <c r="F1332" s="229"/>
      <c r="G1332" s="229"/>
      <c r="H1332" s="229"/>
      <c r="I1332" s="222"/>
      <c r="J1332" s="222"/>
      <c r="K1332" s="222"/>
    </row>
    <row r="1333" spans="2:11">
      <c r="B1333" s="228"/>
      <c r="C1333" s="228"/>
      <c r="D1333" s="229"/>
      <c r="E1333" s="229"/>
      <c r="F1333" s="229"/>
      <c r="G1333" s="229"/>
      <c r="H1333" s="229"/>
      <c r="I1333" s="222"/>
      <c r="J1333" s="222"/>
      <c r="K1333" s="222"/>
    </row>
    <row r="1334" spans="2:11">
      <c r="B1334" s="228"/>
      <c r="C1334" s="228"/>
      <c r="D1334" s="229"/>
      <c r="E1334" s="229"/>
      <c r="F1334" s="229"/>
      <c r="G1334" s="229"/>
      <c r="H1334" s="229"/>
      <c r="I1334" s="222"/>
      <c r="J1334" s="222"/>
      <c r="K1334" s="222"/>
    </row>
    <row r="1335" spans="2:11">
      <c r="B1335" s="228"/>
      <c r="C1335" s="228"/>
      <c r="D1335" s="229"/>
      <c r="E1335" s="229"/>
      <c r="F1335" s="229"/>
      <c r="G1335" s="229"/>
      <c r="H1335" s="229"/>
      <c r="I1335" s="222"/>
      <c r="J1335" s="222"/>
      <c r="K1335" s="222"/>
    </row>
    <row r="1336" spans="2:11">
      <c r="B1336" s="228"/>
      <c r="C1336" s="228"/>
      <c r="D1336" s="229"/>
      <c r="E1336" s="229"/>
      <c r="F1336" s="229"/>
      <c r="G1336" s="229"/>
      <c r="H1336" s="229"/>
      <c r="I1336" s="222"/>
      <c r="J1336" s="222"/>
      <c r="K1336" s="222"/>
    </row>
    <row r="1337" spans="2:11">
      <c r="B1337" s="228"/>
      <c r="C1337" s="228"/>
      <c r="D1337" s="229"/>
      <c r="E1337" s="229"/>
      <c r="F1337" s="229"/>
      <c r="G1337" s="229"/>
      <c r="H1337" s="229"/>
      <c r="I1337" s="222"/>
      <c r="J1337" s="222"/>
      <c r="K1337" s="222"/>
    </row>
    <row r="1338" spans="2:11">
      <c r="B1338" s="228"/>
      <c r="C1338" s="228"/>
      <c r="D1338" s="229"/>
      <c r="E1338" s="229"/>
      <c r="F1338" s="229"/>
      <c r="G1338" s="229"/>
      <c r="H1338" s="229"/>
      <c r="I1338" s="222"/>
      <c r="J1338" s="222"/>
      <c r="K1338" s="222"/>
    </row>
    <row r="1339" spans="2:11">
      <c r="B1339" s="228"/>
      <c r="C1339" s="228"/>
      <c r="D1339" s="229"/>
      <c r="E1339" s="229"/>
      <c r="F1339" s="229"/>
      <c r="G1339" s="229"/>
      <c r="H1339" s="229"/>
      <c r="I1339" s="222"/>
      <c r="J1339" s="222"/>
      <c r="K1339" s="222"/>
    </row>
    <row r="1340" spans="2:11">
      <c r="B1340" s="228"/>
      <c r="C1340" s="228"/>
      <c r="D1340" s="229"/>
      <c r="E1340" s="229"/>
      <c r="F1340" s="229"/>
      <c r="G1340" s="229"/>
      <c r="H1340" s="229"/>
      <c r="I1340" s="222"/>
      <c r="J1340" s="222"/>
      <c r="K1340" s="222"/>
    </row>
    <row r="1341" spans="2:11">
      <c r="B1341" s="228"/>
      <c r="C1341" s="228"/>
      <c r="D1341" s="229"/>
      <c r="E1341" s="229"/>
      <c r="F1341" s="229"/>
      <c r="G1341" s="229"/>
      <c r="H1341" s="229"/>
      <c r="I1341" s="222"/>
      <c r="J1341" s="222"/>
      <c r="K1341" s="222"/>
    </row>
    <row r="1342" spans="2:11">
      <c r="B1342" s="228"/>
      <c r="C1342" s="228"/>
      <c r="D1342" s="229"/>
      <c r="E1342" s="229"/>
      <c r="F1342" s="229"/>
      <c r="G1342" s="229"/>
      <c r="H1342" s="229"/>
      <c r="I1342" s="222"/>
      <c r="J1342" s="222"/>
      <c r="K1342" s="222"/>
    </row>
    <row r="1343" spans="2:11">
      <c r="B1343" s="228"/>
      <c r="C1343" s="228"/>
      <c r="D1343" s="229"/>
      <c r="E1343" s="229"/>
      <c r="F1343" s="229"/>
      <c r="G1343" s="229"/>
      <c r="H1343" s="229"/>
      <c r="I1343" s="222"/>
      <c r="J1343" s="222"/>
      <c r="K1343" s="222"/>
    </row>
    <row r="1344" spans="2:11">
      <c r="B1344" s="228"/>
      <c r="C1344" s="228"/>
      <c r="D1344" s="229"/>
      <c r="E1344" s="229"/>
      <c r="F1344" s="229"/>
      <c r="G1344" s="229"/>
      <c r="H1344" s="229"/>
      <c r="I1344" s="222"/>
      <c r="J1344" s="222"/>
      <c r="K1344" s="222"/>
    </row>
    <row r="1345" spans="2:11">
      <c r="B1345" s="228"/>
      <c r="C1345" s="228"/>
      <c r="D1345" s="229"/>
      <c r="E1345" s="229"/>
      <c r="F1345" s="229"/>
      <c r="G1345" s="229"/>
      <c r="H1345" s="229"/>
      <c r="I1345" s="222"/>
      <c r="J1345" s="222"/>
      <c r="K1345" s="222"/>
    </row>
    <row r="1346" spans="2:11">
      <c r="B1346" s="228"/>
      <c r="C1346" s="228"/>
      <c r="D1346" s="229"/>
      <c r="E1346" s="229"/>
      <c r="F1346" s="229"/>
      <c r="G1346" s="229"/>
      <c r="H1346" s="229"/>
      <c r="I1346" s="222"/>
      <c r="J1346" s="222"/>
      <c r="K1346" s="222"/>
    </row>
    <row r="1347" spans="2:11">
      <c r="B1347" s="228"/>
      <c r="C1347" s="228"/>
      <c r="D1347" s="229"/>
      <c r="E1347" s="229"/>
      <c r="F1347" s="229"/>
      <c r="G1347" s="229"/>
      <c r="H1347" s="229"/>
      <c r="I1347" s="222"/>
      <c r="J1347" s="222"/>
      <c r="K1347" s="222"/>
    </row>
    <row r="1348" spans="2:11">
      <c r="B1348" s="228"/>
      <c r="C1348" s="228"/>
      <c r="D1348" s="229"/>
      <c r="E1348" s="229"/>
      <c r="F1348" s="229"/>
      <c r="G1348" s="229"/>
      <c r="H1348" s="229"/>
      <c r="I1348" s="222"/>
      <c r="J1348" s="222"/>
      <c r="K1348" s="222"/>
    </row>
    <row r="1349" spans="2:11">
      <c r="B1349" s="228"/>
      <c r="C1349" s="228"/>
      <c r="D1349" s="229"/>
      <c r="E1349" s="229"/>
      <c r="F1349" s="229"/>
      <c r="G1349" s="229"/>
      <c r="H1349" s="229"/>
      <c r="I1349" s="222"/>
      <c r="J1349" s="222"/>
      <c r="K1349" s="222"/>
    </row>
    <row r="1350" spans="2:11">
      <c r="B1350" s="228"/>
      <c r="C1350" s="228"/>
      <c r="D1350" s="229"/>
      <c r="E1350" s="229"/>
      <c r="F1350" s="229"/>
      <c r="G1350" s="229"/>
      <c r="H1350" s="229"/>
      <c r="I1350" s="222"/>
      <c r="J1350" s="222"/>
      <c r="K1350" s="222"/>
    </row>
    <row r="1351" spans="2:11">
      <c r="B1351" s="228"/>
      <c r="C1351" s="228"/>
      <c r="D1351" s="229"/>
      <c r="E1351" s="229"/>
      <c r="F1351" s="229"/>
      <c r="G1351" s="229"/>
      <c r="H1351" s="229"/>
      <c r="I1351" s="222"/>
      <c r="J1351" s="222"/>
      <c r="K1351" s="222"/>
    </row>
    <row r="1352" spans="2:11">
      <c r="B1352" s="228"/>
      <c r="C1352" s="228"/>
      <c r="D1352" s="229"/>
      <c r="E1352" s="229"/>
      <c r="F1352" s="229"/>
      <c r="G1352" s="229"/>
      <c r="H1352" s="229"/>
      <c r="I1352" s="222"/>
      <c r="J1352" s="222"/>
      <c r="K1352" s="222"/>
    </row>
    <row r="1353" spans="2:11">
      <c r="B1353" s="228"/>
      <c r="C1353" s="228"/>
      <c r="D1353" s="229"/>
      <c r="E1353" s="229"/>
      <c r="F1353" s="229"/>
      <c r="G1353" s="229"/>
      <c r="H1353" s="229"/>
      <c r="I1353" s="222"/>
      <c r="J1353" s="222"/>
      <c r="K1353" s="222"/>
    </row>
    <row r="1354" spans="2:11">
      <c r="B1354" s="228"/>
      <c r="C1354" s="228"/>
      <c r="D1354" s="229"/>
      <c r="E1354" s="229"/>
      <c r="F1354" s="229"/>
      <c r="G1354" s="229"/>
      <c r="H1354" s="229"/>
      <c r="I1354" s="222"/>
      <c r="J1354" s="222"/>
      <c r="K1354" s="222"/>
    </row>
    <row r="1355" spans="2:11">
      <c r="B1355" s="228"/>
      <c r="C1355" s="228"/>
      <c r="D1355" s="229"/>
      <c r="E1355" s="229"/>
      <c r="F1355" s="229"/>
      <c r="G1355" s="229"/>
      <c r="H1355" s="229"/>
      <c r="I1355" s="222"/>
      <c r="J1355" s="222"/>
      <c r="K1355" s="222"/>
    </row>
    <row r="1356" spans="2:11">
      <c r="B1356" s="228"/>
      <c r="C1356" s="228"/>
      <c r="D1356" s="229"/>
      <c r="E1356" s="229"/>
      <c r="F1356" s="229"/>
      <c r="G1356" s="229"/>
      <c r="H1356" s="229"/>
      <c r="I1356" s="222"/>
      <c r="J1356" s="222"/>
      <c r="K1356" s="222"/>
    </row>
    <row r="1357" spans="2:11">
      <c r="B1357" s="228"/>
      <c r="C1357" s="228"/>
      <c r="D1357" s="229"/>
      <c r="E1357" s="229"/>
      <c r="F1357" s="229"/>
      <c r="G1357" s="229"/>
      <c r="H1357" s="229"/>
      <c r="I1357" s="222"/>
      <c r="J1357" s="222"/>
      <c r="K1357" s="222"/>
    </row>
    <row r="1358" spans="2:11">
      <c r="B1358" s="228"/>
      <c r="C1358" s="228"/>
      <c r="D1358" s="229"/>
      <c r="E1358" s="229"/>
      <c r="F1358" s="229"/>
      <c r="G1358" s="229"/>
      <c r="H1358" s="229"/>
      <c r="I1358" s="222"/>
      <c r="J1358" s="222"/>
      <c r="K1358" s="222"/>
    </row>
    <row r="1359" spans="2:11">
      <c r="B1359" s="228"/>
      <c r="C1359" s="228"/>
      <c r="D1359" s="229"/>
      <c r="E1359" s="229"/>
      <c r="F1359" s="229"/>
      <c r="G1359" s="229"/>
      <c r="H1359" s="229"/>
      <c r="I1359" s="222"/>
      <c r="J1359" s="222"/>
      <c r="K1359" s="222"/>
    </row>
    <row r="1360" spans="2:11">
      <c r="B1360" s="228"/>
      <c r="C1360" s="228"/>
      <c r="D1360" s="229"/>
      <c r="E1360" s="229"/>
      <c r="F1360" s="229"/>
      <c r="G1360" s="229"/>
      <c r="H1360" s="229"/>
      <c r="I1360" s="222"/>
      <c r="J1360" s="222"/>
      <c r="K1360" s="222"/>
    </row>
    <row r="1361" spans="2:11">
      <c r="B1361" s="228"/>
      <c r="C1361" s="228"/>
      <c r="D1361" s="229"/>
      <c r="E1361" s="229"/>
      <c r="F1361" s="229"/>
      <c r="G1361" s="229"/>
      <c r="H1361" s="229"/>
      <c r="I1361" s="222"/>
      <c r="J1361" s="222"/>
      <c r="K1361" s="222"/>
    </row>
    <row r="1362" spans="2:11">
      <c r="B1362" s="228"/>
      <c r="C1362" s="228"/>
      <c r="D1362" s="229"/>
      <c r="E1362" s="229"/>
      <c r="F1362" s="229"/>
      <c r="G1362" s="229"/>
      <c r="H1362" s="229"/>
      <c r="I1362" s="222"/>
      <c r="J1362" s="222"/>
      <c r="K1362" s="222"/>
    </row>
    <row r="1363" spans="2:11">
      <c r="B1363" s="228"/>
      <c r="C1363" s="228"/>
      <c r="D1363" s="229"/>
      <c r="E1363" s="229"/>
      <c r="F1363" s="229"/>
      <c r="G1363" s="229"/>
      <c r="H1363" s="229"/>
      <c r="I1363" s="222"/>
      <c r="J1363" s="222"/>
      <c r="K1363" s="222"/>
    </row>
    <row r="1364" spans="2:11">
      <c r="B1364" s="228"/>
      <c r="C1364" s="228"/>
      <c r="D1364" s="229"/>
      <c r="E1364" s="229"/>
      <c r="F1364" s="229"/>
      <c r="G1364" s="229"/>
      <c r="H1364" s="229"/>
      <c r="I1364" s="222"/>
      <c r="J1364" s="222"/>
      <c r="K1364" s="222"/>
    </row>
    <row r="1365" spans="2:11">
      <c r="B1365" s="228"/>
      <c r="C1365" s="228"/>
      <c r="D1365" s="229"/>
      <c r="E1365" s="229"/>
      <c r="F1365" s="229"/>
      <c r="G1365" s="229"/>
      <c r="H1365" s="229"/>
      <c r="I1365" s="222"/>
      <c r="J1365" s="222"/>
      <c r="K1365" s="222"/>
    </row>
    <row r="1366" spans="2:11">
      <c r="B1366" s="228"/>
      <c r="C1366" s="228"/>
      <c r="D1366" s="229"/>
      <c r="E1366" s="229"/>
      <c r="F1366" s="229"/>
      <c r="G1366" s="229"/>
      <c r="H1366" s="229"/>
      <c r="I1366" s="222"/>
      <c r="J1366" s="222"/>
      <c r="K1366" s="222"/>
    </row>
    <row r="1367" spans="2:11">
      <c r="B1367" s="228"/>
      <c r="C1367" s="228"/>
      <c r="D1367" s="229"/>
      <c r="E1367" s="229"/>
      <c r="F1367" s="229"/>
      <c r="G1367" s="229"/>
      <c r="H1367" s="229"/>
      <c r="I1367" s="222"/>
      <c r="J1367" s="222"/>
      <c r="K1367" s="222"/>
    </row>
    <row r="1368" spans="2:11">
      <c r="B1368" s="228"/>
      <c r="C1368" s="228"/>
      <c r="D1368" s="229"/>
      <c r="E1368" s="229"/>
      <c r="F1368" s="229"/>
      <c r="G1368" s="229"/>
      <c r="H1368" s="229"/>
      <c r="I1368" s="222"/>
      <c r="J1368" s="222"/>
      <c r="K1368" s="222"/>
    </row>
    <row r="1369" spans="2:11">
      <c r="B1369" s="228"/>
      <c r="C1369" s="228"/>
      <c r="D1369" s="229"/>
      <c r="E1369" s="229"/>
      <c r="F1369" s="229"/>
      <c r="G1369" s="229"/>
      <c r="H1369" s="229"/>
      <c r="I1369" s="222"/>
      <c r="J1369" s="222"/>
      <c r="K1369" s="222"/>
    </row>
    <row r="1370" spans="2:11">
      <c r="B1370" s="228"/>
      <c r="C1370" s="228"/>
      <c r="D1370" s="229"/>
      <c r="E1370" s="229"/>
      <c r="F1370" s="229"/>
      <c r="G1370" s="229"/>
      <c r="H1370" s="229"/>
      <c r="I1370" s="222"/>
      <c r="J1370" s="222"/>
      <c r="K1370" s="222"/>
    </row>
    <row r="1371" spans="2:11">
      <c r="B1371" s="228"/>
      <c r="C1371" s="228"/>
      <c r="D1371" s="229"/>
      <c r="E1371" s="229"/>
      <c r="F1371" s="229"/>
      <c r="G1371" s="229"/>
      <c r="H1371" s="229"/>
      <c r="I1371" s="222"/>
      <c r="J1371" s="222"/>
      <c r="K1371" s="222"/>
    </row>
    <row r="1372" spans="2:11">
      <c r="B1372" s="228"/>
      <c r="C1372" s="228"/>
      <c r="D1372" s="229"/>
      <c r="E1372" s="229"/>
      <c r="F1372" s="229"/>
      <c r="G1372" s="229"/>
      <c r="H1372" s="229"/>
      <c r="I1372" s="222"/>
      <c r="J1372" s="222"/>
      <c r="K1372" s="222"/>
    </row>
    <row r="1373" spans="2:11">
      <c r="B1373" s="228"/>
      <c r="C1373" s="228"/>
      <c r="D1373" s="229"/>
      <c r="E1373" s="229"/>
      <c r="F1373" s="229"/>
      <c r="G1373" s="229"/>
      <c r="H1373" s="229"/>
      <c r="I1373" s="222"/>
      <c r="J1373" s="222"/>
      <c r="K1373" s="222"/>
    </row>
    <row r="1374" spans="2:11">
      <c r="B1374" s="228"/>
      <c r="C1374" s="228"/>
      <c r="D1374" s="229"/>
      <c r="E1374" s="229"/>
      <c r="F1374" s="229"/>
      <c r="G1374" s="229"/>
      <c r="H1374" s="229"/>
      <c r="I1374" s="222"/>
      <c r="J1374" s="222"/>
      <c r="K1374" s="222"/>
    </row>
    <row r="1375" spans="2:11">
      <c r="B1375" s="228"/>
      <c r="C1375" s="228"/>
      <c r="D1375" s="229"/>
      <c r="E1375" s="229"/>
      <c r="F1375" s="229"/>
      <c r="G1375" s="229"/>
      <c r="H1375" s="229"/>
      <c r="I1375" s="222"/>
      <c r="J1375" s="222"/>
      <c r="K1375" s="222"/>
    </row>
    <row r="1376" spans="2:11">
      <c r="B1376" s="228"/>
      <c r="C1376" s="228"/>
      <c r="D1376" s="229"/>
      <c r="E1376" s="229"/>
      <c r="F1376" s="229"/>
      <c r="G1376" s="229"/>
      <c r="H1376" s="229"/>
      <c r="I1376" s="222"/>
      <c r="J1376" s="222"/>
      <c r="K1376" s="222"/>
    </row>
    <row r="1377" spans="2:11">
      <c r="B1377" s="228"/>
      <c r="C1377" s="228"/>
      <c r="D1377" s="229"/>
      <c r="E1377" s="229"/>
      <c r="F1377" s="229"/>
      <c r="G1377" s="229"/>
      <c r="H1377" s="229"/>
      <c r="I1377" s="222"/>
      <c r="J1377" s="222"/>
      <c r="K1377" s="222"/>
    </row>
    <row r="1378" spans="2:11">
      <c r="B1378" s="228"/>
      <c r="C1378" s="228"/>
      <c r="D1378" s="229"/>
      <c r="E1378" s="229"/>
      <c r="F1378" s="229"/>
      <c r="G1378" s="229"/>
      <c r="H1378" s="229"/>
      <c r="I1378" s="222"/>
      <c r="J1378" s="222"/>
      <c r="K1378" s="222"/>
    </row>
    <row r="1379" spans="2:11">
      <c r="B1379" s="228"/>
      <c r="C1379" s="228"/>
      <c r="D1379" s="229"/>
      <c r="E1379" s="229"/>
      <c r="F1379" s="229"/>
      <c r="G1379" s="229"/>
      <c r="H1379" s="229"/>
      <c r="I1379" s="222"/>
      <c r="J1379" s="222"/>
      <c r="K1379" s="222"/>
    </row>
    <row r="1380" spans="2:11">
      <c r="B1380" s="228"/>
      <c r="C1380" s="228"/>
      <c r="D1380" s="229"/>
      <c r="E1380" s="229"/>
      <c r="F1380" s="229"/>
      <c r="G1380" s="229"/>
      <c r="H1380" s="229"/>
      <c r="I1380" s="222"/>
      <c r="J1380" s="222"/>
      <c r="K1380" s="222"/>
    </row>
    <row r="1381" spans="2:11">
      <c r="B1381" s="228"/>
      <c r="C1381" s="228"/>
      <c r="D1381" s="229"/>
      <c r="E1381" s="229"/>
      <c r="F1381" s="229"/>
      <c r="G1381" s="229"/>
      <c r="H1381" s="229"/>
      <c r="I1381" s="222"/>
      <c r="J1381" s="222"/>
      <c r="K1381" s="222"/>
    </row>
    <row r="1382" spans="2:11">
      <c r="B1382" s="228"/>
      <c r="C1382" s="228"/>
      <c r="D1382" s="229"/>
      <c r="E1382" s="229"/>
      <c r="F1382" s="229"/>
      <c r="G1382" s="229"/>
      <c r="H1382" s="229"/>
      <c r="I1382" s="222"/>
      <c r="J1382" s="222"/>
      <c r="K1382" s="222"/>
    </row>
    <row r="1383" spans="2:11">
      <c r="B1383" s="228"/>
      <c r="C1383" s="228"/>
      <c r="D1383" s="229"/>
      <c r="E1383" s="229"/>
      <c r="F1383" s="229"/>
      <c r="G1383" s="229"/>
      <c r="H1383" s="229"/>
      <c r="I1383" s="222"/>
      <c r="J1383" s="222"/>
      <c r="K1383" s="222"/>
    </row>
    <row r="1384" spans="2:11">
      <c r="B1384" s="228"/>
      <c r="C1384" s="228"/>
      <c r="D1384" s="229"/>
      <c r="E1384" s="229"/>
      <c r="F1384" s="229"/>
      <c r="G1384" s="229"/>
      <c r="H1384" s="229"/>
      <c r="I1384" s="222"/>
      <c r="J1384" s="222"/>
      <c r="K1384" s="222"/>
    </row>
    <row r="1385" spans="2:11">
      <c r="B1385" s="228"/>
      <c r="C1385" s="228"/>
      <c r="D1385" s="229"/>
      <c r="E1385" s="229"/>
      <c r="F1385" s="229"/>
      <c r="G1385" s="229"/>
      <c r="H1385" s="229"/>
      <c r="I1385" s="222"/>
      <c r="J1385" s="222"/>
      <c r="K1385" s="222"/>
    </row>
    <row r="1386" spans="2:11">
      <c r="B1386" s="228"/>
      <c r="C1386" s="228"/>
      <c r="D1386" s="229"/>
      <c r="E1386" s="229"/>
      <c r="F1386" s="229"/>
      <c r="G1386" s="229"/>
      <c r="H1386" s="229"/>
      <c r="I1386" s="222"/>
      <c r="J1386" s="222"/>
      <c r="K1386" s="222"/>
    </row>
    <row r="1387" spans="2:11">
      <c r="B1387" s="228"/>
      <c r="C1387" s="228"/>
      <c r="D1387" s="229"/>
      <c r="E1387" s="229"/>
      <c r="F1387" s="229"/>
      <c r="G1387" s="229"/>
      <c r="H1387" s="229"/>
      <c r="I1387" s="222"/>
      <c r="J1387" s="222"/>
      <c r="K1387" s="222"/>
    </row>
    <row r="1388" spans="2:11">
      <c r="B1388" s="228"/>
      <c r="C1388" s="228"/>
      <c r="D1388" s="229"/>
      <c r="E1388" s="229"/>
      <c r="F1388" s="229"/>
      <c r="G1388" s="229"/>
      <c r="H1388" s="229"/>
      <c r="I1388" s="222"/>
      <c r="J1388" s="222"/>
      <c r="K1388" s="222"/>
    </row>
    <row r="1389" spans="2:11">
      <c r="B1389" s="228"/>
      <c r="C1389" s="228"/>
      <c r="D1389" s="229"/>
      <c r="E1389" s="229"/>
      <c r="F1389" s="229"/>
      <c r="G1389" s="229"/>
      <c r="H1389" s="229"/>
      <c r="I1389" s="222"/>
      <c r="J1389" s="222"/>
      <c r="K1389" s="222"/>
    </row>
    <row r="1390" spans="2:11">
      <c r="B1390" s="228"/>
      <c r="C1390" s="228"/>
      <c r="D1390" s="229"/>
      <c r="E1390" s="229"/>
      <c r="F1390" s="229"/>
      <c r="G1390" s="229"/>
      <c r="H1390" s="229"/>
      <c r="I1390" s="222"/>
      <c r="J1390" s="222"/>
      <c r="K1390" s="222"/>
    </row>
    <row r="1391" spans="2:11">
      <c r="B1391" s="228"/>
      <c r="C1391" s="228"/>
      <c r="D1391" s="229"/>
      <c r="E1391" s="229"/>
      <c r="F1391" s="229"/>
      <c r="G1391" s="229"/>
      <c r="H1391" s="229"/>
      <c r="I1391" s="222"/>
      <c r="J1391" s="222"/>
      <c r="K1391" s="222"/>
    </row>
    <row r="1392" spans="2:11">
      <c r="B1392" s="228"/>
      <c r="C1392" s="228"/>
      <c r="D1392" s="229"/>
      <c r="E1392" s="229"/>
      <c r="F1392" s="229"/>
      <c r="G1392" s="229"/>
      <c r="H1392" s="229"/>
      <c r="I1392" s="222"/>
      <c r="J1392" s="222"/>
      <c r="K1392" s="222"/>
    </row>
    <row r="1393" spans="2:11">
      <c r="B1393" s="228"/>
      <c r="C1393" s="228"/>
      <c r="D1393" s="229"/>
      <c r="E1393" s="229"/>
      <c r="F1393" s="229"/>
      <c r="G1393" s="229"/>
      <c r="H1393" s="229"/>
      <c r="I1393" s="222"/>
      <c r="J1393" s="222"/>
      <c r="K1393" s="222"/>
    </row>
    <row r="1394" spans="2:11">
      <c r="B1394" s="228"/>
      <c r="C1394" s="228"/>
      <c r="D1394" s="229"/>
      <c r="E1394" s="229"/>
      <c r="F1394" s="229"/>
      <c r="G1394" s="229"/>
      <c r="H1394" s="229"/>
      <c r="I1394" s="222"/>
      <c r="J1394" s="222"/>
      <c r="K1394" s="222"/>
    </row>
    <row r="1395" spans="2:11">
      <c r="B1395" s="228"/>
      <c r="C1395" s="228"/>
      <c r="D1395" s="229"/>
      <c r="E1395" s="229"/>
      <c r="F1395" s="229"/>
      <c r="G1395" s="229"/>
      <c r="H1395" s="229"/>
      <c r="I1395" s="222"/>
      <c r="J1395" s="222"/>
      <c r="K1395" s="222"/>
    </row>
    <row r="1396" spans="2:11">
      <c r="B1396" s="228"/>
      <c r="C1396" s="228"/>
      <c r="D1396" s="229"/>
      <c r="E1396" s="229"/>
      <c r="F1396" s="229"/>
      <c r="G1396" s="229"/>
      <c r="H1396" s="229"/>
      <c r="I1396" s="222"/>
      <c r="J1396" s="222"/>
      <c r="K1396" s="222"/>
    </row>
    <row r="1397" spans="2:11">
      <c r="B1397" s="228"/>
      <c r="C1397" s="228"/>
      <c r="D1397" s="229"/>
      <c r="E1397" s="229"/>
      <c r="F1397" s="229"/>
      <c r="G1397" s="229"/>
      <c r="H1397" s="229"/>
      <c r="I1397" s="222"/>
      <c r="J1397" s="222"/>
      <c r="K1397" s="222"/>
    </row>
    <row r="1398" spans="2:11">
      <c r="B1398" s="228"/>
      <c r="C1398" s="228"/>
      <c r="D1398" s="229"/>
      <c r="E1398" s="229"/>
      <c r="F1398" s="229"/>
      <c r="G1398" s="229"/>
      <c r="H1398" s="229"/>
      <c r="I1398" s="222"/>
      <c r="J1398" s="222"/>
      <c r="K1398" s="222"/>
    </row>
    <row r="1399" spans="2:11">
      <c r="B1399" s="228"/>
      <c r="C1399" s="228"/>
      <c r="D1399" s="229"/>
      <c r="E1399" s="229"/>
      <c r="F1399" s="229"/>
      <c r="G1399" s="229"/>
      <c r="H1399" s="229"/>
      <c r="I1399" s="222"/>
      <c r="J1399" s="222"/>
      <c r="K1399" s="222"/>
    </row>
    <row r="1400" spans="2:11">
      <c r="B1400" s="228"/>
      <c r="C1400" s="228"/>
      <c r="D1400" s="229"/>
      <c r="E1400" s="229"/>
      <c r="F1400" s="229"/>
      <c r="G1400" s="229"/>
      <c r="H1400" s="229"/>
      <c r="I1400" s="222"/>
      <c r="J1400" s="222"/>
      <c r="K1400" s="222"/>
    </row>
    <row r="1401" spans="2:11">
      <c r="B1401" s="228"/>
      <c r="C1401" s="228"/>
      <c r="D1401" s="229"/>
      <c r="E1401" s="229"/>
      <c r="F1401" s="229"/>
      <c r="G1401" s="229"/>
      <c r="H1401" s="229"/>
      <c r="I1401" s="222"/>
      <c r="J1401" s="222"/>
      <c r="K1401" s="222"/>
    </row>
    <row r="1402" spans="2:11">
      <c r="B1402" s="228"/>
      <c r="C1402" s="228"/>
      <c r="D1402" s="229"/>
      <c r="E1402" s="229"/>
      <c r="F1402" s="229"/>
      <c r="G1402" s="229"/>
      <c r="H1402" s="229"/>
      <c r="I1402" s="222"/>
      <c r="J1402" s="222"/>
      <c r="K1402" s="222"/>
    </row>
    <row r="1403" spans="2:11">
      <c r="B1403" s="228"/>
      <c r="C1403" s="228"/>
      <c r="D1403" s="229"/>
      <c r="E1403" s="229"/>
      <c r="F1403" s="229"/>
      <c r="G1403" s="229"/>
      <c r="H1403" s="229"/>
      <c r="I1403" s="222"/>
      <c r="J1403" s="222"/>
      <c r="K1403" s="222"/>
    </row>
    <row r="1404" spans="2:11">
      <c r="B1404" s="228"/>
      <c r="C1404" s="228"/>
      <c r="D1404" s="229"/>
      <c r="E1404" s="229"/>
      <c r="F1404" s="229"/>
      <c r="G1404" s="229"/>
      <c r="H1404" s="229"/>
      <c r="I1404" s="222"/>
      <c r="J1404" s="222"/>
      <c r="K1404" s="222"/>
    </row>
    <row r="1405" spans="2:11">
      <c r="B1405" s="228"/>
      <c r="C1405" s="228"/>
      <c r="D1405" s="229"/>
      <c r="E1405" s="229"/>
      <c r="F1405" s="229"/>
      <c r="G1405" s="229"/>
      <c r="H1405" s="229"/>
      <c r="I1405" s="222"/>
      <c r="J1405" s="222"/>
      <c r="K1405" s="222"/>
    </row>
    <row r="1406" spans="2:11">
      <c r="B1406" s="228"/>
      <c r="C1406" s="228"/>
      <c r="D1406" s="229"/>
      <c r="E1406" s="229"/>
      <c r="F1406" s="229"/>
      <c r="G1406" s="229"/>
      <c r="H1406" s="229"/>
      <c r="I1406" s="222"/>
      <c r="J1406" s="222"/>
      <c r="K1406" s="222"/>
    </row>
    <row r="1407" spans="2:11">
      <c r="B1407" s="228"/>
      <c r="C1407" s="228"/>
      <c r="D1407" s="229"/>
      <c r="E1407" s="229"/>
      <c r="F1407" s="229"/>
      <c r="G1407" s="229"/>
      <c r="H1407" s="229"/>
      <c r="I1407" s="222"/>
      <c r="J1407" s="222"/>
      <c r="K1407" s="222"/>
    </row>
    <row r="1408" spans="2:11">
      <c r="B1408" s="228"/>
      <c r="C1408" s="228"/>
      <c r="D1408" s="229"/>
      <c r="E1408" s="229"/>
      <c r="F1408" s="229"/>
      <c r="G1408" s="229"/>
      <c r="H1408" s="229"/>
      <c r="I1408" s="222"/>
      <c r="J1408" s="222"/>
      <c r="K1408" s="222"/>
    </row>
    <row r="1409" spans="2:11">
      <c r="B1409" s="228"/>
      <c r="C1409" s="228"/>
      <c r="D1409" s="229"/>
      <c r="E1409" s="229"/>
      <c r="F1409" s="229"/>
      <c r="G1409" s="229"/>
      <c r="H1409" s="229"/>
      <c r="I1409" s="222"/>
      <c r="J1409" s="222"/>
      <c r="K1409" s="222"/>
    </row>
    <row r="1410" spans="2:11">
      <c r="B1410" s="228"/>
      <c r="C1410" s="228"/>
      <c r="D1410" s="229"/>
      <c r="E1410" s="229"/>
      <c r="F1410" s="229"/>
      <c r="G1410" s="229"/>
      <c r="H1410" s="229"/>
      <c r="I1410" s="222"/>
      <c r="J1410" s="222"/>
      <c r="K1410" s="222"/>
    </row>
    <row r="1411" spans="2:11">
      <c r="B1411" s="228"/>
      <c r="C1411" s="228"/>
      <c r="D1411" s="229"/>
      <c r="E1411" s="229"/>
      <c r="F1411" s="229"/>
      <c r="G1411" s="229"/>
      <c r="H1411" s="229"/>
      <c r="I1411" s="222"/>
      <c r="J1411" s="222"/>
      <c r="K1411" s="222"/>
    </row>
    <row r="1412" spans="2:11">
      <c r="B1412" s="228"/>
      <c r="C1412" s="228"/>
      <c r="D1412" s="229"/>
      <c r="E1412" s="229"/>
      <c r="F1412" s="229"/>
      <c r="G1412" s="229"/>
      <c r="H1412" s="229"/>
      <c r="I1412" s="222"/>
      <c r="J1412" s="222"/>
      <c r="K1412" s="222"/>
    </row>
    <row r="1413" spans="2:11">
      <c r="B1413" s="228"/>
      <c r="C1413" s="228"/>
      <c r="D1413" s="229"/>
      <c r="E1413" s="229"/>
      <c r="F1413" s="229"/>
      <c r="G1413" s="229"/>
      <c r="H1413" s="229"/>
      <c r="I1413" s="222"/>
      <c r="J1413" s="222"/>
      <c r="K1413" s="222"/>
    </row>
    <row r="1414" spans="2:11">
      <c r="B1414" s="228"/>
      <c r="C1414" s="228"/>
      <c r="D1414" s="229"/>
      <c r="E1414" s="229"/>
      <c r="F1414" s="229"/>
      <c r="G1414" s="229"/>
      <c r="H1414" s="229"/>
      <c r="I1414" s="222"/>
      <c r="J1414" s="222"/>
      <c r="K1414" s="222"/>
    </row>
    <row r="1415" spans="2:11">
      <c r="B1415" s="228"/>
      <c r="C1415" s="228"/>
      <c r="D1415" s="229"/>
      <c r="E1415" s="229"/>
      <c r="F1415" s="229"/>
      <c r="G1415" s="229"/>
      <c r="H1415" s="229"/>
      <c r="I1415" s="222"/>
      <c r="J1415" s="222"/>
      <c r="K1415" s="222"/>
    </row>
    <row r="1416" spans="2:11">
      <c r="B1416" s="228"/>
      <c r="C1416" s="228"/>
      <c r="D1416" s="229"/>
      <c r="E1416" s="229"/>
      <c r="F1416" s="229"/>
      <c r="G1416" s="229"/>
      <c r="H1416" s="229"/>
      <c r="I1416" s="222"/>
      <c r="J1416" s="222"/>
      <c r="K1416" s="222"/>
    </row>
    <row r="1417" spans="2:11">
      <c r="B1417" s="228"/>
      <c r="C1417" s="228"/>
      <c r="D1417" s="229"/>
      <c r="E1417" s="229"/>
      <c r="F1417" s="229"/>
      <c r="G1417" s="229"/>
      <c r="H1417" s="229"/>
      <c r="I1417" s="222"/>
      <c r="J1417" s="222"/>
      <c r="K1417" s="222"/>
    </row>
    <row r="1418" spans="2:11">
      <c r="B1418" s="228"/>
      <c r="C1418" s="228"/>
      <c r="D1418" s="229"/>
      <c r="E1418" s="229"/>
      <c r="F1418" s="229"/>
      <c r="G1418" s="229"/>
      <c r="H1418" s="229"/>
      <c r="I1418" s="222"/>
      <c r="J1418" s="222"/>
      <c r="K1418" s="222"/>
    </row>
    <row r="1419" spans="2:11">
      <c r="B1419" s="228"/>
      <c r="C1419" s="228"/>
      <c r="D1419" s="229"/>
      <c r="E1419" s="229"/>
      <c r="F1419" s="229"/>
      <c r="G1419" s="229"/>
      <c r="H1419" s="229"/>
      <c r="I1419" s="222"/>
      <c r="J1419" s="222"/>
      <c r="K1419" s="222"/>
    </row>
    <row r="1420" spans="2:11">
      <c r="B1420" s="228"/>
      <c r="C1420" s="228"/>
      <c r="D1420" s="229"/>
      <c r="E1420" s="229"/>
      <c r="F1420" s="229"/>
      <c r="G1420" s="229"/>
      <c r="H1420" s="229"/>
      <c r="I1420" s="222"/>
      <c r="J1420" s="222"/>
      <c r="K1420" s="222"/>
    </row>
    <row r="1421" spans="2:11">
      <c r="B1421" s="228"/>
      <c r="C1421" s="228"/>
      <c r="D1421" s="229"/>
      <c r="E1421" s="229"/>
      <c r="F1421" s="229"/>
      <c r="G1421" s="229"/>
      <c r="H1421" s="229"/>
      <c r="I1421" s="222"/>
      <c r="J1421" s="222"/>
      <c r="K1421" s="222"/>
    </row>
    <row r="1422" spans="2:11">
      <c r="B1422" s="228"/>
      <c r="C1422" s="228"/>
      <c r="D1422" s="229"/>
      <c r="E1422" s="229"/>
      <c r="F1422" s="229"/>
      <c r="G1422" s="229"/>
      <c r="H1422" s="229"/>
      <c r="I1422" s="222"/>
      <c r="J1422" s="222"/>
      <c r="K1422" s="222"/>
    </row>
    <row r="1423" spans="2:11">
      <c r="B1423" s="228"/>
      <c r="C1423" s="228"/>
      <c r="D1423" s="229"/>
      <c r="E1423" s="229"/>
      <c r="F1423" s="229"/>
      <c r="G1423" s="229"/>
      <c r="H1423" s="229"/>
      <c r="I1423" s="222"/>
      <c r="J1423" s="222"/>
      <c r="K1423" s="222"/>
    </row>
    <row r="1424" spans="2:11">
      <c r="B1424" s="228"/>
      <c r="C1424" s="228"/>
      <c r="D1424" s="229"/>
      <c r="E1424" s="229"/>
      <c r="F1424" s="229"/>
      <c r="G1424" s="229"/>
      <c r="H1424" s="229"/>
      <c r="I1424" s="222"/>
      <c r="J1424" s="222"/>
      <c r="K1424" s="222"/>
    </row>
    <row r="1425" spans="2:11">
      <c r="B1425" s="228"/>
      <c r="C1425" s="228"/>
      <c r="D1425" s="229"/>
      <c r="E1425" s="229"/>
      <c r="F1425" s="229"/>
      <c r="G1425" s="229"/>
      <c r="H1425" s="229"/>
      <c r="I1425" s="222"/>
      <c r="J1425" s="222"/>
      <c r="K1425" s="222"/>
    </row>
    <row r="1426" spans="2:11">
      <c r="B1426" s="228"/>
      <c r="C1426" s="228"/>
      <c r="D1426" s="229"/>
      <c r="E1426" s="229"/>
      <c r="F1426" s="229"/>
      <c r="G1426" s="229"/>
      <c r="H1426" s="229"/>
      <c r="I1426" s="222"/>
      <c r="J1426" s="222"/>
      <c r="K1426" s="222"/>
    </row>
    <row r="1427" spans="2:11">
      <c r="B1427" s="228"/>
      <c r="C1427" s="228"/>
      <c r="D1427" s="229"/>
      <c r="E1427" s="229"/>
      <c r="F1427" s="229"/>
      <c r="G1427" s="229"/>
      <c r="H1427" s="229"/>
      <c r="I1427" s="222"/>
      <c r="J1427" s="222"/>
      <c r="K1427" s="222"/>
    </row>
    <row r="1428" spans="2:11">
      <c r="B1428" s="228"/>
      <c r="C1428" s="228"/>
      <c r="D1428" s="229"/>
      <c r="E1428" s="229"/>
      <c r="F1428" s="229"/>
      <c r="G1428" s="229"/>
      <c r="H1428" s="229"/>
      <c r="I1428" s="222"/>
      <c r="J1428" s="222"/>
      <c r="K1428" s="222"/>
    </row>
    <row r="1429" spans="2:11">
      <c r="B1429" s="228"/>
      <c r="C1429" s="228"/>
      <c r="D1429" s="229"/>
      <c r="E1429" s="229"/>
      <c r="F1429" s="229"/>
      <c r="G1429" s="229"/>
      <c r="H1429" s="229"/>
      <c r="I1429" s="222"/>
      <c r="J1429" s="222"/>
      <c r="K1429" s="222"/>
    </row>
    <row r="1430" spans="2:11">
      <c r="B1430" s="228"/>
      <c r="C1430" s="228"/>
      <c r="D1430" s="229"/>
      <c r="E1430" s="229"/>
      <c r="F1430" s="229"/>
      <c r="G1430" s="229"/>
      <c r="H1430" s="229"/>
      <c r="I1430" s="222"/>
      <c r="J1430" s="222"/>
      <c r="K1430" s="222"/>
    </row>
    <row r="1431" spans="2:11">
      <c r="B1431" s="228"/>
      <c r="C1431" s="228"/>
      <c r="D1431" s="229"/>
      <c r="E1431" s="229"/>
      <c r="F1431" s="229"/>
      <c r="G1431" s="229"/>
      <c r="H1431" s="229"/>
      <c r="I1431" s="222"/>
      <c r="J1431" s="222"/>
      <c r="K1431" s="222"/>
    </row>
    <row r="1432" spans="2:11">
      <c r="B1432" s="228"/>
      <c r="C1432" s="228"/>
      <c r="D1432" s="229"/>
      <c r="E1432" s="229"/>
      <c r="F1432" s="229"/>
      <c r="G1432" s="229"/>
      <c r="H1432" s="229"/>
      <c r="I1432" s="222"/>
      <c r="J1432" s="222"/>
      <c r="K1432" s="222"/>
    </row>
    <row r="1433" spans="2:11">
      <c r="B1433" s="228"/>
      <c r="C1433" s="228"/>
      <c r="D1433" s="229"/>
      <c r="E1433" s="229"/>
      <c r="F1433" s="229"/>
      <c r="G1433" s="229"/>
      <c r="H1433" s="229"/>
      <c r="I1433" s="222"/>
      <c r="J1433" s="222"/>
      <c r="K1433" s="222"/>
    </row>
    <row r="1434" spans="2:11">
      <c r="B1434" s="228"/>
      <c r="C1434" s="228"/>
      <c r="D1434" s="229"/>
      <c r="E1434" s="229"/>
      <c r="F1434" s="229"/>
      <c r="G1434" s="229"/>
      <c r="H1434" s="229"/>
      <c r="I1434" s="222"/>
      <c r="J1434" s="222"/>
      <c r="K1434" s="222"/>
    </row>
    <row r="1435" spans="2:11">
      <c r="B1435" s="228"/>
      <c r="C1435" s="228"/>
      <c r="D1435" s="229"/>
      <c r="E1435" s="229"/>
      <c r="F1435" s="229"/>
      <c r="G1435" s="229"/>
      <c r="H1435" s="229"/>
      <c r="I1435" s="222"/>
      <c r="J1435" s="222"/>
      <c r="K1435" s="222"/>
    </row>
    <row r="1436" spans="2:11">
      <c r="B1436" s="228"/>
      <c r="C1436" s="228"/>
      <c r="D1436" s="229"/>
      <c r="E1436" s="229"/>
      <c r="F1436" s="229"/>
      <c r="G1436" s="229"/>
      <c r="H1436" s="229"/>
      <c r="I1436" s="222"/>
      <c r="J1436" s="222"/>
      <c r="K1436" s="222"/>
    </row>
    <row r="1437" spans="2:11">
      <c r="B1437" s="228"/>
      <c r="C1437" s="228"/>
      <c r="D1437" s="229"/>
      <c r="E1437" s="229"/>
      <c r="F1437" s="229"/>
      <c r="G1437" s="229"/>
      <c r="H1437" s="229"/>
      <c r="I1437" s="222"/>
      <c r="J1437" s="222"/>
      <c r="K1437" s="222"/>
    </row>
    <row r="1438" spans="2:11">
      <c r="B1438" s="228"/>
      <c r="C1438" s="228"/>
      <c r="D1438" s="229"/>
      <c r="E1438" s="229"/>
      <c r="F1438" s="229"/>
      <c r="G1438" s="229"/>
      <c r="H1438" s="229"/>
      <c r="I1438" s="222"/>
      <c r="J1438" s="222"/>
      <c r="K1438" s="222"/>
    </row>
    <row r="1439" spans="2:11">
      <c r="B1439" s="228"/>
      <c r="C1439" s="228"/>
      <c r="D1439" s="229"/>
      <c r="E1439" s="229"/>
      <c r="F1439" s="229"/>
      <c r="G1439" s="229"/>
      <c r="H1439" s="229"/>
      <c r="I1439" s="222"/>
      <c r="J1439" s="222"/>
      <c r="K1439" s="222"/>
    </row>
    <row r="1440" spans="2:11">
      <c r="B1440" s="228"/>
      <c r="C1440" s="228"/>
      <c r="D1440" s="229"/>
      <c r="E1440" s="229"/>
      <c r="F1440" s="229"/>
      <c r="G1440" s="229"/>
      <c r="H1440" s="229"/>
      <c r="I1440" s="222"/>
      <c r="J1440" s="222"/>
      <c r="K1440" s="222"/>
    </row>
    <row r="1441" spans="2:11">
      <c r="B1441" s="228"/>
      <c r="C1441" s="228"/>
      <c r="D1441" s="229"/>
      <c r="E1441" s="229"/>
      <c r="F1441" s="229"/>
      <c r="G1441" s="229"/>
      <c r="H1441" s="229"/>
      <c r="I1441" s="222"/>
      <c r="J1441" s="222"/>
      <c r="K1441" s="222"/>
    </row>
    <row r="1442" spans="2:11">
      <c r="B1442" s="228"/>
      <c r="C1442" s="228"/>
      <c r="D1442" s="229"/>
      <c r="E1442" s="229"/>
      <c r="F1442" s="229"/>
      <c r="G1442" s="229"/>
      <c r="H1442" s="229"/>
      <c r="I1442" s="222"/>
      <c r="J1442" s="222"/>
      <c r="K1442" s="222"/>
    </row>
    <row r="1443" spans="2:11">
      <c r="B1443" s="228"/>
      <c r="C1443" s="228"/>
      <c r="D1443" s="229"/>
      <c r="E1443" s="229"/>
      <c r="F1443" s="229"/>
      <c r="G1443" s="229"/>
      <c r="H1443" s="229"/>
      <c r="I1443" s="222"/>
      <c r="J1443" s="222"/>
      <c r="K1443" s="222"/>
    </row>
    <row r="1444" spans="2:11">
      <c r="B1444" s="228"/>
      <c r="C1444" s="228"/>
      <c r="D1444" s="229"/>
      <c r="E1444" s="229"/>
      <c r="F1444" s="229"/>
      <c r="G1444" s="229"/>
      <c r="H1444" s="229"/>
      <c r="I1444" s="222"/>
      <c r="J1444" s="222"/>
      <c r="K1444" s="222"/>
    </row>
    <row r="1445" spans="2:11">
      <c r="B1445" s="228"/>
      <c r="C1445" s="228"/>
      <c r="D1445" s="229"/>
      <c r="E1445" s="229"/>
      <c r="F1445" s="229"/>
      <c r="G1445" s="229"/>
      <c r="H1445" s="229"/>
      <c r="I1445" s="222"/>
      <c r="J1445" s="222"/>
      <c r="K1445" s="222"/>
    </row>
    <row r="1446" spans="2:11">
      <c r="B1446" s="228"/>
      <c r="C1446" s="228"/>
      <c r="D1446" s="229"/>
      <c r="E1446" s="229"/>
      <c r="F1446" s="229"/>
      <c r="G1446" s="229"/>
      <c r="H1446" s="229"/>
      <c r="I1446" s="222"/>
      <c r="J1446" s="222"/>
      <c r="K1446" s="222"/>
    </row>
    <row r="1447" spans="2:11">
      <c r="B1447" s="228"/>
      <c r="C1447" s="228"/>
      <c r="D1447" s="229"/>
      <c r="E1447" s="229"/>
      <c r="F1447" s="229"/>
      <c r="G1447" s="229"/>
      <c r="H1447" s="229"/>
      <c r="I1447" s="222"/>
      <c r="J1447" s="222"/>
      <c r="K1447" s="222"/>
    </row>
    <row r="1448" spans="2:11">
      <c r="B1448" s="228"/>
      <c r="C1448" s="228"/>
      <c r="D1448" s="229"/>
      <c r="E1448" s="229"/>
      <c r="F1448" s="229"/>
      <c r="G1448" s="229"/>
      <c r="H1448" s="229"/>
      <c r="I1448" s="222"/>
      <c r="J1448" s="222"/>
      <c r="K1448" s="222"/>
    </row>
    <row r="1449" spans="2:11">
      <c r="B1449" s="228"/>
      <c r="C1449" s="228"/>
      <c r="D1449" s="229"/>
      <c r="E1449" s="229"/>
      <c r="F1449" s="229"/>
      <c r="G1449" s="229"/>
      <c r="H1449" s="229"/>
      <c r="I1449" s="222"/>
      <c r="J1449" s="222"/>
      <c r="K1449" s="222"/>
    </row>
    <row r="1450" spans="2:11">
      <c r="B1450" s="228"/>
      <c r="C1450" s="228"/>
      <c r="D1450" s="229"/>
      <c r="E1450" s="229"/>
      <c r="F1450" s="229"/>
      <c r="G1450" s="229"/>
      <c r="H1450" s="229"/>
      <c r="I1450" s="222"/>
      <c r="J1450" s="222"/>
      <c r="K1450" s="222"/>
    </row>
    <row r="1451" spans="2:11">
      <c r="B1451" s="228"/>
      <c r="C1451" s="228"/>
      <c r="D1451" s="229"/>
      <c r="E1451" s="229"/>
      <c r="F1451" s="229"/>
      <c r="G1451" s="229"/>
      <c r="H1451" s="229"/>
      <c r="I1451" s="222"/>
      <c r="J1451" s="222"/>
      <c r="K1451" s="222"/>
    </row>
    <row r="1452" spans="2:11">
      <c r="B1452" s="228"/>
      <c r="C1452" s="228"/>
      <c r="D1452" s="229"/>
      <c r="E1452" s="229"/>
      <c r="F1452" s="229"/>
      <c r="G1452" s="229"/>
      <c r="H1452" s="229"/>
      <c r="I1452" s="222"/>
      <c r="J1452" s="222"/>
      <c r="K1452" s="222"/>
    </row>
    <row r="1453" spans="2:11">
      <c r="B1453" s="228"/>
      <c r="C1453" s="228"/>
      <c r="D1453" s="229"/>
      <c r="E1453" s="229"/>
      <c r="F1453" s="229"/>
      <c r="G1453" s="229"/>
      <c r="H1453" s="229"/>
      <c r="I1453" s="222"/>
      <c r="J1453" s="222"/>
      <c r="K1453" s="222"/>
    </row>
    <row r="1454" spans="2:11">
      <c r="B1454" s="228"/>
      <c r="C1454" s="228"/>
      <c r="D1454" s="229"/>
      <c r="E1454" s="229"/>
      <c r="F1454" s="229"/>
      <c r="G1454" s="229"/>
      <c r="H1454" s="229"/>
      <c r="I1454" s="222"/>
      <c r="J1454" s="222"/>
      <c r="K1454" s="222"/>
    </row>
    <row r="1455" spans="2:11">
      <c r="B1455" s="228"/>
      <c r="C1455" s="228"/>
      <c r="D1455" s="229"/>
      <c r="E1455" s="229"/>
      <c r="F1455" s="229"/>
      <c r="G1455" s="229"/>
      <c r="H1455" s="229"/>
      <c r="I1455" s="222"/>
      <c r="J1455" s="222"/>
      <c r="K1455" s="222"/>
    </row>
    <row r="1456" spans="2:11">
      <c r="B1456" s="228"/>
      <c r="C1456" s="228"/>
      <c r="D1456" s="229"/>
      <c r="E1456" s="229"/>
      <c r="F1456" s="229"/>
      <c r="G1456" s="229"/>
      <c r="H1456" s="229"/>
      <c r="I1456" s="222"/>
      <c r="J1456" s="222"/>
      <c r="K1456" s="222"/>
    </row>
    <row r="1457" spans="2:11">
      <c r="B1457" s="228"/>
      <c r="C1457" s="228"/>
      <c r="D1457" s="229"/>
      <c r="E1457" s="229"/>
      <c r="F1457" s="229"/>
      <c r="G1457" s="229"/>
      <c r="H1457" s="229"/>
      <c r="I1457" s="222"/>
      <c r="J1457" s="222"/>
      <c r="K1457" s="222"/>
    </row>
    <row r="1458" spans="2:11">
      <c r="B1458" s="228"/>
      <c r="C1458" s="228"/>
      <c r="D1458" s="229"/>
      <c r="E1458" s="229"/>
      <c r="F1458" s="229"/>
      <c r="G1458" s="229"/>
      <c r="H1458" s="229"/>
      <c r="I1458" s="222"/>
      <c r="J1458" s="222"/>
      <c r="K1458" s="222"/>
    </row>
    <row r="1459" spans="2:11">
      <c r="B1459" s="228"/>
      <c r="C1459" s="228"/>
      <c r="D1459" s="229"/>
      <c r="E1459" s="229"/>
      <c r="F1459" s="229"/>
      <c r="G1459" s="229"/>
      <c r="H1459" s="229"/>
      <c r="I1459" s="222"/>
      <c r="J1459" s="222"/>
      <c r="K1459" s="222"/>
    </row>
    <row r="1460" spans="2:11">
      <c r="B1460" s="228"/>
      <c r="C1460" s="228"/>
      <c r="D1460" s="229"/>
      <c r="E1460" s="229"/>
      <c r="F1460" s="229"/>
      <c r="G1460" s="229"/>
      <c r="H1460" s="229"/>
      <c r="I1460" s="222"/>
      <c r="J1460" s="222"/>
      <c r="K1460" s="222"/>
    </row>
    <row r="1461" spans="2:11">
      <c r="B1461" s="228"/>
      <c r="C1461" s="228"/>
      <c r="D1461" s="229"/>
      <c r="E1461" s="229"/>
      <c r="F1461" s="229"/>
      <c r="G1461" s="229"/>
      <c r="H1461" s="229"/>
      <c r="I1461" s="222"/>
      <c r="J1461" s="222"/>
      <c r="K1461" s="222"/>
    </row>
    <row r="1462" spans="2:11">
      <c r="B1462" s="228"/>
      <c r="C1462" s="228"/>
      <c r="D1462" s="229"/>
      <c r="E1462" s="229"/>
      <c r="F1462" s="229"/>
      <c r="G1462" s="229"/>
      <c r="H1462" s="229"/>
      <c r="I1462" s="222"/>
      <c r="J1462" s="222"/>
      <c r="K1462" s="222"/>
    </row>
    <row r="1463" spans="2:11">
      <c r="B1463" s="228"/>
      <c r="C1463" s="228"/>
      <c r="D1463" s="229"/>
      <c r="E1463" s="229"/>
      <c r="F1463" s="229"/>
      <c r="G1463" s="229"/>
      <c r="H1463" s="229"/>
      <c r="I1463" s="222"/>
      <c r="J1463" s="222"/>
      <c r="K1463" s="222"/>
    </row>
    <row r="1464" spans="2:11">
      <c r="B1464" s="228"/>
      <c r="C1464" s="228"/>
      <c r="D1464" s="229"/>
      <c r="E1464" s="229"/>
      <c r="F1464" s="229"/>
      <c r="G1464" s="229"/>
      <c r="H1464" s="229"/>
      <c r="I1464" s="222"/>
      <c r="J1464" s="222"/>
      <c r="K1464" s="222"/>
    </row>
    <row r="1465" spans="2:11">
      <c r="B1465" s="228"/>
      <c r="C1465" s="228"/>
      <c r="D1465" s="229"/>
      <c r="E1465" s="229"/>
      <c r="F1465" s="229"/>
      <c r="G1465" s="229"/>
      <c r="H1465" s="229"/>
      <c r="I1465" s="222"/>
      <c r="J1465" s="222"/>
      <c r="K1465" s="222"/>
    </row>
    <row r="1466" spans="2:11">
      <c r="B1466" s="228"/>
      <c r="C1466" s="228"/>
      <c r="D1466" s="229"/>
      <c r="E1466" s="229"/>
      <c r="F1466" s="229"/>
      <c r="G1466" s="229"/>
      <c r="H1466" s="229"/>
      <c r="I1466" s="222"/>
      <c r="J1466" s="222"/>
      <c r="K1466" s="222"/>
    </row>
    <row r="1467" spans="2:11">
      <c r="B1467" s="228"/>
      <c r="C1467" s="228"/>
      <c r="D1467" s="229"/>
      <c r="E1467" s="229"/>
      <c r="F1467" s="229"/>
      <c r="G1467" s="229"/>
      <c r="H1467" s="229"/>
      <c r="I1467" s="222"/>
      <c r="J1467" s="222"/>
      <c r="K1467" s="222"/>
    </row>
    <row r="1468" spans="2:11">
      <c r="B1468" s="228"/>
      <c r="C1468" s="228"/>
      <c r="D1468" s="229"/>
      <c r="E1468" s="229"/>
      <c r="F1468" s="229"/>
      <c r="G1468" s="229"/>
      <c r="H1468" s="229"/>
      <c r="I1468" s="222"/>
      <c r="J1468" s="222"/>
      <c r="K1468" s="222"/>
    </row>
    <row r="1469" spans="2:11">
      <c r="B1469" s="228"/>
      <c r="C1469" s="228"/>
      <c r="D1469" s="229"/>
      <c r="E1469" s="229"/>
      <c r="F1469" s="229"/>
      <c r="G1469" s="229"/>
      <c r="H1469" s="229"/>
      <c r="I1469" s="222"/>
      <c r="J1469" s="222"/>
      <c r="K1469" s="222"/>
    </row>
    <row r="1470" spans="2:11">
      <c r="B1470" s="228"/>
      <c r="C1470" s="228"/>
      <c r="D1470" s="229"/>
      <c r="E1470" s="229"/>
      <c r="F1470" s="229"/>
      <c r="G1470" s="229"/>
      <c r="H1470" s="229"/>
      <c r="I1470" s="222"/>
      <c r="J1470" s="222"/>
      <c r="K1470" s="222"/>
    </row>
    <row r="1471" spans="2:11">
      <c r="B1471" s="228"/>
      <c r="C1471" s="228"/>
      <c r="D1471" s="229"/>
      <c r="E1471" s="229"/>
      <c r="F1471" s="229"/>
      <c r="G1471" s="229"/>
      <c r="H1471" s="229"/>
      <c r="I1471" s="222"/>
      <c r="J1471" s="222"/>
      <c r="K1471" s="222"/>
    </row>
    <row r="1472" spans="2:11">
      <c r="B1472" s="228"/>
      <c r="C1472" s="228"/>
      <c r="D1472" s="229"/>
      <c r="E1472" s="229"/>
      <c r="F1472" s="229"/>
      <c r="G1472" s="229"/>
      <c r="H1472" s="229"/>
      <c r="I1472" s="222"/>
      <c r="J1472" s="222"/>
      <c r="K1472" s="222"/>
    </row>
    <row r="1473" spans="2:11">
      <c r="B1473" s="228"/>
      <c r="C1473" s="228"/>
      <c r="D1473" s="229"/>
      <c r="E1473" s="229"/>
      <c r="F1473" s="229"/>
      <c r="G1473" s="229"/>
      <c r="H1473" s="229"/>
      <c r="I1473" s="222"/>
      <c r="J1473" s="222"/>
      <c r="K1473" s="222"/>
    </row>
    <row r="1474" spans="2:11">
      <c r="B1474" s="228"/>
      <c r="C1474" s="228"/>
      <c r="D1474" s="229"/>
      <c r="E1474" s="229"/>
      <c r="F1474" s="229"/>
      <c r="G1474" s="229"/>
      <c r="H1474" s="229"/>
      <c r="I1474" s="222"/>
      <c r="J1474" s="222"/>
      <c r="K1474" s="222"/>
    </row>
    <row r="1475" spans="2:11">
      <c r="B1475" s="228"/>
      <c r="C1475" s="228"/>
      <c r="D1475" s="229"/>
      <c r="E1475" s="229"/>
      <c r="F1475" s="229"/>
      <c r="G1475" s="229"/>
      <c r="H1475" s="229"/>
      <c r="I1475" s="222"/>
      <c r="J1475" s="222"/>
      <c r="K1475" s="222"/>
    </row>
    <row r="1476" spans="2:11">
      <c r="B1476" s="228"/>
      <c r="C1476" s="228"/>
      <c r="D1476" s="229"/>
      <c r="E1476" s="229"/>
      <c r="F1476" s="229"/>
      <c r="G1476" s="229"/>
      <c r="H1476" s="229"/>
      <c r="I1476" s="222"/>
      <c r="J1476" s="222"/>
      <c r="K1476" s="222"/>
    </row>
    <row r="1477" spans="2:11">
      <c r="B1477" s="228"/>
      <c r="C1477" s="228"/>
      <c r="D1477" s="229"/>
      <c r="E1477" s="229"/>
      <c r="F1477" s="229"/>
      <c r="G1477" s="229"/>
      <c r="H1477" s="229"/>
      <c r="I1477" s="222"/>
      <c r="J1477" s="222"/>
      <c r="K1477" s="222"/>
    </row>
    <row r="1478" spans="2:11">
      <c r="B1478" s="228"/>
      <c r="C1478" s="228"/>
      <c r="D1478" s="229"/>
      <c r="E1478" s="229"/>
      <c r="F1478" s="229"/>
      <c r="G1478" s="229"/>
      <c r="H1478" s="229"/>
      <c r="I1478" s="222"/>
      <c r="J1478" s="222"/>
      <c r="K1478" s="222"/>
    </row>
    <row r="1479" spans="2:11">
      <c r="B1479" s="228"/>
      <c r="C1479" s="228"/>
      <c r="D1479" s="229"/>
      <c r="E1479" s="229"/>
      <c r="F1479" s="229"/>
      <c r="G1479" s="229"/>
      <c r="H1479" s="229"/>
      <c r="I1479" s="222"/>
      <c r="J1479" s="222"/>
      <c r="K1479" s="222"/>
    </row>
    <row r="1480" spans="2:11">
      <c r="B1480" s="228"/>
      <c r="C1480" s="228"/>
      <c r="D1480" s="229"/>
      <c r="E1480" s="229"/>
      <c r="F1480" s="229"/>
      <c r="G1480" s="229"/>
      <c r="H1480" s="229"/>
      <c r="I1480" s="222"/>
      <c r="J1480" s="222"/>
      <c r="K1480" s="222"/>
    </row>
    <row r="1481" spans="2:11">
      <c r="B1481" s="228"/>
      <c r="C1481" s="228"/>
      <c r="D1481" s="229"/>
      <c r="E1481" s="229"/>
      <c r="F1481" s="229"/>
      <c r="G1481" s="229"/>
      <c r="H1481" s="229"/>
      <c r="I1481" s="222"/>
      <c r="J1481" s="222"/>
      <c r="K1481" s="222"/>
    </row>
    <row r="1482" spans="2:11">
      <c r="B1482" s="228"/>
      <c r="C1482" s="228"/>
      <c r="D1482" s="229"/>
      <c r="E1482" s="229"/>
      <c r="F1482" s="229"/>
      <c r="G1482" s="229"/>
      <c r="H1482" s="229"/>
      <c r="I1482" s="222"/>
      <c r="J1482" s="222"/>
      <c r="K1482" s="222"/>
    </row>
    <row r="1483" spans="2:11">
      <c r="B1483" s="228"/>
      <c r="C1483" s="228"/>
      <c r="D1483" s="229"/>
      <c r="E1483" s="229"/>
      <c r="F1483" s="229"/>
      <c r="G1483" s="229"/>
      <c r="H1483" s="229"/>
      <c r="I1483" s="222"/>
      <c r="J1483" s="222"/>
      <c r="K1483" s="222"/>
    </row>
    <row r="1484" spans="2:11">
      <c r="B1484" s="228"/>
      <c r="C1484" s="228"/>
      <c r="D1484" s="229"/>
      <c r="E1484" s="229"/>
      <c r="F1484" s="229"/>
      <c r="G1484" s="229"/>
      <c r="H1484" s="229"/>
      <c r="I1484" s="222"/>
      <c r="J1484" s="222"/>
      <c r="K1484" s="222"/>
    </row>
    <row r="1485" spans="2:11">
      <c r="B1485" s="228"/>
      <c r="C1485" s="228"/>
      <c r="D1485" s="229"/>
      <c r="E1485" s="229"/>
      <c r="F1485" s="229"/>
      <c r="G1485" s="229"/>
      <c r="H1485" s="229"/>
      <c r="I1485" s="222"/>
      <c r="J1485" s="222"/>
      <c r="K1485" s="222"/>
    </row>
    <row r="1486" spans="2:11">
      <c r="B1486" s="228"/>
      <c r="C1486" s="228"/>
      <c r="D1486" s="229"/>
      <c r="E1486" s="229"/>
      <c r="F1486" s="229"/>
      <c r="G1486" s="229"/>
      <c r="H1486" s="229"/>
      <c r="I1486" s="222"/>
      <c r="J1486" s="222"/>
      <c r="K1486" s="222"/>
    </row>
    <row r="1487" spans="2:11">
      <c r="B1487" s="228"/>
      <c r="C1487" s="228"/>
      <c r="D1487" s="229"/>
      <c r="E1487" s="229"/>
      <c r="F1487" s="229"/>
      <c r="G1487" s="229"/>
      <c r="H1487" s="229"/>
      <c r="I1487" s="222"/>
      <c r="J1487" s="222"/>
      <c r="K1487" s="222"/>
    </row>
    <row r="1488" spans="2:11">
      <c r="B1488" s="228"/>
      <c r="C1488" s="228"/>
      <c r="D1488" s="229"/>
      <c r="E1488" s="229"/>
      <c r="F1488" s="229"/>
      <c r="G1488" s="229"/>
      <c r="H1488" s="229"/>
      <c r="I1488" s="222"/>
      <c r="J1488" s="222"/>
      <c r="K1488" s="222"/>
    </row>
    <row r="1489" spans="2:11">
      <c r="B1489" s="228"/>
      <c r="C1489" s="228"/>
      <c r="D1489" s="229"/>
      <c r="E1489" s="229"/>
      <c r="F1489" s="229"/>
      <c r="G1489" s="229"/>
      <c r="H1489" s="229"/>
      <c r="I1489" s="222"/>
      <c r="J1489" s="222"/>
      <c r="K1489" s="222"/>
    </row>
    <row r="1490" spans="2:11">
      <c r="B1490" s="228"/>
      <c r="C1490" s="228"/>
      <c r="D1490" s="229"/>
      <c r="E1490" s="229"/>
      <c r="F1490" s="229"/>
      <c r="G1490" s="229"/>
      <c r="H1490" s="229"/>
      <c r="I1490" s="222"/>
      <c r="J1490" s="222"/>
      <c r="K1490" s="222"/>
    </row>
    <row r="1491" spans="2:11">
      <c r="B1491" s="228"/>
      <c r="C1491" s="228"/>
      <c r="D1491" s="229"/>
      <c r="E1491" s="229"/>
      <c r="F1491" s="229"/>
      <c r="G1491" s="229"/>
      <c r="H1491" s="229"/>
      <c r="I1491" s="222"/>
      <c r="J1491" s="222"/>
      <c r="K1491" s="222"/>
    </row>
    <row r="1492" spans="2:11">
      <c r="B1492" s="228"/>
      <c r="C1492" s="228"/>
      <c r="D1492" s="229"/>
      <c r="E1492" s="229"/>
      <c r="F1492" s="229"/>
      <c r="G1492" s="229"/>
      <c r="H1492" s="229"/>
      <c r="I1492" s="222"/>
      <c r="J1492" s="222"/>
      <c r="K1492" s="222"/>
    </row>
    <row r="1493" spans="2:11">
      <c r="B1493" s="228"/>
      <c r="C1493" s="228"/>
      <c r="D1493" s="229"/>
      <c r="E1493" s="229"/>
      <c r="F1493" s="229"/>
      <c r="G1493" s="229"/>
      <c r="H1493" s="229"/>
      <c r="I1493" s="222"/>
      <c r="J1493" s="222"/>
      <c r="K1493" s="222"/>
    </row>
    <row r="1494" spans="2:11">
      <c r="B1494" s="228"/>
      <c r="C1494" s="228"/>
      <c r="D1494" s="229"/>
      <c r="E1494" s="229"/>
      <c r="F1494" s="229"/>
      <c r="G1494" s="229"/>
      <c r="H1494" s="229"/>
      <c r="I1494" s="222"/>
      <c r="J1494" s="222"/>
      <c r="K1494" s="222"/>
    </row>
    <row r="1495" spans="2:11">
      <c r="B1495" s="228"/>
      <c r="C1495" s="228"/>
      <c r="D1495" s="229"/>
      <c r="E1495" s="229"/>
      <c r="F1495" s="229"/>
      <c r="G1495" s="229"/>
      <c r="H1495" s="229"/>
      <c r="I1495" s="222"/>
      <c r="J1495" s="222"/>
      <c r="K1495" s="222"/>
    </row>
    <row r="1496" spans="2:11">
      <c r="B1496" s="228"/>
      <c r="C1496" s="228"/>
      <c r="D1496" s="229"/>
      <c r="E1496" s="229"/>
      <c r="F1496" s="229"/>
      <c r="G1496" s="229"/>
      <c r="H1496" s="229"/>
      <c r="I1496" s="222"/>
      <c r="J1496" s="222"/>
      <c r="K1496" s="222"/>
    </row>
    <row r="1497" spans="2:11">
      <c r="B1497" s="228"/>
      <c r="C1497" s="228"/>
      <c r="D1497" s="229"/>
      <c r="E1497" s="229"/>
      <c r="F1497" s="229"/>
      <c r="G1497" s="229"/>
      <c r="H1497" s="229"/>
      <c r="I1497" s="222"/>
      <c r="J1497" s="222"/>
      <c r="K1497" s="222"/>
    </row>
    <row r="1498" spans="2:11">
      <c r="B1498" s="228"/>
      <c r="C1498" s="228"/>
      <c r="D1498" s="229"/>
      <c r="E1498" s="229"/>
      <c r="F1498" s="229"/>
      <c r="G1498" s="229"/>
      <c r="H1498" s="229"/>
      <c r="I1498" s="222"/>
      <c r="J1498" s="222"/>
      <c r="K1498" s="222"/>
    </row>
    <row r="1499" spans="2:11">
      <c r="B1499" s="228"/>
      <c r="C1499" s="228"/>
      <c r="D1499" s="229"/>
      <c r="E1499" s="229"/>
      <c r="F1499" s="229"/>
      <c r="G1499" s="229"/>
      <c r="H1499" s="229"/>
      <c r="I1499" s="222"/>
      <c r="J1499" s="222"/>
      <c r="K1499" s="222"/>
    </row>
    <row r="1500" spans="2:11">
      <c r="B1500" s="228"/>
      <c r="C1500" s="228"/>
      <c r="D1500" s="229"/>
      <c r="E1500" s="229"/>
      <c r="F1500" s="229"/>
      <c r="G1500" s="229"/>
      <c r="H1500" s="229"/>
      <c r="I1500" s="222"/>
      <c r="J1500" s="222"/>
      <c r="K1500" s="222"/>
    </row>
    <row r="1501" spans="2:11">
      <c r="B1501" s="228"/>
      <c r="C1501" s="228"/>
      <c r="D1501" s="229"/>
      <c r="E1501" s="229"/>
      <c r="F1501" s="229"/>
      <c r="G1501" s="229"/>
      <c r="H1501" s="229"/>
      <c r="I1501" s="222"/>
      <c r="J1501" s="222"/>
      <c r="K1501" s="222"/>
    </row>
    <row r="1502" spans="2:11">
      <c r="B1502" s="228"/>
      <c r="C1502" s="228"/>
      <c r="D1502" s="229"/>
      <c r="E1502" s="229"/>
      <c r="F1502" s="229"/>
      <c r="G1502" s="229"/>
      <c r="H1502" s="229"/>
      <c r="I1502" s="222"/>
      <c r="J1502" s="222"/>
      <c r="K1502" s="222"/>
    </row>
    <row r="1503" spans="2:11">
      <c r="B1503" s="228"/>
      <c r="C1503" s="228"/>
      <c r="D1503" s="229"/>
      <c r="E1503" s="229"/>
      <c r="F1503" s="229"/>
      <c r="G1503" s="229"/>
      <c r="H1503" s="229"/>
      <c r="I1503" s="222"/>
      <c r="J1503" s="222"/>
      <c r="K1503" s="222"/>
    </row>
    <row r="1504" spans="2:11">
      <c r="B1504" s="228"/>
      <c r="C1504" s="228"/>
      <c r="D1504" s="229"/>
      <c r="E1504" s="229"/>
      <c r="F1504" s="229"/>
      <c r="G1504" s="229"/>
      <c r="H1504" s="229"/>
      <c r="I1504" s="222"/>
      <c r="J1504" s="222"/>
      <c r="K1504" s="222"/>
    </row>
    <row r="1505" spans="2:11">
      <c r="B1505" s="228"/>
      <c r="C1505" s="228"/>
      <c r="D1505" s="229"/>
      <c r="E1505" s="229"/>
      <c r="F1505" s="229"/>
      <c r="G1505" s="229"/>
      <c r="H1505" s="229"/>
      <c r="I1505" s="222"/>
      <c r="J1505" s="222"/>
      <c r="K1505" s="222"/>
    </row>
    <row r="1506" spans="2:11">
      <c r="B1506" s="228"/>
      <c r="C1506" s="228"/>
      <c r="D1506" s="229"/>
      <c r="E1506" s="229"/>
      <c r="F1506" s="229"/>
      <c r="G1506" s="229"/>
      <c r="H1506" s="229"/>
      <c r="I1506" s="222"/>
      <c r="J1506" s="222"/>
      <c r="K1506" s="222"/>
    </row>
    <row r="1507" spans="2:11">
      <c r="B1507" s="228"/>
      <c r="C1507" s="228"/>
      <c r="D1507" s="229"/>
      <c r="E1507" s="229"/>
      <c r="F1507" s="229"/>
      <c r="G1507" s="229"/>
      <c r="H1507" s="229"/>
      <c r="I1507" s="222"/>
      <c r="J1507" s="222"/>
      <c r="K1507" s="222"/>
    </row>
    <row r="1508" spans="2:11">
      <c r="B1508" s="228"/>
      <c r="C1508" s="228"/>
      <c r="D1508" s="229"/>
      <c r="E1508" s="229"/>
      <c r="F1508" s="229"/>
      <c r="G1508" s="229"/>
      <c r="H1508" s="229"/>
      <c r="I1508" s="222"/>
      <c r="J1508" s="222"/>
      <c r="K1508" s="222"/>
    </row>
    <row r="1509" spans="2:11">
      <c r="B1509" s="228"/>
      <c r="C1509" s="228"/>
      <c r="D1509" s="229"/>
      <c r="E1509" s="229"/>
      <c r="F1509" s="229"/>
      <c r="G1509" s="229"/>
      <c r="H1509" s="229"/>
      <c r="I1509" s="222"/>
      <c r="J1509" s="222"/>
      <c r="K1509" s="222"/>
    </row>
    <row r="1510" spans="2:11">
      <c r="B1510" s="228"/>
      <c r="C1510" s="228"/>
      <c r="D1510" s="229"/>
      <c r="E1510" s="229"/>
      <c r="F1510" s="229"/>
      <c r="G1510" s="229"/>
      <c r="H1510" s="229"/>
      <c r="I1510" s="222"/>
      <c r="J1510" s="222"/>
      <c r="K1510" s="222"/>
    </row>
    <row r="1511" spans="2:11">
      <c r="B1511" s="228"/>
      <c r="C1511" s="228"/>
      <c r="D1511" s="229"/>
      <c r="E1511" s="229"/>
      <c r="F1511" s="229"/>
      <c r="G1511" s="229"/>
      <c r="H1511" s="229"/>
      <c r="I1511" s="222"/>
      <c r="J1511" s="222"/>
      <c r="K1511" s="222"/>
    </row>
    <row r="1512" spans="2:11">
      <c r="B1512" s="228"/>
      <c r="C1512" s="228"/>
      <c r="D1512" s="229"/>
      <c r="E1512" s="229"/>
      <c r="F1512" s="229"/>
      <c r="G1512" s="229"/>
      <c r="H1512" s="229"/>
      <c r="I1512" s="222"/>
      <c r="J1512" s="222"/>
      <c r="K1512" s="222"/>
    </row>
    <row r="1513" spans="2:11">
      <c r="B1513" s="228"/>
      <c r="C1513" s="228"/>
      <c r="D1513" s="229"/>
      <c r="E1513" s="229"/>
      <c r="F1513" s="229"/>
      <c r="G1513" s="229"/>
      <c r="H1513" s="229"/>
      <c r="I1513" s="222"/>
      <c r="J1513" s="222"/>
      <c r="K1513" s="222"/>
    </row>
    <row r="1514" spans="2:11">
      <c r="B1514" s="228"/>
      <c r="C1514" s="228"/>
      <c r="D1514" s="229"/>
      <c r="E1514" s="229"/>
      <c r="F1514" s="229"/>
      <c r="G1514" s="229"/>
      <c r="H1514" s="229"/>
      <c r="I1514" s="222"/>
      <c r="J1514" s="222"/>
      <c r="K1514" s="222"/>
    </row>
    <row r="1515" spans="2:11">
      <c r="B1515" s="228"/>
      <c r="C1515" s="228"/>
      <c r="D1515" s="229"/>
      <c r="E1515" s="229"/>
      <c r="F1515" s="229"/>
      <c r="G1515" s="229"/>
      <c r="H1515" s="229"/>
      <c r="I1515" s="222"/>
      <c r="J1515" s="222"/>
      <c r="K1515" s="222"/>
    </row>
    <row r="1516" spans="2:11">
      <c r="B1516" s="228"/>
      <c r="C1516" s="228"/>
      <c r="D1516" s="229"/>
      <c r="E1516" s="229"/>
      <c r="F1516" s="229"/>
      <c r="G1516" s="229"/>
      <c r="H1516" s="229"/>
      <c r="I1516" s="222"/>
      <c r="J1516" s="222"/>
      <c r="K1516" s="222"/>
    </row>
    <row r="1517" spans="2:11">
      <c r="B1517" s="228"/>
      <c r="C1517" s="228"/>
      <c r="D1517" s="229"/>
      <c r="E1517" s="229"/>
      <c r="F1517" s="229"/>
      <c r="G1517" s="229"/>
      <c r="H1517" s="229"/>
      <c r="I1517" s="222"/>
      <c r="J1517" s="222"/>
      <c r="K1517" s="222"/>
    </row>
    <row r="1518" spans="2:11">
      <c r="B1518" s="228"/>
      <c r="C1518" s="228"/>
      <c r="D1518" s="229"/>
      <c r="E1518" s="229"/>
      <c r="F1518" s="229"/>
      <c r="G1518" s="229"/>
      <c r="H1518" s="229"/>
      <c r="I1518" s="222"/>
      <c r="J1518" s="222"/>
      <c r="K1518" s="222"/>
    </row>
    <row r="1519" spans="2:11">
      <c r="B1519" s="228"/>
      <c r="C1519" s="228"/>
      <c r="D1519" s="229"/>
      <c r="E1519" s="229"/>
      <c r="F1519" s="229"/>
      <c r="G1519" s="229"/>
      <c r="H1519" s="229"/>
      <c r="I1519" s="222"/>
      <c r="J1519" s="222"/>
      <c r="K1519" s="222"/>
    </row>
    <row r="1520" spans="2:11">
      <c r="B1520" s="228"/>
      <c r="C1520" s="228"/>
      <c r="D1520" s="229"/>
      <c r="E1520" s="229"/>
      <c r="F1520" s="229"/>
      <c r="G1520" s="229"/>
      <c r="H1520" s="229"/>
      <c r="I1520" s="222"/>
      <c r="J1520" s="222"/>
      <c r="K1520" s="222"/>
    </row>
    <row r="1521" spans="2:11">
      <c r="B1521" s="228"/>
      <c r="C1521" s="228"/>
      <c r="D1521" s="229"/>
      <c r="E1521" s="229"/>
      <c r="F1521" s="229"/>
      <c r="G1521" s="229"/>
      <c r="H1521" s="229"/>
      <c r="I1521" s="222"/>
      <c r="J1521" s="222"/>
      <c r="K1521" s="222"/>
    </row>
    <row r="1522" spans="2:11">
      <c r="B1522" s="228"/>
      <c r="C1522" s="228"/>
      <c r="D1522" s="229"/>
      <c r="E1522" s="229"/>
      <c r="F1522" s="229"/>
      <c r="G1522" s="229"/>
      <c r="H1522" s="229"/>
      <c r="I1522" s="222"/>
      <c r="J1522" s="222"/>
      <c r="K1522" s="222"/>
    </row>
    <row r="1523" spans="2:11">
      <c r="B1523" s="228"/>
      <c r="C1523" s="228"/>
      <c r="D1523" s="229"/>
      <c r="E1523" s="229"/>
      <c r="F1523" s="229"/>
      <c r="G1523" s="229"/>
      <c r="H1523" s="229"/>
      <c r="I1523" s="222"/>
      <c r="J1523" s="222"/>
      <c r="K1523" s="222"/>
    </row>
    <row r="1524" spans="2:11">
      <c r="B1524" s="228"/>
      <c r="C1524" s="228"/>
      <c r="D1524" s="229"/>
      <c r="E1524" s="229"/>
      <c r="F1524" s="229"/>
      <c r="G1524" s="229"/>
      <c r="H1524" s="229"/>
      <c r="I1524" s="222"/>
      <c r="J1524" s="222"/>
      <c r="K1524" s="222"/>
    </row>
    <row r="1525" spans="2:11">
      <c r="B1525" s="228"/>
      <c r="C1525" s="228"/>
      <c r="D1525" s="229"/>
      <c r="E1525" s="229"/>
      <c r="F1525" s="229"/>
      <c r="G1525" s="229"/>
      <c r="H1525" s="229"/>
      <c r="I1525" s="222"/>
      <c r="J1525" s="222"/>
      <c r="K1525" s="222"/>
    </row>
    <row r="1526" spans="2:11">
      <c r="B1526" s="228"/>
      <c r="C1526" s="228"/>
      <c r="D1526" s="229"/>
      <c r="E1526" s="229"/>
      <c r="F1526" s="229"/>
      <c r="G1526" s="229"/>
      <c r="H1526" s="229"/>
      <c r="I1526" s="222"/>
      <c r="J1526" s="222"/>
      <c r="K1526" s="222"/>
    </row>
    <row r="1527" spans="2:11">
      <c r="B1527" s="228"/>
      <c r="C1527" s="228"/>
      <c r="D1527" s="229"/>
      <c r="E1527" s="229"/>
      <c r="F1527" s="229"/>
      <c r="G1527" s="229"/>
      <c r="H1527" s="229"/>
      <c r="I1527" s="222"/>
      <c r="J1527" s="222"/>
      <c r="K1527" s="222"/>
    </row>
    <row r="1528" spans="2:11">
      <c r="B1528" s="228"/>
      <c r="C1528" s="228"/>
      <c r="D1528" s="229"/>
      <c r="E1528" s="229"/>
      <c r="F1528" s="229"/>
      <c r="G1528" s="229"/>
      <c r="H1528" s="229"/>
      <c r="I1528" s="222"/>
      <c r="J1528" s="222"/>
      <c r="K1528" s="222"/>
    </row>
    <row r="1529" spans="2:11">
      <c r="B1529" s="228"/>
      <c r="C1529" s="228"/>
      <c r="D1529" s="229"/>
      <c r="E1529" s="229"/>
      <c r="F1529" s="229"/>
      <c r="G1529" s="229"/>
      <c r="H1529" s="229"/>
      <c r="I1529" s="222"/>
      <c r="J1529" s="222"/>
      <c r="K1529" s="222"/>
    </row>
    <row r="1530" spans="2:11">
      <c r="B1530" s="228"/>
      <c r="C1530" s="228"/>
      <c r="D1530" s="229"/>
      <c r="E1530" s="229"/>
      <c r="F1530" s="229"/>
      <c r="G1530" s="229"/>
      <c r="H1530" s="229"/>
      <c r="I1530" s="222"/>
      <c r="J1530" s="222"/>
      <c r="K1530" s="222"/>
    </row>
    <row r="1531" spans="2:11">
      <c r="B1531" s="228"/>
      <c r="C1531" s="228"/>
      <c r="D1531" s="229"/>
      <c r="E1531" s="229"/>
      <c r="F1531" s="229"/>
      <c r="G1531" s="229"/>
      <c r="H1531" s="229"/>
      <c r="I1531" s="222"/>
      <c r="J1531" s="222"/>
      <c r="K1531" s="222"/>
    </row>
    <row r="1532" spans="2:11">
      <c r="B1532" s="228"/>
      <c r="C1532" s="228"/>
      <c r="D1532" s="229"/>
      <c r="E1532" s="229"/>
      <c r="F1532" s="229"/>
      <c r="G1532" s="229"/>
      <c r="H1532" s="229"/>
      <c r="I1532" s="222"/>
      <c r="J1532" s="222"/>
      <c r="K1532" s="222"/>
    </row>
    <row r="1533" spans="2:11">
      <c r="B1533" s="228"/>
      <c r="C1533" s="228"/>
      <c r="D1533" s="229"/>
      <c r="E1533" s="229"/>
      <c r="F1533" s="229"/>
      <c r="G1533" s="229"/>
      <c r="H1533" s="229"/>
      <c r="I1533" s="222"/>
      <c r="J1533" s="222"/>
      <c r="K1533" s="222"/>
    </row>
    <row r="1534" spans="2:11">
      <c r="B1534" s="228"/>
      <c r="C1534" s="228"/>
      <c r="D1534" s="229"/>
      <c r="E1534" s="229"/>
      <c r="F1534" s="229"/>
      <c r="G1534" s="229"/>
      <c r="H1534" s="229"/>
      <c r="I1534" s="222"/>
      <c r="J1534" s="222"/>
      <c r="K1534" s="222"/>
    </row>
    <row r="1535" spans="2:11">
      <c r="B1535" s="228"/>
      <c r="C1535" s="228"/>
      <c r="D1535" s="229"/>
      <c r="E1535" s="229"/>
      <c r="F1535" s="229"/>
      <c r="G1535" s="229"/>
      <c r="H1535" s="229"/>
      <c r="I1535" s="222"/>
      <c r="J1535" s="222"/>
      <c r="K1535" s="222"/>
    </row>
    <row r="1536" spans="2:11">
      <c r="B1536" s="228"/>
      <c r="C1536" s="228"/>
      <c r="D1536" s="229"/>
      <c r="E1536" s="229"/>
      <c r="F1536" s="229"/>
      <c r="G1536" s="229"/>
      <c r="H1536" s="229"/>
      <c r="I1536" s="222"/>
      <c r="J1536" s="222"/>
      <c r="K1536" s="222"/>
    </row>
    <row r="1537" spans="2:11">
      <c r="B1537" s="228"/>
      <c r="C1537" s="228"/>
      <c r="D1537" s="229"/>
      <c r="E1537" s="229"/>
      <c r="F1537" s="229"/>
      <c r="G1537" s="229"/>
      <c r="H1537" s="229"/>
      <c r="I1537" s="222"/>
      <c r="J1537" s="222"/>
      <c r="K1537" s="222"/>
    </row>
    <row r="1538" spans="2:11">
      <c r="B1538" s="228"/>
      <c r="C1538" s="228"/>
      <c r="D1538" s="229"/>
      <c r="E1538" s="229"/>
      <c r="F1538" s="229"/>
      <c r="G1538" s="229"/>
      <c r="H1538" s="229"/>
      <c r="I1538" s="222"/>
      <c r="J1538" s="222"/>
      <c r="K1538" s="222"/>
    </row>
    <row r="1539" spans="2:11">
      <c r="B1539" s="228"/>
      <c r="C1539" s="228"/>
      <c r="D1539" s="229"/>
      <c r="E1539" s="229"/>
      <c r="F1539" s="229"/>
      <c r="G1539" s="229"/>
      <c r="H1539" s="229"/>
      <c r="I1539" s="222"/>
      <c r="J1539" s="222"/>
      <c r="K1539" s="222"/>
    </row>
    <row r="1540" spans="2:11">
      <c r="B1540" s="228"/>
      <c r="C1540" s="228"/>
      <c r="D1540" s="229"/>
      <c r="E1540" s="229"/>
      <c r="F1540" s="229"/>
      <c r="G1540" s="229"/>
      <c r="H1540" s="229"/>
      <c r="I1540" s="222"/>
      <c r="J1540" s="222"/>
      <c r="K1540" s="222"/>
    </row>
    <row r="1541" spans="2:11">
      <c r="B1541" s="228"/>
      <c r="C1541" s="228"/>
      <c r="D1541" s="229"/>
      <c r="E1541" s="229"/>
      <c r="F1541" s="229"/>
      <c r="G1541" s="229"/>
      <c r="H1541" s="229"/>
      <c r="I1541" s="222"/>
      <c r="J1541" s="222"/>
      <c r="K1541" s="222"/>
    </row>
    <row r="1542" spans="2:11">
      <c r="B1542" s="228"/>
      <c r="C1542" s="228"/>
      <c r="D1542" s="229"/>
      <c r="E1542" s="229"/>
      <c r="F1542" s="229"/>
      <c r="G1542" s="229"/>
      <c r="H1542" s="229"/>
      <c r="I1542" s="222"/>
      <c r="J1542" s="222"/>
      <c r="K1542" s="222"/>
    </row>
    <row r="1543" spans="2:11">
      <c r="B1543" s="228"/>
      <c r="C1543" s="228"/>
      <c r="D1543" s="229"/>
      <c r="E1543" s="229"/>
      <c r="F1543" s="229"/>
      <c r="G1543" s="229"/>
      <c r="H1543" s="229"/>
      <c r="I1543" s="222"/>
      <c r="J1543" s="222"/>
      <c r="K1543" s="222"/>
    </row>
    <row r="1544" spans="2:11">
      <c r="B1544" s="228"/>
      <c r="C1544" s="228"/>
      <c r="D1544" s="229"/>
      <c r="E1544" s="229"/>
      <c r="F1544" s="229"/>
      <c r="G1544" s="229"/>
      <c r="H1544" s="229"/>
      <c r="I1544" s="222"/>
      <c r="J1544" s="222"/>
      <c r="K1544" s="222"/>
    </row>
    <row r="1545" spans="2:11">
      <c r="B1545" s="228"/>
      <c r="C1545" s="228"/>
      <c r="D1545" s="229"/>
      <c r="E1545" s="229"/>
      <c r="F1545" s="229"/>
      <c r="G1545" s="229"/>
      <c r="H1545" s="229"/>
      <c r="I1545" s="222"/>
      <c r="J1545" s="222"/>
      <c r="K1545" s="222"/>
    </row>
    <row r="1546" spans="2:11">
      <c r="B1546" s="228"/>
      <c r="C1546" s="228"/>
      <c r="D1546" s="229"/>
      <c r="E1546" s="229"/>
      <c r="F1546" s="229"/>
      <c r="G1546" s="229"/>
      <c r="H1546" s="229"/>
      <c r="I1546" s="222"/>
      <c r="J1546" s="222"/>
      <c r="K1546" s="222"/>
    </row>
    <row r="1547" spans="2:11">
      <c r="B1547" s="228"/>
      <c r="C1547" s="228"/>
      <c r="D1547" s="229"/>
      <c r="E1547" s="229"/>
      <c r="F1547" s="229"/>
      <c r="G1547" s="229"/>
      <c r="H1547" s="229"/>
      <c r="I1547" s="222"/>
      <c r="J1547" s="222"/>
      <c r="K1547" s="222"/>
    </row>
    <row r="1548" spans="2:11">
      <c r="B1548" s="228"/>
      <c r="C1548" s="228"/>
      <c r="D1548" s="229"/>
      <c r="E1548" s="229"/>
      <c r="F1548" s="229"/>
      <c r="G1548" s="229"/>
      <c r="H1548" s="229"/>
      <c r="I1548" s="222"/>
      <c r="J1548" s="222"/>
      <c r="K1548" s="222"/>
    </row>
    <row r="1549" spans="2:11">
      <c r="B1549" s="228"/>
      <c r="C1549" s="228"/>
      <c r="D1549" s="229"/>
      <c r="E1549" s="229"/>
      <c r="F1549" s="229"/>
      <c r="G1549" s="229"/>
      <c r="H1549" s="229"/>
      <c r="I1549" s="222"/>
      <c r="J1549" s="222"/>
      <c r="K1549" s="222"/>
    </row>
    <row r="1550" spans="2:11">
      <c r="B1550" s="228"/>
      <c r="C1550" s="228"/>
      <c r="D1550" s="229"/>
      <c r="E1550" s="229"/>
      <c r="F1550" s="229"/>
      <c r="G1550" s="229"/>
      <c r="H1550" s="229"/>
      <c r="I1550" s="222"/>
      <c r="J1550" s="222"/>
      <c r="K1550" s="222"/>
    </row>
    <row r="1551" spans="2:11">
      <c r="B1551" s="228"/>
      <c r="C1551" s="228"/>
      <c r="D1551" s="229"/>
      <c r="E1551" s="229"/>
      <c r="F1551" s="229"/>
      <c r="G1551" s="229"/>
      <c r="H1551" s="229"/>
      <c r="I1551" s="222"/>
      <c r="J1551" s="222"/>
      <c r="K1551" s="222"/>
    </row>
    <row r="1552" spans="2:11">
      <c r="B1552" s="228"/>
      <c r="C1552" s="228"/>
      <c r="D1552" s="229"/>
      <c r="E1552" s="229"/>
      <c r="F1552" s="229"/>
      <c r="G1552" s="229"/>
      <c r="H1552" s="229"/>
      <c r="I1552" s="222"/>
      <c r="J1552" s="222"/>
      <c r="K1552" s="222"/>
    </row>
    <row r="1553" spans="2:11">
      <c r="B1553" s="228"/>
      <c r="C1553" s="228"/>
      <c r="D1553" s="229"/>
      <c r="E1553" s="229"/>
      <c r="F1553" s="229"/>
      <c r="G1553" s="229"/>
      <c r="H1553" s="229"/>
      <c r="I1553" s="222"/>
      <c r="J1553" s="222"/>
      <c r="K1553" s="222"/>
    </row>
    <row r="1554" spans="2:11">
      <c r="B1554" s="228"/>
      <c r="C1554" s="228"/>
      <c r="D1554" s="229"/>
      <c r="E1554" s="229"/>
      <c r="F1554" s="229"/>
      <c r="G1554" s="229"/>
      <c r="H1554" s="229"/>
      <c r="I1554" s="222"/>
      <c r="J1554" s="222"/>
      <c r="K1554" s="222"/>
    </row>
    <row r="1555" spans="2:11">
      <c r="B1555" s="228"/>
      <c r="C1555" s="228"/>
      <c r="D1555" s="229"/>
      <c r="E1555" s="229"/>
      <c r="F1555" s="229"/>
      <c r="G1555" s="229"/>
      <c r="H1555" s="229"/>
      <c r="I1555" s="222"/>
      <c r="J1555" s="222"/>
      <c r="K1555" s="222"/>
    </row>
    <row r="1556" spans="2:11">
      <c r="B1556" s="228"/>
      <c r="C1556" s="228"/>
      <c r="D1556" s="229"/>
      <c r="E1556" s="229"/>
      <c r="F1556" s="229"/>
      <c r="G1556" s="229"/>
      <c r="H1556" s="229"/>
      <c r="I1556" s="222"/>
      <c r="J1556" s="222"/>
      <c r="K1556" s="222"/>
    </row>
    <row r="1557" spans="2:11">
      <c r="B1557" s="228"/>
      <c r="C1557" s="228"/>
      <c r="D1557" s="229"/>
      <c r="E1557" s="229"/>
      <c r="F1557" s="229"/>
      <c r="G1557" s="229"/>
      <c r="H1557" s="229"/>
      <c r="I1557" s="222"/>
      <c r="J1557" s="222"/>
      <c r="K1557" s="222"/>
    </row>
    <row r="1558" spans="2:11">
      <c r="B1558" s="228"/>
      <c r="C1558" s="228"/>
      <c r="D1558" s="229"/>
      <c r="E1558" s="229"/>
      <c r="F1558" s="229"/>
      <c r="G1558" s="229"/>
      <c r="H1558" s="229"/>
      <c r="I1558" s="222"/>
      <c r="J1558" s="222"/>
      <c r="K1558" s="222"/>
    </row>
    <row r="1559" spans="2:11">
      <c r="B1559" s="228"/>
      <c r="C1559" s="228"/>
      <c r="D1559" s="229"/>
      <c r="E1559" s="229"/>
      <c r="F1559" s="229"/>
      <c r="G1559" s="229"/>
      <c r="H1559" s="229"/>
      <c r="I1559" s="222"/>
      <c r="J1559" s="222"/>
      <c r="K1559" s="222"/>
    </row>
    <row r="1560" spans="2:11">
      <c r="B1560" s="228"/>
      <c r="C1560" s="228"/>
      <c r="D1560" s="229"/>
      <c r="E1560" s="229"/>
      <c r="F1560" s="229"/>
      <c r="G1560" s="229"/>
      <c r="H1560" s="229"/>
      <c r="I1560" s="222"/>
      <c r="J1560" s="222"/>
      <c r="K1560" s="222"/>
    </row>
    <row r="1561" spans="2:11">
      <c r="B1561" s="228"/>
      <c r="C1561" s="228"/>
      <c r="D1561" s="229"/>
      <c r="E1561" s="229"/>
      <c r="F1561" s="229"/>
      <c r="G1561" s="229"/>
      <c r="H1561" s="229"/>
      <c r="I1561" s="222"/>
      <c r="J1561" s="222"/>
      <c r="K1561" s="222"/>
    </row>
    <row r="1562" spans="2:11">
      <c r="B1562" s="228"/>
      <c r="C1562" s="228"/>
      <c r="D1562" s="229"/>
      <c r="E1562" s="229"/>
      <c r="F1562" s="229"/>
      <c r="G1562" s="229"/>
      <c r="H1562" s="229"/>
      <c r="I1562" s="222"/>
      <c r="J1562" s="222"/>
      <c r="K1562" s="222"/>
    </row>
    <row r="1563" spans="2:11">
      <c r="B1563" s="228"/>
      <c r="C1563" s="228"/>
      <c r="D1563" s="229"/>
      <c r="E1563" s="229"/>
      <c r="F1563" s="229"/>
      <c r="G1563" s="229"/>
      <c r="H1563" s="229"/>
      <c r="I1563" s="222"/>
      <c r="J1563" s="222"/>
      <c r="K1563" s="222"/>
    </row>
    <row r="1564" spans="2:11">
      <c r="B1564" s="228"/>
      <c r="C1564" s="228"/>
      <c r="D1564" s="229"/>
      <c r="E1564" s="229"/>
      <c r="F1564" s="229"/>
      <c r="G1564" s="229"/>
      <c r="H1564" s="229"/>
      <c r="I1564" s="222"/>
      <c r="J1564" s="222"/>
      <c r="K1564" s="222"/>
    </row>
    <row r="1565" spans="2:11">
      <c r="B1565" s="228"/>
      <c r="C1565" s="228"/>
      <c r="D1565" s="229"/>
      <c r="E1565" s="229"/>
      <c r="F1565" s="229"/>
      <c r="G1565" s="229"/>
      <c r="H1565" s="229"/>
      <c r="I1565" s="222"/>
      <c r="J1565" s="222"/>
      <c r="K1565" s="222"/>
    </row>
    <row r="1566" spans="2:11">
      <c r="B1566" s="228"/>
      <c r="C1566" s="228"/>
      <c r="D1566" s="229"/>
      <c r="E1566" s="229"/>
      <c r="F1566" s="229"/>
      <c r="G1566" s="229"/>
      <c r="H1566" s="229"/>
      <c r="I1566" s="222"/>
      <c r="J1566" s="222"/>
      <c r="K1566" s="222"/>
    </row>
    <row r="1567" spans="2:11">
      <c r="B1567" s="228"/>
      <c r="C1567" s="228"/>
      <c r="D1567" s="229"/>
      <c r="E1567" s="229"/>
      <c r="F1567" s="229"/>
      <c r="G1567" s="229"/>
      <c r="H1567" s="229"/>
      <c r="I1567" s="222"/>
      <c r="J1567" s="222"/>
      <c r="K1567" s="222"/>
    </row>
    <row r="1568" spans="2:11">
      <c r="B1568" s="228"/>
      <c r="C1568" s="228"/>
      <c r="D1568" s="229"/>
      <c r="E1568" s="229"/>
      <c r="F1568" s="229"/>
      <c r="G1568" s="229"/>
      <c r="H1568" s="229"/>
      <c r="I1568" s="222"/>
      <c r="J1568" s="222"/>
      <c r="K1568" s="222"/>
    </row>
    <row r="1569" spans="2:11">
      <c r="B1569" s="228"/>
      <c r="C1569" s="228"/>
      <c r="D1569" s="229"/>
      <c r="E1569" s="229"/>
      <c r="F1569" s="229"/>
      <c r="G1569" s="229"/>
      <c r="H1569" s="229"/>
      <c r="I1569" s="222"/>
      <c r="J1569" s="222"/>
      <c r="K1569" s="222"/>
    </row>
    <row r="1570" spans="2:11">
      <c r="B1570" s="228"/>
      <c r="C1570" s="228"/>
      <c r="D1570" s="229"/>
      <c r="E1570" s="229"/>
      <c r="F1570" s="229"/>
      <c r="G1570" s="229"/>
      <c r="H1570" s="229"/>
      <c r="I1570" s="222"/>
      <c r="J1570" s="222"/>
      <c r="K1570" s="222"/>
    </row>
    <row r="1571" spans="2:11">
      <c r="B1571" s="228"/>
      <c r="C1571" s="228"/>
      <c r="D1571" s="229"/>
      <c r="E1571" s="229"/>
      <c r="F1571" s="229"/>
      <c r="G1571" s="229"/>
      <c r="H1571" s="229"/>
      <c r="I1571" s="222"/>
      <c r="J1571" s="222"/>
      <c r="K1571" s="222"/>
    </row>
    <row r="1572" spans="2:11">
      <c r="B1572" s="228"/>
      <c r="C1572" s="228"/>
      <c r="D1572" s="229"/>
      <c r="E1572" s="229"/>
      <c r="F1572" s="229"/>
      <c r="G1572" s="229"/>
      <c r="H1572" s="229"/>
      <c r="I1572" s="222"/>
      <c r="J1572" s="222"/>
      <c r="K1572" s="222"/>
    </row>
    <row r="1573" spans="2:11">
      <c r="B1573" s="228"/>
      <c r="C1573" s="228"/>
      <c r="D1573" s="229"/>
      <c r="E1573" s="229"/>
      <c r="F1573" s="229"/>
      <c r="G1573" s="229"/>
      <c r="H1573" s="229"/>
      <c r="I1573" s="222"/>
      <c r="J1573" s="222"/>
      <c r="K1573" s="222"/>
    </row>
    <row r="1574" spans="2:11">
      <c r="B1574" s="228"/>
      <c r="C1574" s="228"/>
      <c r="D1574" s="229"/>
      <c r="E1574" s="229"/>
      <c r="F1574" s="229"/>
      <c r="G1574" s="229"/>
      <c r="H1574" s="229"/>
      <c r="I1574" s="222"/>
      <c r="J1574" s="222"/>
      <c r="K1574" s="222"/>
    </row>
    <row r="1575" spans="2:11">
      <c r="B1575" s="228"/>
      <c r="C1575" s="228"/>
      <c r="D1575" s="229"/>
      <c r="E1575" s="229"/>
      <c r="F1575" s="229"/>
      <c r="G1575" s="229"/>
      <c r="H1575" s="229"/>
      <c r="I1575" s="222"/>
      <c r="J1575" s="222"/>
      <c r="K1575" s="222"/>
    </row>
    <row r="1576" spans="2:11">
      <c r="B1576" s="228"/>
      <c r="C1576" s="228"/>
      <c r="D1576" s="229"/>
      <c r="E1576" s="229"/>
      <c r="F1576" s="229"/>
      <c r="G1576" s="229"/>
      <c r="H1576" s="229"/>
      <c r="I1576" s="222"/>
      <c r="J1576" s="222"/>
      <c r="K1576" s="222"/>
    </row>
    <row r="1577" spans="2:11">
      <c r="B1577" s="228"/>
      <c r="C1577" s="228"/>
      <c r="D1577" s="229"/>
      <c r="E1577" s="229"/>
      <c r="F1577" s="229"/>
      <c r="G1577" s="229"/>
      <c r="H1577" s="229"/>
      <c r="I1577" s="222"/>
      <c r="J1577" s="222"/>
      <c r="K1577" s="222"/>
    </row>
    <row r="1578" spans="2:11">
      <c r="B1578" s="228"/>
      <c r="C1578" s="228"/>
      <c r="D1578" s="229"/>
      <c r="E1578" s="229"/>
      <c r="F1578" s="229"/>
      <c r="G1578" s="229"/>
      <c r="H1578" s="229"/>
      <c r="I1578" s="222"/>
      <c r="J1578" s="222"/>
      <c r="K1578" s="222"/>
    </row>
    <row r="1579" spans="2:11">
      <c r="B1579" s="228"/>
      <c r="C1579" s="228"/>
      <c r="D1579" s="229"/>
      <c r="E1579" s="229"/>
      <c r="F1579" s="229"/>
      <c r="G1579" s="229"/>
      <c r="H1579" s="229"/>
      <c r="I1579" s="222"/>
      <c r="J1579" s="222"/>
      <c r="K1579" s="222"/>
    </row>
    <row r="1580" spans="2:11">
      <c r="B1580" s="228"/>
      <c r="C1580" s="228"/>
      <c r="D1580" s="229"/>
      <c r="E1580" s="229"/>
      <c r="F1580" s="229"/>
      <c r="G1580" s="229"/>
      <c r="H1580" s="229"/>
      <c r="I1580" s="222"/>
      <c r="J1580" s="222"/>
      <c r="K1580" s="222"/>
    </row>
    <row r="1581" spans="2:11">
      <c r="B1581" s="228"/>
      <c r="C1581" s="228"/>
      <c r="D1581" s="229"/>
      <c r="E1581" s="229"/>
      <c r="F1581" s="229"/>
      <c r="G1581" s="229"/>
      <c r="H1581" s="229"/>
      <c r="I1581" s="222"/>
      <c r="J1581" s="222"/>
      <c r="K1581" s="222"/>
    </row>
    <row r="1582" spans="2:11">
      <c r="B1582" s="228"/>
      <c r="C1582" s="228"/>
      <c r="D1582" s="229"/>
      <c r="E1582" s="229"/>
      <c r="F1582" s="229"/>
      <c r="G1582" s="229"/>
      <c r="H1582" s="229"/>
      <c r="I1582" s="222"/>
      <c r="J1582" s="222"/>
      <c r="K1582" s="222"/>
    </row>
    <row r="1583" spans="2:11">
      <c r="B1583" s="228"/>
      <c r="C1583" s="228"/>
      <c r="D1583" s="229"/>
      <c r="E1583" s="229"/>
      <c r="F1583" s="229"/>
      <c r="G1583" s="229"/>
      <c r="H1583" s="229"/>
      <c r="I1583" s="222"/>
      <c r="J1583" s="222"/>
      <c r="K1583" s="222"/>
    </row>
    <row r="1584" spans="2:11">
      <c r="B1584" s="228"/>
      <c r="C1584" s="228"/>
      <c r="D1584" s="229"/>
      <c r="E1584" s="229"/>
      <c r="F1584" s="229"/>
      <c r="G1584" s="229"/>
      <c r="H1584" s="229"/>
      <c r="I1584" s="222"/>
      <c r="J1584" s="222"/>
      <c r="K1584" s="222"/>
    </row>
    <row r="1585" spans="2:11">
      <c r="B1585" s="228"/>
      <c r="C1585" s="228"/>
      <c r="D1585" s="229"/>
      <c r="E1585" s="229"/>
      <c r="F1585" s="229"/>
      <c r="G1585" s="229"/>
      <c r="H1585" s="229"/>
      <c r="I1585" s="222"/>
      <c r="J1585" s="222"/>
      <c r="K1585" s="222"/>
    </row>
    <row r="1586" spans="2:11">
      <c r="B1586" s="228"/>
      <c r="C1586" s="228"/>
      <c r="D1586" s="229"/>
      <c r="E1586" s="229"/>
      <c r="F1586" s="229"/>
      <c r="G1586" s="229"/>
      <c r="H1586" s="229"/>
      <c r="I1586" s="222"/>
      <c r="J1586" s="222"/>
      <c r="K1586" s="222"/>
    </row>
    <row r="1587" spans="2:11">
      <c r="B1587" s="228"/>
      <c r="C1587" s="228"/>
      <c r="D1587" s="229"/>
      <c r="E1587" s="229"/>
      <c r="F1587" s="229"/>
      <c r="G1587" s="229"/>
      <c r="H1587" s="229"/>
      <c r="I1587" s="222"/>
      <c r="J1587" s="222"/>
      <c r="K1587" s="222"/>
    </row>
    <row r="1588" spans="2:11">
      <c r="B1588" s="228"/>
      <c r="C1588" s="228"/>
      <c r="D1588" s="229"/>
      <c r="E1588" s="229"/>
      <c r="F1588" s="229"/>
      <c r="G1588" s="229"/>
      <c r="H1588" s="229"/>
      <c r="I1588" s="222"/>
      <c r="J1588" s="222"/>
      <c r="K1588" s="222"/>
    </row>
    <row r="1589" spans="2:11">
      <c r="B1589" s="228"/>
      <c r="C1589" s="228"/>
      <c r="D1589" s="229"/>
      <c r="E1589" s="229"/>
      <c r="F1589" s="229"/>
      <c r="G1589" s="229"/>
      <c r="H1589" s="229"/>
      <c r="I1589" s="222"/>
      <c r="J1589" s="222"/>
      <c r="K1589" s="222"/>
    </row>
    <row r="1590" spans="2:11">
      <c r="B1590" s="228"/>
      <c r="C1590" s="228"/>
      <c r="D1590" s="229"/>
      <c r="E1590" s="229"/>
      <c r="F1590" s="229"/>
      <c r="G1590" s="229"/>
      <c r="H1590" s="229"/>
      <c r="I1590" s="222"/>
      <c r="J1590" s="222"/>
      <c r="K1590" s="222"/>
    </row>
    <row r="1591" spans="2:11">
      <c r="B1591" s="228"/>
      <c r="C1591" s="228"/>
      <c r="D1591" s="229"/>
      <c r="E1591" s="229"/>
      <c r="F1591" s="229"/>
      <c r="G1591" s="229"/>
      <c r="H1591" s="229"/>
      <c r="I1591" s="222"/>
      <c r="J1591" s="222"/>
      <c r="K1591" s="222"/>
    </row>
    <row r="1592" spans="2:11">
      <c r="B1592" s="228"/>
      <c r="C1592" s="228"/>
      <c r="D1592" s="229"/>
      <c r="E1592" s="229"/>
      <c r="F1592" s="229"/>
      <c r="G1592" s="229"/>
      <c r="H1592" s="229"/>
      <c r="I1592" s="222"/>
      <c r="J1592" s="222"/>
      <c r="K1592" s="222"/>
    </row>
    <row r="1593" spans="2:11">
      <c r="B1593" s="228"/>
      <c r="C1593" s="228"/>
      <c r="D1593" s="229"/>
      <c r="E1593" s="229"/>
      <c r="F1593" s="229"/>
      <c r="G1593" s="229"/>
      <c r="H1593" s="229"/>
      <c r="I1593" s="222"/>
      <c r="J1593" s="222"/>
      <c r="K1593" s="222"/>
    </row>
    <row r="1594" spans="2:11">
      <c r="B1594" s="228"/>
      <c r="C1594" s="228"/>
      <c r="D1594" s="229"/>
      <c r="E1594" s="229"/>
      <c r="F1594" s="229"/>
      <c r="G1594" s="229"/>
      <c r="H1594" s="229"/>
      <c r="I1594" s="222"/>
      <c r="J1594" s="222"/>
      <c r="K1594" s="222"/>
    </row>
    <row r="1595" spans="2:11">
      <c r="B1595" s="228"/>
      <c r="C1595" s="228"/>
      <c r="D1595" s="229"/>
      <c r="E1595" s="229"/>
      <c r="F1595" s="229"/>
      <c r="G1595" s="229"/>
      <c r="H1595" s="229"/>
      <c r="I1595" s="222"/>
      <c r="J1595" s="222"/>
      <c r="K1595" s="222"/>
    </row>
    <row r="1596" spans="2:11">
      <c r="B1596" s="228"/>
      <c r="C1596" s="228"/>
      <c r="D1596" s="229"/>
      <c r="E1596" s="229"/>
      <c r="F1596" s="229"/>
      <c r="G1596" s="229"/>
      <c r="H1596" s="229"/>
      <c r="I1596" s="222"/>
      <c r="J1596" s="222"/>
      <c r="K1596" s="222"/>
    </row>
    <row r="1597" spans="2:11">
      <c r="B1597" s="228"/>
      <c r="C1597" s="228"/>
      <c r="D1597" s="229"/>
      <c r="E1597" s="229"/>
      <c r="F1597" s="229"/>
      <c r="G1597" s="229"/>
      <c r="H1597" s="229"/>
      <c r="I1597" s="222"/>
      <c r="J1597" s="222"/>
      <c r="K1597" s="222"/>
    </row>
    <row r="1598" spans="2:11">
      <c r="B1598" s="228"/>
      <c r="C1598" s="228"/>
      <c r="D1598" s="229"/>
      <c r="E1598" s="229"/>
      <c r="F1598" s="229"/>
      <c r="G1598" s="229"/>
      <c r="H1598" s="229"/>
      <c r="I1598" s="222"/>
      <c r="J1598" s="222"/>
      <c r="K1598" s="222"/>
    </row>
    <row r="1599" spans="2:11">
      <c r="B1599" s="228"/>
      <c r="C1599" s="228"/>
      <c r="D1599" s="229"/>
      <c r="E1599" s="229"/>
      <c r="F1599" s="229"/>
      <c r="G1599" s="229"/>
      <c r="H1599" s="229"/>
      <c r="I1599" s="222"/>
      <c r="J1599" s="222"/>
      <c r="K1599" s="222"/>
    </row>
    <row r="1600" spans="2:11">
      <c r="B1600" s="228"/>
      <c r="C1600" s="228"/>
      <c r="D1600" s="229"/>
      <c r="E1600" s="229"/>
      <c r="F1600" s="229"/>
      <c r="G1600" s="229"/>
      <c r="H1600" s="229"/>
      <c r="I1600" s="222"/>
      <c r="J1600" s="222"/>
      <c r="K1600" s="222"/>
    </row>
    <row r="1601" spans="2:11">
      <c r="B1601" s="228"/>
      <c r="C1601" s="228"/>
      <c r="D1601" s="229"/>
      <c r="E1601" s="229"/>
      <c r="F1601" s="229"/>
      <c r="G1601" s="229"/>
      <c r="H1601" s="229"/>
      <c r="I1601" s="222"/>
      <c r="J1601" s="222"/>
      <c r="K1601" s="222"/>
    </row>
    <row r="1602" spans="2:11">
      <c r="B1602" s="228"/>
      <c r="C1602" s="228"/>
      <c r="D1602" s="229"/>
      <c r="E1602" s="229"/>
      <c r="F1602" s="229"/>
      <c r="G1602" s="229"/>
      <c r="H1602" s="229"/>
      <c r="I1602" s="222"/>
      <c r="J1602" s="222"/>
      <c r="K1602" s="222"/>
    </row>
    <row r="1603" spans="2:11">
      <c r="B1603" s="228"/>
      <c r="C1603" s="228"/>
      <c r="D1603" s="229"/>
      <c r="E1603" s="229"/>
      <c r="F1603" s="229"/>
      <c r="G1603" s="229"/>
      <c r="H1603" s="229"/>
      <c r="I1603" s="222"/>
      <c r="J1603" s="222"/>
      <c r="K1603" s="222"/>
    </row>
    <row r="1604" spans="2:11">
      <c r="B1604" s="228"/>
      <c r="C1604" s="228"/>
      <c r="D1604" s="229"/>
      <c r="E1604" s="229"/>
      <c r="F1604" s="229"/>
      <c r="G1604" s="229"/>
      <c r="H1604" s="229"/>
      <c r="I1604" s="222"/>
      <c r="J1604" s="222"/>
      <c r="K1604" s="222"/>
    </row>
    <row r="1605" spans="2:11">
      <c r="B1605" s="228"/>
      <c r="C1605" s="228"/>
      <c r="D1605" s="229"/>
      <c r="E1605" s="229"/>
      <c r="F1605" s="229"/>
      <c r="G1605" s="229"/>
      <c r="H1605" s="229"/>
      <c r="I1605" s="222"/>
      <c r="J1605" s="222"/>
      <c r="K1605" s="222"/>
    </row>
    <row r="1606" spans="2:11">
      <c r="B1606" s="228"/>
      <c r="C1606" s="228"/>
      <c r="D1606" s="229"/>
      <c r="E1606" s="229"/>
      <c r="F1606" s="229"/>
      <c r="G1606" s="229"/>
      <c r="H1606" s="229"/>
      <c r="I1606" s="222"/>
      <c r="J1606" s="222"/>
      <c r="K1606" s="222"/>
    </row>
    <row r="1607" spans="2:11">
      <c r="B1607" s="228"/>
      <c r="C1607" s="228"/>
      <c r="D1607" s="229"/>
      <c r="E1607" s="229"/>
      <c r="F1607" s="229"/>
      <c r="G1607" s="229"/>
      <c r="H1607" s="229"/>
      <c r="I1607" s="222"/>
      <c r="J1607" s="222"/>
      <c r="K1607" s="222"/>
    </row>
    <row r="1608" spans="2:11">
      <c r="B1608" s="228"/>
      <c r="C1608" s="228"/>
      <c r="D1608" s="229"/>
      <c r="E1608" s="229"/>
      <c r="F1608" s="229"/>
      <c r="G1608" s="229"/>
      <c r="H1608" s="229"/>
      <c r="I1608" s="222"/>
      <c r="J1608" s="222"/>
      <c r="K1608" s="222"/>
    </row>
    <row r="1609" spans="2:11">
      <c r="B1609" s="228"/>
      <c r="C1609" s="228"/>
      <c r="D1609" s="229"/>
      <c r="E1609" s="229"/>
      <c r="F1609" s="229"/>
      <c r="G1609" s="229"/>
      <c r="H1609" s="229"/>
      <c r="I1609" s="222"/>
      <c r="J1609" s="222"/>
      <c r="K1609" s="222"/>
    </row>
    <row r="1610" spans="2:11">
      <c r="B1610" s="228"/>
      <c r="C1610" s="228"/>
      <c r="D1610" s="229"/>
      <c r="E1610" s="229"/>
      <c r="F1610" s="229"/>
      <c r="G1610" s="229"/>
      <c r="H1610" s="229"/>
      <c r="I1610" s="222"/>
      <c r="J1610" s="222"/>
      <c r="K1610" s="222"/>
    </row>
    <row r="1611" spans="2:11">
      <c r="B1611" s="228"/>
      <c r="C1611" s="228"/>
      <c r="D1611" s="229"/>
      <c r="E1611" s="229"/>
      <c r="F1611" s="229"/>
      <c r="G1611" s="229"/>
      <c r="H1611" s="229"/>
      <c r="I1611" s="222"/>
      <c r="J1611" s="222"/>
      <c r="K1611" s="222"/>
    </row>
    <row r="1612" spans="2:11">
      <c r="B1612" s="228"/>
      <c r="C1612" s="228"/>
      <c r="D1612" s="229"/>
      <c r="E1612" s="229"/>
      <c r="F1612" s="229"/>
      <c r="G1612" s="229"/>
      <c r="H1612" s="229"/>
      <c r="I1612" s="222"/>
      <c r="J1612" s="222"/>
      <c r="K1612" s="222"/>
    </row>
    <row r="1613" spans="2:11">
      <c r="B1613" s="228"/>
      <c r="C1613" s="228"/>
      <c r="D1613" s="229"/>
      <c r="E1613" s="229"/>
      <c r="F1613" s="229"/>
      <c r="G1613" s="229"/>
      <c r="H1613" s="229"/>
      <c r="I1613" s="222"/>
      <c r="J1613" s="222"/>
      <c r="K1613" s="222"/>
    </row>
    <row r="1614" spans="2:11">
      <c r="B1614" s="228"/>
      <c r="C1614" s="228"/>
      <c r="D1614" s="229"/>
      <c r="E1614" s="229"/>
      <c r="F1614" s="229"/>
      <c r="G1614" s="229"/>
      <c r="H1614" s="229"/>
      <c r="I1614" s="222"/>
      <c r="J1614" s="222"/>
      <c r="K1614" s="222"/>
    </row>
    <row r="1615" spans="2:11">
      <c r="B1615" s="228"/>
      <c r="C1615" s="228"/>
      <c r="D1615" s="229"/>
      <c r="E1615" s="229"/>
      <c r="F1615" s="229"/>
      <c r="G1615" s="229"/>
      <c r="H1615" s="229"/>
      <c r="I1615" s="222"/>
      <c r="J1615" s="222"/>
      <c r="K1615" s="222"/>
    </row>
    <row r="1616" spans="2:11">
      <c r="B1616" s="228"/>
      <c r="C1616" s="228"/>
      <c r="D1616" s="229"/>
      <c r="E1616" s="229"/>
      <c r="F1616" s="229"/>
      <c r="G1616" s="229"/>
      <c r="H1616" s="229"/>
      <c r="I1616" s="222"/>
      <c r="J1616" s="222"/>
      <c r="K1616" s="222"/>
    </row>
    <row r="1617" spans="2:11">
      <c r="B1617" s="228"/>
      <c r="C1617" s="228"/>
      <c r="D1617" s="229"/>
      <c r="E1617" s="229"/>
      <c r="F1617" s="229"/>
      <c r="G1617" s="229"/>
      <c r="H1617" s="229"/>
      <c r="I1617" s="222"/>
      <c r="J1617" s="222"/>
      <c r="K1617" s="222"/>
    </row>
    <row r="1618" spans="2:11">
      <c r="B1618" s="228"/>
      <c r="C1618" s="228"/>
      <c r="D1618" s="229"/>
      <c r="E1618" s="229"/>
      <c r="F1618" s="229"/>
      <c r="G1618" s="229"/>
      <c r="H1618" s="229"/>
      <c r="I1618" s="222"/>
      <c r="J1618" s="222"/>
      <c r="K1618" s="222"/>
    </row>
    <row r="1619" spans="2:11">
      <c r="B1619" s="228"/>
      <c r="C1619" s="228"/>
      <c r="D1619" s="229"/>
      <c r="E1619" s="229"/>
      <c r="F1619" s="229"/>
      <c r="G1619" s="229"/>
      <c r="H1619" s="229"/>
      <c r="I1619" s="222"/>
      <c r="J1619" s="222"/>
      <c r="K1619" s="222"/>
    </row>
    <row r="1620" spans="2:11">
      <c r="B1620" s="228"/>
      <c r="C1620" s="228"/>
      <c r="D1620" s="229"/>
      <c r="E1620" s="229"/>
      <c r="F1620" s="229"/>
      <c r="G1620" s="229"/>
      <c r="H1620" s="229"/>
      <c r="I1620" s="222"/>
      <c r="J1620" s="222"/>
      <c r="K1620" s="222"/>
    </row>
    <row r="1621" spans="2:11">
      <c r="B1621" s="228"/>
      <c r="C1621" s="228"/>
      <c r="D1621" s="229"/>
      <c r="E1621" s="229"/>
      <c r="F1621" s="229"/>
      <c r="G1621" s="229"/>
      <c r="H1621" s="229"/>
      <c r="I1621" s="222"/>
      <c r="J1621" s="222"/>
      <c r="K1621" s="222"/>
    </row>
    <row r="1622" spans="2:11">
      <c r="B1622" s="228"/>
      <c r="C1622" s="228"/>
      <c r="D1622" s="229"/>
      <c r="E1622" s="229"/>
      <c r="F1622" s="229"/>
      <c r="G1622" s="229"/>
      <c r="H1622" s="229"/>
      <c r="I1622" s="222"/>
      <c r="J1622" s="222"/>
      <c r="K1622" s="222"/>
    </row>
    <row r="1623" spans="2:11">
      <c r="B1623" s="228"/>
      <c r="C1623" s="228"/>
      <c r="D1623" s="229"/>
      <c r="E1623" s="229"/>
      <c r="F1623" s="229"/>
      <c r="G1623" s="229"/>
      <c r="H1623" s="229"/>
      <c r="I1623" s="222"/>
      <c r="J1623" s="222"/>
      <c r="K1623" s="222"/>
    </row>
    <row r="1624" spans="2:11">
      <c r="B1624" s="228"/>
      <c r="C1624" s="228"/>
      <c r="D1624" s="229"/>
      <c r="E1624" s="229"/>
      <c r="F1624" s="229"/>
      <c r="G1624" s="229"/>
      <c r="H1624" s="229"/>
      <c r="I1624" s="222"/>
      <c r="J1624" s="222"/>
      <c r="K1624" s="222"/>
    </row>
    <row r="1625" spans="2:11">
      <c r="B1625" s="228"/>
      <c r="C1625" s="228"/>
      <c r="D1625" s="229"/>
      <c r="E1625" s="229"/>
      <c r="F1625" s="229"/>
      <c r="G1625" s="229"/>
      <c r="H1625" s="229"/>
      <c r="I1625" s="222"/>
      <c r="J1625" s="222"/>
      <c r="K1625" s="222"/>
    </row>
    <row r="1626" spans="2:11">
      <c r="B1626" s="228"/>
      <c r="C1626" s="228"/>
      <c r="D1626" s="229"/>
      <c r="E1626" s="229"/>
      <c r="F1626" s="229"/>
      <c r="G1626" s="229"/>
      <c r="H1626" s="229"/>
      <c r="I1626" s="222"/>
      <c r="J1626" s="222"/>
      <c r="K1626" s="222"/>
    </row>
    <row r="1627" spans="2:11">
      <c r="B1627" s="228"/>
      <c r="C1627" s="228"/>
      <c r="D1627" s="229"/>
      <c r="E1627" s="229"/>
      <c r="F1627" s="229"/>
      <c r="G1627" s="229"/>
      <c r="H1627" s="229"/>
      <c r="I1627" s="222"/>
      <c r="J1627" s="222"/>
      <c r="K1627" s="222"/>
    </row>
    <row r="1628" spans="2:11">
      <c r="B1628" s="228"/>
      <c r="C1628" s="228"/>
      <c r="D1628" s="229"/>
      <c r="E1628" s="229"/>
      <c r="F1628" s="229"/>
      <c r="G1628" s="229"/>
      <c r="H1628" s="229"/>
      <c r="I1628" s="222"/>
      <c r="J1628" s="222"/>
      <c r="K1628" s="222"/>
    </row>
    <row r="1629" spans="2:11">
      <c r="B1629" s="228"/>
      <c r="C1629" s="228"/>
      <c r="D1629" s="229"/>
      <c r="E1629" s="229"/>
      <c r="F1629" s="229"/>
      <c r="G1629" s="229"/>
      <c r="H1629" s="229"/>
      <c r="I1629" s="222"/>
      <c r="J1629" s="222"/>
      <c r="K1629" s="222"/>
    </row>
    <row r="1630" spans="2:11">
      <c r="B1630" s="228"/>
      <c r="C1630" s="228"/>
      <c r="D1630" s="229"/>
      <c r="E1630" s="229"/>
      <c r="F1630" s="229"/>
      <c r="G1630" s="229"/>
      <c r="H1630" s="229"/>
      <c r="I1630" s="222"/>
      <c r="J1630" s="222"/>
      <c r="K1630" s="222"/>
    </row>
    <row r="1631" spans="2:11">
      <c r="B1631" s="228"/>
      <c r="C1631" s="228"/>
      <c r="D1631" s="229"/>
      <c r="E1631" s="229"/>
      <c r="F1631" s="229"/>
      <c r="G1631" s="229"/>
      <c r="H1631" s="229"/>
      <c r="I1631" s="222"/>
      <c r="J1631" s="222"/>
      <c r="K1631" s="222"/>
    </row>
    <row r="1632" spans="2:11">
      <c r="B1632" s="228"/>
      <c r="C1632" s="228"/>
      <c r="D1632" s="229"/>
      <c r="E1632" s="229"/>
      <c r="F1632" s="229"/>
      <c r="G1632" s="229"/>
      <c r="H1632" s="229"/>
      <c r="I1632" s="222"/>
      <c r="J1632" s="222"/>
      <c r="K1632" s="222"/>
    </row>
    <row r="1633" spans="2:11">
      <c r="B1633" s="228"/>
      <c r="C1633" s="228"/>
      <c r="D1633" s="229"/>
      <c r="E1633" s="229"/>
      <c r="F1633" s="229"/>
      <c r="G1633" s="229"/>
      <c r="H1633" s="229"/>
      <c r="I1633" s="222"/>
      <c r="J1633" s="222"/>
      <c r="K1633" s="222"/>
    </row>
    <row r="1634" spans="2:11">
      <c r="B1634" s="228"/>
      <c r="C1634" s="228"/>
      <c r="D1634" s="229"/>
      <c r="E1634" s="229"/>
      <c r="F1634" s="229"/>
      <c r="G1634" s="229"/>
      <c r="H1634" s="229"/>
      <c r="I1634" s="222"/>
      <c r="J1634" s="222"/>
      <c r="K1634" s="222"/>
    </row>
    <row r="1635" spans="2:11">
      <c r="B1635" s="228"/>
      <c r="C1635" s="228"/>
      <c r="D1635" s="229"/>
      <c r="E1635" s="229"/>
      <c r="F1635" s="229"/>
      <c r="G1635" s="229"/>
      <c r="H1635" s="229"/>
      <c r="I1635" s="222"/>
      <c r="J1635" s="222"/>
      <c r="K1635" s="222"/>
    </row>
    <row r="1636" spans="2:11">
      <c r="B1636" s="228"/>
      <c r="C1636" s="228"/>
      <c r="D1636" s="229"/>
      <c r="E1636" s="229"/>
      <c r="F1636" s="229"/>
      <c r="G1636" s="229"/>
      <c r="H1636" s="229"/>
      <c r="I1636" s="222"/>
      <c r="J1636" s="222"/>
      <c r="K1636" s="222"/>
    </row>
    <row r="1637" spans="2:11">
      <c r="B1637" s="228"/>
      <c r="C1637" s="228"/>
      <c r="D1637" s="229"/>
      <c r="E1637" s="229"/>
      <c r="F1637" s="229"/>
      <c r="G1637" s="229"/>
      <c r="H1637" s="229"/>
      <c r="I1637" s="222"/>
      <c r="J1637" s="222"/>
      <c r="K1637" s="222"/>
    </row>
    <row r="1638" spans="2:11">
      <c r="B1638" s="228"/>
      <c r="C1638" s="228"/>
      <c r="D1638" s="229"/>
      <c r="E1638" s="229"/>
      <c r="F1638" s="229"/>
      <c r="G1638" s="229"/>
      <c r="H1638" s="229"/>
      <c r="I1638" s="222"/>
      <c r="J1638" s="222"/>
      <c r="K1638" s="222"/>
    </row>
    <row r="1639" spans="2:11">
      <c r="B1639" s="228"/>
      <c r="C1639" s="228"/>
      <c r="D1639" s="229"/>
      <c r="E1639" s="229"/>
      <c r="F1639" s="229"/>
      <c r="G1639" s="229"/>
      <c r="H1639" s="229"/>
      <c r="I1639" s="222"/>
      <c r="J1639" s="222"/>
      <c r="K1639" s="222"/>
    </row>
    <row r="1640" spans="2:11">
      <c r="B1640" s="228"/>
      <c r="C1640" s="228"/>
      <c r="D1640" s="229"/>
      <c r="E1640" s="229"/>
      <c r="F1640" s="229"/>
      <c r="G1640" s="229"/>
      <c r="H1640" s="229"/>
      <c r="I1640" s="222"/>
      <c r="J1640" s="222"/>
      <c r="K1640" s="222"/>
    </row>
    <row r="1641" spans="2:11">
      <c r="B1641" s="228"/>
      <c r="C1641" s="228"/>
      <c r="D1641" s="229"/>
      <c r="E1641" s="229"/>
      <c r="F1641" s="229"/>
      <c r="G1641" s="229"/>
      <c r="H1641" s="229"/>
      <c r="I1641" s="222"/>
      <c r="J1641" s="222"/>
      <c r="K1641" s="222"/>
    </row>
    <row r="1642" spans="2:11">
      <c r="B1642" s="228"/>
      <c r="C1642" s="228"/>
      <c r="D1642" s="229"/>
      <c r="E1642" s="229"/>
      <c r="F1642" s="229"/>
      <c r="G1642" s="229"/>
      <c r="H1642" s="229"/>
      <c r="I1642" s="222"/>
      <c r="J1642" s="222"/>
      <c r="K1642" s="222"/>
    </row>
    <row r="1643" spans="2:11">
      <c r="B1643" s="228"/>
      <c r="C1643" s="228"/>
      <c r="D1643" s="229"/>
      <c r="E1643" s="229"/>
      <c r="F1643" s="229"/>
      <c r="G1643" s="229"/>
      <c r="H1643" s="229"/>
      <c r="I1643" s="222"/>
      <c r="J1643" s="222"/>
      <c r="K1643" s="222"/>
    </row>
    <row r="1644" spans="2:11">
      <c r="B1644" s="228"/>
      <c r="C1644" s="228"/>
      <c r="D1644" s="229"/>
      <c r="E1644" s="229"/>
      <c r="F1644" s="229"/>
      <c r="G1644" s="229"/>
      <c r="H1644" s="229"/>
      <c r="I1644" s="222"/>
      <c r="J1644" s="222"/>
      <c r="K1644" s="222"/>
    </row>
    <row r="1645" spans="2:11">
      <c r="B1645" s="228"/>
      <c r="C1645" s="228"/>
      <c r="D1645" s="229"/>
      <c r="E1645" s="229"/>
      <c r="F1645" s="229"/>
      <c r="G1645" s="229"/>
      <c r="H1645" s="229"/>
      <c r="I1645" s="222"/>
      <c r="J1645" s="222"/>
      <c r="K1645" s="222"/>
    </row>
    <row r="1646" spans="2:11">
      <c r="B1646" s="228"/>
      <c r="C1646" s="228"/>
      <c r="D1646" s="229"/>
      <c r="E1646" s="229"/>
      <c r="F1646" s="229"/>
      <c r="G1646" s="229"/>
      <c r="H1646" s="229"/>
      <c r="I1646" s="222"/>
      <c r="J1646" s="222"/>
      <c r="K1646" s="222"/>
    </row>
    <row r="1647" spans="2:11">
      <c r="B1647" s="228"/>
      <c r="C1647" s="228"/>
      <c r="D1647" s="229"/>
      <c r="E1647" s="229"/>
      <c r="F1647" s="229"/>
      <c r="G1647" s="229"/>
      <c r="H1647" s="229"/>
      <c r="I1647" s="222"/>
      <c r="J1647" s="222"/>
      <c r="K1647" s="222"/>
    </row>
    <row r="1648" spans="2:11">
      <c r="B1648" s="228"/>
      <c r="C1648" s="228"/>
      <c r="D1648" s="229"/>
      <c r="E1648" s="229"/>
      <c r="F1648" s="229"/>
      <c r="G1648" s="229"/>
      <c r="H1648" s="229"/>
      <c r="I1648" s="222"/>
      <c r="J1648" s="222"/>
      <c r="K1648" s="222"/>
    </row>
    <row r="1649" spans="2:11">
      <c r="B1649" s="228"/>
      <c r="C1649" s="228"/>
      <c r="D1649" s="229"/>
      <c r="E1649" s="229"/>
      <c r="F1649" s="229"/>
      <c r="G1649" s="229"/>
      <c r="H1649" s="229"/>
      <c r="I1649" s="222"/>
      <c r="J1649" s="222"/>
      <c r="K1649" s="222"/>
    </row>
    <row r="1650" spans="2:11">
      <c r="B1650" s="228"/>
      <c r="C1650" s="228"/>
      <c r="D1650" s="229"/>
      <c r="E1650" s="229"/>
      <c r="F1650" s="229"/>
      <c r="G1650" s="229"/>
      <c r="H1650" s="229"/>
      <c r="I1650" s="222"/>
      <c r="J1650" s="222"/>
      <c r="K1650" s="222"/>
    </row>
    <row r="1651" spans="2:11">
      <c r="B1651" s="228"/>
      <c r="C1651" s="228"/>
      <c r="D1651" s="229"/>
      <c r="E1651" s="229"/>
      <c r="F1651" s="229"/>
      <c r="G1651" s="229"/>
      <c r="H1651" s="229"/>
      <c r="I1651" s="222"/>
      <c r="J1651" s="222"/>
      <c r="K1651" s="222"/>
    </row>
    <row r="1652" spans="2:11">
      <c r="B1652" s="228"/>
      <c r="C1652" s="228"/>
      <c r="D1652" s="229"/>
      <c r="E1652" s="229"/>
      <c r="F1652" s="229"/>
      <c r="G1652" s="229"/>
      <c r="H1652" s="229"/>
      <c r="I1652" s="222"/>
      <c r="J1652" s="222"/>
      <c r="K1652" s="222"/>
    </row>
    <row r="1653" spans="2:11">
      <c r="B1653" s="228"/>
      <c r="C1653" s="228"/>
      <c r="D1653" s="229"/>
      <c r="E1653" s="229"/>
      <c r="F1653" s="229"/>
      <c r="G1653" s="229"/>
      <c r="H1653" s="229"/>
      <c r="I1653" s="222"/>
      <c r="J1653" s="222"/>
      <c r="K1653" s="222"/>
    </row>
    <row r="1654" spans="2:11">
      <c r="B1654" s="228"/>
      <c r="C1654" s="228"/>
      <c r="D1654" s="229"/>
      <c r="E1654" s="229"/>
      <c r="F1654" s="229"/>
      <c r="G1654" s="229"/>
      <c r="H1654" s="229"/>
      <c r="I1654" s="222"/>
      <c r="J1654" s="222"/>
      <c r="K1654" s="222"/>
    </row>
    <row r="1655" spans="2:11">
      <c r="B1655" s="228"/>
      <c r="C1655" s="228"/>
      <c r="D1655" s="229"/>
      <c r="E1655" s="229"/>
      <c r="F1655" s="229"/>
      <c r="G1655" s="229"/>
      <c r="H1655" s="229"/>
      <c r="I1655" s="222"/>
      <c r="J1655" s="222"/>
      <c r="K1655" s="222"/>
    </row>
    <row r="1656" spans="2:11">
      <c r="B1656" s="228"/>
      <c r="C1656" s="228"/>
      <c r="D1656" s="229"/>
      <c r="E1656" s="229"/>
      <c r="F1656" s="229"/>
      <c r="G1656" s="229"/>
      <c r="H1656" s="229"/>
      <c r="I1656" s="222"/>
      <c r="J1656" s="222"/>
      <c r="K1656" s="222"/>
    </row>
    <row r="1657" spans="2:11">
      <c r="B1657" s="228"/>
      <c r="C1657" s="228"/>
      <c r="D1657" s="229"/>
      <c r="E1657" s="229"/>
      <c r="F1657" s="229"/>
      <c r="G1657" s="229"/>
      <c r="H1657" s="229"/>
      <c r="I1657" s="222"/>
      <c r="J1657" s="222"/>
      <c r="K1657" s="222"/>
    </row>
    <row r="1658" spans="2:11">
      <c r="B1658" s="228"/>
      <c r="C1658" s="228"/>
      <c r="D1658" s="229"/>
      <c r="E1658" s="229"/>
      <c r="F1658" s="229"/>
      <c r="G1658" s="229"/>
      <c r="H1658" s="229"/>
      <c r="I1658" s="222"/>
      <c r="J1658" s="222"/>
      <c r="K1658" s="222"/>
    </row>
    <row r="1659" spans="2:11">
      <c r="B1659" s="228"/>
      <c r="C1659" s="228"/>
      <c r="D1659" s="229"/>
      <c r="E1659" s="229"/>
      <c r="F1659" s="229"/>
      <c r="G1659" s="229"/>
      <c r="H1659" s="229"/>
      <c r="I1659" s="222"/>
      <c r="J1659" s="222"/>
      <c r="K1659" s="222"/>
    </row>
    <row r="1660" spans="2:11">
      <c r="B1660" s="228"/>
      <c r="C1660" s="228"/>
      <c r="D1660" s="229"/>
      <c r="E1660" s="229"/>
      <c r="F1660" s="229"/>
      <c r="G1660" s="229"/>
      <c r="H1660" s="229"/>
      <c r="I1660" s="222"/>
      <c r="J1660" s="222"/>
      <c r="K1660" s="222"/>
    </row>
    <row r="1661" spans="2:11">
      <c r="B1661" s="228"/>
      <c r="C1661" s="228"/>
      <c r="D1661" s="229"/>
      <c r="E1661" s="229"/>
      <c r="F1661" s="229"/>
      <c r="G1661" s="229"/>
      <c r="H1661" s="229"/>
      <c r="I1661" s="222"/>
      <c r="J1661" s="222"/>
      <c r="K1661" s="222"/>
    </row>
    <row r="1662" spans="2:11">
      <c r="B1662" s="228"/>
      <c r="C1662" s="228"/>
      <c r="D1662" s="229"/>
      <c r="E1662" s="229"/>
      <c r="F1662" s="229"/>
      <c r="G1662" s="229"/>
      <c r="H1662" s="229"/>
      <c r="I1662" s="222"/>
      <c r="J1662" s="222"/>
      <c r="K1662" s="222"/>
    </row>
    <row r="1663" spans="2:11">
      <c r="B1663" s="228"/>
      <c r="C1663" s="228"/>
      <c r="D1663" s="229"/>
      <c r="E1663" s="229"/>
      <c r="F1663" s="229"/>
      <c r="G1663" s="229"/>
      <c r="H1663" s="229"/>
      <c r="I1663" s="222"/>
      <c r="J1663" s="222"/>
      <c r="K1663" s="222"/>
    </row>
    <row r="1664" spans="2:11">
      <c r="B1664" s="228"/>
      <c r="C1664" s="228"/>
      <c r="D1664" s="229"/>
      <c r="E1664" s="229"/>
      <c r="F1664" s="229"/>
      <c r="G1664" s="229"/>
      <c r="H1664" s="229"/>
      <c r="I1664" s="222"/>
      <c r="J1664" s="222"/>
      <c r="K1664" s="222"/>
    </row>
    <row r="1665" spans="2:11">
      <c r="B1665" s="228"/>
      <c r="C1665" s="228"/>
      <c r="D1665" s="229"/>
      <c r="E1665" s="229"/>
      <c r="F1665" s="229"/>
      <c r="G1665" s="229"/>
      <c r="H1665" s="229"/>
      <c r="I1665" s="222"/>
      <c r="J1665" s="222"/>
      <c r="K1665" s="222"/>
    </row>
    <row r="1666" spans="2:11">
      <c r="B1666" s="228"/>
      <c r="C1666" s="228"/>
      <c r="D1666" s="229"/>
      <c r="E1666" s="229"/>
      <c r="F1666" s="229"/>
      <c r="G1666" s="229"/>
      <c r="H1666" s="229"/>
      <c r="I1666" s="222"/>
      <c r="J1666" s="222"/>
      <c r="K1666" s="222"/>
    </row>
    <row r="1667" spans="2:11">
      <c r="B1667" s="228"/>
      <c r="C1667" s="228"/>
      <c r="D1667" s="229"/>
      <c r="E1667" s="229"/>
      <c r="F1667" s="229"/>
      <c r="G1667" s="229"/>
      <c r="H1667" s="229"/>
      <c r="I1667" s="222"/>
      <c r="J1667" s="222"/>
      <c r="K1667" s="222"/>
    </row>
    <row r="1668" spans="2:11">
      <c r="B1668" s="228"/>
      <c r="C1668" s="228"/>
      <c r="D1668" s="229"/>
      <c r="E1668" s="229"/>
      <c r="F1668" s="229"/>
      <c r="G1668" s="229"/>
      <c r="H1668" s="229"/>
      <c r="I1668" s="222"/>
      <c r="J1668" s="222"/>
      <c r="K1668" s="222"/>
    </row>
    <row r="1669" spans="2:11">
      <c r="B1669" s="228"/>
      <c r="C1669" s="228"/>
      <c r="D1669" s="229"/>
      <c r="E1669" s="229"/>
      <c r="F1669" s="229"/>
      <c r="G1669" s="229"/>
      <c r="H1669" s="229"/>
      <c r="I1669" s="222"/>
      <c r="J1669" s="222"/>
      <c r="K1669" s="222"/>
    </row>
    <row r="1670" spans="2:11">
      <c r="B1670" s="228"/>
      <c r="C1670" s="228"/>
      <c r="D1670" s="229"/>
      <c r="E1670" s="229"/>
      <c r="F1670" s="229"/>
      <c r="G1670" s="229"/>
      <c r="H1670" s="229"/>
      <c r="I1670" s="222"/>
      <c r="J1670" s="222"/>
      <c r="K1670" s="222"/>
    </row>
    <row r="1671" spans="2:11">
      <c r="B1671" s="228"/>
      <c r="C1671" s="228"/>
      <c r="D1671" s="229"/>
      <c r="E1671" s="229"/>
      <c r="F1671" s="229"/>
      <c r="G1671" s="229"/>
      <c r="H1671" s="229"/>
      <c r="I1671" s="222"/>
      <c r="J1671" s="222"/>
      <c r="K1671" s="222"/>
    </row>
    <row r="1672" spans="2:11">
      <c r="B1672" s="228"/>
      <c r="C1672" s="228"/>
      <c r="D1672" s="229"/>
      <c r="E1672" s="229"/>
      <c r="F1672" s="229"/>
      <c r="G1672" s="229"/>
      <c r="H1672" s="229"/>
      <c r="I1672" s="222"/>
      <c r="J1672" s="222"/>
      <c r="K1672" s="222"/>
    </row>
    <row r="1673" spans="2:11">
      <c r="B1673" s="228"/>
      <c r="C1673" s="228"/>
      <c r="D1673" s="229"/>
      <c r="E1673" s="229"/>
      <c r="F1673" s="229"/>
      <c r="G1673" s="229"/>
      <c r="H1673" s="229"/>
      <c r="I1673" s="222"/>
      <c r="J1673" s="222"/>
      <c r="K1673" s="222"/>
    </row>
    <row r="1674" spans="2:11">
      <c r="B1674" s="228"/>
      <c r="C1674" s="228"/>
      <c r="D1674" s="229"/>
      <c r="E1674" s="229"/>
      <c r="F1674" s="229"/>
      <c r="G1674" s="229"/>
      <c r="H1674" s="229"/>
      <c r="I1674" s="222"/>
      <c r="J1674" s="222"/>
      <c r="K1674" s="222"/>
    </row>
    <row r="1675" spans="2:11">
      <c r="B1675" s="228"/>
      <c r="C1675" s="228"/>
      <c r="D1675" s="229"/>
      <c r="E1675" s="229"/>
      <c r="F1675" s="229"/>
      <c r="G1675" s="229"/>
      <c r="H1675" s="229"/>
      <c r="I1675" s="222"/>
      <c r="J1675" s="222"/>
      <c r="K1675" s="222"/>
    </row>
    <row r="1676" spans="2:11">
      <c r="B1676" s="228"/>
      <c r="C1676" s="228"/>
      <c r="D1676" s="229"/>
      <c r="E1676" s="229"/>
      <c r="F1676" s="229"/>
      <c r="G1676" s="229"/>
      <c r="H1676" s="229"/>
      <c r="I1676" s="222"/>
      <c r="J1676" s="222"/>
      <c r="K1676" s="222"/>
    </row>
    <row r="1677" spans="2:11">
      <c r="B1677" s="228"/>
      <c r="C1677" s="228"/>
      <c r="D1677" s="229"/>
      <c r="E1677" s="229"/>
      <c r="F1677" s="229"/>
      <c r="G1677" s="229"/>
      <c r="H1677" s="229"/>
      <c r="I1677" s="222"/>
      <c r="J1677" s="222"/>
      <c r="K1677" s="222"/>
    </row>
    <row r="1678" spans="2:11">
      <c r="B1678" s="228"/>
      <c r="C1678" s="228"/>
      <c r="D1678" s="229"/>
      <c r="E1678" s="229"/>
      <c r="F1678" s="229"/>
      <c r="G1678" s="229"/>
      <c r="H1678" s="229"/>
      <c r="I1678" s="222"/>
      <c r="J1678" s="222"/>
      <c r="K1678" s="222"/>
    </row>
    <row r="1679" spans="2:11">
      <c r="B1679" s="228"/>
      <c r="C1679" s="228"/>
      <c r="D1679" s="229"/>
      <c r="E1679" s="229"/>
      <c r="F1679" s="229"/>
      <c r="G1679" s="229"/>
      <c r="H1679" s="229"/>
      <c r="I1679" s="222"/>
      <c r="J1679" s="222"/>
      <c r="K1679" s="222"/>
    </row>
    <row r="1680" spans="2:11">
      <c r="B1680" s="228"/>
      <c r="C1680" s="228"/>
      <c r="D1680" s="229"/>
      <c r="E1680" s="229"/>
      <c r="F1680" s="229"/>
      <c r="G1680" s="229"/>
      <c r="H1680" s="229"/>
      <c r="I1680" s="222"/>
      <c r="J1680" s="222"/>
      <c r="K1680" s="222"/>
    </row>
    <row r="1681" spans="2:11">
      <c r="B1681" s="228"/>
      <c r="C1681" s="228"/>
      <c r="D1681" s="229"/>
      <c r="E1681" s="229"/>
      <c r="F1681" s="229"/>
      <c r="G1681" s="229"/>
      <c r="H1681" s="229"/>
      <c r="I1681" s="222"/>
      <c r="J1681" s="222"/>
      <c r="K1681" s="222"/>
    </row>
    <row r="1682" spans="2:11">
      <c r="B1682" s="228"/>
      <c r="C1682" s="228"/>
      <c r="D1682" s="229"/>
      <c r="E1682" s="229"/>
      <c r="F1682" s="229"/>
      <c r="G1682" s="229"/>
      <c r="H1682" s="229"/>
      <c r="I1682" s="222"/>
      <c r="J1682" s="222"/>
      <c r="K1682" s="222"/>
    </row>
    <row r="1683" spans="2:11">
      <c r="B1683" s="228"/>
      <c r="C1683" s="228"/>
      <c r="D1683" s="229"/>
      <c r="E1683" s="229"/>
      <c r="F1683" s="229"/>
      <c r="G1683" s="229"/>
      <c r="H1683" s="229"/>
      <c r="I1683" s="222"/>
      <c r="J1683" s="222"/>
      <c r="K1683" s="222"/>
    </row>
    <row r="1684" spans="2:11">
      <c r="B1684" s="228"/>
      <c r="C1684" s="228"/>
      <c r="D1684" s="229"/>
      <c r="E1684" s="229"/>
      <c r="F1684" s="229"/>
      <c r="G1684" s="229"/>
      <c r="H1684" s="229"/>
      <c r="I1684" s="222"/>
      <c r="J1684" s="222"/>
      <c r="K1684" s="222"/>
    </row>
    <row r="1685" spans="2:11">
      <c r="B1685" s="228"/>
      <c r="C1685" s="228"/>
      <c r="D1685" s="229"/>
      <c r="E1685" s="229"/>
      <c r="F1685" s="229"/>
      <c r="G1685" s="229"/>
      <c r="H1685" s="229"/>
      <c r="I1685" s="222"/>
      <c r="J1685" s="222"/>
      <c r="K1685" s="222"/>
    </row>
    <row r="1686" spans="2:11">
      <c r="B1686" s="228"/>
      <c r="C1686" s="228"/>
      <c r="D1686" s="229"/>
      <c r="E1686" s="229"/>
      <c r="F1686" s="229"/>
      <c r="G1686" s="229"/>
      <c r="H1686" s="229"/>
      <c r="I1686" s="222"/>
      <c r="J1686" s="222"/>
      <c r="K1686" s="222"/>
    </row>
    <row r="1687" spans="2:11">
      <c r="B1687" s="228"/>
      <c r="C1687" s="228"/>
      <c r="D1687" s="229"/>
      <c r="E1687" s="229"/>
      <c r="F1687" s="229"/>
      <c r="G1687" s="229"/>
      <c r="H1687" s="229"/>
      <c r="I1687" s="222"/>
      <c r="J1687" s="222"/>
      <c r="K1687" s="222"/>
    </row>
    <row r="1688" spans="2:11">
      <c r="B1688" s="228"/>
      <c r="C1688" s="228"/>
      <c r="D1688" s="229"/>
      <c r="E1688" s="229"/>
      <c r="F1688" s="229"/>
      <c r="G1688" s="229"/>
      <c r="H1688" s="229"/>
      <c r="I1688" s="222"/>
      <c r="J1688" s="222"/>
      <c r="K1688" s="222"/>
    </row>
    <row r="1689" spans="2:11">
      <c r="B1689" s="228"/>
      <c r="C1689" s="228"/>
      <c r="D1689" s="229"/>
      <c r="E1689" s="229"/>
      <c r="F1689" s="229"/>
      <c r="G1689" s="229"/>
      <c r="H1689" s="229"/>
      <c r="I1689" s="222"/>
      <c r="J1689" s="222"/>
      <c r="K1689" s="222"/>
    </row>
    <row r="1690" spans="2:11">
      <c r="B1690" s="228"/>
      <c r="C1690" s="228"/>
      <c r="D1690" s="229"/>
      <c r="E1690" s="229"/>
      <c r="F1690" s="229"/>
      <c r="G1690" s="229"/>
      <c r="H1690" s="229"/>
      <c r="I1690" s="222"/>
      <c r="J1690" s="222"/>
      <c r="K1690" s="222"/>
    </row>
    <row r="1691" spans="2:11">
      <c r="B1691" s="228"/>
      <c r="C1691" s="228"/>
      <c r="D1691" s="229"/>
      <c r="E1691" s="229"/>
      <c r="F1691" s="229"/>
      <c r="G1691" s="229"/>
      <c r="H1691" s="229"/>
      <c r="I1691" s="222"/>
      <c r="J1691" s="222"/>
      <c r="K1691" s="222"/>
    </row>
    <row r="1692" spans="2:11">
      <c r="B1692" s="228"/>
      <c r="C1692" s="228"/>
      <c r="D1692" s="229"/>
      <c r="E1692" s="229"/>
      <c r="F1692" s="229"/>
      <c r="G1692" s="229"/>
      <c r="H1692" s="229"/>
      <c r="I1692" s="222"/>
      <c r="J1692" s="222"/>
      <c r="K1692" s="222"/>
    </row>
    <row r="1693" spans="2:11">
      <c r="B1693" s="228"/>
      <c r="C1693" s="228"/>
      <c r="D1693" s="229"/>
      <c r="E1693" s="229"/>
      <c r="F1693" s="229"/>
      <c r="G1693" s="229"/>
      <c r="H1693" s="229"/>
      <c r="I1693" s="222"/>
      <c r="J1693" s="222"/>
      <c r="K1693" s="222"/>
    </row>
    <row r="1694" spans="2:11">
      <c r="B1694" s="228"/>
      <c r="C1694" s="228"/>
      <c r="D1694" s="229"/>
      <c r="E1694" s="229"/>
      <c r="F1694" s="229"/>
      <c r="G1694" s="229"/>
      <c r="H1694" s="229"/>
      <c r="I1694" s="222"/>
      <c r="J1694" s="222"/>
      <c r="K1694" s="222"/>
    </row>
    <row r="1695" spans="2:11">
      <c r="B1695" s="228"/>
      <c r="C1695" s="228"/>
      <c r="D1695" s="229"/>
      <c r="E1695" s="229"/>
      <c r="F1695" s="229"/>
      <c r="G1695" s="229"/>
      <c r="H1695" s="229"/>
      <c r="I1695" s="222"/>
      <c r="J1695" s="222"/>
      <c r="K1695" s="222"/>
    </row>
    <row r="1696" spans="2:11">
      <c r="B1696" s="228"/>
      <c r="C1696" s="228"/>
      <c r="D1696" s="229"/>
      <c r="E1696" s="229"/>
      <c r="F1696" s="229"/>
      <c r="G1696" s="229"/>
      <c r="H1696" s="229"/>
      <c r="I1696" s="222"/>
      <c r="J1696" s="222"/>
      <c r="K1696" s="222"/>
    </row>
    <row r="1697" spans="2:11">
      <c r="B1697" s="228"/>
      <c r="C1697" s="228"/>
      <c r="D1697" s="229"/>
      <c r="E1697" s="229"/>
      <c r="F1697" s="229"/>
      <c r="G1697" s="229"/>
      <c r="H1697" s="229"/>
      <c r="I1697" s="222"/>
      <c r="J1697" s="222"/>
      <c r="K1697" s="222"/>
    </row>
    <row r="1698" spans="2:11">
      <c r="B1698" s="228"/>
      <c r="C1698" s="228"/>
      <c r="D1698" s="229"/>
      <c r="E1698" s="229"/>
      <c r="F1698" s="229"/>
      <c r="G1698" s="229"/>
      <c r="H1698" s="229"/>
      <c r="I1698" s="222"/>
      <c r="J1698" s="222"/>
      <c r="K1698" s="222"/>
    </row>
    <row r="1699" spans="2:11">
      <c r="B1699" s="228"/>
      <c r="C1699" s="228"/>
      <c r="D1699" s="229"/>
      <c r="E1699" s="229"/>
      <c r="F1699" s="229"/>
      <c r="G1699" s="229"/>
      <c r="H1699" s="229"/>
      <c r="I1699" s="222"/>
      <c r="J1699" s="222"/>
      <c r="K1699" s="222"/>
    </row>
    <row r="1700" spans="2:11">
      <c r="B1700" s="228"/>
      <c r="C1700" s="228"/>
      <c r="D1700" s="229"/>
      <c r="E1700" s="229"/>
      <c r="F1700" s="229"/>
      <c r="G1700" s="229"/>
      <c r="H1700" s="229"/>
      <c r="I1700" s="222"/>
      <c r="J1700" s="222"/>
      <c r="K1700" s="222"/>
    </row>
    <row r="1701" spans="2:11">
      <c r="B1701" s="228"/>
      <c r="C1701" s="228"/>
      <c r="D1701" s="229"/>
      <c r="E1701" s="229"/>
      <c r="F1701" s="229"/>
      <c r="G1701" s="229"/>
      <c r="H1701" s="229"/>
      <c r="I1701" s="222"/>
      <c r="J1701" s="222"/>
      <c r="K1701" s="222"/>
    </row>
    <row r="1702" spans="2:11">
      <c r="B1702" s="228"/>
      <c r="C1702" s="228"/>
      <c r="D1702" s="229"/>
      <c r="E1702" s="229"/>
      <c r="F1702" s="229"/>
      <c r="G1702" s="229"/>
      <c r="H1702" s="229"/>
      <c r="I1702" s="222"/>
      <c r="J1702" s="222"/>
      <c r="K1702" s="222"/>
    </row>
    <row r="1703" spans="2:11">
      <c r="B1703" s="228"/>
      <c r="C1703" s="228"/>
      <c r="D1703" s="229"/>
      <c r="E1703" s="229"/>
      <c r="F1703" s="229"/>
      <c r="G1703" s="229"/>
      <c r="H1703" s="229"/>
      <c r="I1703" s="222"/>
      <c r="J1703" s="222"/>
      <c r="K1703" s="222"/>
    </row>
    <row r="1704" spans="2:11">
      <c r="B1704" s="228"/>
      <c r="C1704" s="228"/>
      <c r="D1704" s="229"/>
      <c r="E1704" s="229"/>
      <c r="F1704" s="229"/>
      <c r="G1704" s="229"/>
      <c r="H1704" s="229"/>
      <c r="I1704" s="222"/>
      <c r="J1704" s="222"/>
      <c r="K1704" s="222"/>
    </row>
    <row r="1705" spans="2:11">
      <c r="B1705" s="228"/>
      <c r="C1705" s="228"/>
      <c r="D1705" s="229"/>
      <c r="E1705" s="229"/>
      <c r="F1705" s="229"/>
      <c r="G1705" s="229"/>
      <c r="H1705" s="229"/>
      <c r="I1705" s="222"/>
      <c r="J1705" s="222"/>
      <c r="K1705" s="222"/>
    </row>
    <row r="1706" spans="2:11">
      <c r="B1706" s="228"/>
      <c r="C1706" s="228"/>
      <c r="D1706" s="229"/>
      <c r="E1706" s="229"/>
      <c r="F1706" s="229"/>
      <c r="G1706" s="229"/>
      <c r="H1706" s="229"/>
      <c r="I1706" s="222"/>
      <c r="J1706" s="222"/>
      <c r="K1706" s="222"/>
    </row>
    <row r="1707" spans="2:11">
      <c r="B1707" s="228"/>
      <c r="C1707" s="228"/>
      <c r="D1707" s="229"/>
      <c r="E1707" s="229"/>
      <c r="F1707" s="229"/>
      <c r="G1707" s="229"/>
      <c r="H1707" s="229"/>
      <c r="I1707" s="222"/>
      <c r="J1707" s="222"/>
      <c r="K1707" s="222"/>
    </row>
    <row r="1708" spans="2:11">
      <c r="B1708" s="228"/>
      <c r="C1708" s="228"/>
      <c r="D1708" s="229"/>
      <c r="E1708" s="229"/>
      <c r="F1708" s="229"/>
      <c r="G1708" s="229"/>
      <c r="H1708" s="229"/>
      <c r="I1708" s="222"/>
      <c r="J1708" s="222"/>
      <c r="K1708" s="222"/>
    </row>
    <row r="1709" spans="2:11">
      <c r="B1709" s="228"/>
      <c r="C1709" s="228"/>
      <c r="D1709" s="229"/>
      <c r="E1709" s="229"/>
      <c r="F1709" s="229"/>
      <c r="G1709" s="229"/>
      <c r="H1709" s="229"/>
      <c r="I1709" s="222"/>
      <c r="J1709" s="222"/>
      <c r="K1709" s="222"/>
    </row>
    <row r="1710" spans="2:11">
      <c r="B1710" s="228"/>
      <c r="C1710" s="228"/>
      <c r="D1710" s="229"/>
      <c r="E1710" s="229"/>
      <c r="F1710" s="229"/>
      <c r="G1710" s="229"/>
      <c r="H1710" s="229"/>
      <c r="I1710" s="222"/>
      <c r="J1710" s="222"/>
      <c r="K1710" s="222"/>
    </row>
    <row r="1711" spans="2:11">
      <c r="B1711" s="228"/>
      <c r="C1711" s="228"/>
      <c r="D1711" s="229"/>
      <c r="E1711" s="229"/>
      <c r="F1711" s="229"/>
      <c r="G1711" s="229"/>
      <c r="H1711" s="229"/>
      <c r="I1711" s="222"/>
      <c r="J1711" s="222"/>
      <c r="K1711" s="222"/>
    </row>
    <row r="1712" spans="2:11">
      <c r="B1712" s="228"/>
      <c r="C1712" s="228"/>
      <c r="D1712" s="229"/>
      <c r="E1712" s="229"/>
      <c r="F1712" s="229"/>
      <c r="G1712" s="229"/>
      <c r="H1712" s="229"/>
      <c r="I1712" s="222"/>
      <c r="J1712" s="222"/>
      <c r="K1712" s="222"/>
    </row>
    <row r="1713" spans="2:11">
      <c r="B1713" s="228"/>
      <c r="C1713" s="228"/>
      <c r="D1713" s="229"/>
      <c r="E1713" s="229"/>
      <c r="F1713" s="229"/>
      <c r="G1713" s="229"/>
      <c r="H1713" s="229"/>
      <c r="I1713" s="222"/>
      <c r="J1713" s="222"/>
      <c r="K1713" s="222"/>
    </row>
    <row r="1714" spans="2:11">
      <c r="B1714" s="228"/>
      <c r="C1714" s="228"/>
      <c r="D1714" s="229"/>
      <c r="E1714" s="229"/>
      <c r="F1714" s="229"/>
      <c r="G1714" s="229"/>
      <c r="H1714" s="229"/>
      <c r="I1714" s="222"/>
      <c r="J1714" s="222"/>
      <c r="K1714" s="222"/>
    </row>
    <row r="1715" spans="2:11">
      <c r="B1715" s="228"/>
      <c r="C1715" s="228"/>
      <c r="D1715" s="229"/>
      <c r="E1715" s="229"/>
      <c r="F1715" s="229"/>
      <c r="G1715" s="229"/>
      <c r="H1715" s="229"/>
      <c r="I1715" s="222"/>
      <c r="J1715" s="222"/>
      <c r="K1715" s="222"/>
    </row>
    <row r="1716" spans="2:11">
      <c r="B1716" s="228"/>
      <c r="C1716" s="228"/>
      <c r="D1716" s="229"/>
      <c r="E1716" s="229"/>
      <c r="F1716" s="229"/>
      <c r="G1716" s="229"/>
      <c r="H1716" s="229"/>
      <c r="I1716" s="222"/>
      <c r="J1716" s="222"/>
      <c r="K1716" s="222"/>
    </row>
    <row r="1717" spans="2:11">
      <c r="B1717" s="228"/>
      <c r="C1717" s="228"/>
      <c r="D1717" s="229"/>
      <c r="E1717" s="229"/>
      <c r="F1717" s="229"/>
      <c r="G1717" s="229"/>
      <c r="H1717" s="229"/>
      <c r="I1717" s="222"/>
      <c r="J1717" s="222"/>
      <c r="K1717" s="222"/>
    </row>
    <row r="1718" spans="2:11">
      <c r="B1718" s="228"/>
      <c r="C1718" s="228"/>
      <c r="D1718" s="229"/>
      <c r="E1718" s="229"/>
      <c r="F1718" s="229"/>
      <c r="G1718" s="229"/>
      <c r="H1718" s="229"/>
      <c r="I1718" s="222"/>
      <c r="J1718" s="222"/>
      <c r="K1718" s="222"/>
    </row>
    <row r="1719" spans="2:11">
      <c r="B1719" s="228"/>
      <c r="C1719" s="228"/>
      <c r="D1719" s="229"/>
      <c r="E1719" s="229"/>
      <c r="F1719" s="229"/>
      <c r="G1719" s="229"/>
      <c r="H1719" s="229"/>
      <c r="I1719" s="222"/>
      <c r="J1719" s="222"/>
      <c r="K1719" s="222"/>
    </row>
    <row r="1720" spans="2:11">
      <c r="B1720" s="228"/>
      <c r="C1720" s="228"/>
      <c r="D1720" s="229"/>
      <c r="E1720" s="229"/>
      <c r="F1720" s="229"/>
      <c r="G1720" s="229"/>
      <c r="H1720" s="229"/>
      <c r="I1720" s="222"/>
      <c r="J1720" s="222"/>
      <c r="K1720" s="222"/>
    </row>
  </sheetData>
  <mergeCells count="17">
    <mergeCell ref="K83:M83"/>
    <mergeCell ref="N83:P83"/>
    <mergeCell ref="Q83:S83"/>
    <mergeCell ref="AA21:AC21"/>
    <mergeCell ref="T83:V83"/>
    <mergeCell ref="E58:F58"/>
    <mergeCell ref="G58:H58"/>
    <mergeCell ref="E47:G47"/>
    <mergeCell ref="H47:J47"/>
    <mergeCell ref="E73:F73"/>
    <mergeCell ref="G73:H73"/>
    <mergeCell ref="I73:J73"/>
    <mergeCell ref="E82:J82"/>
    <mergeCell ref="K82:P82"/>
    <mergeCell ref="Q82:V82"/>
    <mergeCell ref="E83:G83"/>
    <mergeCell ref="H83:J83"/>
  </mergeCells>
  <pageMargins left="0.75" right="0.75" top="1" bottom="1" header="0.5" footer="0.5"/>
  <pageSetup paperSize="9" orientation="landscape" horizontalDpi="3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BW211"/>
  <sheetViews>
    <sheetView zoomScale="70" zoomScaleNormal="70" workbookViewId="0">
      <selection activeCell="P59" sqref="P59"/>
    </sheetView>
  </sheetViews>
  <sheetFormatPr defaultColWidth="9.109375" defaultRowHeight="14.4"/>
  <cols>
    <col min="1" max="1" width="7.33203125" style="266" customWidth="1"/>
    <col min="2" max="2" width="21" style="266" customWidth="1"/>
    <col min="3" max="3" width="18.44140625" style="266" bestFit="1" customWidth="1"/>
    <col min="4" max="4" width="19.109375" style="266" customWidth="1"/>
    <col min="5" max="5" width="11.44140625" style="266" bestFit="1" customWidth="1"/>
    <col min="6" max="6" width="13.44140625" style="266" bestFit="1" customWidth="1"/>
    <col min="7" max="9" width="11.109375" style="266" bestFit="1" customWidth="1"/>
    <col min="10" max="10" width="9.5546875" style="266" bestFit="1" customWidth="1"/>
    <col min="11" max="11" width="12.33203125" style="266" bestFit="1" customWidth="1"/>
    <col min="12" max="12" width="14" style="266" bestFit="1" customWidth="1"/>
    <col min="13" max="13" width="14.44140625" style="266" bestFit="1" customWidth="1"/>
    <col min="14" max="14" width="13.6640625" style="266" bestFit="1" customWidth="1"/>
    <col min="15" max="15" width="12.6640625" style="266" customWidth="1"/>
    <col min="16" max="16" width="11.33203125" style="266" bestFit="1" customWidth="1"/>
    <col min="17" max="17" width="9.33203125" style="266" bestFit="1" customWidth="1"/>
    <col min="18" max="18" width="11.109375" style="266" bestFit="1" customWidth="1"/>
    <col min="19" max="19" width="10.33203125" style="266" bestFit="1" customWidth="1"/>
    <col min="20" max="20" width="11.109375" style="266" customWidth="1"/>
    <col min="21" max="21" width="13.88671875" style="266" bestFit="1" customWidth="1"/>
    <col min="22" max="22" width="14.44140625" style="266" bestFit="1" customWidth="1"/>
    <col min="23" max="23" width="11.44140625" style="266" customWidth="1"/>
    <col min="24" max="24" width="12" style="266" customWidth="1"/>
    <col min="25" max="25" width="9.109375" style="266"/>
    <col min="26" max="26" width="11.5546875" style="266" bestFit="1" customWidth="1"/>
    <col min="27" max="27" width="9.109375" style="266"/>
    <col min="28" max="28" width="11.109375" style="266" customWidth="1"/>
    <col min="29" max="29" width="9.109375" style="266"/>
    <col min="30" max="31" width="10" style="266" bestFit="1" customWidth="1"/>
    <col min="32" max="34" width="13.33203125" style="266" bestFit="1" customWidth="1"/>
    <col min="35" max="35" width="9.109375" style="266"/>
    <col min="36" max="36" width="10.5546875" style="266" bestFit="1" customWidth="1"/>
    <col min="37" max="47" width="9.109375" style="266"/>
    <col min="48" max="48" width="13.5546875" style="266" customWidth="1"/>
    <col min="49" max="16384" width="9.109375" style="266"/>
  </cols>
  <sheetData>
    <row r="1" spans="2:75">
      <c r="B1" s="265" t="s">
        <v>358</v>
      </c>
      <c r="C1" s="297" t="s">
        <v>359</v>
      </c>
    </row>
    <row r="2" spans="2:75">
      <c r="B2" s="267" t="s">
        <v>360</v>
      </c>
    </row>
    <row r="3" spans="2:75">
      <c r="B3" s="268" t="s">
        <v>361</v>
      </c>
    </row>
    <row r="4" spans="2:75">
      <c r="B4" s="495" t="s">
        <v>362</v>
      </c>
    </row>
    <row r="6" spans="2:75" ht="15" thickBot="1">
      <c r="B6" s="1550" t="s">
        <v>977</v>
      </c>
      <c r="C6" s="1551"/>
      <c r="D6" s="1551"/>
      <c r="E6" s="1551"/>
      <c r="F6" s="1551"/>
      <c r="G6" s="1551"/>
      <c r="H6" s="1551"/>
      <c r="I6" s="1551"/>
      <c r="J6" s="1551"/>
      <c r="K6" s="1551"/>
      <c r="L6" s="1551"/>
      <c r="M6" s="1551"/>
      <c r="N6" s="1551"/>
      <c r="O6" s="1551"/>
      <c r="P6" s="1551"/>
      <c r="Q6" s="1551"/>
      <c r="R6" s="1551"/>
      <c r="S6" s="1551"/>
    </row>
    <row r="7" spans="2:75">
      <c r="B7" s="807"/>
      <c r="C7" s="1526" t="s">
        <v>342</v>
      </c>
      <c r="D7" s="1527"/>
      <c r="E7" s="1527"/>
      <c r="F7" s="1527"/>
      <c r="G7" s="1527"/>
      <c r="H7" s="1527"/>
      <c r="I7" s="1527"/>
      <c r="J7" s="1527"/>
      <c r="K7" s="1527"/>
      <c r="L7" s="1527"/>
      <c r="M7" s="1527"/>
      <c r="N7" s="1528"/>
      <c r="O7" s="1526" t="s">
        <v>346</v>
      </c>
      <c r="P7" s="1527"/>
      <c r="Q7" s="1527"/>
      <c r="R7" s="1527"/>
      <c r="S7" s="1527"/>
      <c r="T7" s="1527"/>
      <c r="U7" s="1527"/>
      <c r="V7" s="1527"/>
      <c r="W7" s="1527"/>
      <c r="X7" s="1527"/>
      <c r="Y7" s="1527"/>
      <c r="Z7" s="1528"/>
      <c r="AA7" s="1526" t="s">
        <v>349</v>
      </c>
      <c r="AB7" s="1527"/>
      <c r="AC7" s="1527"/>
      <c r="AD7" s="1527"/>
      <c r="AE7" s="1527"/>
      <c r="AF7" s="1527"/>
      <c r="AG7" s="1527"/>
      <c r="AH7" s="1527"/>
      <c r="AI7" s="1527"/>
      <c r="AJ7" s="1527"/>
      <c r="AK7" s="1527"/>
      <c r="AL7" s="1528"/>
      <c r="AM7" s="1553" t="s">
        <v>341</v>
      </c>
      <c r="AN7" s="1554"/>
      <c r="AO7" s="1554"/>
      <c r="AP7" s="1554"/>
      <c r="AQ7" s="1554"/>
      <c r="AR7" s="1554"/>
      <c r="AS7" s="1554"/>
      <c r="AT7" s="1554"/>
      <c r="AU7" s="1554"/>
      <c r="AV7" s="1554"/>
      <c r="AW7" s="1554"/>
      <c r="AX7" s="1555"/>
      <c r="AY7" s="1553" t="s">
        <v>351</v>
      </c>
      <c r="AZ7" s="1554"/>
      <c r="BA7" s="1554"/>
      <c r="BB7" s="1554"/>
      <c r="BC7" s="1554"/>
      <c r="BD7" s="1554"/>
      <c r="BE7" s="1554"/>
      <c r="BF7" s="1554"/>
      <c r="BG7" s="1554"/>
      <c r="BH7" s="1554"/>
      <c r="BI7" s="1554"/>
      <c r="BJ7" s="1555"/>
      <c r="BK7" s="1594" t="s">
        <v>352</v>
      </c>
      <c r="BL7" s="1595"/>
      <c r="BM7" s="1595"/>
      <c r="BN7" s="1595"/>
      <c r="BO7" s="1595"/>
      <c r="BP7" s="1595"/>
      <c r="BQ7" s="1595"/>
      <c r="BR7" s="1595"/>
      <c r="BS7" s="1595"/>
      <c r="BT7" s="1595"/>
      <c r="BU7" s="1595"/>
      <c r="BV7" s="1596"/>
      <c r="BW7" s="803"/>
    </row>
    <row r="8" spans="2:75">
      <c r="B8" s="820"/>
      <c r="C8" s="804" t="s">
        <v>363</v>
      </c>
      <c r="D8" s="805" t="s">
        <v>364</v>
      </c>
      <c r="E8" s="805" t="s">
        <v>365</v>
      </c>
      <c r="F8" s="805" t="s">
        <v>366</v>
      </c>
      <c r="G8" s="805" t="s">
        <v>367</v>
      </c>
      <c r="H8" s="805" t="s">
        <v>368</v>
      </c>
      <c r="I8" s="805" t="s">
        <v>369</v>
      </c>
      <c r="J8" s="805" t="s">
        <v>370</v>
      </c>
      <c r="K8" s="805" t="s">
        <v>371</v>
      </c>
      <c r="L8" s="805" t="s">
        <v>372</v>
      </c>
      <c r="M8" s="805" t="s">
        <v>353</v>
      </c>
      <c r="N8" s="806" t="s">
        <v>373</v>
      </c>
      <c r="O8" s="804" t="s">
        <v>363</v>
      </c>
      <c r="P8" s="805" t="s">
        <v>364</v>
      </c>
      <c r="Q8" s="805" t="s">
        <v>365</v>
      </c>
      <c r="R8" s="805" t="s">
        <v>366</v>
      </c>
      <c r="S8" s="805" t="s">
        <v>367</v>
      </c>
      <c r="T8" s="805" t="s">
        <v>368</v>
      </c>
      <c r="U8" s="805" t="s">
        <v>369</v>
      </c>
      <c r="V8" s="805" t="s">
        <v>370</v>
      </c>
      <c r="W8" s="805" t="s">
        <v>371</v>
      </c>
      <c r="X8" s="805" t="s">
        <v>372</v>
      </c>
      <c r="Y8" s="805" t="s">
        <v>353</v>
      </c>
      <c r="Z8" s="806" t="s">
        <v>373</v>
      </c>
      <c r="AA8" s="804" t="s">
        <v>363</v>
      </c>
      <c r="AB8" s="805" t="s">
        <v>364</v>
      </c>
      <c r="AC8" s="805" t="s">
        <v>365</v>
      </c>
      <c r="AD8" s="805" t="s">
        <v>366</v>
      </c>
      <c r="AE8" s="805" t="s">
        <v>367</v>
      </c>
      <c r="AF8" s="805" t="s">
        <v>368</v>
      </c>
      <c r="AG8" s="805" t="s">
        <v>369</v>
      </c>
      <c r="AH8" s="805" t="s">
        <v>370</v>
      </c>
      <c r="AI8" s="805" t="s">
        <v>371</v>
      </c>
      <c r="AJ8" s="805" t="s">
        <v>372</v>
      </c>
      <c r="AK8" s="805" t="s">
        <v>353</v>
      </c>
      <c r="AL8" s="806" t="s">
        <v>373</v>
      </c>
      <c r="AM8" s="804" t="s">
        <v>363</v>
      </c>
      <c r="AN8" s="805" t="s">
        <v>364</v>
      </c>
      <c r="AO8" s="805" t="s">
        <v>365</v>
      </c>
      <c r="AP8" s="805" t="s">
        <v>366</v>
      </c>
      <c r="AQ8" s="805" t="s">
        <v>367</v>
      </c>
      <c r="AR8" s="805" t="s">
        <v>368</v>
      </c>
      <c r="AS8" s="805" t="s">
        <v>369</v>
      </c>
      <c r="AT8" s="805" t="s">
        <v>370</v>
      </c>
      <c r="AU8" s="805" t="s">
        <v>371</v>
      </c>
      <c r="AV8" s="805" t="s">
        <v>372</v>
      </c>
      <c r="AW8" s="805" t="s">
        <v>353</v>
      </c>
      <c r="AX8" s="806" t="s">
        <v>373</v>
      </c>
      <c r="AY8" s="804" t="s">
        <v>363</v>
      </c>
      <c r="AZ8" s="805" t="s">
        <v>364</v>
      </c>
      <c r="BA8" s="805" t="s">
        <v>365</v>
      </c>
      <c r="BB8" s="805" t="s">
        <v>366</v>
      </c>
      <c r="BC8" s="805" t="s">
        <v>367</v>
      </c>
      <c r="BD8" s="805" t="s">
        <v>368</v>
      </c>
      <c r="BE8" s="805" t="s">
        <v>369</v>
      </c>
      <c r="BF8" s="805" t="s">
        <v>370</v>
      </c>
      <c r="BG8" s="805" t="s">
        <v>371</v>
      </c>
      <c r="BH8" s="805" t="s">
        <v>372</v>
      </c>
      <c r="BI8" s="805" t="s">
        <v>353</v>
      </c>
      <c r="BJ8" s="806" t="s">
        <v>373</v>
      </c>
      <c r="BK8" s="804" t="s">
        <v>363</v>
      </c>
      <c r="BL8" s="805" t="s">
        <v>364</v>
      </c>
      <c r="BM8" s="805" t="s">
        <v>365</v>
      </c>
      <c r="BN8" s="805" t="s">
        <v>366</v>
      </c>
      <c r="BO8" s="805" t="s">
        <v>367</v>
      </c>
      <c r="BP8" s="805" t="s">
        <v>368</v>
      </c>
      <c r="BQ8" s="805" t="s">
        <v>369</v>
      </c>
      <c r="BR8" s="805" t="s">
        <v>370</v>
      </c>
      <c r="BS8" s="805" t="s">
        <v>371</v>
      </c>
      <c r="BT8" s="805" t="s">
        <v>372</v>
      </c>
      <c r="BU8" s="805" t="s">
        <v>353</v>
      </c>
      <c r="BV8" s="808" t="s">
        <v>373</v>
      </c>
    </row>
    <row r="9" spans="2:75">
      <c r="B9" s="809" t="s">
        <v>374</v>
      </c>
      <c r="C9" s="800">
        <v>4586</v>
      </c>
      <c r="D9" s="801">
        <v>3777</v>
      </c>
      <c r="E9" s="801">
        <v>5649</v>
      </c>
      <c r="F9" s="801">
        <v>527</v>
      </c>
      <c r="G9" s="801">
        <v>9424</v>
      </c>
      <c r="H9" s="801">
        <v>9286</v>
      </c>
      <c r="I9" s="801">
        <v>11429</v>
      </c>
      <c r="J9" s="801">
        <v>10484</v>
      </c>
      <c r="K9" s="801">
        <v>4812</v>
      </c>
      <c r="L9" s="801">
        <v>4650</v>
      </c>
      <c r="M9" s="801">
        <v>0</v>
      </c>
      <c r="N9" s="802">
        <v>5356</v>
      </c>
      <c r="O9" s="800">
        <v>871</v>
      </c>
      <c r="P9" s="801">
        <v>853</v>
      </c>
      <c r="Q9" s="801">
        <v>1718</v>
      </c>
      <c r="R9" s="801">
        <v>124</v>
      </c>
      <c r="S9" s="801">
        <v>4583</v>
      </c>
      <c r="T9" s="801">
        <v>943</v>
      </c>
      <c r="U9" s="801">
        <v>743</v>
      </c>
      <c r="V9" s="801">
        <v>860</v>
      </c>
      <c r="W9" s="801">
        <v>702</v>
      </c>
      <c r="X9" s="801">
        <v>1476</v>
      </c>
      <c r="Y9" s="801">
        <v>0</v>
      </c>
      <c r="Z9" s="802">
        <v>1601</v>
      </c>
      <c r="AA9" s="800">
        <v>635</v>
      </c>
      <c r="AB9" s="801">
        <v>389</v>
      </c>
      <c r="AC9" s="801">
        <v>384</v>
      </c>
      <c r="AD9" s="801">
        <v>40</v>
      </c>
      <c r="AE9" s="801">
        <v>2080</v>
      </c>
      <c r="AF9" s="801">
        <v>2731</v>
      </c>
      <c r="AG9" s="801">
        <v>3942</v>
      </c>
      <c r="AH9" s="801">
        <v>2207</v>
      </c>
      <c r="AI9" s="801">
        <v>1244</v>
      </c>
      <c r="AJ9" s="801">
        <v>2608</v>
      </c>
      <c r="AK9" s="801">
        <v>0</v>
      </c>
      <c r="AL9" s="802">
        <v>1123</v>
      </c>
      <c r="AM9" s="800">
        <v>553</v>
      </c>
      <c r="AN9" s="801">
        <v>321</v>
      </c>
      <c r="AO9" s="801">
        <v>257</v>
      </c>
      <c r="AP9" s="801">
        <v>0</v>
      </c>
      <c r="AQ9" s="801">
        <v>1430</v>
      </c>
      <c r="AR9" s="801">
        <v>3773</v>
      </c>
      <c r="AS9" s="801">
        <v>3804</v>
      </c>
      <c r="AT9" s="801">
        <v>1808</v>
      </c>
      <c r="AU9" s="801">
        <v>1702</v>
      </c>
      <c r="AV9" s="801">
        <v>3912</v>
      </c>
      <c r="AW9" s="801">
        <v>0</v>
      </c>
      <c r="AX9" s="802">
        <v>669</v>
      </c>
      <c r="AY9" s="800">
        <v>15</v>
      </c>
      <c r="AZ9" s="801">
        <v>11</v>
      </c>
      <c r="BA9" s="801">
        <v>10</v>
      </c>
      <c r="BB9" s="801">
        <v>0</v>
      </c>
      <c r="BC9" s="801">
        <v>32</v>
      </c>
      <c r="BD9" s="801">
        <v>14</v>
      </c>
      <c r="BE9" s="801">
        <v>161</v>
      </c>
      <c r="BF9" s="801">
        <v>119</v>
      </c>
      <c r="BG9" s="801">
        <v>438</v>
      </c>
      <c r="BH9" s="801">
        <v>241</v>
      </c>
      <c r="BI9" s="801">
        <v>0</v>
      </c>
      <c r="BJ9" s="802">
        <v>186</v>
      </c>
      <c r="BK9" s="800">
        <v>412</v>
      </c>
      <c r="BL9" s="801">
        <v>323</v>
      </c>
      <c r="BM9" s="801">
        <v>317</v>
      </c>
      <c r="BN9" s="801">
        <v>19</v>
      </c>
      <c r="BO9" s="801">
        <v>333</v>
      </c>
      <c r="BP9" s="801">
        <v>202</v>
      </c>
      <c r="BQ9" s="801">
        <v>96</v>
      </c>
      <c r="BR9" s="801">
        <v>585</v>
      </c>
      <c r="BS9" s="801">
        <v>510</v>
      </c>
      <c r="BT9" s="801">
        <v>642</v>
      </c>
      <c r="BU9" s="801">
        <v>0</v>
      </c>
      <c r="BV9" s="810">
        <v>849</v>
      </c>
    </row>
    <row r="10" spans="2:75">
      <c r="B10" s="809" t="s">
        <v>375</v>
      </c>
      <c r="C10" s="800">
        <v>3736</v>
      </c>
      <c r="D10" s="801">
        <v>3447</v>
      </c>
      <c r="E10" s="801">
        <v>6242</v>
      </c>
      <c r="F10" s="801">
        <v>701</v>
      </c>
      <c r="G10" s="801">
        <v>12391</v>
      </c>
      <c r="H10" s="801">
        <v>15703</v>
      </c>
      <c r="I10" s="801">
        <v>16122</v>
      </c>
      <c r="J10" s="801">
        <v>21199</v>
      </c>
      <c r="K10" s="801">
        <v>12808</v>
      </c>
      <c r="L10" s="801">
        <v>10390</v>
      </c>
      <c r="M10" s="801">
        <v>0</v>
      </c>
      <c r="N10" s="802">
        <v>8448</v>
      </c>
      <c r="O10" s="800">
        <v>383</v>
      </c>
      <c r="P10" s="801">
        <v>559</v>
      </c>
      <c r="Q10" s="801">
        <v>1481</v>
      </c>
      <c r="R10" s="801">
        <v>100</v>
      </c>
      <c r="S10" s="801">
        <v>6289</v>
      </c>
      <c r="T10" s="801">
        <v>3045</v>
      </c>
      <c r="U10" s="801">
        <v>2223</v>
      </c>
      <c r="V10" s="801">
        <v>3721</v>
      </c>
      <c r="W10" s="801">
        <v>2150</v>
      </c>
      <c r="X10" s="801">
        <v>2963</v>
      </c>
      <c r="Y10" s="801">
        <v>0</v>
      </c>
      <c r="Z10" s="802">
        <v>1614</v>
      </c>
      <c r="AA10" s="800">
        <v>146</v>
      </c>
      <c r="AB10" s="801">
        <v>137</v>
      </c>
      <c r="AC10" s="801">
        <v>201</v>
      </c>
      <c r="AD10" s="801">
        <v>46</v>
      </c>
      <c r="AE10" s="801">
        <v>4207</v>
      </c>
      <c r="AF10" s="801">
        <v>5875</v>
      </c>
      <c r="AG10" s="801">
        <v>8929</v>
      </c>
      <c r="AH10" s="801">
        <v>7932</v>
      </c>
      <c r="AI10" s="801">
        <v>4920</v>
      </c>
      <c r="AJ10" s="801">
        <v>4148</v>
      </c>
      <c r="AK10" s="801">
        <v>0</v>
      </c>
      <c r="AL10" s="802">
        <v>1090</v>
      </c>
      <c r="AM10" s="800">
        <v>50</v>
      </c>
      <c r="AN10" s="801">
        <v>36</v>
      </c>
      <c r="AO10" s="801">
        <v>66</v>
      </c>
      <c r="AP10" s="801">
        <v>32</v>
      </c>
      <c r="AQ10" s="801">
        <v>3773</v>
      </c>
      <c r="AR10" s="801">
        <v>10665</v>
      </c>
      <c r="AS10" s="801">
        <v>7221</v>
      </c>
      <c r="AT10" s="801">
        <v>3876</v>
      </c>
      <c r="AU10" s="801">
        <v>4558</v>
      </c>
      <c r="AV10" s="801">
        <v>13985</v>
      </c>
      <c r="AW10" s="801">
        <v>0</v>
      </c>
      <c r="AX10" s="802">
        <v>302</v>
      </c>
      <c r="AY10" s="800">
        <v>10</v>
      </c>
      <c r="AZ10" s="801">
        <v>13</v>
      </c>
      <c r="BA10" s="801">
        <v>4</v>
      </c>
      <c r="BB10" s="801">
        <v>0</v>
      </c>
      <c r="BC10" s="801">
        <v>92</v>
      </c>
      <c r="BD10" s="801">
        <v>179</v>
      </c>
      <c r="BE10" s="801">
        <v>119</v>
      </c>
      <c r="BF10" s="801">
        <v>199</v>
      </c>
      <c r="BG10" s="801">
        <v>460</v>
      </c>
      <c r="BH10" s="801">
        <v>699</v>
      </c>
      <c r="BI10" s="801">
        <v>0</v>
      </c>
      <c r="BJ10" s="802">
        <v>185</v>
      </c>
      <c r="BK10" s="800">
        <v>168</v>
      </c>
      <c r="BL10" s="801">
        <v>111</v>
      </c>
      <c r="BM10" s="801">
        <v>275</v>
      </c>
      <c r="BN10" s="801">
        <v>15</v>
      </c>
      <c r="BO10" s="801">
        <v>472</v>
      </c>
      <c r="BP10" s="801">
        <v>474</v>
      </c>
      <c r="BQ10" s="801">
        <v>463</v>
      </c>
      <c r="BR10" s="801">
        <v>1171</v>
      </c>
      <c r="BS10" s="801">
        <v>991</v>
      </c>
      <c r="BT10" s="801">
        <v>1284</v>
      </c>
      <c r="BU10" s="801">
        <v>0</v>
      </c>
      <c r="BV10" s="810">
        <v>1003</v>
      </c>
    </row>
    <row r="11" spans="2:75">
      <c r="B11" s="809" t="s">
        <v>376</v>
      </c>
      <c r="C11" s="800">
        <v>900</v>
      </c>
      <c r="D11" s="801">
        <v>1957</v>
      </c>
      <c r="E11" s="801">
        <v>4207</v>
      </c>
      <c r="F11" s="801">
        <v>176</v>
      </c>
      <c r="G11" s="801">
        <v>2910</v>
      </c>
      <c r="H11" s="801">
        <v>2529</v>
      </c>
      <c r="I11" s="801">
        <v>3477</v>
      </c>
      <c r="J11" s="801">
        <v>4942</v>
      </c>
      <c r="K11" s="801">
        <v>2866</v>
      </c>
      <c r="L11" s="801">
        <v>1433</v>
      </c>
      <c r="M11" s="801">
        <v>0</v>
      </c>
      <c r="N11" s="802">
        <v>386</v>
      </c>
      <c r="O11" s="800">
        <v>627</v>
      </c>
      <c r="P11" s="801">
        <v>1174</v>
      </c>
      <c r="Q11" s="801">
        <v>4034</v>
      </c>
      <c r="R11" s="801">
        <v>247</v>
      </c>
      <c r="S11" s="801">
        <v>5192</v>
      </c>
      <c r="T11" s="801">
        <v>1685</v>
      </c>
      <c r="U11" s="801">
        <v>1873</v>
      </c>
      <c r="V11" s="801">
        <v>1903</v>
      </c>
      <c r="W11" s="801">
        <v>995</v>
      </c>
      <c r="X11" s="801">
        <v>1107</v>
      </c>
      <c r="Y11" s="801">
        <v>0</v>
      </c>
      <c r="Z11" s="802">
        <v>241</v>
      </c>
      <c r="AA11" s="800">
        <v>1401</v>
      </c>
      <c r="AB11" s="801">
        <v>1015</v>
      </c>
      <c r="AC11" s="801">
        <v>2182</v>
      </c>
      <c r="AD11" s="801">
        <v>85</v>
      </c>
      <c r="AE11" s="801">
        <v>4485</v>
      </c>
      <c r="AF11" s="801">
        <v>3536</v>
      </c>
      <c r="AG11" s="801">
        <v>4375</v>
      </c>
      <c r="AH11" s="801">
        <v>7695</v>
      </c>
      <c r="AI11" s="801">
        <v>2837</v>
      </c>
      <c r="AJ11" s="801">
        <v>1810</v>
      </c>
      <c r="AK11" s="801">
        <v>0</v>
      </c>
      <c r="AL11" s="802">
        <v>338</v>
      </c>
      <c r="AM11" s="800">
        <v>28427</v>
      </c>
      <c r="AN11" s="801">
        <v>9260</v>
      </c>
      <c r="AO11" s="801">
        <v>36638</v>
      </c>
      <c r="AP11" s="801">
        <v>1453</v>
      </c>
      <c r="AQ11" s="801">
        <v>36138</v>
      </c>
      <c r="AR11" s="801">
        <v>23428</v>
      </c>
      <c r="AS11" s="801">
        <v>27528</v>
      </c>
      <c r="AT11" s="801">
        <v>20582</v>
      </c>
      <c r="AU11" s="801">
        <v>18039</v>
      </c>
      <c r="AV11" s="801">
        <v>22376</v>
      </c>
      <c r="AW11" s="801">
        <v>0</v>
      </c>
      <c r="AX11" s="802">
        <v>649</v>
      </c>
      <c r="AY11" s="800">
        <v>219</v>
      </c>
      <c r="AZ11" s="801">
        <v>42</v>
      </c>
      <c r="BA11" s="801">
        <v>33</v>
      </c>
      <c r="BB11" s="801">
        <v>0</v>
      </c>
      <c r="BC11" s="801">
        <v>400</v>
      </c>
      <c r="BD11" s="801">
        <v>448</v>
      </c>
      <c r="BE11" s="801">
        <v>504</v>
      </c>
      <c r="BF11" s="801">
        <v>323</v>
      </c>
      <c r="BG11" s="801">
        <v>463</v>
      </c>
      <c r="BH11" s="801">
        <v>1783</v>
      </c>
      <c r="BI11" s="801">
        <v>0</v>
      </c>
      <c r="BJ11" s="802">
        <v>18</v>
      </c>
      <c r="BK11" s="800">
        <v>450</v>
      </c>
      <c r="BL11" s="801">
        <v>145</v>
      </c>
      <c r="BM11" s="801">
        <v>372</v>
      </c>
      <c r="BN11" s="801">
        <v>7</v>
      </c>
      <c r="BO11" s="801">
        <v>574</v>
      </c>
      <c r="BP11" s="801">
        <v>506</v>
      </c>
      <c r="BQ11" s="801">
        <v>535</v>
      </c>
      <c r="BR11" s="801">
        <v>544</v>
      </c>
      <c r="BS11" s="801">
        <v>778</v>
      </c>
      <c r="BT11" s="801">
        <v>146</v>
      </c>
      <c r="BU11" s="801">
        <v>0</v>
      </c>
      <c r="BV11" s="810">
        <v>109</v>
      </c>
    </row>
    <row r="12" spans="2:75">
      <c r="B12" s="809" t="s">
        <v>377</v>
      </c>
      <c r="C12" s="800">
        <v>3377</v>
      </c>
      <c r="D12" s="801">
        <v>2775</v>
      </c>
      <c r="E12" s="801">
        <v>4025</v>
      </c>
      <c r="F12" s="801">
        <v>645</v>
      </c>
      <c r="G12" s="801">
        <v>10308</v>
      </c>
      <c r="H12" s="801">
        <v>8164</v>
      </c>
      <c r="I12" s="801">
        <v>14520</v>
      </c>
      <c r="J12" s="801">
        <v>8626</v>
      </c>
      <c r="K12" s="801">
        <v>3835</v>
      </c>
      <c r="L12" s="801">
        <v>3132</v>
      </c>
      <c r="M12" s="801">
        <v>0</v>
      </c>
      <c r="N12" s="802">
        <v>10450</v>
      </c>
      <c r="O12" s="800">
        <v>152</v>
      </c>
      <c r="P12" s="801">
        <v>228</v>
      </c>
      <c r="Q12" s="801">
        <v>241</v>
      </c>
      <c r="R12" s="801">
        <v>30</v>
      </c>
      <c r="S12" s="801">
        <v>872</v>
      </c>
      <c r="T12" s="801">
        <v>276</v>
      </c>
      <c r="U12" s="801">
        <v>727</v>
      </c>
      <c r="V12" s="801">
        <v>807</v>
      </c>
      <c r="W12" s="801">
        <v>993</v>
      </c>
      <c r="X12" s="801">
        <v>1013</v>
      </c>
      <c r="Y12" s="801">
        <v>0</v>
      </c>
      <c r="Z12" s="802">
        <v>758</v>
      </c>
      <c r="AA12" s="800">
        <v>295</v>
      </c>
      <c r="AB12" s="801">
        <v>146</v>
      </c>
      <c r="AC12" s="801">
        <v>93</v>
      </c>
      <c r="AD12" s="801">
        <v>12</v>
      </c>
      <c r="AE12" s="801">
        <v>668</v>
      </c>
      <c r="AF12" s="801">
        <v>535</v>
      </c>
      <c r="AG12" s="801">
        <v>1668</v>
      </c>
      <c r="AH12" s="801">
        <v>770</v>
      </c>
      <c r="AI12" s="801">
        <v>1250</v>
      </c>
      <c r="AJ12" s="801">
        <v>1296</v>
      </c>
      <c r="AK12" s="801">
        <v>0</v>
      </c>
      <c r="AL12" s="802">
        <v>671</v>
      </c>
      <c r="AM12" s="800">
        <v>130</v>
      </c>
      <c r="AN12" s="801">
        <v>233</v>
      </c>
      <c r="AO12" s="801">
        <v>88</v>
      </c>
      <c r="AP12" s="801">
        <v>18</v>
      </c>
      <c r="AQ12" s="801">
        <v>732</v>
      </c>
      <c r="AR12" s="801">
        <v>1640</v>
      </c>
      <c r="AS12" s="801">
        <v>2372</v>
      </c>
      <c r="AT12" s="801">
        <v>473</v>
      </c>
      <c r="AU12" s="801">
        <v>690</v>
      </c>
      <c r="AV12" s="801">
        <v>1922</v>
      </c>
      <c r="AW12" s="801">
        <v>0</v>
      </c>
      <c r="AX12" s="802">
        <v>235</v>
      </c>
      <c r="AY12" s="800">
        <v>9</v>
      </c>
      <c r="AZ12" s="801">
        <v>31</v>
      </c>
      <c r="BA12" s="801">
        <v>7</v>
      </c>
      <c r="BB12" s="801">
        <v>0</v>
      </c>
      <c r="BC12" s="801">
        <v>9</v>
      </c>
      <c r="BD12" s="801">
        <v>22</v>
      </c>
      <c r="BE12" s="801">
        <v>38</v>
      </c>
      <c r="BF12" s="801">
        <v>222</v>
      </c>
      <c r="BG12" s="801">
        <v>367</v>
      </c>
      <c r="BH12" s="801">
        <v>431</v>
      </c>
      <c r="BI12" s="801">
        <v>0</v>
      </c>
      <c r="BJ12" s="802">
        <v>269</v>
      </c>
      <c r="BK12" s="800">
        <v>248</v>
      </c>
      <c r="BL12" s="801">
        <v>101</v>
      </c>
      <c r="BM12" s="801">
        <v>153</v>
      </c>
      <c r="BN12" s="801">
        <v>7</v>
      </c>
      <c r="BO12" s="801">
        <v>426</v>
      </c>
      <c r="BP12" s="801">
        <v>152</v>
      </c>
      <c r="BQ12" s="801">
        <v>113</v>
      </c>
      <c r="BR12" s="801">
        <v>306</v>
      </c>
      <c r="BS12" s="801">
        <v>553</v>
      </c>
      <c r="BT12" s="801">
        <v>452</v>
      </c>
      <c r="BU12" s="801">
        <v>0</v>
      </c>
      <c r="BV12" s="810">
        <v>953</v>
      </c>
    </row>
    <row r="13" spans="2:75">
      <c r="B13" s="809" t="s">
        <v>378</v>
      </c>
      <c r="C13" s="800">
        <v>3249</v>
      </c>
      <c r="D13" s="801">
        <v>2234</v>
      </c>
      <c r="E13" s="801">
        <v>4097</v>
      </c>
      <c r="F13" s="801">
        <v>742</v>
      </c>
      <c r="G13" s="801">
        <v>9726</v>
      </c>
      <c r="H13" s="801">
        <v>7932</v>
      </c>
      <c r="I13" s="801">
        <v>11298</v>
      </c>
      <c r="J13" s="801">
        <v>9426</v>
      </c>
      <c r="K13" s="801">
        <v>4295</v>
      </c>
      <c r="L13" s="801">
        <v>3036</v>
      </c>
      <c r="M13" s="801">
        <v>0</v>
      </c>
      <c r="N13" s="802">
        <v>12220</v>
      </c>
      <c r="O13" s="800">
        <v>227</v>
      </c>
      <c r="P13" s="801">
        <v>264</v>
      </c>
      <c r="Q13" s="801">
        <v>520</v>
      </c>
      <c r="R13" s="801">
        <v>50</v>
      </c>
      <c r="S13" s="801">
        <v>1374</v>
      </c>
      <c r="T13" s="801">
        <v>408</v>
      </c>
      <c r="U13" s="801">
        <v>733</v>
      </c>
      <c r="V13" s="801">
        <v>1112</v>
      </c>
      <c r="W13" s="801">
        <v>987</v>
      </c>
      <c r="X13" s="801">
        <v>1040</v>
      </c>
      <c r="Y13" s="801">
        <v>0</v>
      </c>
      <c r="Z13" s="802">
        <v>1761</v>
      </c>
      <c r="AA13" s="800">
        <v>78</v>
      </c>
      <c r="AB13" s="801">
        <v>118</v>
      </c>
      <c r="AC13" s="801">
        <v>144</v>
      </c>
      <c r="AD13" s="801">
        <v>14</v>
      </c>
      <c r="AE13" s="801">
        <v>446</v>
      </c>
      <c r="AF13" s="801">
        <v>722</v>
      </c>
      <c r="AG13" s="801">
        <v>1001</v>
      </c>
      <c r="AH13" s="801">
        <v>728</v>
      </c>
      <c r="AI13" s="801">
        <v>1158</v>
      </c>
      <c r="AJ13" s="801">
        <v>1307</v>
      </c>
      <c r="AK13" s="801">
        <v>0</v>
      </c>
      <c r="AL13" s="802">
        <v>597</v>
      </c>
      <c r="AM13" s="800">
        <v>55</v>
      </c>
      <c r="AN13" s="801">
        <v>137</v>
      </c>
      <c r="AO13" s="801">
        <v>65</v>
      </c>
      <c r="AP13" s="801">
        <v>39</v>
      </c>
      <c r="AQ13" s="801">
        <v>536</v>
      </c>
      <c r="AR13" s="801">
        <v>779</v>
      </c>
      <c r="AS13" s="801">
        <v>1164</v>
      </c>
      <c r="AT13" s="801">
        <v>540</v>
      </c>
      <c r="AU13" s="801">
        <v>529</v>
      </c>
      <c r="AV13" s="801">
        <v>1545</v>
      </c>
      <c r="AW13" s="801">
        <v>0</v>
      </c>
      <c r="AX13" s="802">
        <v>494</v>
      </c>
      <c r="AY13" s="800">
        <v>0</v>
      </c>
      <c r="AZ13" s="801">
        <v>0</v>
      </c>
      <c r="BA13" s="801">
        <v>10</v>
      </c>
      <c r="BB13" s="801">
        <v>7</v>
      </c>
      <c r="BC13" s="801">
        <v>36</v>
      </c>
      <c r="BD13" s="801">
        <v>137</v>
      </c>
      <c r="BE13" s="801">
        <v>268</v>
      </c>
      <c r="BF13" s="801">
        <v>190</v>
      </c>
      <c r="BG13" s="801">
        <v>940</v>
      </c>
      <c r="BH13" s="801">
        <v>411</v>
      </c>
      <c r="BI13" s="801">
        <v>0</v>
      </c>
      <c r="BJ13" s="802">
        <v>85</v>
      </c>
      <c r="BK13" s="800">
        <v>79</v>
      </c>
      <c r="BL13" s="801">
        <v>93</v>
      </c>
      <c r="BM13" s="801">
        <v>119</v>
      </c>
      <c r="BN13" s="801">
        <v>12</v>
      </c>
      <c r="BO13" s="801">
        <v>254</v>
      </c>
      <c r="BP13" s="801">
        <v>138</v>
      </c>
      <c r="BQ13" s="801">
        <v>77</v>
      </c>
      <c r="BR13" s="801">
        <v>221</v>
      </c>
      <c r="BS13" s="801">
        <v>381</v>
      </c>
      <c r="BT13" s="801">
        <v>256</v>
      </c>
      <c r="BU13" s="801">
        <v>0</v>
      </c>
      <c r="BV13" s="810">
        <v>808</v>
      </c>
    </row>
    <row r="14" spans="2:75">
      <c r="B14" s="809" t="s">
        <v>379</v>
      </c>
      <c r="C14" s="800">
        <v>3725</v>
      </c>
      <c r="D14" s="801">
        <v>3216</v>
      </c>
      <c r="E14" s="801">
        <v>4706</v>
      </c>
      <c r="F14" s="801">
        <v>541</v>
      </c>
      <c r="G14" s="801">
        <v>9332</v>
      </c>
      <c r="H14" s="801">
        <v>8219</v>
      </c>
      <c r="I14" s="801">
        <v>10811</v>
      </c>
      <c r="J14" s="801">
        <v>11215</v>
      </c>
      <c r="K14" s="801">
        <v>5702</v>
      </c>
      <c r="L14" s="801">
        <v>4744</v>
      </c>
      <c r="M14" s="801">
        <v>0</v>
      </c>
      <c r="N14" s="802">
        <v>9222</v>
      </c>
      <c r="O14" s="800">
        <v>708</v>
      </c>
      <c r="P14" s="801">
        <v>735</v>
      </c>
      <c r="Q14" s="801">
        <v>1300</v>
      </c>
      <c r="R14" s="801">
        <v>53</v>
      </c>
      <c r="S14" s="801">
        <v>2475</v>
      </c>
      <c r="T14" s="801">
        <v>725</v>
      </c>
      <c r="U14" s="801">
        <v>1346</v>
      </c>
      <c r="V14" s="801">
        <v>1643</v>
      </c>
      <c r="W14" s="801">
        <v>1043</v>
      </c>
      <c r="X14" s="801">
        <v>1376</v>
      </c>
      <c r="Y14" s="801">
        <v>0</v>
      </c>
      <c r="Z14" s="802">
        <v>1391</v>
      </c>
      <c r="AA14" s="800">
        <v>434</v>
      </c>
      <c r="AB14" s="801">
        <v>383</v>
      </c>
      <c r="AC14" s="801">
        <v>442</v>
      </c>
      <c r="AD14" s="801">
        <v>30</v>
      </c>
      <c r="AE14" s="801">
        <v>1335</v>
      </c>
      <c r="AF14" s="801">
        <v>748</v>
      </c>
      <c r="AG14" s="801">
        <v>2620</v>
      </c>
      <c r="AH14" s="801">
        <v>2377</v>
      </c>
      <c r="AI14" s="801">
        <v>1787</v>
      </c>
      <c r="AJ14" s="801">
        <v>2075</v>
      </c>
      <c r="AK14" s="801">
        <v>0</v>
      </c>
      <c r="AL14" s="802">
        <v>742</v>
      </c>
      <c r="AM14" s="800">
        <v>457</v>
      </c>
      <c r="AN14" s="801">
        <v>257</v>
      </c>
      <c r="AO14" s="801">
        <v>338</v>
      </c>
      <c r="AP14" s="801">
        <v>0</v>
      </c>
      <c r="AQ14" s="801">
        <v>1609</v>
      </c>
      <c r="AR14" s="801">
        <v>3131</v>
      </c>
      <c r="AS14" s="801">
        <v>5194</v>
      </c>
      <c r="AT14" s="801">
        <v>1138</v>
      </c>
      <c r="AU14" s="801">
        <v>1821</v>
      </c>
      <c r="AV14" s="801">
        <v>4425</v>
      </c>
      <c r="AW14" s="801">
        <v>0</v>
      </c>
      <c r="AX14" s="802">
        <v>194</v>
      </c>
      <c r="AY14" s="800">
        <v>8</v>
      </c>
      <c r="AZ14" s="801">
        <v>30</v>
      </c>
      <c r="BA14" s="801">
        <v>0</v>
      </c>
      <c r="BB14" s="801">
        <v>0</v>
      </c>
      <c r="BC14" s="801">
        <v>44</v>
      </c>
      <c r="BD14" s="801">
        <v>87</v>
      </c>
      <c r="BE14" s="801">
        <v>315</v>
      </c>
      <c r="BF14" s="801">
        <v>198</v>
      </c>
      <c r="BG14" s="801">
        <v>429</v>
      </c>
      <c r="BH14" s="801">
        <v>695</v>
      </c>
      <c r="BI14" s="801">
        <v>0</v>
      </c>
      <c r="BJ14" s="802">
        <v>120</v>
      </c>
      <c r="BK14" s="800">
        <v>240</v>
      </c>
      <c r="BL14" s="801">
        <v>144</v>
      </c>
      <c r="BM14" s="801">
        <v>151</v>
      </c>
      <c r="BN14" s="801">
        <v>8</v>
      </c>
      <c r="BO14" s="801">
        <v>241</v>
      </c>
      <c r="BP14" s="801">
        <v>162</v>
      </c>
      <c r="BQ14" s="801">
        <v>144</v>
      </c>
      <c r="BR14" s="801">
        <v>430</v>
      </c>
      <c r="BS14" s="801">
        <v>622</v>
      </c>
      <c r="BT14" s="801">
        <v>612</v>
      </c>
      <c r="BU14" s="801">
        <v>0</v>
      </c>
      <c r="BV14" s="810">
        <v>766</v>
      </c>
    </row>
    <row r="15" spans="2:75">
      <c r="B15" s="809" t="s">
        <v>380</v>
      </c>
      <c r="C15" s="800">
        <v>4455</v>
      </c>
      <c r="D15" s="801">
        <v>2914</v>
      </c>
      <c r="E15" s="801">
        <v>4477</v>
      </c>
      <c r="F15" s="801">
        <v>304</v>
      </c>
      <c r="G15" s="801">
        <v>7784</v>
      </c>
      <c r="H15" s="801">
        <v>8958</v>
      </c>
      <c r="I15" s="801">
        <v>8598</v>
      </c>
      <c r="J15" s="801">
        <v>8475</v>
      </c>
      <c r="K15" s="801">
        <v>4765</v>
      </c>
      <c r="L15" s="801">
        <v>4067</v>
      </c>
      <c r="M15" s="801">
        <v>0</v>
      </c>
      <c r="N15" s="802">
        <v>5653</v>
      </c>
      <c r="O15" s="800">
        <v>462</v>
      </c>
      <c r="P15" s="801">
        <v>716</v>
      </c>
      <c r="Q15" s="801">
        <v>1027</v>
      </c>
      <c r="R15" s="801">
        <v>21</v>
      </c>
      <c r="S15" s="801">
        <v>2091</v>
      </c>
      <c r="T15" s="801">
        <v>478</v>
      </c>
      <c r="U15" s="801">
        <v>629</v>
      </c>
      <c r="V15" s="801">
        <v>921</v>
      </c>
      <c r="W15" s="801">
        <v>1245</v>
      </c>
      <c r="X15" s="801">
        <v>1256</v>
      </c>
      <c r="Y15" s="801">
        <v>0</v>
      </c>
      <c r="Z15" s="802">
        <v>1795</v>
      </c>
      <c r="AA15" s="800">
        <v>298</v>
      </c>
      <c r="AB15" s="801">
        <v>376</v>
      </c>
      <c r="AC15" s="801">
        <v>374</v>
      </c>
      <c r="AD15" s="801">
        <v>22</v>
      </c>
      <c r="AE15" s="801">
        <v>1932</v>
      </c>
      <c r="AF15" s="801">
        <v>1450</v>
      </c>
      <c r="AG15" s="801">
        <v>2512</v>
      </c>
      <c r="AH15" s="801">
        <v>2838</v>
      </c>
      <c r="AI15" s="801">
        <v>1913</v>
      </c>
      <c r="AJ15" s="801">
        <v>1882</v>
      </c>
      <c r="AK15" s="801">
        <v>0</v>
      </c>
      <c r="AL15" s="802">
        <v>1315</v>
      </c>
      <c r="AM15" s="800">
        <v>252</v>
      </c>
      <c r="AN15" s="801">
        <v>176</v>
      </c>
      <c r="AO15" s="801">
        <v>122</v>
      </c>
      <c r="AP15" s="801">
        <v>0</v>
      </c>
      <c r="AQ15" s="801">
        <v>767</v>
      </c>
      <c r="AR15" s="801">
        <v>1656</v>
      </c>
      <c r="AS15" s="801">
        <v>3163</v>
      </c>
      <c r="AT15" s="801">
        <v>1529</v>
      </c>
      <c r="AU15" s="801">
        <v>1332</v>
      </c>
      <c r="AV15" s="801">
        <v>3560</v>
      </c>
      <c r="AW15" s="801">
        <v>0</v>
      </c>
      <c r="AX15" s="802">
        <v>695</v>
      </c>
      <c r="AY15" s="800">
        <v>0</v>
      </c>
      <c r="AZ15" s="801">
        <v>7</v>
      </c>
      <c r="BA15" s="801">
        <v>0</v>
      </c>
      <c r="BB15" s="801">
        <v>0</v>
      </c>
      <c r="BC15" s="801">
        <v>40</v>
      </c>
      <c r="BD15" s="801">
        <v>82</v>
      </c>
      <c r="BE15" s="801">
        <v>86</v>
      </c>
      <c r="BF15" s="801">
        <v>198</v>
      </c>
      <c r="BG15" s="801">
        <v>587</v>
      </c>
      <c r="BH15" s="801">
        <v>799</v>
      </c>
      <c r="BI15" s="801">
        <v>0</v>
      </c>
      <c r="BJ15" s="802">
        <v>272</v>
      </c>
      <c r="BK15" s="800">
        <v>319</v>
      </c>
      <c r="BL15" s="801">
        <v>268</v>
      </c>
      <c r="BM15" s="801">
        <v>205</v>
      </c>
      <c r="BN15" s="801">
        <v>8</v>
      </c>
      <c r="BO15" s="801">
        <v>218</v>
      </c>
      <c r="BP15" s="801">
        <v>204</v>
      </c>
      <c r="BQ15" s="801">
        <v>200</v>
      </c>
      <c r="BR15" s="801">
        <v>492</v>
      </c>
      <c r="BS15" s="801">
        <v>298</v>
      </c>
      <c r="BT15" s="801">
        <v>531</v>
      </c>
      <c r="BU15" s="801">
        <v>0</v>
      </c>
      <c r="BV15" s="810">
        <v>1095</v>
      </c>
    </row>
    <row r="16" spans="2:75">
      <c r="B16" s="809" t="s">
        <v>381</v>
      </c>
      <c r="C16" s="800">
        <v>4238</v>
      </c>
      <c r="D16" s="801">
        <v>3007</v>
      </c>
      <c r="E16" s="801">
        <v>3674</v>
      </c>
      <c r="F16" s="801">
        <v>406</v>
      </c>
      <c r="G16" s="801">
        <v>7876</v>
      </c>
      <c r="H16" s="801">
        <v>6661</v>
      </c>
      <c r="I16" s="801">
        <v>7843</v>
      </c>
      <c r="J16" s="801">
        <v>7316</v>
      </c>
      <c r="K16" s="801">
        <v>3259</v>
      </c>
      <c r="L16" s="801">
        <v>2656</v>
      </c>
      <c r="M16" s="801">
        <v>0</v>
      </c>
      <c r="N16" s="802">
        <v>8158</v>
      </c>
      <c r="O16" s="800">
        <v>328</v>
      </c>
      <c r="P16" s="801">
        <v>453</v>
      </c>
      <c r="Q16" s="801">
        <v>364</v>
      </c>
      <c r="R16" s="801">
        <v>42</v>
      </c>
      <c r="S16" s="801">
        <v>1145</v>
      </c>
      <c r="T16" s="801">
        <v>323</v>
      </c>
      <c r="U16" s="801">
        <v>396</v>
      </c>
      <c r="V16" s="801">
        <v>737</v>
      </c>
      <c r="W16" s="801">
        <v>641</v>
      </c>
      <c r="X16" s="801">
        <v>679</v>
      </c>
      <c r="Y16" s="801">
        <v>0</v>
      </c>
      <c r="Z16" s="802">
        <v>973</v>
      </c>
      <c r="AA16" s="800">
        <v>140</v>
      </c>
      <c r="AB16" s="801">
        <v>275</v>
      </c>
      <c r="AC16" s="801">
        <v>65</v>
      </c>
      <c r="AD16" s="801">
        <v>7</v>
      </c>
      <c r="AE16" s="801">
        <v>1230</v>
      </c>
      <c r="AF16" s="801">
        <v>1116</v>
      </c>
      <c r="AG16" s="801">
        <v>1891</v>
      </c>
      <c r="AH16" s="801">
        <v>964</v>
      </c>
      <c r="AI16" s="801">
        <v>863</v>
      </c>
      <c r="AJ16" s="801">
        <v>1155</v>
      </c>
      <c r="AK16" s="801">
        <v>0</v>
      </c>
      <c r="AL16" s="802">
        <v>508</v>
      </c>
      <c r="AM16" s="800">
        <v>107</v>
      </c>
      <c r="AN16" s="801">
        <v>201</v>
      </c>
      <c r="AO16" s="801">
        <v>50</v>
      </c>
      <c r="AP16" s="801">
        <v>0</v>
      </c>
      <c r="AQ16" s="801">
        <v>1323</v>
      </c>
      <c r="AR16" s="801">
        <v>2080</v>
      </c>
      <c r="AS16" s="801">
        <v>2178</v>
      </c>
      <c r="AT16" s="801">
        <v>461</v>
      </c>
      <c r="AU16" s="801">
        <v>857</v>
      </c>
      <c r="AV16" s="801">
        <v>1333</v>
      </c>
      <c r="AW16" s="801">
        <v>0</v>
      </c>
      <c r="AX16" s="802">
        <v>610</v>
      </c>
      <c r="AY16" s="800">
        <v>24</v>
      </c>
      <c r="AZ16" s="801">
        <v>22</v>
      </c>
      <c r="BA16" s="801">
        <v>15</v>
      </c>
      <c r="BB16" s="801">
        <v>0</v>
      </c>
      <c r="BC16" s="801">
        <v>81</v>
      </c>
      <c r="BD16" s="801">
        <v>61</v>
      </c>
      <c r="BE16" s="801">
        <v>40</v>
      </c>
      <c r="BF16" s="801">
        <v>364</v>
      </c>
      <c r="BG16" s="801">
        <v>661</v>
      </c>
      <c r="BH16" s="801">
        <v>253</v>
      </c>
      <c r="BI16" s="801">
        <v>0</v>
      </c>
      <c r="BJ16" s="802">
        <v>194</v>
      </c>
      <c r="BK16" s="800">
        <v>151</v>
      </c>
      <c r="BL16" s="801">
        <v>149</v>
      </c>
      <c r="BM16" s="801">
        <v>109</v>
      </c>
      <c r="BN16" s="801">
        <v>11</v>
      </c>
      <c r="BO16" s="801">
        <v>136</v>
      </c>
      <c r="BP16" s="801">
        <v>70</v>
      </c>
      <c r="BQ16" s="801">
        <v>65</v>
      </c>
      <c r="BR16" s="801">
        <v>247</v>
      </c>
      <c r="BS16" s="801">
        <v>566</v>
      </c>
      <c r="BT16" s="801">
        <v>314</v>
      </c>
      <c r="BU16" s="801">
        <v>0</v>
      </c>
      <c r="BV16" s="810">
        <v>863</v>
      </c>
    </row>
    <row r="17" spans="2:75">
      <c r="B17" s="809" t="s">
        <v>382</v>
      </c>
      <c r="C17" s="800">
        <v>4614</v>
      </c>
      <c r="D17" s="801">
        <v>1177</v>
      </c>
      <c r="E17" s="801">
        <v>1549</v>
      </c>
      <c r="F17" s="801">
        <v>174</v>
      </c>
      <c r="G17" s="801">
        <v>4181</v>
      </c>
      <c r="H17" s="801">
        <v>4301</v>
      </c>
      <c r="I17" s="801">
        <v>6296</v>
      </c>
      <c r="J17" s="801">
        <v>5349</v>
      </c>
      <c r="K17" s="801">
        <v>3260</v>
      </c>
      <c r="L17" s="801">
        <v>3233</v>
      </c>
      <c r="M17" s="801">
        <v>0</v>
      </c>
      <c r="N17" s="802">
        <v>5086</v>
      </c>
      <c r="O17" s="800">
        <v>145</v>
      </c>
      <c r="P17" s="801">
        <v>44</v>
      </c>
      <c r="Q17" s="801">
        <v>78</v>
      </c>
      <c r="R17" s="801">
        <v>8</v>
      </c>
      <c r="S17" s="801">
        <v>247</v>
      </c>
      <c r="T17" s="801">
        <v>95</v>
      </c>
      <c r="U17" s="801">
        <v>262</v>
      </c>
      <c r="V17" s="801">
        <v>579</v>
      </c>
      <c r="W17" s="801">
        <v>395</v>
      </c>
      <c r="X17" s="801">
        <v>524</v>
      </c>
      <c r="Y17" s="801">
        <v>0</v>
      </c>
      <c r="Z17" s="802">
        <v>362</v>
      </c>
      <c r="AA17" s="800">
        <v>141</v>
      </c>
      <c r="AB17" s="801">
        <v>18</v>
      </c>
      <c r="AC17" s="801">
        <v>38</v>
      </c>
      <c r="AD17" s="801">
        <v>3</v>
      </c>
      <c r="AE17" s="801">
        <v>143</v>
      </c>
      <c r="AF17" s="801">
        <v>124</v>
      </c>
      <c r="AG17" s="801">
        <v>878</v>
      </c>
      <c r="AH17" s="801">
        <v>602</v>
      </c>
      <c r="AI17" s="801">
        <v>483</v>
      </c>
      <c r="AJ17" s="801">
        <v>885</v>
      </c>
      <c r="AK17" s="801">
        <v>0</v>
      </c>
      <c r="AL17" s="802">
        <v>400</v>
      </c>
      <c r="AM17" s="800">
        <v>77</v>
      </c>
      <c r="AN17" s="801">
        <v>5</v>
      </c>
      <c r="AO17" s="801">
        <v>0</v>
      </c>
      <c r="AP17" s="801">
        <v>0</v>
      </c>
      <c r="AQ17" s="801">
        <v>69</v>
      </c>
      <c r="AR17" s="801">
        <v>210</v>
      </c>
      <c r="AS17" s="801">
        <v>567</v>
      </c>
      <c r="AT17" s="801">
        <v>489</v>
      </c>
      <c r="AU17" s="801">
        <v>277</v>
      </c>
      <c r="AV17" s="801">
        <v>899</v>
      </c>
      <c r="AW17" s="801">
        <v>0</v>
      </c>
      <c r="AX17" s="802">
        <v>211</v>
      </c>
      <c r="AY17" s="800">
        <v>15</v>
      </c>
      <c r="AZ17" s="801">
        <v>102</v>
      </c>
      <c r="BA17" s="801">
        <v>0</v>
      </c>
      <c r="BB17" s="801">
        <v>0</v>
      </c>
      <c r="BC17" s="801">
        <v>0</v>
      </c>
      <c r="BD17" s="801">
        <v>20</v>
      </c>
      <c r="BE17" s="801">
        <v>114</v>
      </c>
      <c r="BF17" s="801">
        <v>91</v>
      </c>
      <c r="BG17" s="801">
        <v>311</v>
      </c>
      <c r="BH17" s="801">
        <v>80</v>
      </c>
      <c r="BI17" s="801">
        <v>0</v>
      </c>
      <c r="BJ17" s="802">
        <v>497</v>
      </c>
      <c r="BK17" s="800">
        <v>183</v>
      </c>
      <c r="BL17" s="801">
        <v>51</v>
      </c>
      <c r="BM17" s="801">
        <v>12</v>
      </c>
      <c r="BN17" s="801">
        <v>14</v>
      </c>
      <c r="BO17" s="801">
        <v>35</v>
      </c>
      <c r="BP17" s="801">
        <v>44</v>
      </c>
      <c r="BQ17" s="801">
        <v>70</v>
      </c>
      <c r="BR17" s="801">
        <v>258</v>
      </c>
      <c r="BS17" s="801">
        <v>228</v>
      </c>
      <c r="BT17" s="801">
        <v>385</v>
      </c>
      <c r="BU17" s="801">
        <v>0</v>
      </c>
      <c r="BV17" s="810">
        <v>445</v>
      </c>
    </row>
    <row r="18" spans="2:75">
      <c r="B18" s="809" t="s">
        <v>383</v>
      </c>
      <c r="C18" s="800">
        <v>2830</v>
      </c>
      <c r="D18" s="801">
        <v>1288</v>
      </c>
      <c r="E18" s="801">
        <v>2124</v>
      </c>
      <c r="F18" s="801">
        <v>205</v>
      </c>
      <c r="G18" s="801">
        <v>4833</v>
      </c>
      <c r="H18" s="801">
        <v>6728</v>
      </c>
      <c r="I18" s="801">
        <v>7287</v>
      </c>
      <c r="J18" s="801">
        <v>6469</v>
      </c>
      <c r="K18" s="801">
        <v>4478</v>
      </c>
      <c r="L18" s="801">
        <v>3767</v>
      </c>
      <c r="M18" s="801">
        <v>0</v>
      </c>
      <c r="N18" s="802">
        <v>5408</v>
      </c>
      <c r="O18" s="800">
        <v>204</v>
      </c>
      <c r="P18" s="801">
        <v>136</v>
      </c>
      <c r="Q18" s="801">
        <v>487</v>
      </c>
      <c r="R18" s="801">
        <v>18</v>
      </c>
      <c r="S18" s="801">
        <v>1067</v>
      </c>
      <c r="T18" s="801">
        <v>437</v>
      </c>
      <c r="U18" s="801">
        <v>748</v>
      </c>
      <c r="V18" s="801">
        <v>862</v>
      </c>
      <c r="W18" s="801">
        <v>798</v>
      </c>
      <c r="X18" s="801">
        <v>1010</v>
      </c>
      <c r="Y18" s="801">
        <v>0</v>
      </c>
      <c r="Z18" s="802">
        <v>774</v>
      </c>
      <c r="AA18" s="800">
        <v>181</v>
      </c>
      <c r="AB18" s="801">
        <v>87</v>
      </c>
      <c r="AC18" s="801">
        <v>531</v>
      </c>
      <c r="AD18" s="801">
        <v>18</v>
      </c>
      <c r="AE18" s="801">
        <v>1404</v>
      </c>
      <c r="AF18" s="801">
        <v>1428</v>
      </c>
      <c r="AG18" s="801">
        <v>1873</v>
      </c>
      <c r="AH18" s="801">
        <v>952</v>
      </c>
      <c r="AI18" s="801">
        <v>1072</v>
      </c>
      <c r="AJ18" s="801">
        <v>1792</v>
      </c>
      <c r="AK18" s="801">
        <v>0</v>
      </c>
      <c r="AL18" s="802">
        <v>752</v>
      </c>
      <c r="AM18" s="800">
        <v>212</v>
      </c>
      <c r="AN18" s="801">
        <v>46</v>
      </c>
      <c r="AO18" s="801">
        <v>445</v>
      </c>
      <c r="AP18" s="801">
        <v>12</v>
      </c>
      <c r="AQ18" s="801">
        <v>1823</v>
      </c>
      <c r="AR18" s="801">
        <v>1753</v>
      </c>
      <c r="AS18" s="801">
        <v>2142</v>
      </c>
      <c r="AT18" s="801">
        <v>876</v>
      </c>
      <c r="AU18" s="801">
        <v>1291</v>
      </c>
      <c r="AV18" s="801">
        <v>2886</v>
      </c>
      <c r="AW18" s="801">
        <v>0</v>
      </c>
      <c r="AX18" s="802">
        <v>509</v>
      </c>
      <c r="AY18" s="800">
        <v>13</v>
      </c>
      <c r="AZ18" s="801">
        <v>2</v>
      </c>
      <c r="BA18" s="801">
        <v>0</v>
      </c>
      <c r="BB18" s="801">
        <v>0</v>
      </c>
      <c r="BC18" s="801">
        <v>33</v>
      </c>
      <c r="BD18" s="801">
        <v>0</v>
      </c>
      <c r="BE18" s="801">
        <v>228</v>
      </c>
      <c r="BF18" s="801">
        <v>521</v>
      </c>
      <c r="BG18" s="801">
        <v>256</v>
      </c>
      <c r="BH18" s="801">
        <v>395</v>
      </c>
      <c r="BI18" s="801">
        <v>0</v>
      </c>
      <c r="BJ18" s="802">
        <v>106</v>
      </c>
      <c r="BK18" s="800">
        <v>111</v>
      </c>
      <c r="BL18" s="801">
        <v>43</v>
      </c>
      <c r="BM18" s="801">
        <v>56</v>
      </c>
      <c r="BN18" s="801">
        <v>2</v>
      </c>
      <c r="BO18" s="801">
        <v>117</v>
      </c>
      <c r="BP18" s="801">
        <v>86</v>
      </c>
      <c r="BQ18" s="801">
        <v>94</v>
      </c>
      <c r="BR18" s="801">
        <v>274</v>
      </c>
      <c r="BS18" s="801">
        <v>407</v>
      </c>
      <c r="BT18" s="801">
        <v>363</v>
      </c>
      <c r="BU18" s="801">
        <v>0</v>
      </c>
      <c r="BV18" s="810">
        <v>632</v>
      </c>
    </row>
    <row r="19" spans="2:75">
      <c r="B19" s="809" t="s">
        <v>384</v>
      </c>
      <c r="C19" s="800">
        <v>4352</v>
      </c>
      <c r="D19" s="801">
        <v>3673</v>
      </c>
      <c r="E19" s="801">
        <v>4956</v>
      </c>
      <c r="F19" s="801">
        <v>351</v>
      </c>
      <c r="G19" s="801">
        <v>11585</v>
      </c>
      <c r="H19" s="801">
        <v>14299</v>
      </c>
      <c r="I19" s="801">
        <v>19449</v>
      </c>
      <c r="J19" s="801">
        <v>21098</v>
      </c>
      <c r="K19" s="801">
        <v>13159</v>
      </c>
      <c r="L19" s="801">
        <v>9837</v>
      </c>
      <c r="M19" s="801">
        <v>0</v>
      </c>
      <c r="N19" s="802">
        <v>9484</v>
      </c>
      <c r="O19" s="800">
        <v>1147</v>
      </c>
      <c r="P19" s="801">
        <v>2997</v>
      </c>
      <c r="Q19" s="801">
        <v>2251</v>
      </c>
      <c r="R19" s="801">
        <v>40</v>
      </c>
      <c r="S19" s="801">
        <v>4105</v>
      </c>
      <c r="T19" s="801">
        <v>1917</v>
      </c>
      <c r="U19" s="801">
        <v>1563</v>
      </c>
      <c r="V19" s="801">
        <v>2025</v>
      </c>
      <c r="W19" s="801">
        <v>1851</v>
      </c>
      <c r="X19" s="801">
        <v>2261</v>
      </c>
      <c r="Y19" s="801">
        <v>0</v>
      </c>
      <c r="Z19" s="802">
        <v>1495</v>
      </c>
      <c r="AA19" s="800">
        <v>585</v>
      </c>
      <c r="AB19" s="801">
        <v>848</v>
      </c>
      <c r="AC19" s="801">
        <v>646</v>
      </c>
      <c r="AD19" s="801">
        <v>12</v>
      </c>
      <c r="AE19" s="801">
        <v>3057</v>
      </c>
      <c r="AF19" s="801">
        <v>1963</v>
      </c>
      <c r="AG19" s="801">
        <v>2967</v>
      </c>
      <c r="AH19" s="801">
        <v>3381</v>
      </c>
      <c r="AI19" s="801">
        <v>2580</v>
      </c>
      <c r="AJ19" s="801">
        <v>4443</v>
      </c>
      <c r="AK19" s="801">
        <v>0</v>
      </c>
      <c r="AL19" s="802">
        <v>595</v>
      </c>
      <c r="AM19" s="800">
        <v>297</v>
      </c>
      <c r="AN19" s="801">
        <v>166</v>
      </c>
      <c r="AO19" s="801">
        <v>229</v>
      </c>
      <c r="AP19" s="801">
        <v>8</v>
      </c>
      <c r="AQ19" s="801">
        <v>1472</v>
      </c>
      <c r="AR19" s="801">
        <v>2357</v>
      </c>
      <c r="AS19" s="801">
        <v>4445</v>
      </c>
      <c r="AT19" s="801">
        <v>3581</v>
      </c>
      <c r="AU19" s="801">
        <v>3001</v>
      </c>
      <c r="AV19" s="801">
        <v>11037</v>
      </c>
      <c r="AW19" s="801">
        <v>0</v>
      </c>
      <c r="AX19" s="802">
        <v>191</v>
      </c>
      <c r="AY19" s="800">
        <v>99</v>
      </c>
      <c r="AZ19" s="801">
        <v>16</v>
      </c>
      <c r="BA19" s="801">
        <v>68</v>
      </c>
      <c r="BB19" s="801">
        <v>5</v>
      </c>
      <c r="BC19" s="801">
        <v>84</v>
      </c>
      <c r="BD19" s="801">
        <v>33</v>
      </c>
      <c r="BE19" s="801">
        <v>354</v>
      </c>
      <c r="BF19" s="801">
        <v>354</v>
      </c>
      <c r="BG19" s="801">
        <v>285</v>
      </c>
      <c r="BH19" s="801">
        <v>743</v>
      </c>
      <c r="BI19" s="801">
        <v>0</v>
      </c>
      <c r="BJ19" s="802">
        <v>82</v>
      </c>
      <c r="BK19" s="800">
        <v>463</v>
      </c>
      <c r="BL19" s="801">
        <v>290</v>
      </c>
      <c r="BM19" s="801">
        <v>208</v>
      </c>
      <c r="BN19" s="801">
        <v>7</v>
      </c>
      <c r="BO19" s="801">
        <v>313</v>
      </c>
      <c r="BP19" s="801">
        <v>213</v>
      </c>
      <c r="BQ19" s="801">
        <v>230</v>
      </c>
      <c r="BR19" s="801">
        <v>722</v>
      </c>
      <c r="BS19" s="801">
        <v>701</v>
      </c>
      <c r="BT19" s="801">
        <v>1042</v>
      </c>
      <c r="BU19" s="801">
        <v>0</v>
      </c>
      <c r="BV19" s="810">
        <v>1008</v>
      </c>
    </row>
    <row r="20" spans="2:75">
      <c r="B20" s="809" t="s">
        <v>385</v>
      </c>
      <c r="C20" s="800">
        <v>4389</v>
      </c>
      <c r="D20" s="801">
        <v>4303</v>
      </c>
      <c r="E20" s="801">
        <v>6404</v>
      </c>
      <c r="F20" s="801">
        <v>552</v>
      </c>
      <c r="G20" s="801">
        <v>12892</v>
      </c>
      <c r="H20" s="801">
        <v>13429</v>
      </c>
      <c r="I20" s="801">
        <v>18442</v>
      </c>
      <c r="J20" s="801">
        <v>18434</v>
      </c>
      <c r="K20" s="801">
        <v>11005</v>
      </c>
      <c r="L20" s="801">
        <v>9900</v>
      </c>
      <c r="M20" s="801">
        <v>0</v>
      </c>
      <c r="N20" s="802">
        <v>11061</v>
      </c>
      <c r="O20" s="800">
        <v>417</v>
      </c>
      <c r="P20" s="801">
        <v>706</v>
      </c>
      <c r="Q20" s="801">
        <v>1779</v>
      </c>
      <c r="R20" s="801">
        <v>60</v>
      </c>
      <c r="S20" s="801">
        <v>3293</v>
      </c>
      <c r="T20" s="801">
        <v>1506</v>
      </c>
      <c r="U20" s="801">
        <v>1277</v>
      </c>
      <c r="V20" s="801">
        <v>1909</v>
      </c>
      <c r="W20" s="801">
        <v>2162</v>
      </c>
      <c r="X20" s="801">
        <v>3015</v>
      </c>
      <c r="Y20" s="801">
        <v>0</v>
      </c>
      <c r="Z20" s="802">
        <v>1046</v>
      </c>
      <c r="AA20" s="800">
        <v>562</v>
      </c>
      <c r="AB20" s="801">
        <v>781</v>
      </c>
      <c r="AC20" s="801">
        <v>2353</v>
      </c>
      <c r="AD20" s="801">
        <v>49</v>
      </c>
      <c r="AE20" s="801">
        <v>2603</v>
      </c>
      <c r="AF20" s="801">
        <v>2900</v>
      </c>
      <c r="AG20" s="801">
        <v>6276</v>
      </c>
      <c r="AH20" s="801">
        <v>5980</v>
      </c>
      <c r="AI20" s="801">
        <v>3567</v>
      </c>
      <c r="AJ20" s="801">
        <v>4716</v>
      </c>
      <c r="AK20" s="801">
        <v>0</v>
      </c>
      <c r="AL20" s="802">
        <v>723</v>
      </c>
      <c r="AM20" s="800">
        <v>6879</v>
      </c>
      <c r="AN20" s="801">
        <v>3537</v>
      </c>
      <c r="AO20" s="801">
        <v>4980</v>
      </c>
      <c r="AP20" s="801">
        <v>302</v>
      </c>
      <c r="AQ20" s="801">
        <v>9715</v>
      </c>
      <c r="AR20" s="801">
        <v>9640</v>
      </c>
      <c r="AS20" s="801">
        <v>9236</v>
      </c>
      <c r="AT20" s="801">
        <v>4636</v>
      </c>
      <c r="AU20" s="801">
        <v>3277</v>
      </c>
      <c r="AV20" s="801">
        <v>7539</v>
      </c>
      <c r="AW20" s="801">
        <v>0</v>
      </c>
      <c r="AX20" s="802">
        <v>824</v>
      </c>
      <c r="AY20" s="800">
        <v>54</v>
      </c>
      <c r="AZ20" s="801">
        <v>34</v>
      </c>
      <c r="BA20" s="801">
        <v>190</v>
      </c>
      <c r="BB20" s="801">
        <v>0</v>
      </c>
      <c r="BC20" s="801">
        <v>93</v>
      </c>
      <c r="BD20" s="801">
        <v>151</v>
      </c>
      <c r="BE20" s="801">
        <v>497</v>
      </c>
      <c r="BF20" s="801">
        <v>396</v>
      </c>
      <c r="BG20" s="801">
        <v>487</v>
      </c>
      <c r="BH20" s="801">
        <v>689</v>
      </c>
      <c r="BI20" s="801">
        <v>0</v>
      </c>
      <c r="BJ20" s="802">
        <v>146</v>
      </c>
      <c r="BK20" s="800">
        <v>345</v>
      </c>
      <c r="BL20" s="801">
        <v>204</v>
      </c>
      <c r="BM20" s="801">
        <v>381</v>
      </c>
      <c r="BN20" s="801">
        <v>12</v>
      </c>
      <c r="BO20" s="801">
        <v>399</v>
      </c>
      <c r="BP20" s="801">
        <v>162</v>
      </c>
      <c r="BQ20" s="801">
        <v>188</v>
      </c>
      <c r="BR20" s="801">
        <v>487</v>
      </c>
      <c r="BS20" s="801">
        <v>502</v>
      </c>
      <c r="BT20" s="801">
        <v>720</v>
      </c>
      <c r="BU20" s="801">
        <v>0</v>
      </c>
      <c r="BV20" s="810">
        <v>865</v>
      </c>
    </row>
    <row r="21" spans="2:75">
      <c r="B21" s="809" t="s">
        <v>386</v>
      </c>
      <c r="C21" s="800">
        <v>1592</v>
      </c>
      <c r="D21" s="801">
        <v>1436</v>
      </c>
      <c r="E21" s="801">
        <v>1817</v>
      </c>
      <c r="F21" s="801">
        <v>211</v>
      </c>
      <c r="G21" s="801">
        <v>3830</v>
      </c>
      <c r="H21" s="801">
        <v>3244</v>
      </c>
      <c r="I21" s="801">
        <v>6560</v>
      </c>
      <c r="J21" s="801">
        <v>6448</v>
      </c>
      <c r="K21" s="801">
        <v>4200</v>
      </c>
      <c r="L21" s="801">
        <v>2213</v>
      </c>
      <c r="M21" s="801">
        <v>0</v>
      </c>
      <c r="N21" s="802">
        <v>8097</v>
      </c>
      <c r="O21" s="800">
        <v>55</v>
      </c>
      <c r="P21" s="801">
        <v>116</v>
      </c>
      <c r="Q21" s="801">
        <v>191</v>
      </c>
      <c r="R21" s="801">
        <v>11</v>
      </c>
      <c r="S21" s="801">
        <v>755</v>
      </c>
      <c r="T21" s="801">
        <v>245</v>
      </c>
      <c r="U21" s="801">
        <v>500</v>
      </c>
      <c r="V21" s="801">
        <v>475</v>
      </c>
      <c r="W21" s="801">
        <v>652</v>
      </c>
      <c r="X21" s="801">
        <v>450</v>
      </c>
      <c r="Y21" s="801">
        <v>0</v>
      </c>
      <c r="Z21" s="802">
        <v>656</v>
      </c>
      <c r="AA21" s="800">
        <v>14</v>
      </c>
      <c r="AB21" s="801">
        <v>27</v>
      </c>
      <c r="AC21" s="801">
        <v>20</v>
      </c>
      <c r="AD21" s="801">
        <v>0</v>
      </c>
      <c r="AE21" s="801">
        <v>297</v>
      </c>
      <c r="AF21" s="801">
        <v>255</v>
      </c>
      <c r="AG21" s="801">
        <v>862</v>
      </c>
      <c r="AH21" s="801">
        <v>661</v>
      </c>
      <c r="AI21" s="801">
        <v>1000</v>
      </c>
      <c r="AJ21" s="801">
        <v>782</v>
      </c>
      <c r="AK21" s="801">
        <v>0</v>
      </c>
      <c r="AL21" s="802">
        <v>593</v>
      </c>
      <c r="AM21" s="800">
        <v>0</v>
      </c>
      <c r="AN21" s="801">
        <v>0</v>
      </c>
      <c r="AO21" s="801">
        <v>18</v>
      </c>
      <c r="AP21" s="801">
        <v>0</v>
      </c>
      <c r="AQ21" s="801">
        <v>165</v>
      </c>
      <c r="AR21" s="801">
        <v>318</v>
      </c>
      <c r="AS21" s="801">
        <v>244</v>
      </c>
      <c r="AT21" s="801">
        <v>68</v>
      </c>
      <c r="AU21" s="801">
        <v>445</v>
      </c>
      <c r="AV21" s="801">
        <v>638</v>
      </c>
      <c r="AW21" s="801">
        <v>0</v>
      </c>
      <c r="AX21" s="802">
        <v>184</v>
      </c>
      <c r="AY21" s="800">
        <v>0</v>
      </c>
      <c r="AZ21" s="801">
        <v>0</v>
      </c>
      <c r="BA21" s="801">
        <v>10</v>
      </c>
      <c r="BB21" s="801">
        <v>0</v>
      </c>
      <c r="BC21" s="801">
        <v>15</v>
      </c>
      <c r="BD21" s="801">
        <v>128</v>
      </c>
      <c r="BE21" s="801">
        <v>155</v>
      </c>
      <c r="BF21" s="801">
        <v>174</v>
      </c>
      <c r="BG21" s="801">
        <v>364</v>
      </c>
      <c r="BH21" s="801">
        <v>214</v>
      </c>
      <c r="BI21" s="801">
        <v>0</v>
      </c>
      <c r="BJ21" s="802">
        <v>181</v>
      </c>
      <c r="BK21" s="800">
        <v>42</v>
      </c>
      <c r="BL21" s="801">
        <v>38</v>
      </c>
      <c r="BM21" s="801">
        <v>56</v>
      </c>
      <c r="BN21" s="801">
        <v>8</v>
      </c>
      <c r="BO21" s="801">
        <v>154</v>
      </c>
      <c r="BP21" s="801">
        <v>127</v>
      </c>
      <c r="BQ21" s="801">
        <v>91</v>
      </c>
      <c r="BR21" s="801">
        <v>204</v>
      </c>
      <c r="BS21" s="801">
        <v>374</v>
      </c>
      <c r="BT21" s="801">
        <v>222</v>
      </c>
      <c r="BU21" s="801">
        <v>0</v>
      </c>
      <c r="BV21" s="810">
        <v>601</v>
      </c>
    </row>
    <row r="22" spans="2:75">
      <c r="B22" s="821" t="s">
        <v>387</v>
      </c>
      <c r="C22" s="822">
        <v>3037</v>
      </c>
      <c r="D22" s="823">
        <v>2599</v>
      </c>
      <c r="E22" s="823">
        <v>3741</v>
      </c>
      <c r="F22" s="823">
        <v>616</v>
      </c>
      <c r="G22" s="823">
        <v>9285</v>
      </c>
      <c r="H22" s="823">
        <v>8692</v>
      </c>
      <c r="I22" s="823">
        <v>14101</v>
      </c>
      <c r="J22" s="823">
        <v>12154</v>
      </c>
      <c r="K22" s="823">
        <v>6810</v>
      </c>
      <c r="L22" s="823">
        <v>4137</v>
      </c>
      <c r="M22" s="823">
        <v>0</v>
      </c>
      <c r="N22" s="824">
        <v>11456</v>
      </c>
      <c r="O22" s="822">
        <v>485</v>
      </c>
      <c r="P22" s="823">
        <v>570</v>
      </c>
      <c r="Q22" s="823">
        <v>707</v>
      </c>
      <c r="R22" s="823">
        <v>218</v>
      </c>
      <c r="S22" s="823">
        <v>3206</v>
      </c>
      <c r="T22" s="823">
        <v>979</v>
      </c>
      <c r="U22" s="823">
        <v>923</v>
      </c>
      <c r="V22" s="823">
        <v>1211</v>
      </c>
      <c r="W22" s="823">
        <v>1654</v>
      </c>
      <c r="X22" s="823">
        <v>1874</v>
      </c>
      <c r="Y22" s="823">
        <v>0</v>
      </c>
      <c r="Z22" s="824">
        <v>1540</v>
      </c>
      <c r="AA22" s="822">
        <v>100</v>
      </c>
      <c r="AB22" s="823">
        <v>1055</v>
      </c>
      <c r="AC22" s="823">
        <v>539</v>
      </c>
      <c r="AD22" s="823">
        <v>141</v>
      </c>
      <c r="AE22" s="823">
        <v>2299</v>
      </c>
      <c r="AF22" s="823">
        <v>782</v>
      </c>
      <c r="AG22" s="823">
        <v>1887</v>
      </c>
      <c r="AH22" s="823">
        <v>1405</v>
      </c>
      <c r="AI22" s="823">
        <v>2606</v>
      </c>
      <c r="AJ22" s="823">
        <v>2133</v>
      </c>
      <c r="AK22" s="823">
        <v>0</v>
      </c>
      <c r="AL22" s="824">
        <v>386</v>
      </c>
      <c r="AM22" s="822">
        <v>20</v>
      </c>
      <c r="AN22" s="823">
        <v>652</v>
      </c>
      <c r="AO22" s="823">
        <v>229</v>
      </c>
      <c r="AP22" s="823">
        <v>47</v>
      </c>
      <c r="AQ22" s="823">
        <v>1848</v>
      </c>
      <c r="AR22" s="823">
        <v>1450</v>
      </c>
      <c r="AS22" s="823">
        <v>2582</v>
      </c>
      <c r="AT22" s="823">
        <v>764</v>
      </c>
      <c r="AU22" s="823">
        <v>744</v>
      </c>
      <c r="AV22" s="823">
        <v>2087</v>
      </c>
      <c r="AW22" s="823">
        <v>0</v>
      </c>
      <c r="AX22" s="824">
        <v>231</v>
      </c>
      <c r="AY22" s="822">
        <v>1</v>
      </c>
      <c r="AZ22" s="823">
        <v>0</v>
      </c>
      <c r="BA22" s="823">
        <v>16</v>
      </c>
      <c r="BB22" s="823">
        <v>0</v>
      </c>
      <c r="BC22" s="823">
        <v>103</v>
      </c>
      <c r="BD22" s="823">
        <v>38</v>
      </c>
      <c r="BE22" s="823">
        <v>408</v>
      </c>
      <c r="BF22" s="823">
        <v>116</v>
      </c>
      <c r="BG22" s="823">
        <v>606</v>
      </c>
      <c r="BH22" s="823">
        <v>496</v>
      </c>
      <c r="BI22" s="823">
        <v>0</v>
      </c>
      <c r="BJ22" s="824">
        <v>321</v>
      </c>
      <c r="BK22" s="822">
        <v>94</v>
      </c>
      <c r="BL22" s="823">
        <v>653</v>
      </c>
      <c r="BM22" s="823">
        <v>237</v>
      </c>
      <c r="BN22" s="823">
        <v>159</v>
      </c>
      <c r="BO22" s="823">
        <v>985</v>
      </c>
      <c r="BP22" s="823">
        <v>270</v>
      </c>
      <c r="BQ22" s="823">
        <v>313</v>
      </c>
      <c r="BR22" s="823">
        <v>255</v>
      </c>
      <c r="BS22" s="823">
        <v>250</v>
      </c>
      <c r="BT22" s="823">
        <v>453</v>
      </c>
      <c r="BU22" s="823">
        <v>0</v>
      </c>
      <c r="BV22" s="825">
        <v>719</v>
      </c>
    </row>
    <row r="23" spans="2:75">
      <c r="B23" s="809" t="s">
        <v>388</v>
      </c>
      <c r="C23" s="800">
        <v>1989</v>
      </c>
      <c r="D23" s="801">
        <v>1552</v>
      </c>
      <c r="E23" s="801">
        <v>2730</v>
      </c>
      <c r="F23" s="801">
        <v>396</v>
      </c>
      <c r="G23" s="801">
        <v>7303</v>
      </c>
      <c r="H23" s="801">
        <v>9116</v>
      </c>
      <c r="I23" s="801">
        <v>10634</v>
      </c>
      <c r="J23" s="801">
        <v>12997</v>
      </c>
      <c r="K23" s="801">
        <v>5768</v>
      </c>
      <c r="L23" s="801">
        <v>4270</v>
      </c>
      <c r="M23" s="801">
        <v>0</v>
      </c>
      <c r="N23" s="802">
        <v>8136</v>
      </c>
      <c r="O23" s="800">
        <v>448</v>
      </c>
      <c r="P23" s="801">
        <v>738</v>
      </c>
      <c r="Q23" s="801">
        <v>1403</v>
      </c>
      <c r="R23" s="801">
        <v>78</v>
      </c>
      <c r="S23" s="801">
        <v>3835</v>
      </c>
      <c r="T23" s="801">
        <v>2702</v>
      </c>
      <c r="U23" s="801">
        <v>1000</v>
      </c>
      <c r="V23" s="801">
        <v>1669</v>
      </c>
      <c r="W23" s="801">
        <v>1207</v>
      </c>
      <c r="X23" s="801">
        <v>1034</v>
      </c>
      <c r="Y23" s="801">
        <v>0</v>
      </c>
      <c r="Z23" s="802">
        <v>1901</v>
      </c>
      <c r="AA23" s="800">
        <v>444</v>
      </c>
      <c r="AB23" s="801">
        <v>387</v>
      </c>
      <c r="AC23" s="801">
        <v>1899</v>
      </c>
      <c r="AD23" s="801">
        <v>26</v>
      </c>
      <c r="AE23" s="801">
        <v>1852</v>
      </c>
      <c r="AF23" s="801">
        <v>2118</v>
      </c>
      <c r="AG23" s="801">
        <v>3883</v>
      </c>
      <c r="AH23" s="801">
        <v>2256</v>
      </c>
      <c r="AI23" s="801">
        <v>2373</v>
      </c>
      <c r="AJ23" s="801">
        <v>2879</v>
      </c>
      <c r="AK23" s="801">
        <v>0</v>
      </c>
      <c r="AL23" s="802">
        <v>619</v>
      </c>
      <c r="AM23" s="800">
        <v>1858</v>
      </c>
      <c r="AN23" s="801">
        <v>3421</v>
      </c>
      <c r="AO23" s="801">
        <v>1139</v>
      </c>
      <c r="AP23" s="801">
        <v>50</v>
      </c>
      <c r="AQ23" s="801">
        <v>3638</v>
      </c>
      <c r="AR23" s="801">
        <v>6399</v>
      </c>
      <c r="AS23" s="801">
        <v>7403</v>
      </c>
      <c r="AT23" s="801">
        <v>1167</v>
      </c>
      <c r="AU23" s="801">
        <v>3043</v>
      </c>
      <c r="AV23" s="801">
        <v>7487</v>
      </c>
      <c r="AW23" s="801">
        <v>0</v>
      </c>
      <c r="AX23" s="802">
        <v>1195</v>
      </c>
      <c r="AY23" s="800">
        <v>72</v>
      </c>
      <c r="AZ23" s="801">
        <v>85</v>
      </c>
      <c r="BA23" s="801">
        <v>32</v>
      </c>
      <c r="BB23" s="801">
        <v>0</v>
      </c>
      <c r="BC23" s="801">
        <v>71</v>
      </c>
      <c r="BD23" s="801">
        <v>1892</v>
      </c>
      <c r="BE23" s="801">
        <v>351</v>
      </c>
      <c r="BF23" s="801">
        <v>800</v>
      </c>
      <c r="BG23" s="801">
        <v>1249</v>
      </c>
      <c r="BH23" s="801">
        <v>951</v>
      </c>
      <c r="BI23" s="801">
        <v>0</v>
      </c>
      <c r="BJ23" s="802">
        <v>506</v>
      </c>
      <c r="BK23" s="800">
        <v>175</v>
      </c>
      <c r="BL23" s="801">
        <v>117</v>
      </c>
      <c r="BM23" s="801">
        <v>82</v>
      </c>
      <c r="BN23" s="801">
        <v>4</v>
      </c>
      <c r="BO23" s="801">
        <v>176</v>
      </c>
      <c r="BP23" s="801">
        <v>156</v>
      </c>
      <c r="BQ23" s="801">
        <v>69</v>
      </c>
      <c r="BR23" s="801">
        <v>199</v>
      </c>
      <c r="BS23" s="801">
        <v>256</v>
      </c>
      <c r="BT23" s="801">
        <v>496</v>
      </c>
      <c r="BU23" s="801">
        <v>0</v>
      </c>
      <c r="BV23" s="810">
        <v>742</v>
      </c>
    </row>
    <row r="24" spans="2:75">
      <c r="B24" s="809" t="s">
        <v>389</v>
      </c>
      <c r="C24" s="800">
        <v>1376</v>
      </c>
      <c r="D24" s="801">
        <v>1058</v>
      </c>
      <c r="E24" s="801">
        <v>2000</v>
      </c>
      <c r="F24" s="801">
        <v>562</v>
      </c>
      <c r="G24" s="801">
        <v>5924</v>
      </c>
      <c r="H24" s="801">
        <v>4930</v>
      </c>
      <c r="I24" s="801">
        <v>8751</v>
      </c>
      <c r="J24" s="801">
        <v>6882</v>
      </c>
      <c r="K24" s="801">
        <v>3464</v>
      </c>
      <c r="L24" s="801">
        <v>1921</v>
      </c>
      <c r="M24" s="801">
        <v>0</v>
      </c>
      <c r="N24" s="802">
        <v>6584</v>
      </c>
      <c r="O24" s="800">
        <v>251</v>
      </c>
      <c r="P24" s="801">
        <v>131</v>
      </c>
      <c r="Q24" s="801">
        <v>197</v>
      </c>
      <c r="R24" s="801">
        <v>111</v>
      </c>
      <c r="S24" s="801">
        <v>1056</v>
      </c>
      <c r="T24" s="801">
        <v>421</v>
      </c>
      <c r="U24" s="801">
        <v>634</v>
      </c>
      <c r="V24" s="801">
        <v>740</v>
      </c>
      <c r="W24" s="801">
        <v>615</v>
      </c>
      <c r="X24" s="801">
        <v>301</v>
      </c>
      <c r="Y24" s="801">
        <v>0</v>
      </c>
      <c r="Z24" s="802">
        <v>1274</v>
      </c>
      <c r="AA24" s="800">
        <v>34</v>
      </c>
      <c r="AB24" s="801">
        <v>32</v>
      </c>
      <c r="AC24" s="801">
        <v>42</v>
      </c>
      <c r="AD24" s="801">
        <v>9</v>
      </c>
      <c r="AE24" s="801">
        <v>382</v>
      </c>
      <c r="AF24" s="801">
        <v>290</v>
      </c>
      <c r="AG24" s="801">
        <v>1100</v>
      </c>
      <c r="AH24" s="801">
        <v>790</v>
      </c>
      <c r="AI24" s="801">
        <v>1069</v>
      </c>
      <c r="AJ24" s="801">
        <v>775</v>
      </c>
      <c r="AK24" s="801">
        <v>0</v>
      </c>
      <c r="AL24" s="802">
        <v>436</v>
      </c>
      <c r="AM24" s="800">
        <v>44</v>
      </c>
      <c r="AN24" s="801">
        <v>1</v>
      </c>
      <c r="AO24" s="801">
        <v>31</v>
      </c>
      <c r="AP24" s="801">
        <v>33</v>
      </c>
      <c r="AQ24" s="801">
        <v>292</v>
      </c>
      <c r="AR24" s="801">
        <v>221</v>
      </c>
      <c r="AS24" s="801">
        <v>365</v>
      </c>
      <c r="AT24" s="801">
        <v>212</v>
      </c>
      <c r="AU24" s="801">
        <v>853</v>
      </c>
      <c r="AV24" s="801">
        <v>2482</v>
      </c>
      <c r="AW24" s="801">
        <v>0</v>
      </c>
      <c r="AX24" s="802">
        <v>268</v>
      </c>
      <c r="AY24" s="800">
        <v>1</v>
      </c>
      <c r="AZ24" s="801">
        <v>0</v>
      </c>
      <c r="BA24" s="801">
        <v>0</v>
      </c>
      <c r="BB24" s="801">
        <v>12</v>
      </c>
      <c r="BC24" s="801">
        <v>3</v>
      </c>
      <c r="BD24" s="801">
        <v>53</v>
      </c>
      <c r="BE24" s="801">
        <v>67</v>
      </c>
      <c r="BF24" s="801">
        <v>226</v>
      </c>
      <c r="BG24" s="801">
        <v>313</v>
      </c>
      <c r="BH24" s="801">
        <v>276</v>
      </c>
      <c r="BI24" s="801">
        <v>0</v>
      </c>
      <c r="BJ24" s="802">
        <v>336</v>
      </c>
      <c r="BK24" s="800">
        <v>79</v>
      </c>
      <c r="BL24" s="801">
        <v>22</v>
      </c>
      <c r="BM24" s="801">
        <v>31</v>
      </c>
      <c r="BN24" s="801">
        <v>20</v>
      </c>
      <c r="BO24" s="801">
        <v>223</v>
      </c>
      <c r="BP24" s="801">
        <v>43</v>
      </c>
      <c r="BQ24" s="801">
        <v>42</v>
      </c>
      <c r="BR24" s="801">
        <v>203</v>
      </c>
      <c r="BS24" s="801">
        <v>292</v>
      </c>
      <c r="BT24" s="801">
        <v>169</v>
      </c>
      <c r="BU24" s="801">
        <v>0</v>
      </c>
      <c r="BV24" s="810">
        <v>445</v>
      </c>
    </row>
    <row r="25" spans="2:75">
      <c r="B25" s="809" t="s">
        <v>390</v>
      </c>
      <c r="C25" s="800">
        <v>1559</v>
      </c>
      <c r="D25" s="801">
        <v>1662</v>
      </c>
      <c r="E25" s="801">
        <v>3708</v>
      </c>
      <c r="F25" s="801">
        <v>738</v>
      </c>
      <c r="G25" s="801">
        <v>11165</v>
      </c>
      <c r="H25" s="801">
        <v>10214</v>
      </c>
      <c r="I25" s="801">
        <v>14564</v>
      </c>
      <c r="J25" s="801">
        <v>12843</v>
      </c>
      <c r="K25" s="801">
        <v>6333</v>
      </c>
      <c r="L25" s="801">
        <v>3054</v>
      </c>
      <c r="M25" s="801">
        <v>0</v>
      </c>
      <c r="N25" s="802">
        <v>13909</v>
      </c>
      <c r="O25" s="800">
        <v>88</v>
      </c>
      <c r="P25" s="801">
        <v>223</v>
      </c>
      <c r="Q25" s="801">
        <v>691</v>
      </c>
      <c r="R25" s="801">
        <v>206</v>
      </c>
      <c r="S25" s="801">
        <v>3421</v>
      </c>
      <c r="T25" s="801">
        <v>1223</v>
      </c>
      <c r="U25" s="801">
        <v>907</v>
      </c>
      <c r="V25" s="801">
        <v>1069</v>
      </c>
      <c r="W25" s="801">
        <v>1138</v>
      </c>
      <c r="X25" s="801">
        <v>659</v>
      </c>
      <c r="Y25" s="801">
        <v>0</v>
      </c>
      <c r="Z25" s="802">
        <v>1408</v>
      </c>
      <c r="AA25" s="800">
        <v>53</v>
      </c>
      <c r="AB25" s="801">
        <v>113</v>
      </c>
      <c r="AC25" s="801">
        <v>172</v>
      </c>
      <c r="AD25" s="801">
        <v>151</v>
      </c>
      <c r="AE25" s="801">
        <v>2695</v>
      </c>
      <c r="AF25" s="801">
        <v>1300</v>
      </c>
      <c r="AG25" s="801">
        <v>1887</v>
      </c>
      <c r="AH25" s="801">
        <v>1794</v>
      </c>
      <c r="AI25" s="801">
        <v>2180</v>
      </c>
      <c r="AJ25" s="801">
        <v>1203</v>
      </c>
      <c r="AK25" s="801">
        <v>0</v>
      </c>
      <c r="AL25" s="802">
        <v>945</v>
      </c>
      <c r="AM25" s="800">
        <v>14</v>
      </c>
      <c r="AN25" s="801">
        <v>51</v>
      </c>
      <c r="AO25" s="801">
        <v>57</v>
      </c>
      <c r="AP25" s="801">
        <v>25</v>
      </c>
      <c r="AQ25" s="801">
        <v>1528</v>
      </c>
      <c r="AR25" s="801">
        <v>2234</v>
      </c>
      <c r="AS25" s="801">
        <v>1232</v>
      </c>
      <c r="AT25" s="801">
        <v>639</v>
      </c>
      <c r="AU25" s="801">
        <v>1568</v>
      </c>
      <c r="AV25" s="801">
        <v>3544</v>
      </c>
      <c r="AW25" s="801">
        <v>0</v>
      </c>
      <c r="AX25" s="802">
        <v>347</v>
      </c>
      <c r="AY25" s="800">
        <v>8</v>
      </c>
      <c r="AZ25" s="801">
        <v>0</v>
      </c>
      <c r="BA25" s="801">
        <v>11</v>
      </c>
      <c r="BB25" s="801">
        <v>0</v>
      </c>
      <c r="BC25" s="801">
        <v>6</v>
      </c>
      <c r="BD25" s="801">
        <v>55</v>
      </c>
      <c r="BE25" s="801">
        <v>313</v>
      </c>
      <c r="BF25" s="801">
        <v>637</v>
      </c>
      <c r="BG25" s="801">
        <v>800</v>
      </c>
      <c r="BH25" s="801">
        <v>390</v>
      </c>
      <c r="BI25" s="801">
        <v>0</v>
      </c>
      <c r="BJ25" s="802">
        <v>399</v>
      </c>
      <c r="BK25" s="800">
        <v>31</v>
      </c>
      <c r="BL25" s="801">
        <v>51</v>
      </c>
      <c r="BM25" s="801">
        <v>102</v>
      </c>
      <c r="BN25" s="801">
        <v>6</v>
      </c>
      <c r="BO25" s="801">
        <v>528</v>
      </c>
      <c r="BP25" s="801">
        <v>181</v>
      </c>
      <c r="BQ25" s="801">
        <v>84</v>
      </c>
      <c r="BR25" s="801">
        <v>219</v>
      </c>
      <c r="BS25" s="801">
        <v>384</v>
      </c>
      <c r="BT25" s="801">
        <v>346</v>
      </c>
      <c r="BU25" s="801">
        <v>0</v>
      </c>
      <c r="BV25" s="810">
        <v>858</v>
      </c>
    </row>
    <row r="26" spans="2:75">
      <c r="B26" s="809" t="s">
        <v>391</v>
      </c>
      <c r="C26" s="800">
        <v>577</v>
      </c>
      <c r="D26" s="801">
        <v>864</v>
      </c>
      <c r="E26" s="801">
        <v>1613</v>
      </c>
      <c r="F26" s="801">
        <v>250</v>
      </c>
      <c r="G26" s="801">
        <v>7800</v>
      </c>
      <c r="H26" s="801">
        <v>6768</v>
      </c>
      <c r="I26" s="801">
        <v>11205</v>
      </c>
      <c r="J26" s="801">
        <v>8944</v>
      </c>
      <c r="K26" s="801">
        <v>4811</v>
      </c>
      <c r="L26" s="801">
        <v>2685</v>
      </c>
      <c r="M26" s="801">
        <v>0</v>
      </c>
      <c r="N26" s="802">
        <v>6201</v>
      </c>
      <c r="O26" s="800">
        <v>117</v>
      </c>
      <c r="P26" s="801">
        <v>231</v>
      </c>
      <c r="Q26" s="801">
        <v>283</v>
      </c>
      <c r="R26" s="801">
        <v>24</v>
      </c>
      <c r="S26" s="801">
        <v>1755</v>
      </c>
      <c r="T26" s="801">
        <v>1049</v>
      </c>
      <c r="U26" s="801">
        <v>798</v>
      </c>
      <c r="V26" s="801">
        <v>807</v>
      </c>
      <c r="W26" s="801">
        <v>639</v>
      </c>
      <c r="X26" s="801">
        <v>492</v>
      </c>
      <c r="Y26" s="801">
        <v>0</v>
      </c>
      <c r="Z26" s="802">
        <v>471</v>
      </c>
      <c r="AA26" s="800">
        <v>88</v>
      </c>
      <c r="AB26" s="801">
        <v>166</v>
      </c>
      <c r="AC26" s="801">
        <v>77</v>
      </c>
      <c r="AD26" s="801">
        <v>9</v>
      </c>
      <c r="AE26" s="801">
        <v>877</v>
      </c>
      <c r="AF26" s="801">
        <v>850</v>
      </c>
      <c r="AG26" s="801">
        <v>2311</v>
      </c>
      <c r="AH26" s="801">
        <v>1921</v>
      </c>
      <c r="AI26" s="801">
        <v>1570</v>
      </c>
      <c r="AJ26" s="801">
        <v>820</v>
      </c>
      <c r="AK26" s="801">
        <v>0</v>
      </c>
      <c r="AL26" s="802">
        <v>361</v>
      </c>
      <c r="AM26" s="800">
        <v>55</v>
      </c>
      <c r="AN26" s="801">
        <v>41</v>
      </c>
      <c r="AO26" s="801">
        <v>33</v>
      </c>
      <c r="AP26" s="801">
        <v>4</v>
      </c>
      <c r="AQ26" s="801">
        <v>735</v>
      </c>
      <c r="AR26" s="801">
        <v>943</v>
      </c>
      <c r="AS26" s="801">
        <v>2261</v>
      </c>
      <c r="AT26" s="801">
        <v>249</v>
      </c>
      <c r="AU26" s="801">
        <v>1215</v>
      </c>
      <c r="AV26" s="801">
        <v>4033</v>
      </c>
      <c r="AW26" s="801">
        <v>0</v>
      </c>
      <c r="AX26" s="802">
        <v>63</v>
      </c>
      <c r="AY26" s="800">
        <v>5</v>
      </c>
      <c r="AZ26" s="801">
        <v>2</v>
      </c>
      <c r="BA26" s="801">
        <v>0</v>
      </c>
      <c r="BB26" s="801">
        <v>0</v>
      </c>
      <c r="BC26" s="801">
        <v>27</v>
      </c>
      <c r="BD26" s="801">
        <v>88</v>
      </c>
      <c r="BE26" s="801">
        <v>600</v>
      </c>
      <c r="BF26" s="801">
        <v>481</v>
      </c>
      <c r="BG26" s="801">
        <v>688</v>
      </c>
      <c r="BH26" s="801">
        <v>168</v>
      </c>
      <c r="BI26" s="801">
        <v>0</v>
      </c>
      <c r="BJ26" s="802">
        <v>96</v>
      </c>
      <c r="BK26" s="800">
        <v>31</v>
      </c>
      <c r="BL26" s="801">
        <v>59</v>
      </c>
      <c r="BM26" s="801">
        <v>30</v>
      </c>
      <c r="BN26" s="801">
        <v>3</v>
      </c>
      <c r="BO26" s="801">
        <v>185</v>
      </c>
      <c r="BP26" s="801">
        <v>163</v>
      </c>
      <c r="BQ26" s="801">
        <v>152</v>
      </c>
      <c r="BR26" s="801">
        <v>237</v>
      </c>
      <c r="BS26" s="801">
        <v>230</v>
      </c>
      <c r="BT26" s="801">
        <v>235</v>
      </c>
      <c r="BU26" s="801">
        <v>0</v>
      </c>
      <c r="BV26" s="810">
        <v>193</v>
      </c>
    </row>
    <row r="27" spans="2:75">
      <c r="B27" s="809" t="s">
        <v>392</v>
      </c>
      <c r="C27" s="800">
        <v>101</v>
      </c>
      <c r="D27" s="801">
        <v>52</v>
      </c>
      <c r="E27" s="801">
        <v>215</v>
      </c>
      <c r="F27" s="801">
        <v>57</v>
      </c>
      <c r="G27" s="801">
        <v>5250</v>
      </c>
      <c r="H27" s="801">
        <v>3187</v>
      </c>
      <c r="I27" s="801">
        <v>5109</v>
      </c>
      <c r="J27" s="801">
        <v>3205</v>
      </c>
      <c r="K27" s="801">
        <v>2410</v>
      </c>
      <c r="L27" s="801">
        <v>1251</v>
      </c>
      <c r="M27" s="801">
        <v>0</v>
      </c>
      <c r="N27" s="802">
        <v>3238</v>
      </c>
      <c r="O27" s="800">
        <v>13</v>
      </c>
      <c r="P27" s="801">
        <v>9</v>
      </c>
      <c r="Q27" s="801">
        <v>48</v>
      </c>
      <c r="R27" s="801">
        <v>3</v>
      </c>
      <c r="S27" s="801">
        <v>1392</v>
      </c>
      <c r="T27" s="801">
        <v>475</v>
      </c>
      <c r="U27" s="801">
        <v>504</v>
      </c>
      <c r="V27" s="801">
        <v>371</v>
      </c>
      <c r="W27" s="801">
        <v>362</v>
      </c>
      <c r="X27" s="801">
        <v>223</v>
      </c>
      <c r="Y27" s="801">
        <v>0</v>
      </c>
      <c r="Z27" s="802">
        <v>961</v>
      </c>
      <c r="AA27" s="800">
        <v>1</v>
      </c>
      <c r="AB27" s="801">
        <v>1</v>
      </c>
      <c r="AC27" s="801">
        <v>6</v>
      </c>
      <c r="AD27" s="801">
        <v>3</v>
      </c>
      <c r="AE27" s="801">
        <v>668</v>
      </c>
      <c r="AF27" s="801">
        <v>440</v>
      </c>
      <c r="AG27" s="801">
        <v>799</v>
      </c>
      <c r="AH27" s="801">
        <v>717</v>
      </c>
      <c r="AI27" s="801">
        <v>533</v>
      </c>
      <c r="AJ27" s="801">
        <v>427</v>
      </c>
      <c r="AK27" s="801">
        <v>0</v>
      </c>
      <c r="AL27" s="802">
        <v>643</v>
      </c>
      <c r="AM27" s="800">
        <v>0</v>
      </c>
      <c r="AN27" s="801">
        <v>0</v>
      </c>
      <c r="AO27" s="801">
        <v>0</v>
      </c>
      <c r="AP27" s="801">
        <v>0</v>
      </c>
      <c r="AQ27" s="801">
        <v>264</v>
      </c>
      <c r="AR27" s="801">
        <v>293</v>
      </c>
      <c r="AS27" s="801">
        <v>141</v>
      </c>
      <c r="AT27" s="801">
        <v>209</v>
      </c>
      <c r="AU27" s="801">
        <v>227</v>
      </c>
      <c r="AV27" s="801">
        <v>757</v>
      </c>
      <c r="AW27" s="801">
        <v>0</v>
      </c>
      <c r="AX27" s="802">
        <v>436</v>
      </c>
      <c r="AY27" s="800">
        <v>0</v>
      </c>
      <c r="AZ27" s="801">
        <v>0</v>
      </c>
      <c r="BA27" s="801">
        <v>0</v>
      </c>
      <c r="BB27" s="801">
        <v>0</v>
      </c>
      <c r="BC27" s="801">
        <v>104</v>
      </c>
      <c r="BD27" s="801">
        <v>31</v>
      </c>
      <c r="BE27" s="801">
        <v>170</v>
      </c>
      <c r="BF27" s="801">
        <v>276</v>
      </c>
      <c r="BG27" s="801">
        <v>390</v>
      </c>
      <c r="BH27" s="801">
        <v>127</v>
      </c>
      <c r="BI27" s="801">
        <v>0</v>
      </c>
      <c r="BJ27" s="802">
        <v>272</v>
      </c>
      <c r="BK27" s="800">
        <v>10</v>
      </c>
      <c r="BL27" s="801">
        <v>5</v>
      </c>
      <c r="BM27" s="801">
        <v>4</v>
      </c>
      <c r="BN27" s="801">
        <v>5</v>
      </c>
      <c r="BO27" s="801">
        <v>346</v>
      </c>
      <c r="BP27" s="801">
        <v>86</v>
      </c>
      <c r="BQ27" s="801">
        <v>68</v>
      </c>
      <c r="BR27" s="801">
        <v>182</v>
      </c>
      <c r="BS27" s="801">
        <v>111</v>
      </c>
      <c r="BT27" s="801">
        <v>92</v>
      </c>
      <c r="BU27" s="801">
        <v>0</v>
      </c>
      <c r="BV27" s="810">
        <v>566</v>
      </c>
    </row>
    <row r="28" spans="2:75" ht="15" thickBot="1">
      <c r="B28" s="811" t="s">
        <v>393</v>
      </c>
      <c r="C28" s="812">
        <v>0</v>
      </c>
      <c r="D28" s="813">
        <v>0</v>
      </c>
      <c r="E28" s="813">
        <v>1</v>
      </c>
      <c r="F28" s="813">
        <v>0</v>
      </c>
      <c r="G28" s="813">
        <v>3</v>
      </c>
      <c r="H28" s="813">
        <v>4</v>
      </c>
      <c r="I28" s="813">
        <v>0</v>
      </c>
      <c r="J28" s="813">
        <v>2</v>
      </c>
      <c r="K28" s="813">
        <v>0</v>
      </c>
      <c r="L28" s="813">
        <v>0</v>
      </c>
      <c r="M28" s="813">
        <v>0</v>
      </c>
      <c r="N28" s="814">
        <v>2</v>
      </c>
      <c r="O28" s="812">
        <v>0</v>
      </c>
      <c r="P28" s="813">
        <v>0</v>
      </c>
      <c r="Q28" s="813">
        <v>0</v>
      </c>
      <c r="R28" s="813">
        <v>2</v>
      </c>
      <c r="S28" s="813">
        <v>0</v>
      </c>
      <c r="T28" s="813">
        <v>0</v>
      </c>
      <c r="U28" s="813">
        <v>22</v>
      </c>
      <c r="V28" s="813">
        <v>6</v>
      </c>
      <c r="W28" s="813">
        <v>0</v>
      </c>
      <c r="X28" s="813">
        <v>15</v>
      </c>
      <c r="Y28" s="813">
        <v>0</v>
      </c>
      <c r="Z28" s="814">
        <v>0</v>
      </c>
      <c r="AA28" s="812">
        <v>0</v>
      </c>
      <c r="AB28" s="813">
        <v>0</v>
      </c>
      <c r="AC28" s="813">
        <v>0</v>
      </c>
      <c r="AD28" s="813">
        <v>0</v>
      </c>
      <c r="AE28" s="813">
        <v>24</v>
      </c>
      <c r="AF28" s="813">
        <v>0</v>
      </c>
      <c r="AG28" s="813">
        <v>115</v>
      </c>
      <c r="AH28" s="813">
        <v>57</v>
      </c>
      <c r="AI28" s="813">
        <v>102</v>
      </c>
      <c r="AJ28" s="813">
        <v>195</v>
      </c>
      <c r="AK28" s="813">
        <v>0</v>
      </c>
      <c r="AL28" s="814">
        <v>27</v>
      </c>
      <c r="AM28" s="812">
        <v>0</v>
      </c>
      <c r="AN28" s="813">
        <v>0</v>
      </c>
      <c r="AO28" s="813">
        <v>0</v>
      </c>
      <c r="AP28" s="813">
        <v>0</v>
      </c>
      <c r="AQ28" s="813">
        <v>12</v>
      </c>
      <c r="AR28" s="813">
        <v>0</v>
      </c>
      <c r="AS28" s="813">
        <v>156</v>
      </c>
      <c r="AT28" s="813">
        <v>179</v>
      </c>
      <c r="AU28" s="813">
        <v>19</v>
      </c>
      <c r="AV28" s="813">
        <v>189</v>
      </c>
      <c r="AW28" s="813">
        <v>0</v>
      </c>
      <c r="AX28" s="814">
        <v>12</v>
      </c>
      <c r="AY28" s="812">
        <v>0</v>
      </c>
      <c r="AZ28" s="813">
        <v>0</v>
      </c>
      <c r="BA28" s="813">
        <v>0</v>
      </c>
      <c r="BB28" s="813">
        <v>0</v>
      </c>
      <c r="BC28" s="813">
        <v>120</v>
      </c>
      <c r="BD28" s="813">
        <v>0</v>
      </c>
      <c r="BE28" s="813">
        <v>0</v>
      </c>
      <c r="BF28" s="813">
        <v>0</v>
      </c>
      <c r="BG28" s="813">
        <v>0</v>
      </c>
      <c r="BH28" s="813">
        <v>24</v>
      </c>
      <c r="BI28" s="813">
        <v>0</v>
      </c>
      <c r="BJ28" s="814">
        <v>0</v>
      </c>
      <c r="BK28" s="812">
        <v>0</v>
      </c>
      <c r="BL28" s="813">
        <v>0</v>
      </c>
      <c r="BM28" s="813">
        <v>0</v>
      </c>
      <c r="BN28" s="813">
        <v>0</v>
      </c>
      <c r="BO28" s="813">
        <v>0</v>
      </c>
      <c r="BP28" s="813">
        <v>0</v>
      </c>
      <c r="BQ28" s="813">
        <v>0</v>
      </c>
      <c r="BR28" s="813">
        <v>0</v>
      </c>
      <c r="BS28" s="813">
        <v>5</v>
      </c>
      <c r="BT28" s="813">
        <v>51</v>
      </c>
      <c r="BU28" s="813">
        <v>0</v>
      </c>
      <c r="BV28" s="815">
        <v>39</v>
      </c>
    </row>
    <row r="29" spans="2:75" ht="15" thickBot="1">
      <c r="B29" s="817"/>
      <c r="C29" s="816"/>
      <c r="D29" s="817"/>
      <c r="E29" s="817"/>
      <c r="F29" s="817"/>
      <c r="G29" s="817"/>
      <c r="H29" s="817"/>
      <c r="I29" s="817"/>
      <c r="J29" s="817"/>
      <c r="K29" s="817"/>
      <c r="L29" s="818">
        <f>SUM(C9:L28)</f>
        <v>1071348</v>
      </c>
      <c r="M29" s="817"/>
      <c r="N29" s="817"/>
      <c r="O29" s="816"/>
      <c r="P29" s="817"/>
      <c r="Q29" s="817"/>
      <c r="R29" s="817"/>
      <c r="S29" s="817"/>
      <c r="T29" s="817"/>
      <c r="U29" s="817"/>
      <c r="V29" s="817"/>
      <c r="W29" s="817"/>
      <c r="X29" s="818">
        <f>SUM(O9:X28)</f>
        <v>189574</v>
      </c>
      <c r="Y29" s="817"/>
      <c r="Z29" s="817"/>
      <c r="AA29" s="817"/>
      <c r="AB29" s="816"/>
      <c r="AC29" s="817"/>
      <c r="AD29" s="817"/>
      <c r="AE29" s="817"/>
      <c r="AF29" s="817"/>
      <c r="AG29" s="817"/>
      <c r="AH29" s="817"/>
      <c r="AI29" s="817"/>
      <c r="AJ29" s="818">
        <f>SUM(AA9:AJ28)</f>
        <v>254957</v>
      </c>
      <c r="AK29" s="817"/>
      <c r="AL29" s="817"/>
      <c r="AM29" s="817"/>
      <c r="AN29" s="816"/>
      <c r="AO29" s="817"/>
      <c r="AP29" s="817"/>
      <c r="AQ29" s="817"/>
      <c r="AR29" s="817"/>
      <c r="AS29" s="817"/>
      <c r="AT29" s="817"/>
      <c r="AU29" s="817"/>
      <c r="AV29" s="818">
        <f>SUM(AM9:AV28)</f>
        <v>514673</v>
      </c>
      <c r="AW29" s="817"/>
      <c r="AX29" s="817"/>
      <c r="AY29" s="817"/>
      <c r="AZ29" s="816"/>
      <c r="BA29" s="817"/>
      <c r="BB29" s="817"/>
      <c r="BC29" s="817"/>
      <c r="BD29" s="817"/>
      <c r="BE29" s="817"/>
      <c r="BF29" s="817"/>
      <c r="BG29" s="817"/>
      <c r="BH29" s="818">
        <f>SUM(AY9:BH28)</f>
        <v>36924</v>
      </c>
      <c r="BI29" s="817"/>
      <c r="BJ29" s="817"/>
      <c r="BK29" s="817"/>
      <c r="BL29" s="816"/>
      <c r="BM29" s="817"/>
      <c r="BN29" s="817"/>
      <c r="BO29" s="817"/>
      <c r="BP29" s="817"/>
      <c r="BQ29" s="817"/>
      <c r="BR29" s="817"/>
      <c r="BS29" s="817"/>
      <c r="BT29" s="818">
        <f>SUM(BK9:BT28)</f>
        <v>46859</v>
      </c>
      <c r="BU29" s="817"/>
      <c r="BV29" s="817"/>
      <c r="BW29" s="817"/>
    </row>
    <row r="30" spans="2:75">
      <c r="B30" s="1522" t="s">
        <v>1147</v>
      </c>
      <c r="C30" s="1523"/>
      <c r="D30" s="1523"/>
      <c r="E30" s="1523"/>
      <c r="F30" s="845">
        <f>L29+X29+AJ29+AV29+BH29+BT29</f>
        <v>2114335</v>
      </c>
      <c r="G30" s="817"/>
      <c r="H30" s="817"/>
      <c r="I30" s="817"/>
      <c r="J30" s="817"/>
      <c r="K30" s="817"/>
      <c r="L30" s="818"/>
      <c r="M30" s="817"/>
      <c r="N30" s="817"/>
      <c r="O30" s="816"/>
      <c r="P30" s="817"/>
      <c r="Q30" s="817"/>
      <c r="R30" s="817"/>
      <c r="S30" s="817"/>
      <c r="T30" s="817"/>
      <c r="U30" s="817"/>
      <c r="V30" s="817"/>
      <c r="W30" s="817"/>
      <c r="X30" s="818"/>
      <c r="Y30" s="817"/>
      <c r="Z30" s="817"/>
      <c r="AA30" s="817"/>
      <c r="AB30" s="816"/>
      <c r="AC30" s="817"/>
      <c r="AD30" s="817"/>
      <c r="AE30" s="817"/>
      <c r="AF30" s="817"/>
      <c r="AG30" s="817"/>
      <c r="AH30" s="817"/>
      <c r="AI30" s="817"/>
      <c r="AJ30" s="818"/>
      <c r="AK30" s="817"/>
      <c r="AL30" s="817"/>
      <c r="AM30" s="817"/>
      <c r="AN30" s="816"/>
      <c r="AO30" s="817"/>
      <c r="AP30" s="817"/>
      <c r="AQ30" s="817"/>
      <c r="AR30" s="817"/>
      <c r="AS30" s="817"/>
      <c r="AT30" s="817"/>
      <c r="AU30" s="817"/>
      <c r="AV30" s="818"/>
      <c r="AW30" s="817"/>
      <c r="AX30" s="817"/>
      <c r="AY30" s="817"/>
      <c r="AZ30" s="816"/>
      <c r="BA30" s="817"/>
      <c r="BB30" s="817"/>
      <c r="BC30" s="817"/>
      <c r="BD30" s="817"/>
      <c r="BE30" s="817"/>
      <c r="BF30" s="817"/>
      <c r="BG30" s="817"/>
      <c r="BH30" s="818"/>
      <c r="BI30" s="817"/>
      <c r="BJ30" s="817"/>
      <c r="BK30" s="817"/>
      <c r="BL30" s="816"/>
      <c r="BM30" s="817"/>
      <c r="BN30" s="817"/>
      <c r="BO30" s="817"/>
      <c r="BP30" s="817"/>
      <c r="BQ30" s="817"/>
      <c r="BR30" s="817"/>
      <c r="BS30" s="817"/>
      <c r="BT30" s="818"/>
      <c r="BU30" s="817"/>
      <c r="BV30" s="817"/>
      <c r="BW30" s="817"/>
    </row>
    <row r="31" spans="2:75" ht="15" thickBot="1">
      <c r="B31" s="1524" t="s">
        <v>1148</v>
      </c>
      <c r="C31" s="1525"/>
      <c r="D31" s="1525"/>
      <c r="E31" s="1525"/>
      <c r="F31" s="846">
        <f>SUM(C9:BV28)</f>
        <v>2323925</v>
      </c>
      <c r="G31" s="817"/>
      <c r="H31" s="817"/>
      <c r="I31" s="817"/>
      <c r="J31" s="817"/>
      <c r="K31" s="817"/>
      <c r="L31" s="818"/>
      <c r="M31" s="817"/>
      <c r="N31" s="817"/>
      <c r="O31" s="816"/>
      <c r="P31" s="817"/>
      <c r="Q31" s="817"/>
      <c r="R31" s="817"/>
      <c r="S31" s="817"/>
      <c r="T31" s="817"/>
      <c r="U31" s="817"/>
      <c r="V31" s="817"/>
      <c r="W31" s="817"/>
      <c r="X31" s="818"/>
      <c r="Y31" s="817"/>
      <c r="Z31" s="817"/>
      <c r="AA31" s="817"/>
      <c r="AB31" s="816"/>
      <c r="AC31" s="817"/>
      <c r="AD31" s="817"/>
      <c r="AE31" s="817"/>
      <c r="AF31" s="817"/>
      <c r="AG31" s="817"/>
      <c r="AH31" s="817"/>
      <c r="AI31" s="817"/>
      <c r="AJ31" s="818"/>
      <c r="AK31" s="817"/>
      <c r="AL31" s="817"/>
      <c r="AM31" s="817"/>
      <c r="AN31" s="816"/>
      <c r="AO31" s="817"/>
      <c r="AP31" s="817"/>
      <c r="AQ31" s="817"/>
      <c r="AR31" s="817"/>
      <c r="AS31" s="817"/>
      <c r="AT31" s="817"/>
      <c r="AU31" s="817"/>
      <c r="AV31" s="818"/>
      <c r="AW31" s="817"/>
      <c r="AX31" s="817"/>
      <c r="AY31" s="817"/>
      <c r="AZ31" s="816"/>
      <c r="BA31" s="817"/>
      <c r="BB31" s="817"/>
      <c r="BC31" s="817"/>
      <c r="BD31" s="817"/>
      <c r="BE31" s="817"/>
      <c r="BF31" s="817"/>
      <c r="BG31" s="817"/>
      <c r="BH31" s="818"/>
      <c r="BI31" s="817"/>
      <c r="BJ31" s="817"/>
      <c r="BK31" s="817"/>
      <c r="BL31" s="816"/>
      <c r="BM31" s="817"/>
      <c r="BN31" s="817"/>
      <c r="BO31" s="817"/>
      <c r="BP31" s="817"/>
      <c r="BQ31" s="817"/>
      <c r="BR31" s="817"/>
      <c r="BS31" s="817"/>
      <c r="BT31" s="818"/>
      <c r="BU31" s="817"/>
      <c r="BV31" s="817"/>
      <c r="BW31" s="817"/>
    </row>
    <row r="32" spans="2:75" ht="16.2" thickBot="1">
      <c r="B32" s="847" t="s">
        <v>1156</v>
      </c>
      <c r="C32" s="848"/>
      <c r="D32" s="848"/>
      <c r="E32" s="848"/>
      <c r="F32" s="849">
        <f>SUM(C9:BJ27)</f>
        <v>2262219</v>
      </c>
      <c r="G32" s="817"/>
      <c r="H32" s="817"/>
      <c r="I32" s="817"/>
      <c r="J32" s="817"/>
      <c r="K32" s="817"/>
      <c r="L32" s="818"/>
      <c r="M32" s="817"/>
      <c r="N32" s="817"/>
      <c r="O32" s="816"/>
      <c r="P32" s="817"/>
      <c r="Q32" s="817"/>
      <c r="R32" s="817"/>
      <c r="S32" s="817"/>
      <c r="T32" s="817"/>
      <c r="U32" s="817"/>
      <c r="V32" s="817"/>
      <c r="W32" s="817"/>
      <c r="X32" s="818"/>
      <c r="Y32" s="817"/>
      <c r="Z32" s="817"/>
      <c r="AA32" s="817"/>
      <c r="AB32" s="816"/>
      <c r="AC32" s="817"/>
      <c r="AD32" s="817"/>
      <c r="AE32" s="817"/>
      <c r="AF32" s="817"/>
      <c r="AG32" s="817"/>
      <c r="AH32" s="817"/>
      <c r="AI32" s="817"/>
      <c r="AJ32" s="818"/>
      <c r="AK32" s="817"/>
      <c r="AL32" s="817"/>
      <c r="AM32" s="817"/>
      <c r="AN32" s="816"/>
      <c r="AO32" s="817"/>
      <c r="AP32" s="817"/>
      <c r="AQ32" s="817"/>
      <c r="AR32" s="817"/>
      <c r="AS32" s="817"/>
      <c r="AT32" s="817"/>
      <c r="AU32" s="817"/>
      <c r="AV32" s="818"/>
      <c r="AW32" s="817"/>
      <c r="AX32" s="817"/>
      <c r="AY32" s="817"/>
      <c r="AZ32" s="816"/>
      <c r="BA32" s="817"/>
      <c r="BB32" s="817"/>
      <c r="BC32" s="817"/>
      <c r="BD32" s="817"/>
      <c r="BE32" s="817"/>
      <c r="BF32" s="817"/>
      <c r="BG32" s="817"/>
      <c r="BH32" s="818"/>
      <c r="BI32" s="817"/>
      <c r="BJ32" s="817"/>
      <c r="BK32" s="817"/>
      <c r="BL32" s="816"/>
      <c r="BM32" s="817"/>
      <c r="BN32" s="817"/>
      <c r="BO32" s="817"/>
      <c r="BP32" s="817"/>
      <c r="BQ32" s="817"/>
      <c r="BR32" s="817"/>
      <c r="BS32" s="817"/>
      <c r="BT32" s="818"/>
      <c r="BU32" s="817"/>
      <c r="BV32" s="817"/>
      <c r="BW32" s="817"/>
    </row>
    <row r="33" spans="1:75">
      <c r="B33" s="602"/>
      <c r="C33" s="602"/>
      <c r="D33" s="602"/>
      <c r="E33" s="602"/>
      <c r="F33" s="819"/>
      <c r="G33" s="817"/>
      <c r="H33" s="817"/>
      <c r="I33" s="817"/>
      <c r="J33" s="817"/>
      <c r="K33" s="817"/>
      <c r="L33" s="818"/>
      <c r="M33" s="817"/>
      <c r="N33" s="817"/>
      <c r="O33" s="816"/>
      <c r="P33" s="817"/>
      <c r="Q33" s="817"/>
      <c r="R33" s="817"/>
      <c r="S33" s="817"/>
      <c r="T33" s="817"/>
      <c r="U33" s="817"/>
      <c r="V33" s="817"/>
      <c r="W33" s="817"/>
      <c r="X33" s="818"/>
      <c r="Y33" s="817"/>
      <c r="Z33" s="817"/>
      <c r="AA33" s="817"/>
      <c r="AB33" s="816"/>
      <c r="AC33" s="817"/>
      <c r="AD33" s="817"/>
      <c r="AE33" s="817"/>
      <c r="AF33" s="817"/>
      <c r="AG33" s="817"/>
      <c r="AH33" s="817"/>
      <c r="AI33" s="817"/>
      <c r="AJ33" s="818"/>
      <c r="AK33" s="817"/>
      <c r="AL33" s="817"/>
      <c r="AM33" s="817"/>
      <c r="AN33" s="816"/>
      <c r="AO33" s="817"/>
      <c r="AP33" s="817"/>
      <c r="AQ33" s="817"/>
      <c r="AR33" s="817"/>
      <c r="AS33" s="817"/>
      <c r="AT33" s="817"/>
      <c r="AU33" s="817"/>
      <c r="AV33" s="818"/>
      <c r="AW33" s="817"/>
      <c r="AX33" s="817"/>
      <c r="AY33" s="817"/>
      <c r="AZ33" s="816"/>
      <c r="BA33" s="817"/>
      <c r="BB33" s="817"/>
      <c r="BC33" s="817"/>
      <c r="BD33" s="817"/>
      <c r="BE33" s="817"/>
      <c r="BF33" s="817"/>
      <c r="BG33" s="817"/>
      <c r="BH33" s="818"/>
      <c r="BI33" s="817"/>
      <c r="BJ33" s="817"/>
      <c r="BK33" s="817"/>
      <c r="BL33" s="816"/>
      <c r="BM33" s="817"/>
      <c r="BN33" s="817"/>
      <c r="BO33" s="817"/>
      <c r="BP33" s="817"/>
      <c r="BQ33" s="817"/>
      <c r="BR33" s="817"/>
      <c r="BS33" s="817"/>
      <c r="BT33" s="818"/>
      <c r="BU33" s="817"/>
      <c r="BV33" s="817"/>
      <c r="BW33" s="817"/>
    </row>
    <row r="34" spans="1:75">
      <c r="B34" s="602"/>
      <c r="C34" s="602"/>
      <c r="D34" s="602"/>
      <c r="E34" s="602"/>
      <c r="F34" s="819"/>
      <c r="G34" s="817"/>
      <c r="H34" s="817"/>
      <c r="I34" s="817"/>
      <c r="J34" s="817"/>
      <c r="K34" s="817"/>
      <c r="L34" s="818"/>
      <c r="M34" s="817"/>
      <c r="N34" s="817"/>
      <c r="O34" s="816"/>
      <c r="P34" s="817"/>
      <c r="Q34" s="817"/>
      <c r="R34" s="817"/>
      <c r="S34" s="817"/>
      <c r="T34" s="817"/>
      <c r="U34" s="817"/>
      <c r="V34" s="817"/>
      <c r="W34" s="817"/>
      <c r="X34" s="818"/>
      <c r="Y34" s="817"/>
      <c r="Z34" s="817"/>
      <c r="AA34" s="817"/>
      <c r="AB34" s="816"/>
      <c r="AC34" s="817"/>
      <c r="AD34" s="817"/>
      <c r="AE34" s="817"/>
      <c r="AF34" s="817"/>
      <c r="AG34" s="817"/>
      <c r="AH34" s="817"/>
      <c r="AI34" s="817"/>
      <c r="AJ34" s="818"/>
      <c r="AK34" s="817"/>
      <c r="AL34" s="817"/>
      <c r="AM34" s="817"/>
      <c r="AN34" s="816"/>
      <c r="AO34" s="817"/>
      <c r="AP34" s="817"/>
      <c r="AQ34" s="817"/>
      <c r="AR34" s="817"/>
      <c r="AS34" s="817"/>
      <c r="AT34" s="817"/>
      <c r="AU34" s="817"/>
      <c r="AV34" s="818"/>
      <c r="AW34" s="817"/>
      <c r="AX34" s="817"/>
      <c r="AY34" s="817"/>
      <c r="AZ34" s="816"/>
      <c r="BA34" s="817"/>
      <c r="BB34" s="817"/>
      <c r="BC34" s="817"/>
      <c r="BD34" s="817"/>
      <c r="BE34" s="817"/>
      <c r="BF34" s="817"/>
      <c r="BG34" s="817"/>
      <c r="BH34" s="818"/>
      <c r="BI34" s="817"/>
      <c r="BJ34" s="817"/>
      <c r="BK34" s="817"/>
      <c r="BL34" s="816"/>
      <c r="BM34" s="817"/>
      <c r="BN34" s="817"/>
      <c r="BO34" s="817"/>
      <c r="BP34" s="817"/>
      <c r="BQ34" s="817"/>
      <c r="BR34" s="817"/>
      <c r="BS34" s="817"/>
      <c r="BT34" s="818"/>
      <c r="BU34" s="817"/>
      <c r="BV34" s="817"/>
      <c r="BW34" s="817"/>
    </row>
    <row r="35" spans="1:75">
      <c r="B35" s="602"/>
      <c r="C35" s="602"/>
      <c r="D35" s="602"/>
      <c r="E35" s="602"/>
      <c r="F35" s="819"/>
      <c r="G35" s="817"/>
      <c r="H35" s="817"/>
      <c r="I35" s="817"/>
      <c r="J35" s="817"/>
      <c r="K35" s="817"/>
      <c r="L35" s="818"/>
      <c r="M35" s="817"/>
      <c r="N35" s="817"/>
      <c r="O35" s="816"/>
      <c r="P35" s="817"/>
      <c r="Q35" s="817"/>
      <c r="R35" s="817"/>
      <c r="S35" s="817"/>
      <c r="T35" s="817"/>
      <c r="U35" s="817"/>
      <c r="V35" s="817"/>
      <c r="W35" s="817"/>
      <c r="X35" s="818"/>
      <c r="Y35" s="817"/>
      <c r="Z35" s="817"/>
      <c r="AA35" s="817"/>
      <c r="AB35" s="816"/>
      <c r="AC35" s="817"/>
      <c r="AD35" s="817"/>
      <c r="AE35" s="817"/>
      <c r="AF35" s="817"/>
      <c r="AG35" s="817"/>
      <c r="AH35" s="817"/>
      <c r="AI35" s="817"/>
      <c r="AJ35" s="818"/>
      <c r="AK35" s="817"/>
      <c r="AL35" s="817"/>
      <c r="AM35" s="817"/>
      <c r="AN35" s="816"/>
      <c r="AO35" s="817"/>
      <c r="AP35" s="817"/>
      <c r="AQ35" s="817"/>
      <c r="AR35" s="817"/>
      <c r="AS35" s="817"/>
      <c r="AT35" s="817"/>
      <c r="AU35" s="817"/>
      <c r="AV35" s="818"/>
      <c r="AW35" s="817"/>
      <c r="AX35" s="817"/>
      <c r="AY35" s="817"/>
      <c r="AZ35" s="816"/>
      <c r="BA35" s="817"/>
      <c r="BB35" s="817"/>
      <c r="BC35" s="817"/>
      <c r="BD35" s="817"/>
      <c r="BE35" s="817"/>
      <c r="BF35" s="817"/>
      <c r="BG35" s="817"/>
      <c r="BH35" s="818"/>
      <c r="BI35" s="817"/>
      <c r="BJ35" s="817"/>
      <c r="BK35" s="817"/>
      <c r="BL35" s="816"/>
      <c r="BM35" s="817"/>
      <c r="BN35" s="817"/>
      <c r="BO35" s="817"/>
      <c r="BP35" s="817"/>
      <c r="BQ35" s="817"/>
      <c r="BR35" s="817"/>
      <c r="BS35" s="817"/>
      <c r="BT35" s="818"/>
      <c r="BU35" s="817"/>
      <c r="BV35" s="817"/>
      <c r="BW35" s="817"/>
    </row>
    <row r="36" spans="1:75" ht="15" thickBot="1">
      <c r="C36" s="759" t="s">
        <v>906</v>
      </c>
      <c r="D36" s="760"/>
      <c r="E36" s="760"/>
      <c r="F36" s="760"/>
      <c r="G36" s="760"/>
      <c r="H36" s="760"/>
      <c r="I36" s="760"/>
      <c r="J36" s="760"/>
      <c r="K36" s="760"/>
      <c r="L36" s="760"/>
      <c r="M36" s="760"/>
      <c r="N36" s="760"/>
      <c r="U36" s="817"/>
      <c r="V36" s="817"/>
      <c r="W36" s="817"/>
      <c r="X36" s="818"/>
      <c r="Y36" s="817"/>
      <c r="Z36" s="817"/>
      <c r="AA36" s="817"/>
      <c r="AB36" s="816"/>
      <c r="AC36" s="817"/>
      <c r="AD36" s="817"/>
      <c r="AE36" s="817"/>
      <c r="AF36" s="817"/>
      <c r="AG36" s="817"/>
      <c r="AH36" s="817"/>
      <c r="AI36" s="817"/>
      <c r="AJ36" s="818"/>
      <c r="AK36" s="817"/>
      <c r="AL36" s="817"/>
      <c r="AM36" s="817"/>
      <c r="AN36" s="816"/>
      <c r="AO36" s="817"/>
      <c r="AP36" s="817"/>
      <c r="AQ36" s="817"/>
      <c r="AR36" s="817"/>
      <c r="AS36" s="817"/>
      <c r="AT36" s="817"/>
      <c r="AU36" s="817"/>
      <c r="AV36" s="818"/>
      <c r="AW36" s="817"/>
      <c r="AX36" s="817"/>
      <c r="AY36" s="817"/>
      <c r="AZ36" s="816"/>
      <c r="BA36" s="817"/>
      <c r="BB36" s="817"/>
      <c r="BC36" s="817"/>
      <c r="BD36" s="817"/>
      <c r="BE36" s="817"/>
      <c r="BF36" s="817"/>
      <c r="BG36" s="817"/>
      <c r="BH36" s="818"/>
      <c r="BI36" s="817"/>
      <c r="BJ36" s="817"/>
      <c r="BK36" s="817"/>
      <c r="BL36" s="816"/>
      <c r="BM36" s="817"/>
      <c r="BN36" s="817"/>
      <c r="BO36" s="817"/>
      <c r="BP36" s="817"/>
      <c r="BQ36" s="817"/>
      <c r="BR36" s="817"/>
      <c r="BS36" s="817"/>
      <c r="BT36" s="818"/>
      <c r="BU36" s="817"/>
      <c r="BV36" s="817"/>
      <c r="BW36" s="817"/>
    </row>
    <row r="37" spans="1:75">
      <c r="C37" s="850" t="s">
        <v>345</v>
      </c>
      <c r="D37" s="851"/>
      <c r="E37" s="851"/>
      <c r="F37" s="852"/>
      <c r="G37" s="850" t="s">
        <v>347</v>
      </c>
      <c r="H37" s="851"/>
      <c r="I37" s="851"/>
      <c r="J37" s="852"/>
      <c r="K37" s="850" t="s">
        <v>350</v>
      </c>
      <c r="L37" s="851"/>
      <c r="M37" s="851"/>
      <c r="N37" s="852"/>
      <c r="O37" s="761" t="s">
        <v>412</v>
      </c>
      <c r="P37" s="762"/>
      <c r="Q37" s="763"/>
      <c r="S37" s="519">
        <v>0.02</v>
      </c>
      <c r="U37" s="817"/>
      <c r="V37" s="817"/>
      <c r="W37" s="817"/>
      <c r="X37" s="818"/>
      <c r="Y37" s="817"/>
      <c r="Z37" s="817"/>
      <c r="AA37" s="817"/>
      <c r="AB37" s="816"/>
      <c r="AC37" s="817"/>
      <c r="AD37" s="817"/>
      <c r="AE37" s="817"/>
      <c r="AF37" s="817"/>
      <c r="AG37" s="817"/>
      <c r="AH37" s="817"/>
      <c r="AI37" s="817"/>
      <c r="AJ37" s="818"/>
      <c r="AK37" s="817"/>
      <c r="AL37" s="817"/>
      <c r="AM37" s="817"/>
      <c r="AN37" s="816"/>
      <c r="AO37" s="817"/>
      <c r="AP37" s="817"/>
      <c r="AQ37" s="817"/>
      <c r="AR37" s="817"/>
      <c r="AS37" s="817"/>
      <c r="AT37" s="817"/>
      <c r="AU37" s="817"/>
      <c r="AV37" s="818"/>
      <c r="AW37" s="817"/>
      <c r="AX37" s="817"/>
      <c r="AY37" s="817"/>
      <c r="AZ37" s="816"/>
      <c r="BA37" s="817"/>
      <c r="BB37" s="817"/>
      <c r="BC37" s="817"/>
      <c r="BD37" s="817"/>
      <c r="BE37" s="817"/>
      <c r="BF37" s="817"/>
      <c r="BG37" s="817"/>
      <c r="BH37" s="818"/>
      <c r="BI37" s="817"/>
      <c r="BJ37" s="817"/>
      <c r="BK37" s="817"/>
      <c r="BL37" s="816"/>
      <c r="BM37" s="817"/>
      <c r="BN37" s="817"/>
      <c r="BO37" s="817"/>
      <c r="BP37" s="817"/>
      <c r="BQ37" s="817"/>
      <c r="BR37" s="817"/>
      <c r="BS37" s="817"/>
      <c r="BT37" s="818"/>
      <c r="BU37" s="817"/>
      <c r="BV37" s="817"/>
      <c r="BW37" s="817"/>
    </row>
    <row r="38" spans="1:75">
      <c r="C38" s="789" t="s">
        <v>404</v>
      </c>
      <c r="D38" s="853" t="s">
        <v>405</v>
      </c>
      <c r="E38" s="853" t="s">
        <v>406</v>
      </c>
      <c r="F38" s="854" t="s">
        <v>407</v>
      </c>
      <c r="G38" s="789" t="s">
        <v>404</v>
      </c>
      <c r="H38" s="853" t="s">
        <v>405</v>
      </c>
      <c r="I38" s="853" t="s">
        <v>406</v>
      </c>
      <c r="J38" s="854" t="s">
        <v>407</v>
      </c>
      <c r="K38" s="789" t="s">
        <v>404</v>
      </c>
      <c r="L38" s="853" t="s">
        <v>405</v>
      </c>
      <c r="M38" s="853" t="s">
        <v>406</v>
      </c>
      <c r="N38" s="854" t="s">
        <v>407</v>
      </c>
      <c r="O38" s="290" t="s">
        <v>148</v>
      </c>
      <c r="P38" s="291" t="s">
        <v>149</v>
      </c>
      <c r="Q38" s="292" t="s">
        <v>177</v>
      </c>
      <c r="U38" s="817"/>
      <c r="V38" s="817"/>
      <c r="W38" s="817"/>
      <c r="X38" s="817"/>
      <c r="Y38" s="817"/>
      <c r="Z38" s="817"/>
      <c r="AA38" s="817"/>
      <c r="AB38" s="816"/>
      <c r="AC38" s="817"/>
      <c r="AD38" s="817"/>
      <c r="AE38" s="817"/>
      <c r="AF38" s="817"/>
      <c r="AG38" s="817"/>
      <c r="AH38" s="817"/>
      <c r="AI38" s="817"/>
      <c r="AJ38" s="817"/>
      <c r="AK38" s="817"/>
      <c r="AL38" s="817"/>
      <c r="AM38" s="817"/>
      <c r="AN38" s="816"/>
      <c r="AO38" s="817"/>
      <c r="AP38" s="817"/>
      <c r="AQ38" s="817"/>
      <c r="AR38" s="817"/>
      <c r="AS38" s="817"/>
      <c r="AT38" s="817"/>
      <c r="AU38" s="817"/>
      <c r="AV38" s="817"/>
      <c r="AW38" s="817"/>
      <c r="AX38" s="817"/>
      <c r="AY38" s="817"/>
      <c r="AZ38" s="816"/>
      <c r="BA38" s="817"/>
      <c r="BB38" s="817"/>
      <c r="BC38" s="817"/>
      <c r="BD38" s="817"/>
      <c r="BE38" s="817"/>
      <c r="BF38" s="817"/>
      <c r="BG38" s="817"/>
      <c r="BH38" s="817"/>
      <c r="BI38" s="817"/>
      <c r="BJ38" s="817"/>
      <c r="BK38" s="817"/>
      <c r="BL38" s="816"/>
      <c r="BM38" s="817"/>
      <c r="BN38" s="817"/>
      <c r="BO38" s="817"/>
      <c r="BP38" s="817"/>
      <c r="BQ38" s="817"/>
      <c r="BR38" s="817"/>
      <c r="BS38" s="817"/>
      <c r="BT38" s="817"/>
      <c r="BU38" s="817"/>
      <c r="BV38" s="817"/>
      <c r="BW38" s="817"/>
    </row>
    <row r="39" spans="1:75">
      <c r="A39" s="1487" t="s">
        <v>1022</v>
      </c>
      <c r="B39" s="269" t="s">
        <v>374</v>
      </c>
      <c r="C39" s="838">
        <f t="shared" ref="C39:C57" si="0">C9+D9+E9+F9+G9+H9+N9</f>
        <v>38605</v>
      </c>
      <c r="D39" s="839">
        <f t="shared" ref="D39:D57" si="1">I9+J9</f>
        <v>21913</v>
      </c>
      <c r="E39" s="839">
        <f t="shared" ref="E39:E57" si="2">K9+L9</f>
        <v>9462</v>
      </c>
      <c r="F39" s="840">
        <f t="shared" ref="F39:F57" si="3">M9</f>
        <v>0</v>
      </c>
      <c r="G39" s="838">
        <f t="shared" ref="G39:G57" si="4">O9+P9+Q9+R9+S9+T9+Z9+AA9+AB9+AC9+AD9+AE9+AF9+AL9</f>
        <v>18075</v>
      </c>
      <c r="H39" s="839">
        <f t="shared" ref="H39:H57" si="5">U9+V9+AG9+AH9</f>
        <v>7752</v>
      </c>
      <c r="I39" s="839">
        <f t="shared" ref="I39:I57" si="6">W9+X9+AI9+AJ9</f>
        <v>6030</v>
      </c>
      <c r="J39" s="840">
        <f t="shared" ref="J39:J57" si="7">Y9+AK9</f>
        <v>0</v>
      </c>
      <c r="K39" s="838">
        <f t="shared" ref="K39:K57" si="8">AM9+AN9+AO9+AP9+AQ9+AR9+AX9+AY9+AZ9+BA9+BB9+BC9+BD9+BJ9</f>
        <v>7271</v>
      </c>
      <c r="L39" s="839">
        <f t="shared" ref="L39:L57" si="9">AS9+AT9+BE9+BF9</f>
        <v>5892</v>
      </c>
      <c r="M39" s="839">
        <f t="shared" ref="M39:M57" si="10">AU9+AV9+BG9+BH9</f>
        <v>6293</v>
      </c>
      <c r="N39" s="840">
        <f t="shared" ref="N39:N57" si="11">AW9+BI9</f>
        <v>0</v>
      </c>
      <c r="O39" s="518">
        <v>0</v>
      </c>
      <c r="P39" s="519">
        <f>$S$37</f>
        <v>0.02</v>
      </c>
      <c r="Q39" s="524">
        <f>1-O39-P39</f>
        <v>0.98</v>
      </c>
      <c r="R39" s="844">
        <f>SUM(C39:N39)</f>
        <v>121293</v>
      </c>
      <c r="S39" s="844">
        <f t="shared" ref="S39:S57" si="12">BW9</f>
        <v>0</v>
      </c>
      <c r="T39" s="844">
        <f>R39-S39</f>
        <v>121293</v>
      </c>
      <c r="AZ39" s="817"/>
      <c r="BA39" s="817"/>
      <c r="BB39" s="817"/>
      <c r="BC39" s="817"/>
      <c r="BD39" s="817"/>
      <c r="BE39" s="817"/>
      <c r="BF39" s="817"/>
      <c r="BG39" s="817"/>
      <c r="BH39" s="817"/>
      <c r="BI39" s="817"/>
      <c r="BJ39" s="817"/>
      <c r="BK39" s="817"/>
      <c r="BL39" s="817"/>
      <c r="BM39" s="817"/>
    </row>
    <row r="40" spans="1:75">
      <c r="A40" s="1487"/>
      <c r="B40" s="269" t="s">
        <v>375</v>
      </c>
      <c r="C40" s="838">
        <f t="shared" si="0"/>
        <v>50668</v>
      </c>
      <c r="D40" s="839">
        <f t="shared" si="1"/>
        <v>37321</v>
      </c>
      <c r="E40" s="839">
        <f t="shared" si="2"/>
        <v>23198</v>
      </c>
      <c r="F40" s="840">
        <f t="shared" si="3"/>
        <v>0</v>
      </c>
      <c r="G40" s="838">
        <f t="shared" si="4"/>
        <v>25173</v>
      </c>
      <c r="H40" s="839">
        <f t="shared" si="5"/>
        <v>22805</v>
      </c>
      <c r="I40" s="839">
        <f t="shared" si="6"/>
        <v>14181</v>
      </c>
      <c r="J40" s="840">
        <f t="shared" si="7"/>
        <v>0</v>
      </c>
      <c r="K40" s="838">
        <f t="shared" si="8"/>
        <v>15407</v>
      </c>
      <c r="L40" s="839">
        <f t="shared" si="9"/>
        <v>11415</v>
      </c>
      <c r="M40" s="839">
        <f t="shared" si="10"/>
        <v>19702</v>
      </c>
      <c r="N40" s="840">
        <f t="shared" si="11"/>
        <v>0</v>
      </c>
      <c r="O40" s="518">
        <v>0</v>
      </c>
      <c r="P40" s="519">
        <f>$S$37</f>
        <v>0.02</v>
      </c>
      <c r="Q40" s="524">
        <f t="shared" ref="Q40:Q57" si="13">1-O40-P40</f>
        <v>0.98</v>
      </c>
      <c r="R40" s="844">
        <f t="shared" ref="R40:R57" si="14">SUM(C40:N40)</f>
        <v>219870</v>
      </c>
      <c r="S40" s="844">
        <f t="shared" si="12"/>
        <v>0</v>
      </c>
      <c r="T40" s="844">
        <f t="shared" ref="T40:T57" si="15">R40-S40</f>
        <v>219870</v>
      </c>
      <c r="AZ40" s="817"/>
      <c r="BA40" s="817"/>
      <c r="BB40" s="817"/>
      <c r="BC40" s="817"/>
      <c r="BD40" s="817"/>
      <c r="BE40" s="817"/>
      <c r="BF40" s="817"/>
      <c r="BG40" s="817"/>
      <c r="BH40" s="817"/>
      <c r="BI40" s="817"/>
      <c r="BJ40" s="817"/>
      <c r="BK40" s="817"/>
      <c r="BL40" s="817"/>
      <c r="BM40" s="817"/>
    </row>
    <row r="41" spans="1:75" ht="15" thickBot="1">
      <c r="A41" s="1487"/>
      <c r="B41" s="269" t="s">
        <v>376</v>
      </c>
      <c r="C41" s="838">
        <f t="shared" si="0"/>
        <v>13065</v>
      </c>
      <c r="D41" s="839">
        <f t="shared" si="1"/>
        <v>8419</v>
      </c>
      <c r="E41" s="839">
        <f t="shared" si="2"/>
        <v>4299</v>
      </c>
      <c r="F41" s="840">
        <f t="shared" si="3"/>
        <v>0</v>
      </c>
      <c r="G41" s="838">
        <f t="shared" si="4"/>
        <v>26242</v>
      </c>
      <c r="H41" s="839">
        <f t="shared" si="5"/>
        <v>15846</v>
      </c>
      <c r="I41" s="839">
        <f t="shared" si="6"/>
        <v>6749</v>
      </c>
      <c r="J41" s="840">
        <f t="shared" si="7"/>
        <v>0</v>
      </c>
      <c r="K41" s="838">
        <f t="shared" si="8"/>
        <v>137153</v>
      </c>
      <c r="L41" s="839">
        <f t="shared" si="9"/>
        <v>48937</v>
      </c>
      <c r="M41" s="839">
        <f t="shared" si="10"/>
        <v>42661</v>
      </c>
      <c r="N41" s="840">
        <f t="shared" si="11"/>
        <v>0</v>
      </c>
      <c r="O41" s="520">
        <f>S37</f>
        <v>0.02</v>
      </c>
      <c r="P41" s="521">
        <v>0</v>
      </c>
      <c r="Q41" s="524">
        <f t="shared" si="13"/>
        <v>0.98</v>
      </c>
      <c r="R41" s="844">
        <f t="shared" si="14"/>
        <v>303371</v>
      </c>
      <c r="S41" s="844">
        <f t="shared" si="12"/>
        <v>0</v>
      </c>
      <c r="T41" s="844">
        <f t="shared" si="15"/>
        <v>303371</v>
      </c>
      <c r="V41" s="267"/>
      <c r="W41" s="1548" t="s">
        <v>908</v>
      </c>
      <c r="X41" s="1549"/>
      <c r="Y41" s="1549"/>
      <c r="Z41" s="1549"/>
      <c r="AA41" s="1549"/>
      <c r="AB41" s="1549"/>
      <c r="AC41" s="1549"/>
      <c r="AD41" s="1549"/>
      <c r="AE41" s="1549"/>
      <c r="AF41" s="1549"/>
      <c r="AG41" s="1549"/>
      <c r="AH41" s="1549"/>
      <c r="AI41" s="1549"/>
      <c r="AJ41" s="1549"/>
      <c r="AK41" s="1549"/>
      <c r="AL41" s="1549"/>
      <c r="AM41" s="1549"/>
      <c r="AN41" s="1549"/>
      <c r="AZ41" s="817"/>
      <c r="BA41" s="817"/>
      <c r="BB41" s="817"/>
      <c r="BC41" s="817"/>
      <c r="BD41" s="817"/>
      <c r="BE41" s="817"/>
      <c r="BF41" s="817"/>
      <c r="BG41" s="817"/>
      <c r="BH41" s="817"/>
      <c r="BI41" s="817"/>
      <c r="BJ41" s="817"/>
      <c r="BK41" s="817"/>
      <c r="BL41" s="817"/>
      <c r="BM41" s="817"/>
    </row>
    <row r="42" spans="1:75">
      <c r="A42" s="1487"/>
      <c r="B42" s="269" t="s">
        <v>377</v>
      </c>
      <c r="C42" s="838">
        <f t="shared" si="0"/>
        <v>39744</v>
      </c>
      <c r="D42" s="839">
        <f t="shared" si="1"/>
        <v>23146</v>
      </c>
      <c r="E42" s="839">
        <f t="shared" si="2"/>
        <v>6967</v>
      </c>
      <c r="F42" s="840">
        <f t="shared" si="3"/>
        <v>0</v>
      </c>
      <c r="G42" s="838">
        <f t="shared" si="4"/>
        <v>4977</v>
      </c>
      <c r="H42" s="839">
        <f t="shared" si="5"/>
        <v>3972</v>
      </c>
      <c r="I42" s="839">
        <f t="shared" si="6"/>
        <v>4552</v>
      </c>
      <c r="J42" s="840">
        <f t="shared" si="7"/>
        <v>0</v>
      </c>
      <c r="K42" s="838">
        <f t="shared" si="8"/>
        <v>3423</v>
      </c>
      <c r="L42" s="839">
        <f t="shared" si="9"/>
        <v>3105</v>
      </c>
      <c r="M42" s="839">
        <f t="shared" si="10"/>
        <v>3410</v>
      </c>
      <c r="N42" s="840">
        <f t="shared" si="11"/>
        <v>0</v>
      </c>
      <c r="O42" s="518">
        <v>0</v>
      </c>
      <c r="P42" s="519">
        <f t="shared" ref="P42:P48" si="16">$S$37</f>
        <v>0.02</v>
      </c>
      <c r="Q42" s="524">
        <f t="shared" si="13"/>
        <v>0.98</v>
      </c>
      <c r="R42" s="844">
        <f t="shared" si="14"/>
        <v>93296</v>
      </c>
      <c r="S42" s="844">
        <f t="shared" si="12"/>
        <v>0</v>
      </c>
      <c r="T42" s="844">
        <f t="shared" si="15"/>
        <v>93296</v>
      </c>
      <c r="V42" s="267"/>
      <c r="W42" s="1466" t="s">
        <v>395</v>
      </c>
      <c r="X42" s="1467"/>
      <c r="Y42" s="1468"/>
      <c r="Z42" s="1466" t="s">
        <v>396</v>
      </c>
      <c r="AA42" s="1467"/>
      <c r="AB42" s="1468"/>
      <c r="AC42" s="1466" t="s">
        <v>397</v>
      </c>
      <c r="AD42" s="1467"/>
      <c r="AE42" s="1468"/>
      <c r="AF42" s="1466" t="s">
        <v>398</v>
      </c>
      <c r="AG42" s="1467"/>
      <c r="AH42" s="1468"/>
      <c r="AI42" s="1466" t="s">
        <v>399</v>
      </c>
      <c r="AJ42" s="1467"/>
      <c r="AK42" s="1468"/>
      <c r="AL42" s="1466" t="s">
        <v>400</v>
      </c>
      <c r="AM42" s="1467"/>
      <c r="AN42" s="1468"/>
    </row>
    <row r="43" spans="1:75">
      <c r="A43" s="1487"/>
      <c r="B43" s="269" t="s">
        <v>378</v>
      </c>
      <c r="C43" s="838">
        <f t="shared" si="0"/>
        <v>40200</v>
      </c>
      <c r="D43" s="839">
        <f t="shared" si="1"/>
        <v>20724</v>
      </c>
      <c r="E43" s="839">
        <f t="shared" si="2"/>
        <v>7331</v>
      </c>
      <c r="F43" s="840">
        <f t="shared" si="3"/>
        <v>0</v>
      </c>
      <c r="G43" s="838">
        <f t="shared" si="4"/>
        <v>6723</v>
      </c>
      <c r="H43" s="839">
        <f t="shared" si="5"/>
        <v>3574</v>
      </c>
      <c r="I43" s="839">
        <f t="shared" si="6"/>
        <v>4492</v>
      </c>
      <c r="J43" s="840">
        <f t="shared" si="7"/>
        <v>0</v>
      </c>
      <c r="K43" s="838">
        <f t="shared" si="8"/>
        <v>2380</v>
      </c>
      <c r="L43" s="839">
        <f t="shared" si="9"/>
        <v>2162</v>
      </c>
      <c r="M43" s="839">
        <f t="shared" si="10"/>
        <v>3425</v>
      </c>
      <c r="N43" s="840">
        <f t="shared" si="11"/>
        <v>0</v>
      </c>
      <c r="O43" s="518">
        <v>0</v>
      </c>
      <c r="P43" s="519">
        <f t="shared" si="16"/>
        <v>0.02</v>
      </c>
      <c r="Q43" s="524">
        <f t="shared" si="13"/>
        <v>0.98</v>
      </c>
      <c r="R43" s="844">
        <f t="shared" si="14"/>
        <v>91011</v>
      </c>
      <c r="S43" s="844">
        <f t="shared" si="12"/>
        <v>0</v>
      </c>
      <c r="T43" s="844">
        <f t="shared" si="15"/>
        <v>91011</v>
      </c>
      <c r="V43" s="267"/>
      <c r="W43" s="270" t="s">
        <v>345</v>
      </c>
      <c r="X43" s="271" t="s">
        <v>347</v>
      </c>
      <c r="Y43" s="272" t="s">
        <v>350</v>
      </c>
      <c r="Z43" s="270" t="s">
        <v>345</v>
      </c>
      <c r="AA43" s="271" t="s">
        <v>347</v>
      </c>
      <c r="AB43" s="272" t="s">
        <v>350</v>
      </c>
      <c r="AC43" s="270" t="s">
        <v>345</v>
      </c>
      <c r="AD43" s="271" t="s">
        <v>347</v>
      </c>
      <c r="AE43" s="272" t="s">
        <v>350</v>
      </c>
      <c r="AF43" s="270" t="s">
        <v>345</v>
      </c>
      <c r="AG43" s="271" t="s">
        <v>347</v>
      </c>
      <c r="AH43" s="272" t="s">
        <v>350</v>
      </c>
      <c r="AI43" s="270" t="s">
        <v>345</v>
      </c>
      <c r="AJ43" s="271" t="s">
        <v>347</v>
      </c>
      <c r="AK43" s="272" t="s">
        <v>350</v>
      </c>
      <c r="AL43" s="270" t="s">
        <v>345</v>
      </c>
      <c r="AM43" s="271" t="s">
        <v>347</v>
      </c>
      <c r="AN43" s="272" t="s">
        <v>350</v>
      </c>
    </row>
    <row r="44" spans="1:75">
      <c r="A44" s="1487"/>
      <c r="B44" s="269" t="s">
        <v>379</v>
      </c>
      <c r="C44" s="838">
        <f t="shared" si="0"/>
        <v>38961</v>
      </c>
      <c r="D44" s="839">
        <f t="shared" si="1"/>
        <v>22026</v>
      </c>
      <c r="E44" s="839">
        <f t="shared" si="2"/>
        <v>10446</v>
      </c>
      <c r="F44" s="840">
        <f t="shared" si="3"/>
        <v>0</v>
      </c>
      <c r="G44" s="838">
        <f t="shared" si="4"/>
        <v>11501</v>
      </c>
      <c r="H44" s="839">
        <f t="shared" si="5"/>
        <v>7986</v>
      </c>
      <c r="I44" s="839">
        <f t="shared" si="6"/>
        <v>6281</v>
      </c>
      <c r="J44" s="840">
        <f t="shared" si="7"/>
        <v>0</v>
      </c>
      <c r="K44" s="838">
        <f t="shared" si="8"/>
        <v>6275</v>
      </c>
      <c r="L44" s="839">
        <f t="shared" si="9"/>
        <v>6845</v>
      </c>
      <c r="M44" s="839">
        <f t="shared" si="10"/>
        <v>7370</v>
      </c>
      <c r="N44" s="840">
        <f t="shared" si="11"/>
        <v>0</v>
      </c>
      <c r="O44" s="518">
        <v>0</v>
      </c>
      <c r="P44" s="519">
        <f t="shared" si="16"/>
        <v>0.02</v>
      </c>
      <c r="Q44" s="524">
        <f t="shared" si="13"/>
        <v>0.98</v>
      </c>
      <c r="R44" s="844">
        <f t="shared" si="14"/>
        <v>117691</v>
      </c>
      <c r="S44" s="844">
        <f t="shared" si="12"/>
        <v>0</v>
      </c>
      <c r="T44" s="844">
        <f t="shared" si="15"/>
        <v>117691</v>
      </c>
      <c r="V44" s="267" t="s">
        <v>401</v>
      </c>
      <c r="W44" s="270">
        <v>200.9</v>
      </c>
      <c r="X44" s="271">
        <v>247</v>
      </c>
      <c r="Y44" s="272">
        <v>155.9</v>
      </c>
      <c r="Z44" s="270">
        <v>134.4</v>
      </c>
      <c r="AA44" s="271">
        <v>139.80000000000001</v>
      </c>
      <c r="AB44" s="272">
        <v>103.4</v>
      </c>
      <c r="AC44" s="270">
        <v>57.5</v>
      </c>
      <c r="AD44" s="271">
        <v>56</v>
      </c>
      <c r="AE44" s="272">
        <v>39.6</v>
      </c>
      <c r="AF44" s="270">
        <v>19.2</v>
      </c>
      <c r="AG44" s="271">
        <v>19.2</v>
      </c>
      <c r="AH44" s="272">
        <v>25.3</v>
      </c>
      <c r="AI44" s="270">
        <v>19.2</v>
      </c>
      <c r="AJ44" s="271">
        <v>19.2</v>
      </c>
      <c r="AK44" s="272">
        <v>27.4</v>
      </c>
      <c r="AL44" s="270">
        <v>19.2</v>
      </c>
      <c r="AM44" s="271">
        <v>19.2</v>
      </c>
      <c r="AN44" s="272">
        <v>27.4</v>
      </c>
    </row>
    <row r="45" spans="1:75">
      <c r="A45" s="1487"/>
      <c r="B45" s="269" t="s">
        <v>380</v>
      </c>
      <c r="C45" s="838">
        <f t="shared" si="0"/>
        <v>34545</v>
      </c>
      <c r="D45" s="839">
        <f t="shared" si="1"/>
        <v>17073</v>
      </c>
      <c r="E45" s="839">
        <f t="shared" si="2"/>
        <v>8832</v>
      </c>
      <c r="F45" s="840">
        <f t="shared" si="3"/>
        <v>0</v>
      </c>
      <c r="G45" s="838">
        <f t="shared" si="4"/>
        <v>12357</v>
      </c>
      <c r="H45" s="839">
        <f t="shared" si="5"/>
        <v>6900</v>
      </c>
      <c r="I45" s="839">
        <f t="shared" si="6"/>
        <v>6296</v>
      </c>
      <c r="J45" s="840">
        <f t="shared" si="7"/>
        <v>0</v>
      </c>
      <c r="K45" s="838">
        <f t="shared" si="8"/>
        <v>4069</v>
      </c>
      <c r="L45" s="839">
        <f t="shared" si="9"/>
        <v>4976</v>
      </c>
      <c r="M45" s="839">
        <f t="shared" si="10"/>
        <v>6278</v>
      </c>
      <c r="N45" s="840">
        <f t="shared" si="11"/>
        <v>0</v>
      </c>
      <c r="O45" s="518">
        <v>0</v>
      </c>
      <c r="P45" s="519">
        <f t="shared" si="16"/>
        <v>0.02</v>
      </c>
      <c r="Q45" s="524">
        <f t="shared" si="13"/>
        <v>0.98</v>
      </c>
      <c r="R45" s="844">
        <f t="shared" si="14"/>
        <v>101326</v>
      </c>
      <c r="S45" s="844">
        <f t="shared" si="12"/>
        <v>0</v>
      </c>
      <c r="T45" s="844">
        <f t="shared" si="15"/>
        <v>101326</v>
      </c>
      <c r="V45" s="267" t="s">
        <v>402</v>
      </c>
      <c r="W45" s="270">
        <v>199.8</v>
      </c>
      <c r="X45" s="271">
        <v>163.9</v>
      </c>
      <c r="Y45" s="272">
        <v>168.5</v>
      </c>
      <c r="Z45" s="270">
        <v>143.9</v>
      </c>
      <c r="AA45" s="271">
        <v>121</v>
      </c>
      <c r="AB45" s="272">
        <v>117.2</v>
      </c>
      <c r="AC45" s="270">
        <v>81.5</v>
      </c>
      <c r="AD45" s="271">
        <v>62</v>
      </c>
      <c r="AE45" s="272">
        <v>52.3</v>
      </c>
      <c r="AF45" s="270">
        <v>19.2</v>
      </c>
      <c r="AG45" s="271">
        <v>19.2</v>
      </c>
      <c r="AH45" s="272">
        <v>25.3</v>
      </c>
      <c r="AI45" s="270">
        <v>19.2</v>
      </c>
      <c r="AJ45" s="271">
        <v>19.2</v>
      </c>
      <c r="AK45" s="272">
        <v>27.4</v>
      </c>
      <c r="AL45" s="270">
        <v>19.2</v>
      </c>
      <c r="AM45" s="271">
        <v>19.2</v>
      </c>
      <c r="AN45" s="272">
        <v>27.4</v>
      </c>
    </row>
    <row r="46" spans="1:75">
      <c r="A46" s="1487"/>
      <c r="B46" s="269" t="s">
        <v>381</v>
      </c>
      <c r="C46" s="838">
        <f t="shared" si="0"/>
        <v>34020</v>
      </c>
      <c r="D46" s="839">
        <f t="shared" si="1"/>
        <v>15159</v>
      </c>
      <c r="E46" s="839">
        <f t="shared" si="2"/>
        <v>5915</v>
      </c>
      <c r="F46" s="840">
        <f t="shared" si="3"/>
        <v>0</v>
      </c>
      <c r="G46" s="838">
        <f t="shared" si="4"/>
        <v>6969</v>
      </c>
      <c r="H46" s="839">
        <f t="shared" si="5"/>
        <v>3988</v>
      </c>
      <c r="I46" s="839">
        <f t="shared" si="6"/>
        <v>3338</v>
      </c>
      <c r="J46" s="840">
        <f t="shared" si="7"/>
        <v>0</v>
      </c>
      <c r="K46" s="838">
        <f t="shared" si="8"/>
        <v>4768</v>
      </c>
      <c r="L46" s="839">
        <f t="shared" si="9"/>
        <v>3043</v>
      </c>
      <c r="M46" s="839">
        <f t="shared" si="10"/>
        <v>3104</v>
      </c>
      <c r="N46" s="840">
        <f t="shared" si="11"/>
        <v>0</v>
      </c>
      <c r="O46" s="518">
        <v>0</v>
      </c>
      <c r="P46" s="519">
        <f t="shared" si="16"/>
        <v>0.02</v>
      </c>
      <c r="Q46" s="524">
        <f t="shared" si="13"/>
        <v>0.98</v>
      </c>
      <c r="R46" s="844">
        <f t="shared" si="14"/>
        <v>80304</v>
      </c>
      <c r="S46" s="844">
        <f t="shared" si="12"/>
        <v>0</v>
      </c>
      <c r="T46" s="844">
        <f t="shared" si="15"/>
        <v>80304</v>
      </c>
      <c r="V46" s="267" t="s">
        <v>403</v>
      </c>
      <c r="W46" s="270">
        <v>159.6</v>
      </c>
      <c r="X46" s="271">
        <v>163.9</v>
      </c>
      <c r="Y46" s="272">
        <v>126.4</v>
      </c>
      <c r="Z46" s="270">
        <v>118.9</v>
      </c>
      <c r="AA46" s="271">
        <v>119.7</v>
      </c>
      <c r="AB46" s="272">
        <v>90.1</v>
      </c>
      <c r="AC46" s="270">
        <v>54.5</v>
      </c>
      <c r="AD46" s="271">
        <v>59.4</v>
      </c>
      <c r="AE46" s="272">
        <v>33.1</v>
      </c>
      <c r="AF46" s="270">
        <v>19.2</v>
      </c>
      <c r="AG46" s="271">
        <v>19.2</v>
      </c>
      <c r="AH46" s="272">
        <v>25.3</v>
      </c>
      <c r="AI46" s="270">
        <v>19.2</v>
      </c>
      <c r="AJ46" s="271">
        <v>19.2</v>
      </c>
      <c r="AK46" s="272">
        <v>27.4</v>
      </c>
      <c r="AL46" s="270">
        <v>19.2</v>
      </c>
      <c r="AM46" s="271">
        <v>19.2</v>
      </c>
      <c r="AN46" s="272">
        <v>27.4</v>
      </c>
    </row>
    <row r="47" spans="1:75">
      <c r="A47" s="1487"/>
      <c r="B47" s="269" t="s">
        <v>382</v>
      </c>
      <c r="C47" s="838">
        <f t="shared" si="0"/>
        <v>21082</v>
      </c>
      <c r="D47" s="839">
        <f t="shared" si="1"/>
        <v>11645</v>
      </c>
      <c r="E47" s="839">
        <f t="shared" si="2"/>
        <v>6493</v>
      </c>
      <c r="F47" s="840">
        <f t="shared" si="3"/>
        <v>0</v>
      </c>
      <c r="G47" s="838">
        <f t="shared" si="4"/>
        <v>1846</v>
      </c>
      <c r="H47" s="839">
        <f t="shared" si="5"/>
        <v>2321</v>
      </c>
      <c r="I47" s="839">
        <f t="shared" si="6"/>
        <v>2287</v>
      </c>
      <c r="J47" s="840">
        <f t="shared" si="7"/>
        <v>0</v>
      </c>
      <c r="K47" s="838">
        <f t="shared" si="8"/>
        <v>1206</v>
      </c>
      <c r="L47" s="839">
        <f t="shared" si="9"/>
        <v>1261</v>
      </c>
      <c r="M47" s="839">
        <f t="shared" si="10"/>
        <v>1567</v>
      </c>
      <c r="N47" s="840">
        <f t="shared" si="11"/>
        <v>0</v>
      </c>
      <c r="O47" s="518">
        <v>0</v>
      </c>
      <c r="P47" s="519">
        <f t="shared" si="16"/>
        <v>0.02</v>
      </c>
      <c r="Q47" s="524">
        <f t="shared" si="13"/>
        <v>0.98</v>
      </c>
      <c r="R47" s="844">
        <f t="shared" si="14"/>
        <v>49708</v>
      </c>
      <c r="S47" s="844">
        <f t="shared" si="12"/>
        <v>0</v>
      </c>
      <c r="T47" s="844">
        <f t="shared" si="15"/>
        <v>49708</v>
      </c>
      <c r="V47" s="267" t="s">
        <v>408</v>
      </c>
      <c r="W47" s="270">
        <v>199.4</v>
      </c>
      <c r="X47" s="271">
        <v>137.1</v>
      </c>
      <c r="Y47" s="272">
        <v>106.4</v>
      </c>
      <c r="Z47" s="270">
        <v>142.69999999999999</v>
      </c>
      <c r="AA47" s="271">
        <v>112</v>
      </c>
      <c r="AB47" s="272">
        <v>90.2</v>
      </c>
      <c r="AC47" s="270">
        <v>81.8</v>
      </c>
      <c r="AD47" s="271">
        <v>54.3</v>
      </c>
      <c r="AE47" s="272">
        <v>34.6</v>
      </c>
      <c r="AF47" s="270">
        <v>19.2</v>
      </c>
      <c r="AG47" s="271">
        <v>19.2</v>
      </c>
      <c r="AH47" s="272">
        <v>25.3</v>
      </c>
      <c r="AI47" s="270">
        <v>19.2</v>
      </c>
      <c r="AJ47" s="271">
        <v>19.2</v>
      </c>
      <c r="AK47" s="272">
        <v>27.4</v>
      </c>
      <c r="AL47" s="270">
        <v>19.2</v>
      </c>
      <c r="AM47" s="271">
        <v>19.2</v>
      </c>
      <c r="AN47" s="272">
        <v>27.4</v>
      </c>
    </row>
    <row r="48" spans="1:75">
      <c r="A48" s="1487"/>
      <c r="B48" s="269" t="s">
        <v>383</v>
      </c>
      <c r="C48" s="838">
        <f t="shared" si="0"/>
        <v>23416</v>
      </c>
      <c r="D48" s="839">
        <f t="shared" si="1"/>
        <v>13756</v>
      </c>
      <c r="E48" s="839">
        <f t="shared" si="2"/>
        <v>8245</v>
      </c>
      <c r="F48" s="840">
        <f t="shared" si="3"/>
        <v>0</v>
      </c>
      <c r="G48" s="838">
        <f t="shared" si="4"/>
        <v>7524</v>
      </c>
      <c r="H48" s="839">
        <f t="shared" si="5"/>
        <v>4435</v>
      </c>
      <c r="I48" s="839">
        <f t="shared" si="6"/>
        <v>4672</v>
      </c>
      <c r="J48" s="840">
        <f t="shared" si="7"/>
        <v>0</v>
      </c>
      <c r="K48" s="838">
        <f t="shared" si="8"/>
        <v>4954</v>
      </c>
      <c r="L48" s="839">
        <f t="shared" si="9"/>
        <v>3767</v>
      </c>
      <c r="M48" s="839">
        <f t="shared" si="10"/>
        <v>4828</v>
      </c>
      <c r="N48" s="840">
        <f t="shared" si="11"/>
        <v>0</v>
      </c>
      <c r="O48" s="518">
        <v>0</v>
      </c>
      <c r="P48" s="519">
        <f t="shared" si="16"/>
        <v>0.02</v>
      </c>
      <c r="Q48" s="524">
        <f t="shared" si="13"/>
        <v>0.98</v>
      </c>
      <c r="R48" s="844">
        <f t="shared" si="14"/>
        <v>75597</v>
      </c>
      <c r="S48" s="844">
        <f t="shared" si="12"/>
        <v>0</v>
      </c>
      <c r="T48" s="844">
        <f t="shared" si="15"/>
        <v>75597</v>
      </c>
      <c r="V48" s="267" t="s">
        <v>409</v>
      </c>
      <c r="W48" s="270">
        <v>137.1</v>
      </c>
      <c r="X48" s="271">
        <v>140.30000000000001</v>
      </c>
      <c r="Y48" s="272">
        <v>112.2</v>
      </c>
      <c r="Z48" s="270">
        <v>115.5</v>
      </c>
      <c r="AA48" s="271">
        <v>111.6</v>
      </c>
      <c r="AB48" s="272">
        <v>89.5</v>
      </c>
      <c r="AC48" s="271">
        <v>63.5</v>
      </c>
      <c r="AD48" s="271">
        <v>59.2</v>
      </c>
      <c r="AE48" s="272">
        <v>34</v>
      </c>
      <c r="AF48" s="270">
        <v>19.2</v>
      </c>
      <c r="AG48" s="271">
        <v>19.2</v>
      </c>
      <c r="AH48" s="272">
        <v>25.3</v>
      </c>
      <c r="AI48" s="270">
        <v>19.2</v>
      </c>
      <c r="AJ48" s="271">
        <v>19.2</v>
      </c>
      <c r="AK48" s="272">
        <v>27.4</v>
      </c>
      <c r="AL48" s="270">
        <v>19.2</v>
      </c>
      <c r="AM48" s="271">
        <v>19.2</v>
      </c>
      <c r="AN48" s="272">
        <v>27.4</v>
      </c>
    </row>
    <row r="49" spans="1:40">
      <c r="A49" s="1487"/>
      <c r="B49" s="269" t="s">
        <v>384</v>
      </c>
      <c r="C49" s="838">
        <f t="shared" si="0"/>
        <v>48700</v>
      </c>
      <c r="D49" s="839">
        <f t="shared" si="1"/>
        <v>40547</v>
      </c>
      <c r="E49" s="839">
        <f t="shared" si="2"/>
        <v>22996</v>
      </c>
      <c r="F49" s="840">
        <f t="shared" si="3"/>
        <v>0</v>
      </c>
      <c r="G49" s="838">
        <f t="shared" si="4"/>
        <v>21658</v>
      </c>
      <c r="H49" s="839">
        <f t="shared" si="5"/>
        <v>9936</v>
      </c>
      <c r="I49" s="839">
        <f t="shared" si="6"/>
        <v>11135</v>
      </c>
      <c r="J49" s="840">
        <f t="shared" si="7"/>
        <v>0</v>
      </c>
      <c r="K49" s="838">
        <f t="shared" si="8"/>
        <v>5107</v>
      </c>
      <c r="L49" s="839">
        <f t="shared" si="9"/>
        <v>8734</v>
      </c>
      <c r="M49" s="839">
        <f t="shared" si="10"/>
        <v>15066</v>
      </c>
      <c r="N49" s="840">
        <f t="shared" si="11"/>
        <v>0</v>
      </c>
      <c r="O49" s="520">
        <f>$S$37</f>
        <v>0.02</v>
      </c>
      <c r="P49" s="521">
        <v>0</v>
      </c>
      <c r="Q49" s="524">
        <f t="shared" si="13"/>
        <v>0.98</v>
      </c>
      <c r="R49" s="844">
        <f t="shared" si="14"/>
        <v>183879</v>
      </c>
      <c r="S49" s="844">
        <f t="shared" si="12"/>
        <v>0</v>
      </c>
      <c r="T49" s="844">
        <f t="shared" si="15"/>
        <v>183879</v>
      </c>
      <c r="V49" s="276" t="s">
        <v>372</v>
      </c>
      <c r="W49" s="270">
        <v>40.5</v>
      </c>
      <c r="X49" s="271">
        <v>82.9</v>
      </c>
      <c r="Y49" s="272">
        <v>45.3</v>
      </c>
      <c r="Z49" s="270">
        <v>55</v>
      </c>
      <c r="AA49" s="271">
        <v>72.8</v>
      </c>
      <c r="AB49" s="272">
        <v>64.8</v>
      </c>
      <c r="AC49" s="270">
        <v>34.6</v>
      </c>
      <c r="AD49" s="271">
        <v>52</v>
      </c>
      <c r="AE49" s="272">
        <v>35.4</v>
      </c>
      <c r="AF49" s="270">
        <v>19.2</v>
      </c>
      <c r="AG49" s="271">
        <v>19.2</v>
      </c>
      <c r="AH49" s="272">
        <v>25.3</v>
      </c>
      <c r="AI49" s="270">
        <v>19.2</v>
      </c>
      <c r="AJ49" s="271">
        <v>19.2</v>
      </c>
      <c r="AK49" s="272">
        <v>27.4</v>
      </c>
      <c r="AL49" s="270">
        <v>19.2</v>
      </c>
      <c r="AM49" s="271">
        <v>19.2</v>
      </c>
      <c r="AN49" s="272">
        <v>27.4</v>
      </c>
    </row>
    <row r="50" spans="1:40" ht="15" thickBot="1">
      <c r="A50" s="1487"/>
      <c r="B50" s="269" t="s">
        <v>385</v>
      </c>
      <c r="C50" s="838">
        <f t="shared" si="0"/>
        <v>53030</v>
      </c>
      <c r="D50" s="839">
        <f t="shared" si="1"/>
        <v>36876</v>
      </c>
      <c r="E50" s="839">
        <f t="shared" si="2"/>
        <v>20905</v>
      </c>
      <c r="F50" s="840">
        <f t="shared" si="3"/>
        <v>0</v>
      </c>
      <c r="G50" s="838">
        <f t="shared" si="4"/>
        <v>18778</v>
      </c>
      <c r="H50" s="839">
        <f t="shared" si="5"/>
        <v>15442</v>
      </c>
      <c r="I50" s="839">
        <f t="shared" si="6"/>
        <v>13460</v>
      </c>
      <c r="J50" s="840">
        <f t="shared" si="7"/>
        <v>0</v>
      </c>
      <c r="K50" s="838">
        <f t="shared" si="8"/>
        <v>36545</v>
      </c>
      <c r="L50" s="839">
        <f t="shared" si="9"/>
        <v>14765</v>
      </c>
      <c r="M50" s="839">
        <f t="shared" si="10"/>
        <v>11992</v>
      </c>
      <c r="N50" s="840">
        <f t="shared" si="11"/>
        <v>0</v>
      </c>
      <c r="O50" s="520">
        <f>$S$37</f>
        <v>0.02</v>
      </c>
      <c r="P50" s="521">
        <v>0</v>
      </c>
      <c r="Q50" s="524">
        <f t="shared" si="13"/>
        <v>0.98</v>
      </c>
      <c r="R50" s="844">
        <f t="shared" si="14"/>
        <v>221793</v>
      </c>
      <c r="S50" s="844">
        <f t="shared" si="12"/>
        <v>0</v>
      </c>
      <c r="T50" s="844">
        <f t="shared" si="15"/>
        <v>221793</v>
      </c>
      <c r="V50" s="267" t="s">
        <v>407</v>
      </c>
      <c r="W50" s="277">
        <v>55.8</v>
      </c>
      <c r="X50" s="278">
        <v>57.9</v>
      </c>
      <c r="Y50" s="279">
        <v>52.5</v>
      </c>
      <c r="Z50" s="277">
        <v>25.3</v>
      </c>
      <c r="AA50" s="278">
        <v>26.4</v>
      </c>
      <c r="AB50" s="279">
        <v>17.2</v>
      </c>
      <c r="AC50" s="277">
        <v>27.8</v>
      </c>
      <c r="AD50" s="278">
        <v>28.9</v>
      </c>
      <c r="AE50" s="279">
        <v>17.2</v>
      </c>
      <c r="AF50" s="277">
        <v>19.2</v>
      </c>
      <c r="AG50" s="278">
        <v>19.2</v>
      </c>
      <c r="AH50" s="279">
        <v>22.4</v>
      </c>
      <c r="AI50" s="277">
        <v>19.2</v>
      </c>
      <c r="AJ50" s="278">
        <v>19.2</v>
      </c>
      <c r="AK50" s="279">
        <v>22.4</v>
      </c>
      <c r="AL50" s="277">
        <v>19.2</v>
      </c>
      <c r="AM50" s="278">
        <v>19.2</v>
      </c>
      <c r="AN50" s="279">
        <v>22.4</v>
      </c>
    </row>
    <row r="51" spans="1:40">
      <c r="A51" s="1487"/>
      <c r="B51" s="269" t="s">
        <v>386</v>
      </c>
      <c r="C51" s="838">
        <f t="shared" si="0"/>
        <v>20227</v>
      </c>
      <c r="D51" s="839">
        <f t="shared" si="1"/>
        <v>13008</v>
      </c>
      <c r="E51" s="839">
        <f t="shared" si="2"/>
        <v>6413</v>
      </c>
      <c r="F51" s="840">
        <f t="shared" si="3"/>
        <v>0</v>
      </c>
      <c r="G51" s="838">
        <f t="shared" si="4"/>
        <v>3235</v>
      </c>
      <c r="H51" s="839">
        <f t="shared" si="5"/>
        <v>2498</v>
      </c>
      <c r="I51" s="839">
        <f t="shared" si="6"/>
        <v>2884</v>
      </c>
      <c r="J51" s="840">
        <f t="shared" si="7"/>
        <v>0</v>
      </c>
      <c r="K51" s="838">
        <f t="shared" si="8"/>
        <v>1019</v>
      </c>
      <c r="L51" s="839">
        <f t="shared" si="9"/>
        <v>641</v>
      </c>
      <c r="M51" s="839">
        <f t="shared" si="10"/>
        <v>1661</v>
      </c>
      <c r="N51" s="840">
        <f t="shared" si="11"/>
        <v>0</v>
      </c>
      <c r="O51" s="518">
        <v>0</v>
      </c>
      <c r="P51" s="519">
        <f>$S$37</f>
        <v>0.02</v>
      </c>
      <c r="Q51" s="524">
        <f t="shared" si="13"/>
        <v>0.98</v>
      </c>
      <c r="R51" s="844">
        <f t="shared" si="14"/>
        <v>51586</v>
      </c>
      <c r="S51" s="844">
        <f t="shared" si="12"/>
        <v>0</v>
      </c>
      <c r="T51" s="844">
        <f t="shared" si="15"/>
        <v>51586</v>
      </c>
      <c r="W51" s="1552" t="s">
        <v>410</v>
      </c>
      <c r="X51" s="1552"/>
      <c r="Y51" s="1552"/>
      <c r="Z51" s="1552"/>
      <c r="AA51" s="1552"/>
      <c r="AB51" s="1552"/>
      <c r="AC51" s="280">
        <v>0.1</v>
      </c>
      <c r="AD51" s="274"/>
      <c r="AE51" s="274"/>
      <c r="AF51" s="274"/>
      <c r="AG51" s="274"/>
      <c r="AH51" s="274"/>
      <c r="AI51" s="274"/>
    </row>
    <row r="52" spans="1:40">
      <c r="A52" s="1487" t="s">
        <v>1023</v>
      </c>
      <c r="B52" s="269" t="s">
        <v>387</v>
      </c>
      <c r="C52" s="838">
        <f t="shared" si="0"/>
        <v>39426</v>
      </c>
      <c r="D52" s="839">
        <f t="shared" si="1"/>
        <v>26255</v>
      </c>
      <c r="E52" s="839">
        <f t="shared" si="2"/>
        <v>10947</v>
      </c>
      <c r="F52" s="840">
        <f t="shared" si="3"/>
        <v>0</v>
      </c>
      <c r="G52" s="838">
        <f t="shared" si="4"/>
        <v>13007</v>
      </c>
      <c r="H52" s="839">
        <f t="shared" si="5"/>
        <v>5426</v>
      </c>
      <c r="I52" s="839">
        <f t="shared" si="6"/>
        <v>8267</v>
      </c>
      <c r="J52" s="840">
        <f t="shared" si="7"/>
        <v>0</v>
      </c>
      <c r="K52" s="838">
        <f t="shared" si="8"/>
        <v>4956</v>
      </c>
      <c r="L52" s="839">
        <f t="shared" si="9"/>
        <v>3870</v>
      </c>
      <c r="M52" s="839">
        <f t="shared" si="10"/>
        <v>3933</v>
      </c>
      <c r="N52" s="840">
        <f t="shared" si="11"/>
        <v>0</v>
      </c>
      <c r="O52" s="518">
        <v>0</v>
      </c>
      <c r="P52" s="519">
        <f>$S$37</f>
        <v>0.02</v>
      </c>
      <c r="Q52" s="524">
        <f t="shared" si="13"/>
        <v>0.98</v>
      </c>
      <c r="R52" s="844">
        <f t="shared" si="14"/>
        <v>116087</v>
      </c>
      <c r="S52" s="844">
        <f t="shared" si="12"/>
        <v>0</v>
      </c>
      <c r="T52" s="844">
        <f t="shared" si="15"/>
        <v>116087</v>
      </c>
      <c r="AD52" s="274"/>
      <c r="AE52" s="274"/>
      <c r="AF52" s="274"/>
      <c r="AG52" s="274"/>
      <c r="AH52" s="274"/>
      <c r="AI52" s="274"/>
    </row>
    <row r="53" spans="1:40" ht="15" thickBot="1">
      <c r="A53" s="1488"/>
      <c r="B53" s="269" t="s">
        <v>388</v>
      </c>
      <c r="C53" s="838">
        <f t="shared" si="0"/>
        <v>31222</v>
      </c>
      <c r="D53" s="839">
        <f t="shared" si="1"/>
        <v>23631</v>
      </c>
      <c r="E53" s="839">
        <f t="shared" si="2"/>
        <v>10038</v>
      </c>
      <c r="F53" s="840">
        <f t="shared" si="3"/>
        <v>0</v>
      </c>
      <c r="G53" s="838">
        <f t="shared" si="4"/>
        <v>18450</v>
      </c>
      <c r="H53" s="839">
        <f t="shared" si="5"/>
        <v>8808</v>
      </c>
      <c r="I53" s="839">
        <f t="shared" si="6"/>
        <v>7493</v>
      </c>
      <c r="J53" s="840">
        <f t="shared" si="7"/>
        <v>0</v>
      </c>
      <c r="K53" s="838">
        <f t="shared" si="8"/>
        <v>20358</v>
      </c>
      <c r="L53" s="839">
        <f t="shared" si="9"/>
        <v>9721</v>
      </c>
      <c r="M53" s="839">
        <f t="shared" si="10"/>
        <v>12730</v>
      </c>
      <c r="N53" s="840">
        <f t="shared" si="11"/>
        <v>0</v>
      </c>
      <c r="O53" s="518">
        <v>0</v>
      </c>
      <c r="P53" s="519">
        <f>$S$37</f>
        <v>0.02</v>
      </c>
      <c r="Q53" s="524">
        <f t="shared" si="13"/>
        <v>0.98</v>
      </c>
      <c r="R53" s="844">
        <f t="shared" si="14"/>
        <v>142451</v>
      </c>
      <c r="S53" s="844">
        <f t="shared" si="12"/>
        <v>0</v>
      </c>
      <c r="T53" s="844">
        <f t="shared" si="15"/>
        <v>142451</v>
      </c>
      <c r="W53" s="1579" t="s">
        <v>909</v>
      </c>
      <c r="X53" s="1579"/>
      <c r="Y53" s="1579"/>
      <c r="Z53" s="1579"/>
      <c r="AA53" s="1579"/>
      <c r="AB53" s="1579"/>
      <c r="AC53" s="1579"/>
      <c r="AD53" s="1579"/>
      <c r="AE53" s="1579"/>
      <c r="AF53" s="1579"/>
      <c r="AG53" s="1579"/>
      <c r="AH53" s="1579"/>
      <c r="AI53" s="1579"/>
      <c r="AJ53" s="1579"/>
      <c r="AK53" s="1579"/>
      <c r="AL53" s="1579"/>
      <c r="AM53" s="1579"/>
      <c r="AN53" s="1579"/>
    </row>
    <row r="54" spans="1:40">
      <c r="A54" s="1488"/>
      <c r="B54" s="269" t="s">
        <v>389</v>
      </c>
      <c r="C54" s="838">
        <f t="shared" si="0"/>
        <v>22434</v>
      </c>
      <c r="D54" s="839">
        <f t="shared" si="1"/>
        <v>15633</v>
      </c>
      <c r="E54" s="839">
        <f t="shared" si="2"/>
        <v>5385</v>
      </c>
      <c r="F54" s="840">
        <f t="shared" si="3"/>
        <v>0</v>
      </c>
      <c r="G54" s="838">
        <f t="shared" si="4"/>
        <v>4666</v>
      </c>
      <c r="H54" s="839">
        <f t="shared" si="5"/>
        <v>3264</v>
      </c>
      <c r="I54" s="839">
        <f t="shared" si="6"/>
        <v>2760</v>
      </c>
      <c r="J54" s="840">
        <f t="shared" si="7"/>
        <v>0</v>
      </c>
      <c r="K54" s="838">
        <f t="shared" si="8"/>
        <v>1295</v>
      </c>
      <c r="L54" s="839">
        <f t="shared" si="9"/>
        <v>870</v>
      </c>
      <c r="M54" s="839">
        <f t="shared" si="10"/>
        <v>3924</v>
      </c>
      <c r="N54" s="840">
        <f t="shared" si="11"/>
        <v>0</v>
      </c>
      <c r="O54" s="520">
        <f>S37</f>
        <v>0.02</v>
      </c>
      <c r="P54" s="521">
        <v>0</v>
      </c>
      <c r="Q54" s="524">
        <f t="shared" si="13"/>
        <v>0.98</v>
      </c>
      <c r="R54" s="844">
        <f t="shared" si="14"/>
        <v>60231</v>
      </c>
      <c r="S54" s="844">
        <f t="shared" si="12"/>
        <v>0</v>
      </c>
      <c r="T54" s="844">
        <f t="shared" si="15"/>
        <v>60231</v>
      </c>
      <c r="W54" s="1570" t="s">
        <v>459</v>
      </c>
      <c r="X54" s="1565"/>
      <c r="Y54" s="1578"/>
      <c r="Z54" s="1570" t="s">
        <v>457</v>
      </c>
      <c r="AA54" s="1565"/>
      <c r="AB54" s="1578"/>
      <c r="AC54" s="1570" t="s">
        <v>458</v>
      </c>
      <c r="AD54" s="1565"/>
      <c r="AE54" s="1578"/>
      <c r="AF54" s="1564" t="s">
        <v>398</v>
      </c>
      <c r="AG54" s="1565"/>
      <c r="AH54" s="1578"/>
      <c r="AI54" s="1564" t="s">
        <v>399</v>
      </c>
      <c r="AJ54" s="1565"/>
      <c r="AK54" s="1578"/>
      <c r="AL54" s="1564" t="s">
        <v>400</v>
      </c>
      <c r="AM54" s="1565"/>
      <c r="AN54" s="1578"/>
    </row>
    <row r="55" spans="1:40">
      <c r="A55" s="1488"/>
      <c r="B55" s="269" t="s">
        <v>390</v>
      </c>
      <c r="C55" s="838">
        <f t="shared" si="0"/>
        <v>42955</v>
      </c>
      <c r="D55" s="839">
        <f t="shared" si="1"/>
        <v>27407</v>
      </c>
      <c r="E55" s="839">
        <f t="shared" si="2"/>
        <v>9387</v>
      </c>
      <c r="F55" s="840">
        <f t="shared" si="3"/>
        <v>0</v>
      </c>
      <c r="G55" s="838">
        <f t="shared" si="4"/>
        <v>12689</v>
      </c>
      <c r="H55" s="839">
        <f t="shared" si="5"/>
        <v>5657</v>
      </c>
      <c r="I55" s="839">
        <f t="shared" si="6"/>
        <v>5180</v>
      </c>
      <c r="J55" s="840">
        <f t="shared" si="7"/>
        <v>0</v>
      </c>
      <c r="K55" s="838">
        <f t="shared" si="8"/>
        <v>4735</v>
      </c>
      <c r="L55" s="839">
        <f t="shared" si="9"/>
        <v>2821</v>
      </c>
      <c r="M55" s="839">
        <f t="shared" si="10"/>
        <v>6302</v>
      </c>
      <c r="N55" s="840">
        <f t="shared" si="11"/>
        <v>0</v>
      </c>
      <c r="O55" s="518">
        <v>0</v>
      </c>
      <c r="P55" s="519">
        <f>$S$37</f>
        <v>0.02</v>
      </c>
      <c r="Q55" s="524">
        <f t="shared" si="13"/>
        <v>0.98</v>
      </c>
      <c r="R55" s="844">
        <f t="shared" si="14"/>
        <v>117133</v>
      </c>
      <c r="S55" s="844">
        <f t="shared" si="12"/>
        <v>0</v>
      </c>
      <c r="T55" s="844">
        <f t="shared" si="15"/>
        <v>117133</v>
      </c>
      <c r="W55" s="273" t="s">
        <v>345</v>
      </c>
      <c r="X55" s="274" t="s">
        <v>347</v>
      </c>
      <c r="Y55" s="275" t="s">
        <v>350</v>
      </c>
      <c r="Z55" s="273" t="s">
        <v>345</v>
      </c>
      <c r="AA55" s="274" t="s">
        <v>347</v>
      </c>
      <c r="AB55" s="275" t="s">
        <v>350</v>
      </c>
      <c r="AC55" s="273" t="s">
        <v>345</v>
      </c>
      <c r="AD55" s="274" t="s">
        <v>347</v>
      </c>
      <c r="AE55" s="275" t="s">
        <v>350</v>
      </c>
      <c r="AF55" s="273" t="s">
        <v>345</v>
      </c>
      <c r="AG55" s="274" t="s">
        <v>347</v>
      </c>
      <c r="AH55" s="275" t="s">
        <v>350</v>
      </c>
      <c r="AI55" s="273" t="s">
        <v>345</v>
      </c>
      <c r="AJ55" s="274" t="s">
        <v>347</v>
      </c>
      <c r="AK55" s="275" t="s">
        <v>350</v>
      </c>
      <c r="AL55" s="273" t="s">
        <v>345</v>
      </c>
      <c r="AM55" s="274" t="s">
        <v>347</v>
      </c>
      <c r="AN55" s="275" t="s">
        <v>350</v>
      </c>
    </row>
    <row r="56" spans="1:40">
      <c r="A56" s="1488"/>
      <c r="B56" s="269" t="s">
        <v>391</v>
      </c>
      <c r="C56" s="838">
        <f t="shared" si="0"/>
        <v>24073</v>
      </c>
      <c r="D56" s="839">
        <f t="shared" si="1"/>
        <v>20149</v>
      </c>
      <c r="E56" s="839">
        <f t="shared" si="2"/>
        <v>7496</v>
      </c>
      <c r="F56" s="840">
        <f t="shared" si="3"/>
        <v>0</v>
      </c>
      <c r="G56" s="838">
        <f t="shared" si="4"/>
        <v>6358</v>
      </c>
      <c r="H56" s="839">
        <f t="shared" si="5"/>
        <v>5837</v>
      </c>
      <c r="I56" s="839">
        <f t="shared" si="6"/>
        <v>3521</v>
      </c>
      <c r="J56" s="840">
        <f t="shared" si="7"/>
        <v>0</v>
      </c>
      <c r="K56" s="838">
        <f t="shared" si="8"/>
        <v>2092</v>
      </c>
      <c r="L56" s="839">
        <f t="shared" si="9"/>
        <v>3591</v>
      </c>
      <c r="M56" s="839">
        <f t="shared" si="10"/>
        <v>6104</v>
      </c>
      <c r="N56" s="840">
        <f t="shared" si="11"/>
        <v>0</v>
      </c>
      <c r="O56" s="518">
        <v>0</v>
      </c>
      <c r="P56" s="519">
        <f>$S$37</f>
        <v>0.02</v>
      </c>
      <c r="Q56" s="524">
        <f t="shared" si="13"/>
        <v>0.98</v>
      </c>
      <c r="R56" s="844">
        <f t="shared" si="14"/>
        <v>79221</v>
      </c>
      <c r="S56" s="844">
        <f t="shared" si="12"/>
        <v>0</v>
      </c>
      <c r="T56" s="844">
        <f t="shared" si="15"/>
        <v>79221</v>
      </c>
      <c r="V56" s="266" t="s">
        <v>401</v>
      </c>
      <c r="W56" s="273">
        <f>W44*(1-$AC$51)+AF56</f>
        <v>200.01</v>
      </c>
      <c r="X56" s="274">
        <f t="shared" ref="X56:Y56" si="17">X44*(1-$AC$51)+AG56</f>
        <v>241.5</v>
      </c>
      <c r="Y56" s="275">
        <f t="shared" si="17"/>
        <v>165.61</v>
      </c>
      <c r="Z56" s="273">
        <f t="shared" ref="Z56:AE56" si="18">Z44*(1-$AC$51)+AI56</f>
        <v>140.16</v>
      </c>
      <c r="AA56" s="274">
        <f t="shared" si="18"/>
        <v>145.02000000000001</v>
      </c>
      <c r="AB56" s="275">
        <f t="shared" si="18"/>
        <v>120.46000000000001</v>
      </c>
      <c r="AC56" s="273">
        <f t="shared" si="18"/>
        <v>70.95</v>
      </c>
      <c r="AD56" s="274">
        <f t="shared" si="18"/>
        <v>69.599999999999994</v>
      </c>
      <c r="AE56" s="275">
        <f t="shared" si="18"/>
        <v>63.04</v>
      </c>
      <c r="AF56" s="273">
        <f>AF44</f>
        <v>19.2</v>
      </c>
      <c r="AG56" s="274">
        <f t="shared" ref="AG56:AN56" si="19">AG44</f>
        <v>19.2</v>
      </c>
      <c r="AH56" s="275">
        <f t="shared" si="19"/>
        <v>25.3</v>
      </c>
      <c r="AI56" s="273">
        <f t="shared" si="19"/>
        <v>19.2</v>
      </c>
      <c r="AJ56" s="274">
        <f t="shared" si="19"/>
        <v>19.2</v>
      </c>
      <c r="AK56" s="275">
        <f t="shared" si="19"/>
        <v>27.4</v>
      </c>
      <c r="AL56" s="273">
        <f t="shared" si="19"/>
        <v>19.2</v>
      </c>
      <c r="AM56" s="274">
        <f t="shared" si="19"/>
        <v>19.2</v>
      </c>
      <c r="AN56" s="275">
        <f t="shared" si="19"/>
        <v>27.4</v>
      </c>
    </row>
    <row r="57" spans="1:40" ht="15" thickBot="1">
      <c r="A57" s="1488"/>
      <c r="B57" s="269" t="s">
        <v>392</v>
      </c>
      <c r="C57" s="841">
        <f t="shared" si="0"/>
        <v>12100</v>
      </c>
      <c r="D57" s="842">
        <f t="shared" si="1"/>
        <v>8314</v>
      </c>
      <c r="E57" s="842">
        <f t="shared" si="2"/>
        <v>3661</v>
      </c>
      <c r="F57" s="843">
        <f t="shared" si="3"/>
        <v>0</v>
      </c>
      <c r="G57" s="841">
        <f t="shared" si="4"/>
        <v>4663</v>
      </c>
      <c r="H57" s="842">
        <f t="shared" si="5"/>
        <v>2391</v>
      </c>
      <c r="I57" s="842">
        <f t="shared" si="6"/>
        <v>1545</v>
      </c>
      <c r="J57" s="843">
        <f t="shared" si="7"/>
        <v>0</v>
      </c>
      <c r="K57" s="841">
        <f t="shared" si="8"/>
        <v>1400</v>
      </c>
      <c r="L57" s="842">
        <f t="shared" si="9"/>
        <v>796</v>
      </c>
      <c r="M57" s="842">
        <f t="shared" si="10"/>
        <v>1501</v>
      </c>
      <c r="N57" s="843">
        <f t="shared" si="11"/>
        <v>0</v>
      </c>
      <c r="O57" s="522">
        <v>0</v>
      </c>
      <c r="P57" s="519">
        <f>$S$37</f>
        <v>0.02</v>
      </c>
      <c r="Q57" s="525">
        <f t="shared" si="13"/>
        <v>0.98</v>
      </c>
      <c r="R57" s="844">
        <f t="shared" si="14"/>
        <v>36371</v>
      </c>
      <c r="S57" s="844">
        <f t="shared" si="12"/>
        <v>0</v>
      </c>
      <c r="T57" s="844">
        <f t="shared" si="15"/>
        <v>36371</v>
      </c>
      <c r="V57" s="266" t="s">
        <v>402</v>
      </c>
      <c r="W57" s="273">
        <f t="shared" ref="W57:W62" si="20">W45*(1-$AC$51)+AF57</f>
        <v>199.02</v>
      </c>
      <c r="X57" s="274">
        <f t="shared" ref="X57:X62" si="21">X45*(1-$AC$51)+AG57</f>
        <v>166.71</v>
      </c>
      <c r="Y57" s="275">
        <f t="shared" ref="Y57:Y62" si="22">Y45*(1-$AC$51)+AH57</f>
        <v>176.95000000000002</v>
      </c>
      <c r="Z57" s="273">
        <f t="shared" ref="Z57:AE57" si="23">Z45*(1-$AC$51)+AI57</f>
        <v>148.71</v>
      </c>
      <c r="AA57" s="274">
        <f t="shared" si="23"/>
        <v>128.1</v>
      </c>
      <c r="AB57" s="275">
        <f t="shared" si="23"/>
        <v>132.88</v>
      </c>
      <c r="AC57" s="273">
        <f t="shared" si="23"/>
        <v>92.550000000000011</v>
      </c>
      <c r="AD57" s="274">
        <f t="shared" si="23"/>
        <v>75</v>
      </c>
      <c r="AE57" s="275">
        <f t="shared" si="23"/>
        <v>74.47</v>
      </c>
      <c r="AF57" s="273">
        <f t="shared" ref="AF57:AN62" si="24">AF45</f>
        <v>19.2</v>
      </c>
      <c r="AG57" s="274">
        <f t="shared" si="24"/>
        <v>19.2</v>
      </c>
      <c r="AH57" s="275">
        <f t="shared" si="24"/>
        <v>25.3</v>
      </c>
      <c r="AI57" s="273">
        <f t="shared" si="24"/>
        <v>19.2</v>
      </c>
      <c r="AJ57" s="274">
        <f t="shared" si="24"/>
        <v>19.2</v>
      </c>
      <c r="AK57" s="275">
        <f t="shared" si="24"/>
        <v>27.4</v>
      </c>
      <c r="AL57" s="273">
        <f t="shared" si="24"/>
        <v>19.2</v>
      </c>
      <c r="AM57" s="274">
        <f t="shared" si="24"/>
        <v>19.2</v>
      </c>
      <c r="AN57" s="275">
        <f t="shared" si="24"/>
        <v>27.4</v>
      </c>
    </row>
    <row r="58" spans="1:40">
      <c r="A58" s="288"/>
      <c r="B58" s="269"/>
      <c r="C58" s="839"/>
      <c r="D58" s="839"/>
      <c r="E58" s="839"/>
      <c r="F58" s="839"/>
      <c r="G58" s="839"/>
      <c r="H58" s="839"/>
      <c r="I58" s="839"/>
      <c r="J58" s="839"/>
      <c r="K58" s="839"/>
      <c r="L58" s="839"/>
      <c r="M58" s="839"/>
      <c r="N58" s="839">
        <f>SUM(C39:N57)</f>
        <v>2262219</v>
      </c>
      <c r="O58" s="536">
        <f>S119</f>
        <v>7.2691217461396751E-3</v>
      </c>
      <c r="P58" s="536">
        <f>T119</f>
        <v>1.2730878253860326E-2</v>
      </c>
      <c r="V58" s="266" t="s">
        <v>403</v>
      </c>
      <c r="W58" s="273">
        <f t="shared" si="20"/>
        <v>162.83999999999997</v>
      </c>
      <c r="X58" s="274">
        <f t="shared" si="21"/>
        <v>166.71</v>
      </c>
      <c r="Y58" s="275">
        <f t="shared" si="22"/>
        <v>139.06</v>
      </c>
      <c r="Z58" s="273">
        <f t="shared" ref="Z58:AE58" si="25">Z46*(1-$AC$51)+AI58</f>
        <v>126.21000000000001</v>
      </c>
      <c r="AA58" s="274">
        <f t="shared" si="25"/>
        <v>126.93</v>
      </c>
      <c r="AB58" s="275">
        <f t="shared" si="25"/>
        <v>108.49000000000001</v>
      </c>
      <c r="AC58" s="273">
        <f t="shared" si="25"/>
        <v>68.25</v>
      </c>
      <c r="AD58" s="274">
        <f t="shared" si="25"/>
        <v>72.66</v>
      </c>
      <c r="AE58" s="275">
        <f t="shared" si="25"/>
        <v>57.19</v>
      </c>
      <c r="AF58" s="273">
        <f t="shared" si="24"/>
        <v>19.2</v>
      </c>
      <c r="AG58" s="274">
        <f t="shared" si="24"/>
        <v>19.2</v>
      </c>
      <c r="AH58" s="275">
        <f t="shared" si="24"/>
        <v>25.3</v>
      </c>
      <c r="AI58" s="273">
        <f t="shared" si="24"/>
        <v>19.2</v>
      </c>
      <c r="AJ58" s="274">
        <f t="shared" si="24"/>
        <v>19.2</v>
      </c>
      <c r="AK58" s="275">
        <f t="shared" si="24"/>
        <v>27.4</v>
      </c>
      <c r="AL58" s="273">
        <f t="shared" si="24"/>
        <v>19.2</v>
      </c>
      <c r="AM58" s="274">
        <f t="shared" si="24"/>
        <v>19.2</v>
      </c>
      <c r="AN58" s="275">
        <f t="shared" si="24"/>
        <v>27.4</v>
      </c>
    </row>
    <row r="59" spans="1:40">
      <c r="O59" s="536">
        <f>S121</f>
        <v>2.2799776704969911E-3</v>
      </c>
      <c r="P59" s="536">
        <f>T121</f>
        <v>1.772002232950301E-2</v>
      </c>
      <c r="V59" s="266" t="s">
        <v>408</v>
      </c>
      <c r="W59" s="273">
        <f t="shared" si="20"/>
        <v>198.66</v>
      </c>
      <c r="X59" s="274">
        <f t="shared" si="21"/>
        <v>142.59</v>
      </c>
      <c r="Y59" s="275">
        <f t="shared" si="22"/>
        <v>121.06</v>
      </c>
      <c r="Z59" s="273">
        <f t="shared" ref="Z59:AE59" si="26">Z47*(1-$AC$51)+AI59</f>
        <v>147.63</v>
      </c>
      <c r="AA59" s="274">
        <f t="shared" si="26"/>
        <v>120</v>
      </c>
      <c r="AB59" s="275">
        <f t="shared" si="26"/>
        <v>108.58000000000001</v>
      </c>
      <c r="AC59" s="273">
        <f t="shared" si="26"/>
        <v>92.820000000000007</v>
      </c>
      <c r="AD59" s="274">
        <f t="shared" si="26"/>
        <v>68.069999999999993</v>
      </c>
      <c r="AE59" s="275">
        <f t="shared" si="26"/>
        <v>58.54</v>
      </c>
      <c r="AF59" s="273">
        <f t="shared" si="24"/>
        <v>19.2</v>
      </c>
      <c r="AG59" s="274">
        <f t="shared" si="24"/>
        <v>19.2</v>
      </c>
      <c r="AH59" s="275">
        <f t="shared" si="24"/>
        <v>25.3</v>
      </c>
      <c r="AI59" s="273">
        <f t="shared" si="24"/>
        <v>19.2</v>
      </c>
      <c r="AJ59" s="274">
        <f t="shared" si="24"/>
        <v>19.2</v>
      </c>
      <c r="AK59" s="275">
        <f t="shared" si="24"/>
        <v>27.4</v>
      </c>
      <c r="AL59" s="273">
        <f t="shared" si="24"/>
        <v>19.2</v>
      </c>
      <c r="AM59" s="274">
        <f t="shared" si="24"/>
        <v>19.2</v>
      </c>
      <c r="AN59" s="275">
        <f t="shared" si="24"/>
        <v>27.4</v>
      </c>
    </row>
    <row r="60" spans="1:40">
      <c r="V60" s="266" t="s">
        <v>409</v>
      </c>
      <c r="W60" s="273">
        <f t="shared" si="20"/>
        <v>142.59</v>
      </c>
      <c r="X60" s="274">
        <f t="shared" si="21"/>
        <v>145.47</v>
      </c>
      <c r="Y60" s="275">
        <f t="shared" si="22"/>
        <v>126.28</v>
      </c>
      <c r="Z60" s="273">
        <f t="shared" ref="Z60:AE60" si="27">Z48*(1-$AC$51)+AI60</f>
        <v>123.15</v>
      </c>
      <c r="AA60" s="274">
        <f t="shared" si="27"/>
        <v>119.64</v>
      </c>
      <c r="AB60" s="275">
        <f t="shared" si="27"/>
        <v>107.94999999999999</v>
      </c>
      <c r="AC60" s="273">
        <f t="shared" si="27"/>
        <v>76.349999999999994</v>
      </c>
      <c r="AD60" s="274">
        <f t="shared" si="27"/>
        <v>72.48</v>
      </c>
      <c r="AE60" s="275">
        <f t="shared" si="27"/>
        <v>58</v>
      </c>
      <c r="AF60" s="273">
        <f t="shared" si="24"/>
        <v>19.2</v>
      </c>
      <c r="AG60" s="274">
        <f t="shared" si="24"/>
        <v>19.2</v>
      </c>
      <c r="AH60" s="275">
        <f t="shared" si="24"/>
        <v>25.3</v>
      </c>
      <c r="AI60" s="273">
        <f t="shared" si="24"/>
        <v>19.2</v>
      </c>
      <c r="AJ60" s="274">
        <f t="shared" si="24"/>
        <v>19.2</v>
      </c>
      <c r="AK60" s="275">
        <f t="shared" si="24"/>
        <v>27.4</v>
      </c>
      <c r="AL60" s="273">
        <f t="shared" si="24"/>
        <v>19.2</v>
      </c>
      <c r="AM60" s="274">
        <f t="shared" si="24"/>
        <v>19.2</v>
      </c>
      <c r="AN60" s="275">
        <f t="shared" si="24"/>
        <v>27.4</v>
      </c>
    </row>
    <row r="61" spans="1:40">
      <c r="V61" s="281" t="s">
        <v>372</v>
      </c>
      <c r="W61" s="273">
        <f t="shared" si="20"/>
        <v>55.650000000000006</v>
      </c>
      <c r="X61" s="274">
        <f t="shared" si="21"/>
        <v>93.810000000000016</v>
      </c>
      <c r="Y61" s="275">
        <f t="shared" si="22"/>
        <v>66.069999999999993</v>
      </c>
      <c r="Z61" s="273">
        <f t="shared" ref="Z61:AE61" si="28">Z49*(1-$AC$51)+AI61</f>
        <v>68.7</v>
      </c>
      <c r="AA61" s="274">
        <f t="shared" si="28"/>
        <v>84.72</v>
      </c>
      <c r="AB61" s="275">
        <f t="shared" si="28"/>
        <v>85.72</v>
      </c>
      <c r="AC61" s="273">
        <f t="shared" si="28"/>
        <v>50.34</v>
      </c>
      <c r="AD61" s="274">
        <f t="shared" si="28"/>
        <v>66</v>
      </c>
      <c r="AE61" s="275">
        <f t="shared" si="28"/>
        <v>59.26</v>
      </c>
      <c r="AF61" s="273">
        <f t="shared" si="24"/>
        <v>19.2</v>
      </c>
      <c r="AG61" s="274">
        <f t="shared" si="24"/>
        <v>19.2</v>
      </c>
      <c r="AH61" s="275">
        <f t="shared" si="24"/>
        <v>25.3</v>
      </c>
      <c r="AI61" s="273">
        <f t="shared" si="24"/>
        <v>19.2</v>
      </c>
      <c r="AJ61" s="274">
        <f t="shared" si="24"/>
        <v>19.2</v>
      </c>
      <c r="AK61" s="275">
        <f t="shared" si="24"/>
        <v>27.4</v>
      </c>
      <c r="AL61" s="273">
        <f t="shared" si="24"/>
        <v>19.2</v>
      </c>
      <c r="AM61" s="274">
        <f t="shared" si="24"/>
        <v>19.2</v>
      </c>
      <c r="AN61" s="275">
        <f t="shared" si="24"/>
        <v>27.4</v>
      </c>
    </row>
    <row r="62" spans="1:40" ht="15" thickBot="1">
      <c r="V62" s="266" t="s">
        <v>407</v>
      </c>
      <c r="W62" s="487">
        <f t="shared" si="20"/>
        <v>69.42</v>
      </c>
      <c r="X62" s="283">
        <f t="shared" si="21"/>
        <v>71.31</v>
      </c>
      <c r="Y62" s="284">
        <f t="shared" si="22"/>
        <v>69.650000000000006</v>
      </c>
      <c r="Z62" s="487">
        <f t="shared" ref="Z62:AE62" si="29">Z50*(1-$AC$51)+AI62</f>
        <v>41.97</v>
      </c>
      <c r="AA62" s="283">
        <f t="shared" si="29"/>
        <v>42.959999999999994</v>
      </c>
      <c r="AB62" s="284">
        <f t="shared" si="29"/>
        <v>37.879999999999995</v>
      </c>
      <c r="AC62" s="487">
        <f t="shared" si="29"/>
        <v>44.22</v>
      </c>
      <c r="AD62" s="283">
        <f t="shared" si="29"/>
        <v>45.209999999999994</v>
      </c>
      <c r="AE62" s="284">
        <f t="shared" si="29"/>
        <v>37.879999999999995</v>
      </c>
      <c r="AF62" s="282">
        <f t="shared" si="24"/>
        <v>19.2</v>
      </c>
      <c r="AG62" s="283">
        <f t="shared" si="24"/>
        <v>19.2</v>
      </c>
      <c r="AH62" s="284">
        <f t="shared" si="24"/>
        <v>22.4</v>
      </c>
      <c r="AI62" s="282">
        <f t="shared" si="24"/>
        <v>19.2</v>
      </c>
      <c r="AJ62" s="283">
        <f t="shared" si="24"/>
        <v>19.2</v>
      </c>
      <c r="AK62" s="284">
        <f t="shared" si="24"/>
        <v>22.4</v>
      </c>
      <c r="AL62" s="282">
        <f t="shared" si="24"/>
        <v>19.2</v>
      </c>
      <c r="AM62" s="283">
        <f t="shared" si="24"/>
        <v>19.2</v>
      </c>
      <c r="AN62" s="284">
        <f t="shared" si="24"/>
        <v>22.4</v>
      </c>
    </row>
    <row r="63" spans="1:40">
      <c r="W63" s="274"/>
      <c r="X63" s="274"/>
      <c r="Y63" s="274"/>
      <c r="Z63" s="274"/>
      <c r="AA63" s="274"/>
      <c r="AB63" s="274"/>
      <c r="AC63" s="274"/>
      <c r="AD63" s="274"/>
      <c r="AE63" s="274"/>
      <c r="AF63" s="274"/>
      <c r="AG63" s="274"/>
      <c r="AH63" s="274"/>
      <c r="AI63" s="274"/>
      <c r="AJ63" s="274"/>
      <c r="AK63" s="274"/>
      <c r="AL63" s="274"/>
      <c r="AM63" s="274"/>
      <c r="AN63" s="274"/>
    </row>
    <row r="64" spans="1:40">
      <c r="W64" s="274"/>
      <c r="X64" s="274"/>
      <c r="Y64" s="274"/>
      <c r="Z64" s="274"/>
      <c r="AA64" s="274"/>
      <c r="AB64" s="274"/>
      <c r="AC64" s="274"/>
      <c r="AD64" s="274"/>
      <c r="AE64" s="274"/>
      <c r="AF64" s="274"/>
      <c r="AG64" s="274"/>
      <c r="AH64" s="274"/>
      <c r="AI64" s="274"/>
      <c r="AJ64" s="274"/>
    </row>
    <row r="65" spans="1:48" ht="15" thickBot="1">
      <c r="W65" s="1550" t="s">
        <v>910</v>
      </c>
      <c r="X65" s="1550"/>
      <c r="Y65" s="1550"/>
      <c r="Z65" s="1550"/>
      <c r="AA65" s="1550"/>
      <c r="AB65" s="1550"/>
      <c r="AC65" s="1550"/>
      <c r="AD65" s="1550"/>
      <c r="AE65" s="1550"/>
      <c r="AF65" s="1550"/>
      <c r="AG65" s="274"/>
      <c r="AH65" s="274"/>
      <c r="AI65" s="274"/>
      <c r="AJ65" s="274"/>
      <c r="AK65" s="274"/>
    </row>
    <row r="66" spans="1:48">
      <c r="X66" s="285" t="s">
        <v>345</v>
      </c>
      <c r="Y66" s="286" t="s">
        <v>347</v>
      </c>
      <c r="Z66" s="287" t="s">
        <v>350</v>
      </c>
      <c r="AA66" s="285" t="s">
        <v>345</v>
      </c>
      <c r="AB66" s="286" t="s">
        <v>347</v>
      </c>
      <c r="AC66" s="287" t="s">
        <v>350</v>
      </c>
      <c r="AD66" s="285" t="s">
        <v>345</v>
      </c>
      <c r="AE66" s="286" t="s">
        <v>347</v>
      </c>
      <c r="AF66" s="287" t="s">
        <v>350</v>
      </c>
      <c r="AG66" s="274"/>
      <c r="AH66" s="274"/>
      <c r="AI66" s="274"/>
      <c r="AJ66" s="274"/>
    </row>
    <row r="67" spans="1:48">
      <c r="W67" s="266" t="s">
        <v>404</v>
      </c>
      <c r="X67" s="273">
        <f>(W56*Z92+W57*AA92)/(Z92+AA92)</f>
        <v>199.63402065396295</v>
      </c>
      <c r="Y67" s="274">
        <f>(X56*Z92+X57*AA92)/(Z92+AA92)</f>
        <v>213.09646940392946</v>
      </c>
      <c r="Z67" s="275">
        <f>(Y56*AE91+Y57*AF91)/(AE91+AF91)</f>
        <v>170.28944783435034</v>
      </c>
      <c r="AA67" s="273">
        <f>(Z56*Z92+Z57*AA92)/(Z92+AA92)</f>
        <v>143.40709435213805</v>
      </c>
      <c r="AB67" s="274">
        <f>(AA56*Z92+AA57*AA92)/(Z92+AA92)</f>
        <v>138.59417117682159</v>
      </c>
      <c r="AC67" s="275">
        <f>(AB56*AE91+AB57*AF91)/(AE91+AF91)</f>
        <v>125.58510953285986</v>
      </c>
      <c r="AD67" s="273">
        <f>(AC56*Z92+AC57*AA92)/(Z92+AA92)</f>
        <v>79.15318573171713</v>
      </c>
      <c r="AE67" s="274">
        <f>(AD56*Z92+AD57*AA92)/(Z92+AA92)</f>
        <v>71.650796432929283</v>
      </c>
      <c r="AF67" s="275">
        <f>(AE56*AE92+AE57*AF92)/(AE92+AF92)</f>
        <v>66.868733612541661</v>
      </c>
      <c r="AG67" s="274"/>
      <c r="AH67" s="274"/>
      <c r="AI67" s="274"/>
      <c r="AJ67" s="274"/>
    </row>
    <row r="68" spans="1:48">
      <c r="V68" s="1584" t="s">
        <v>411</v>
      </c>
      <c r="W68" s="266" t="s">
        <v>405</v>
      </c>
      <c r="X68" s="273">
        <f t="shared" ref="X68:AF68" si="30">AVERAGE(W58:W59)</f>
        <v>180.75</v>
      </c>
      <c r="Y68" s="274">
        <f t="shared" si="30"/>
        <v>154.65</v>
      </c>
      <c r="Z68" s="275">
        <f t="shared" si="30"/>
        <v>130.06</v>
      </c>
      <c r="AA68" s="273">
        <f t="shared" si="30"/>
        <v>136.92000000000002</v>
      </c>
      <c r="AB68" s="274">
        <f t="shared" si="30"/>
        <v>123.465</v>
      </c>
      <c r="AC68" s="275">
        <f t="shared" si="30"/>
        <v>108.53500000000001</v>
      </c>
      <c r="AD68" s="273">
        <f t="shared" si="30"/>
        <v>80.534999999999997</v>
      </c>
      <c r="AE68" s="274">
        <f t="shared" si="30"/>
        <v>70.364999999999995</v>
      </c>
      <c r="AF68" s="275">
        <f t="shared" si="30"/>
        <v>57.864999999999995</v>
      </c>
      <c r="AG68" s="274"/>
      <c r="AH68" s="274"/>
      <c r="AI68" s="274"/>
      <c r="AJ68" s="274"/>
    </row>
    <row r="69" spans="1:48" ht="15" customHeight="1" thickBot="1">
      <c r="C69" s="1577" t="s">
        <v>907</v>
      </c>
      <c r="D69" s="1577"/>
      <c r="E69" s="1577"/>
      <c r="F69" s="1577"/>
      <c r="G69" s="1577"/>
      <c r="H69" s="1577"/>
      <c r="I69" s="1577"/>
      <c r="J69" s="1577"/>
      <c r="K69" s="1577"/>
      <c r="L69" s="1577"/>
      <c r="M69" s="1577"/>
      <c r="N69" s="1577"/>
      <c r="O69" s="1577"/>
      <c r="P69" s="1577"/>
      <c r="Q69" s="1577"/>
      <c r="R69" s="1577"/>
      <c r="S69" s="1577"/>
      <c r="V69" s="1584"/>
      <c r="W69" s="266" t="s">
        <v>406</v>
      </c>
      <c r="X69" s="273">
        <f t="shared" ref="X69:AF69" si="31">AVERAGE(W60:W61)</f>
        <v>99.12</v>
      </c>
      <c r="Y69" s="274">
        <f t="shared" si="31"/>
        <v>119.64000000000001</v>
      </c>
      <c r="Z69" s="275">
        <f t="shared" si="31"/>
        <v>96.174999999999997</v>
      </c>
      <c r="AA69" s="273">
        <f t="shared" si="31"/>
        <v>95.925000000000011</v>
      </c>
      <c r="AB69" s="274">
        <f t="shared" si="31"/>
        <v>102.18</v>
      </c>
      <c r="AC69" s="275">
        <f t="shared" si="31"/>
        <v>96.834999999999994</v>
      </c>
      <c r="AD69" s="273">
        <f t="shared" si="31"/>
        <v>63.344999999999999</v>
      </c>
      <c r="AE69" s="274">
        <f t="shared" si="31"/>
        <v>69.240000000000009</v>
      </c>
      <c r="AF69" s="275">
        <f t="shared" si="31"/>
        <v>58.629999999999995</v>
      </c>
    </row>
    <row r="70" spans="1:48" ht="15" thickBot="1">
      <c r="C70" s="1568" t="s">
        <v>148</v>
      </c>
      <c r="D70" s="1573"/>
      <c r="E70" s="1573"/>
      <c r="F70" s="1573"/>
      <c r="G70" s="1573"/>
      <c r="H70" s="1569"/>
      <c r="I70" s="1574" t="s">
        <v>149</v>
      </c>
      <c r="J70" s="1575"/>
      <c r="K70" s="1575"/>
      <c r="L70" s="1575"/>
      <c r="M70" s="1575"/>
      <c r="N70" s="1576"/>
      <c r="O70" s="1574" t="s">
        <v>177</v>
      </c>
      <c r="P70" s="1575"/>
      <c r="Q70" s="1575"/>
      <c r="R70" s="1575"/>
      <c r="S70" s="1575"/>
      <c r="T70" s="1576"/>
      <c r="U70" s="325"/>
      <c r="V70" s="325"/>
      <c r="W70" s="266" t="s">
        <v>407</v>
      </c>
      <c r="X70" s="282">
        <f t="shared" ref="X70:AF70" si="32">W62</f>
        <v>69.42</v>
      </c>
      <c r="Y70" s="283">
        <f t="shared" si="32"/>
        <v>71.31</v>
      </c>
      <c r="Z70" s="284">
        <f t="shared" si="32"/>
        <v>69.650000000000006</v>
      </c>
      <c r="AA70" s="282">
        <f t="shared" si="32"/>
        <v>41.97</v>
      </c>
      <c r="AB70" s="283">
        <f t="shared" si="32"/>
        <v>42.959999999999994</v>
      </c>
      <c r="AC70" s="284">
        <f t="shared" si="32"/>
        <v>37.879999999999995</v>
      </c>
      <c r="AD70" s="282">
        <f t="shared" si="32"/>
        <v>44.22</v>
      </c>
      <c r="AE70" s="283">
        <f t="shared" si="32"/>
        <v>45.209999999999994</v>
      </c>
      <c r="AF70" s="284">
        <f t="shared" si="32"/>
        <v>37.879999999999995</v>
      </c>
    </row>
    <row r="71" spans="1:48">
      <c r="C71" s="1570" t="s">
        <v>176</v>
      </c>
      <c r="D71" s="1571"/>
      <c r="E71" s="1572"/>
      <c r="F71" s="1570" t="s">
        <v>348</v>
      </c>
      <c r="G71" s="1571"/>
      <c r="H71" s="1572"/>
      <c r="I71" s="1570" t="s">
        <v>176</v>
      </c>
      <c r="J71" s="1571"/>
      <c r="K71" s="1572"/>
      <c r="L71" s="1570" t="s">
        <v>348</v>
      </c>
      <c r="M71" s="1571"/>
      <c r="N71" s="1572"/>
      <c r="O71" s="1570" t="s">
        <v>176</v>
      </c>
      <c r="P71" s="1571"/>
      <c r="Q71" s="1572"/>
      <c r="R71" s="1570" t="s">
        <v>348</v>
      </c>
      <c r="S71" s="1571"/>
      <c r="T71" s="1572"/>
      <c r="U71" s="326"/>
      <c r="V71" s="326"/>
      <c r="X71" s="274"/>
      <c r="Y71" s="274"/>
      <c r="Z71" s="274"/>
      <c r="AA71" s="274"/>
      <c r="AB71" s="274"/>
      <c r="AC71" s="274"/>
      <c r="AD71" s="274"/>
      <c r="AE71" s="274"/>
      <c r="AF71" s="274"/>
      <c r="AQ71" s="266" t="s">
        <v>176</v>
      </c>
      <c r="AR71" s="266" t="s">
        <v>348</v>
      </c>
      <c r="AS71" s="266" t="s">
        <v>176</v>
      </c>
      <c r="AT71" s="266" t="s">
        <v>348</v>
      </c>
      <c r="AU71" s="266" t="s">
        <v>176</v>
      </c>
      <c r="AV71" s="266" t="s">
        <v>348</v>
      </c>
    </row>
    <row r="72" spans="1:48" ht="15" thickBot="1">
      <c r="C72" s="273" t="s">
        <v>404</v>
      </c>
      <c r="D72" s="314" t="s">
        <v>456</v>
      </c>
      <c r="E72" s="275" t="s">
        <v>407</v>
      </c>
      <c r="F72" s="273" t="s">
        <v>404</v>
      </c>
      <c r="G72" s="314" t="s">
        <v>456</v>
      </c>
      <c r="H72" s="275" t="s">
        <v>407</v>
      </c>
      <c r="I72" s="273" t="s">
        <v>404</v>
      </c>
      <c r="J72" s="314" t="s">
        <v>456</v>
      </c>
      <c r="K72" s="275" t="s">
        <v>407</v>
      </c>
      <c r="L72" s="273" t="s">
        <v>404</v>
      </c>
      <c r="M72" s="314" t="s">
        <v>456</v>
      </c>
      <c r="N72" s="275" t="s">
        <v>407</v>
      </c>
      <c r="O72" s="273" t="s">
        <v>404</v>
      </c>
      <c r="P72" s="314" t="s">
        <v>456</v>
      </c>
      <c r="Q72" s="275" t="s">
        <v>407</v>
      </c>
      <c r="R72" s="273" t="s">
        <v>404</v>
      </c>
      <c r="S72" s="314" t="s">
        <v>456</v>
      </c>
      <c r="T72" s="275" t="s">
        <v>407</v>
      </c>
      <c r="U72" s="274"/>
      <c r="V72" s="274"/>
      <c r="W72" s="1550" t="s">
        <v>911</v>
      </c>
      <c r="X72" s="1550"/>
      <c r="Y72" s="1550"/>
      <c r="Z72" s="1550"/>
      <c r="AA72" s="1550"/>
      <c r="AB72" s="1550"/>
      <c r="AC72" s="1550"/>
      <c r="AD72" s="274"/>
      <c r="AE72" s="274"/>
      <c r="AF72" s="274"/>
      <c r="AK72" s="266">
        <v>0.03</v>
      </c>
      <c r="AL72" s="266">
        <f>AK72*8760*1.8/1000</f>
        <v>0.47304000000000002</v>
      </c>
      <c r="AP72" s="266" t="s">
        <v>413</v>
      </c>
      <c r="AQ72" s="266">
        <v>184.02341756050575</v>
      </c>
      <c r="AR72" s="266">
        <v>144.9894478343503</v>
      </c>
      <c r="AS72" s="266">
        <v>122.92385889640778</v>
      </c>
      <c r="AT72" s="266">
        <v>98.185109532859869</v>
      </c>
      <c r="AU72" s="266">
        <v>57.952877062700608</v>
      </c>
      <c r="AV72" s="266">
        <v>39.468733612541655</v>
      </c>
    </row>
    <row r="73" spans="1:48" ht="15" thickBot="1">
      <c r="A73" s="1487" t="s">
        <v>1022</v>
      </c>
      <c r="B73" s="269" t="s">
        <v>374</v>
      </c>
      <c r="C73" s="603">
        <f t="shared" ref="C73:C91" si="33">(C39+G39)*O39</f>
        <v>0</v>
      </c>
      <c r="D73" s="604">
        <f t="shared" ref="D73:D91" si="34">(D39+E39+H39+I39)*O39</f>
        <v>0</v>
      </c>
      <c r="E73" s="604">
        <f t="shared" ref="E73:E91" si="35">(F39+J39)*O39</f>
        <v>0</v>
      </c>
      <c r="F73" s="603">
        <f t="shared" ref="F73:F91" si="36">K39*O39</f>
        <v>0</v>
      </c>
      <c r="G73" s="604">
        <f t="shared" ref="G73:G91" si="37">(L39+M39)*O39</f>
        <v>0</v>
      </c>
      <c r="H73" s="605">
        <f t="shared" ref="H73:H91" si="38">N39*O39</f>
        <v>0</v>
      </c>
      <c r="I73" s="603">
        <f t="shared" ref="I73:I91" si="39">(C39+G39)*P39</f>
        <v>1133.6000000000001</v>
      </c>
      <c r="J73" s="604">
        <f t="shared" ref="J73:J91" si="40">(D39+E39+H39+I39)*P39</f>
        <v>903.14</v>
      </c>
      <c r="K73" s="604">
        <f t="shared" ref="K73:K91" si="41">(F39+J39)*P39</f>
        <v>0</v>
      </c>
      <c r="L73" s="603">
        <f t="shared" ref="L73:L91" si="42">K39*P39</f>
        <v>145.42000000000002</v>
      </c>
      <c r="M73" s="604">
        <f t="shared" ref="M73:M91" si="43">(L39+M39)*P39</f>
        <v>243.70000000000002</v>
      </c>
      <c r="N73" s="605">
        <f t="shared" ref="N73:N91" si="44">N39*P39</f>
        <v>0</v>
      </c>
      <c r="O73" s="603">
        <f t="shared" ref="O73:O91" si="45">(C39+G39)*Q39</f>
        <v>55546.400000000001</v>
      </c>
      <c r="P73" s="604">
        <f t="shared" ref="P73:P91" si="46">(D39+E39+H39+I39)*Q39</f>
        <v>44253.86</v>
      </c>
      <c r="Q73" s="604">
        <f t="shared" ref="Q73:Q91" si="47">(F39+J39)*Q39</f>
        <v>0</v>
      </c>
      <c r="R73" s="603">
        <f t="shared" ref="R73:R91" si="48">K39*Q39</f>
        <v>7125.58</v>
      </c>
      <c r="S73" s="604">
        <f t="shared" ref="S73:S91" si="49">(L39+M39)*Q39</f>
        <v>11941.3</v>
      </c>
      <c r="T73" s="605">
        <f t="shared" ref="T73:T91" si="50">N39*Q39</f>
        <v>0</v>
      </c>
      <c r="U73" s="274"/>
      <c r="V73" s="274"/>
      <c r="X73" s="1568" t="s">
        <v>459</v>
      </c>
      <c r="Y73" s="1569"/>
      <c r="Z73" s="1588" t="s">
        <v>460</v>
      </c>
      <c r="AA73" s="1569"/>
      <c r="AB73" s="1568" t="s">
        <v>461</v>
      </c>
      <c r="AC73" s="1569"/>
      <c r="AP73" s="266" t="s">
        <v>414</v>
      </c>
      <c r="AQ73" s="266">
        <v>126.9596801831777</v>
      </c>
      <c r="AR73" s="266">
        <v>80.783435099015477</v>
      </c>
      <c r="AS73" s="266">
        <v>99.664280539248551</v>
      </c>
      <c r="AT73" s="266">
        <v>72.856239210815446</v>
      </c>
      <c r="AU73" s="266">
        <v>53.585735255345568</v>
      </c>
      <c r="AV73" s="266">
        <v>31.006303590062071</v>
      </c>
    </row>
    <row r="74" spans="1:48">
      <c r="A74" s="1488"/>
      <c r="B74" s="269" t="s">
        <v>375</v>
      </c>
      <c r="C74" s="603">
        <f t="shared" si="33"/>
        <v>0</v>
      </c>
      <c r="D74" s="604">
        <f t="shared" si="34"/>
        <v>0</v>
      </c>
      <c r="E74" s="604">
        <f t="shared" si="35"/>
        <v>0</v>
      </c>
      <c r="F74" s="603">
        <f t="shared" si="36"/>
        <v>0</v>
      </c>
      <c r="G74" s="604">
        <f t="shared" si="37"/>
        <v>0</v>
      </c>
      <c r="H74" s="605">
        <f t="shared" si="38"/>
        <v>0</v>
      </c>
      <c r="I74" s="603">
        <f t="shared" si="39"/>
        <v>1516.82</v>
      </c>
      <c r="J74" s="604">
        <f t="shared" si="40"/>
        <v>1950.1000000000001</v>
      </c>
      <c r="K74" s="604">
        <f t="shared" si="41"/>
        <v>0</v>
      </c>
      <c r="L74" s="603">
        <f t="shared" si="42"/>
        <v>308.14</v>
      </c>
      <c r="M74" s="604">
        <f t="shared" si="43"/>
        <v>622.34</v>
      </c>
      <c r="N74" s="605">
        <f t="shared" si="44"/>
        <v>0</v>
      </c>
      <c r="O74" s="603">
        <f t="shared" si="45"/>
        <v>74324.179999999993</v>
      </c>
      <c r="P74" s="604">
        <f t="shared" si="46"/>
        <v>95554.9</v>
      </c>
      <c r="Q74" s="604">
        <f t="shared" si="47"/>
        <v>0</v>
      </c>
      <c r="R74" s="603">
        <f t="shared" si="48"/>
        <v>15098.86</v>
      </c>
      <c r="S74" s="604">
        <f t="shared" si="49"/>
        <v>30494.66</v>
      </c>
      <c r="T74" s="605">
        <f t="shared" si="50"/>
        <v>0</v>
      </c>
      <c r="U74" s="274"/>
      <c r="V74" s="274"/>
      <c r="W74" s="298"/>
      <c r="X74" s="298" t="s">
        <v>176</v>
      </c>
      <c r="Y74" s="300" t="s">
        <v>348</v>
      </c>
      <c r="Z74" s="298" t="s">
        <v>176</v>
      </c>
      <c r="AA74" s="300" t="s">
        <v>348</v>
      </c>
      <c r="AB74" s="298" t="s">
        <v>176</v>
      </c>
      <c r="AC74" s="300" t="s">
        <v>348</v>
      </c>
      <c r="AP74" s="266" t="s">
        <v>415</v>
      </c>
      <c r="AQ74" s="266">
        <v>50.992801922816803</v>
      </c>
      <c r="AR74" s="266">
        <v>47.25</v>
      </c>
      <c r="AS74" s="266">
        <v>23.174801007189753</v>
      </c>
      <c r="AT74" s="266">
        <v>15.48</v>
      </c>
      <c r="AU74" s="266">
        <v>25.424801007189753</v>
      </c>
      <c r="AV74" s="266">
        <v>15.48</v>
      </c>
    </row>
    <row r="75" spans="1:48">
      <c r="A75" s="1488"/>
      <c r="B75" s="269" t="s">
        <v>376</v>
      </c>
      <c r="C75" s="603">
        <f t="shared" si="33"/>
        <v>786.14</v>
      </c>
      <c r="D75" s="604">
        <f t="shared" si="34"/>
        <v>706.26</v>
      </c>
      <c r="E75" s="604">
        <f t="shared" si="35"/>
        <v>0</v>
      </c>
      <c r="F75" s="603">
        <f t="shared" si="36"/>
        <v>2743.06</v>
      </c>
      <c r="G75" s="604">
        <f t="shared" si="37"/>
        <v>1831.96</v>
      </c>
      <c r="H75" s="605">
        <f t="shared" si="38"/>
        <v>0</v>
      </c>
      <c r="I75" s="603">
        <f t="shared" si="39"/>
        <v>0</v>
      </c>
      <c r="J75" s="604">
        <f t="shared" si="40"/>
        <v>0</v>
      </c>
      <c r="K75" s="604">
        <f t="shared" si="41"/>
        <v>0</v>
      </c>
      <c r="L75" s="603">
        <f t="shared" si="42"/>
        <v>0</v>
      </c>
      <c r="M75" s="604">
        <f t="shared" si="43"/>
        <v>0</v>
      </c>
      <c r="N75" s="605">
        <f t="shared" si="44"/>
        <v>0</v>
      </c>
      <c r="O75" s="603">
        <f t="shared" si="45"/>
        <v>38520.86</v>
      </c>
      <c r="P75" s="604">
        <f t="shared" si="46"/>
        <v>34606.74</v>
      </c>
      <c r="Q75" s="604">
        <f t="shared" si="47"/>
        <v>0</v>
      </c>
      <c r="R75" s="603">
        <f t="shared" si="48"/>
        <v>134409.94</v>
      </c>
      <c r="S75" s="604">
        <f t="shared" si="49"/>
        <v>89766.04</v>
      </c>
      <c r="T75" s="605">
        <f t="shared" si="50"/>
        <v>0</v>
      </c>
      <c r="U75" s="274"/>
      <c r="V75" s="274"/>
      <c r="W75" s="301" t="s">
        <v>413</v>
      </c>
      <c r="X75" s="301">
        <f>(X67*C118+Y67*G118)/(C118+G118)</f>
        <v>203.18184264062836</v>
      </c>
      <c r="Y75" s="303">
        <f>Z67</f>
        <v>170.28944783435034</v>
      </c>
      <c r="Z75" s="301">
        <f>(AA67*C118+AB67*G118)/(C118+G118)</f>
        <v>142.1387222321282</v>
      </c>
      <c r="AA75" s="303">
        <f>AC67</f>
        <v>125.58510953285986</v>
      </c>
      <c r="AB75" s="301">
        <f>(AD67*C118+AE67*G118)/(C118+G118)</f>
        <v>77.176046044791391</v>
      </c>
      <c r="AC75" s="303">
        <f>AF67</f>
        <v>66.868733612541661</v>
      </c>
    </row>
    <row r="76" spans="1:48" ht="15" thickBot="1">
      <c r="A76" s="1488"/>
      <c r="B76" s="269" t="s">
        <v>377</v>
      </c>
      <c r="C76" s="603">
        <f t="shared" si="33"/>
        <v>0</v>
      </c>
      <c r="D76" s="604">
        <f t="shared" si="34"/>
        <v>0</v>
      </c>
      <c r="E76" s="604">
        <f t="shared" si="35"/>
        <v>0</v>
      </c>
      <c r="F76" s="603">
        <f t="shared" si="36"/>
        <v>0</v>
      </c>
      <c r="G76" s="604">
        <f t="shared" si="37"/>
        <v>0</v>
      </c>
      <c r="H76" s="605">
        <f t="shared" si="38"/>
        <v>0</v>
      </c>
      <c r="I76" s="603">
        <f t="shared" si="39"/>
        <v>894.42000000000007</v>
      </c>
      <c r="J76" s="604">
        <f t="shared" si="40"/>
        <v>772.74</v>
      </c>
      <c r="K76" s="604">
        <f t="shared" si="41"/>
        <v>0</v>
      </c>
      <c r="L76" s="603">
        <f t="shared" si="42"/>
        <v>68.460000000000008</v>
      </c>
      <c r="M76" s="604">
        <f t="shared" si="43"/>
        <v>130.30000000000001</v>
      </c>
      <c r="N76" s="605">
        <f t="shared" si="44"/>
        <v>0</v>
      </c>
      <c r="O76" s="603">
        <f t="shared" si="45"/>
        <v>43826.58</v>
      </c>
      <c r="P76" s="604">
        <f t="shared" si="46"/>
        <v>37864.26</v>
      </c>
      <c r="Q76" s="604">
        <f t="shared" si="47"/>
        <v>0</v>
      </c>
      <c r="R76" s="603">
        <f t="shared" si="48"/>
        <v>3354.54</v>
      </c>
      <c r="S76" s="604">
        <f t="shared" si="49"/>
        <v>6384.7</v>
      </c>
      <c r="T76" s="605">
        <f t="shared" si="50"/>
        <v>0</v>
      </c>
      <c r="U76" s="274"/>
      <c r="V76" s="274"/>
      <c r="W76" s="301" t="s">
        <v>414</v>
      </c>
      <c r="X76" s="301">
        <f>(X68*D118+Y68*H118+X69*E118+Y69*I118)/(D118+E118+H118+I118)</f>
        <v>147.91327590790843</v>
      </c>
      <c r="Y76" s="303">
        <f>(Z68*L118+Z69*M118)/(L118+M118)</f>
        <v>106.7034921565693</v>
      </c>
      <c r="Z76" s="301">
        <f>(AA68*D118+AB68*H118+AA69*E118+AB69*I118)/(D118+E118+H118+I118)</f>
        <v>119.75994014285678</v>
      </c>
      <c r="AA76" s="303">
        <f>(AC68*L118+AC69*M118)/(L118+M118)</f>
        <v>100.47033593719524</v>
      </c>
      <c r="AB76" s="301">
        <f>(AD68*D118+AE68*H118+AD69*E118+AE69*I118)/(D118+E118+H118+I118)</f>
        <v>73.12916018847217</v>
      </c>
      <c r="AC76" s="303">
        <f>(AF68*L118+AF69*M118)/(L118+M118)</f>
        <v>58.392304957952625</v>
      </c>
    </row>
    <row r="77" spans="1:48" ht="15" thickBot="1">
      <c r="A77" s="1488"/>
      <c r="B77" s="269" t="s">
        <v>378</v>
      </c>
      <c r="C77" s="603">
        <f t="shared" si="33"/>
        <v>0</v>
      </c>
      <c r="D77" s="604">
        <f t="shared" si="34"/>
        <v>0</v>
      </c>
      <c r="E77" s="604">
        <f t="shared" si="35"/>
        <v>0</v>
      </c>
      <c r="F77" s="603">
        <f t="shared" si="36"/>
        <v>0</v>
      </c>
      <c r="G77" s="604">
        <f t="shared" si="37"/>
        <v>0</v>
      </c>
      <c r="H77" s="605">
        <f t="shared" si="38"/>
        <v>0</v>
      </c>
      <c r="I77" s="603">
        <f t="shared" si="39"/>
        <v>938.46</v>
      </c>
      <c r="J77" s="604">
        <f t="shared" si="40"/>
        <v>722.42</v>
      </c>
      <c r="K77" s="604">
        <f t="shared" si="41"/>
        <v>0</v>
      </c>
      <c r="L77" s="603">
        <f t="shared" si="42"/>
        <v>47.6</v>
      </c>
      <c r="M77" s="604">
        <f t="shared" si="43"/>
        <v>111.74000000000001</v>
      </c>
      <c r="N77" s="605">
        <f t="shared" si="44"/>
        <v>0</v>
      </c>
      <c r="O77" s="603">
        <f t="shared" si="45"/>
        <v>45984.54</v>
      </c>
      <c r="P77" s="604">
        <f t="shared" si="46"/>
        <v>35398.58</v>
      </c>
      <c r="Q77" s="604">
        <f t="shared" si="47"/>
        <v>0</v>
      </c>
      <c r="R77" s="603">
        <f t="shared" si="48"/>
        <v>2332.4</v>
      </c>
      <c r="S77" s="604">
        <f t="shared" si="49"/>
        <v>5475.26</v>
      </c>
      <c r="T77" s="605">
        <f t="shared" si="50"/>
        <v>0</v>
      </c>
      <c r="U77" s="274"/>
      <c r="V77" s="274"/>
      <c r="W77" s="304" t="s">
        <v>415</v>
      </c>
      <c r="X77" s="490" t="e">
        <f>(X70*F118+Y70*J118)/(F118+J118)</f>
        <v>#DIV/0!</v>
      </c>
      <c r="Y77" s="305">
        <f>Z70</f>
        <v>69.650000000000006</v>
      </c>
      <c r="Z77" s="490" t="e">
        <f>(AA70*F118+AB70*J118)/(F118+J118)</f>
        <v>#DIV/0!</v>
      </c>
      <c r="AA77" s="305">
        <f>AC70</f>
        <v>37.879999999999995</v>
      </c>
      <c r="AB77" s="491" t="e">
        <f>(AD70*F118+AE70*J118)/(F118+J118)</f>
        <v>#DIV/0!</v>
      </c>
      <c r="AC77" s="305">
        <f>AF70</f>
        <v>37.879999999999995</v>
      </c>
      <c r="AQ77" s="299" t="s">
        <v>176</v>
      </c>
      <c r="AR77" s="299" t="s">
        <v>348</v>
      </c>
    </row>
    <row r="78" spans="1:48">
      <c r="A78" s="1488"/>
      <c r="B78" s="269" t="s">
        <v>379</v>
      </c>
      <c r="C78" s="603">
        <f t="shared" si="33"/>
        <v>0</v>
      </c>
      <c r="D78" s="604">
        <f t="shared" si="34"/>
        <v>0</v>
      </c>
      <c r="E78" s="604">
        <f t="shared" si="35"/>
        <v>0</v>
      </c>
      <c r="F78" s="603">
        <f t="shared" si="36"/>
        <v>0</v>
      </c>
      <c r="G78" s="604">
        <f t="shared" si="37"/>
        <v>0</v>
      </c>
      <c r="H78" s="605">
        <f t="shared" si="38"/>
        <v>0</v>
      </c>
      <c r="I78" s="603">
        <f t="shared" si="39"/>
        <v>1009.24</v>
      </c>
      <c r="J78" s="604">
        <f t="shared" si="40"/>
        <v>934.78</v>
      </c>
      <c r="K78" s="604">
        <f t="shared" si="41"/>
        <v>0</v>
      </c>
      <c r="L78" s="603">
        <f t="shared" si="42"/>
        <v>125.5</v>
      </c>
      <c r="M78" s="604">
        <f t="shared" si="43"/>
        <v>284.3</v>
      </c>
      <c r="N78" s="605">
        <f t="shared" si="44"/>
        <v>0</v>
      </c>
      <c r="O78" s="603">
        <f t="shared" si="45"/>
        <v>49452.76</v>
      </c>
      <c r="P78" s="604">
        <f t="shared" si="46"/>
        <v>45804.22</v>
      </c>
      <c r="Q78" s="604">
        <f t="shared" si="47"/>
        <v>0</v>
      </c>
      <c r="R78" s="603">
        <f t="shared" si="48"/>
        <v>6149.5</v>
      </c>
      <c r="S78" s="604">
        <f t="shared" si="49"/>
        <v>13930.699999999999</v>
      </c>
      <c r="T78" s="605">
        <f t="shared" si="50"/>
        <v>0</v>
      </c>
      <c r="U78" s="274"/>
      <c r="V78" s="514" t="s">
        <v>931</v>
      </c>
      <c r="W78" s="266" t="s">
        <v>415</v>
      </c>
      <c r="X78" s="266">
        <v>70.143874172185434</v>
      </c>
      <c r="Y78" s="266">
        <v>69.650000000000006</v>
      </c>
      <c r="Z78" s="266">
        <v>42.349172185430469</v>
      </c>
      <c r="AA78" s="266">
        <v>37.879999999999995</v>
      </c>
      <c r="AB78" s="266">
        <v>44.599172185430461</v>
      </c>
      <c r="AC78" s="266">
        <v>37.879999999999995</v>
      </c>
      <c r="AP78" s="301" t="s">
        <v>413</v>
      </c>
      <c r="AQ78" s="266">
        <f>AQ72/X75</f>
        <v>0.90570798634793126</v>
      </c>
      <c r="AR78" s="266">
        <f t="shared" ref="AR78:AR80" si="51">AR72/Y75</f>
        <v>0.85142943193631881</v>
      </c>
    </row>
    <row r="79" spans="1:48">
      <c r="A79" s="1488"/>
      <c r="B79" s="269" t="s">
        <v>380</v>
      </c>
      <c r="C79" s="603">
        <f t="shared" si="33"/>
        <v>0</v>
      </c>
      <c r="D79" s="604">
        <f t="shared" si="34"/>
        <v>0</v>
      </c>
      <c r="E79" s="604">
        <f t="shared" si="35"/>
        <v>0</v>
      </c>
      <c r="F79" s="603">
        <f t="shared" si="36"/>
        <v>0</v>
      </c>
      <c r="G79" s="604">
        <f t="shared" si="37"/>
        <v>0</v>
      </c>
      <c r="H79" s="605">
        <f t="shared" si="38"/>
        <v>0</v>
      </c>
      <c r="I79" s="603">
        <f t="shared" si="39"/>
        <v>938.04</v>
      </c>
      <c r="J79" s="604">
        <f t="shared" si="40"/>
        <v>782.02</v>
      </c>
      <c r="K79" s="604">
        <f t="shared" si="41"/>
        <v>0</v>
      </c>
      <c r="L79" s="603">
        <f t="shared" si="42"/>
        <v>81.38</v>
      </c>
      <c r="M79" s="604">
        <f t="shared" si="43"/>
        <v>225.08</v>
      </c>
      <c r="N79" s="605">
        <f t="shared" si="44"/>
        <v>0</v>
      </c>
      <c r="O79" s="603">
        <f t="shared" si="45"/>
        <v>45963.96</v>
      </c>
      <c r="P79" s="604">
        <f t="shared" si="46"/>
        <v>38318.979999999996</v>
      </c>
      <c r="Q79" s="604">
        <f t="shared" si="47"/>
        <v>0</v>
      </c>
      <c r="R79" s="603">
        <f t="shared" si="48"/>
        <v>3987.62</v>
      </c>
      <c r="S79" s="604">
        <f t="shared" si="49"/>
        <v>11028.92</v>
      </c>
      <c r="T79" s="605">
        <f t="shared" si="50"/>
        <v>0</v>
      </c>
      <c r="U79" s="274"/>
      <c r="V79" s="274"/>
      <c r="AP79" s="301" t="s">
        <v>414</v>
      </c>
      <c r="AQ79" s="266">
        <f t="shared" ref="AQ79:AQ80" si="52">AQ73/X76</f>
        <v>0.85833864069255994</v>
      </c>
      <c r="AR79" s="266">
        <f t="shared" si="51"/>
        <v>0.75708332938606615</v>
      </c>
    </row>
    <row r="80" spans="1:48">
      <c r="A80" s="1488"/>
      <c r="B80" s="269" t="s">
        <v>381</v>
      </c>
      <c r="C80" s="603">
        <f t="shared" si="33"/>
        <v>0</v>
      </c>
      <c r="D80" s="604">
        <f t="shared" si="34"/>
        <v>0</v>
      </c>
      <c r="E80" s="604">
        <f t="shared" si="35"/>
        <v>0</v>
      </c>
      <c r="F80" s="603">
        <f t="shared" si="36"/>
        <v>0</v>
      </c>
      <c r="G80" s="604">
        <f t="shared" si="37"/>
        <v>0</v>
      </c>
      <c r="H80" s="605">
        <f t="shared" si="38"/>
        <v>0</v>
      </c>
      <c r="I80" s="603">
        <f t="shared" si="39"/>
        <v>819.78</v>
      </c>
      <c r="J80" s="604">
        <f t="shared" si="40"/>
        <v>568</v>
      </c>
      <c r="K80" s="604">
        <f t="shared" si="41"/>
        <v>0</v>
      </c>
      <c r="L80" s="603">
        <f t="shared" si="42"/>
        <v>95.36</v>
      </c>
      <c r="M80" s="604">
        <f t="shared" si="43"/>
        <v>122.94</v>
      </c>
      <c r="N80" s="605">
        <f t="shared" si="44"/>
        <v>0</v>
      </c>
      <c r="O80" s="603">
        <f t="shared" si="45"/>
        <v>40169.22</v>
      </c>
      <c r="P80" s="604">
        <f t="shared" si="46"/>
        <v>27832</v>
      </c>
      <c r="Q80" s="604">
        <f t="shared" si="47"/>
        <v>0</v>
      </c>
      <c r="R80" s="603">
        <f t="shared" si="48"/>
        <v>4672.6400000000003</v>
      </c>
      <c r="S80" s="604">
        <f t="shared" si="49"/>
        <v>6024.0599999999995</v>
      </c>
      <c r="T80" s="605">
        <f t="shared" si="50"/>
        <v>0</v>
      </c>
      <c r="U80" s="274"/>
      <c r="V80" s="274"/>
      <c r="Y80" s="267"/>
      <c r="Z80" s="267" t="s">
        <v>176</v>
      </c>
      <c r="AA80" s="267" t="s">
        <v>427</v>
      </c>
      <c r="AQ80" s="266" t="e">
        <f t="shared" si="52"/>
        <v>#DIV/0!</v>
      </c>
      <c r="AR80" s="266">
        <f t="shared" si="51"/>
        <v>0.67839195979899491</v>
      </c>
    </row>
    <row r="81" spans="1:36">
      <c r="A81" s="1488"/>
      <c r="B81" s="269" t="s">
        <v>382</v>
      </c>
      <c r="C81" s="603">
        <f t="shared" si="33"/>
        <v>0</v>
      </c>
      <c r="D81" s="604">
        <f t="shared" si="34"/>
        <v>0</v>
      </c>
      <c r="E81" s="604">
        <f t="shared" si="35"/>
        <v>0</v>
      </c>
      <c r="F81" s="603">
        <f t="shared" si="36"/>
        <v>0</v>
      </c>
      <c r="G81" s="604">
        <f t="shared" si="37"/>
        <v>0</v>
      </c>
      <c r="H81" s="605">
        <f t="shared" si="38"/>
        <v>0</v>
      </c>
      <c r="I81" s="603">
        <f t="shared" si="39"/>
        <v>458.56</v>
      </c>
      <c r="J81" s="604">
        <f t="shared" si="40"/>
        <v>454.92</v>
      </c>
      <c r="K81" s="604">
        <f t="shared" si="41"/>
        <v>0</v>
      </c>
      <c r="L81" s="603">
        <f t="shared" si="42"/>
        <v>24.12</v>
      </c>
      <c r="M81" s="604">
        <f t="shared" si="43"/>
        <v>56.56</v>
      </c>
      <c r="N81" s="605">
        <f t="shared" si="44"/>
        <v>0</v>
      </c>
      <c r="O81" s="603">
        <f t="shared" si="45"/>
        <v>22469.439999999999</v>
      </c>
      <c r="P81" s="604">
        <f t="shared" si="46"/>
        <v>22291.079999999998</v>
      </c>
      <c r="Q81" s="604">
        <f t="shared" si="47"/>
        <v>0</v>
      </c>
      <c r="R81" s="603">
        <f t="shared" si="48"/>
        <v>1181.8799999999999</v>
      </c>
      <c r="S81" s="604">
        <f t="shared" si="49"/>
        <v>2771.44</v>
      </c>
      <c r="T81" s="605">
        <f t="shared" si="50"/>
        <v>0</v>
      </c>
      <c r="U81" s="274"/>
      <c r="V81" s="274"/>
      <c r="Y81" s="267" t="s">
        <v>401</v>
      </c>
      <c r="Z81" s="267">
        <f t="shared" ref="Z81:Z87" si="53">AVERAGE(W44:X44)</f>
        <v>223.95</v>
      </c>
      <c r="AA81" s="267">
        <f t="shared" ref="AA81:AA87" si="54">Y44</f>
        <v>155.9</v>
      </c>
    </row>
    <row r="82" spans="1:36">
      <c r="A82" s="1488"/>
      <c r="B82" s="269" t="s">
        <v>383</v>
      </c>
      <c r="C82" s="603">
        <f t="shared" si="33"/>
        <v>0</v>
      </c>
      <c r="D82" s="604">
        <f t="shared" si="34"/>
        <v>0</v>
      </c>
      <c r="E82" s="604">
        <f t="shared" si="35"/>
        <v>0</v>
      </c>
      <c r="F82" s="603">
        <f t="shared" si="36"/>
        <v>0</v>
      </c>
      <c r="G82" s="604">
        <f t="shared" si="37"/>
        <v>0</v>
      </c>
      <c r="H82" s="605">
        <f t="shared" si="38"/>
        <v>0</v>
      </c>
      <c r="I82" s="603">
        <f t="shared" si="39"/>
        <v>618.80000000000007</v>
      </c>
      <c r="J82" s="604">
        <f t="shared" si="40"/>
        <v>622.16</v>
      </c>
      <c r="K82" s="604">
        <f t="shared" si="41"/>
        <v>0</v>
      </c>
      <c r="L82" s="603">
        <f t="shared" si="42"/>
        <v>99.08</v>
      </c>
      <c r="M82" s="604">
        <f t="shared" si="43"/>
        <v>171.9</v>
      </c>
      <c r="N82" s="605">
        <f t="shared" si="44"/>
        <v>0</v>
      </c>
      <c r="O82" s="603">
        <f t="shared" si="45"/>
        <v>30321.200000000001</v>
      </c>
      <c r="P82" s="604">
        <f t="shared" si="46"/>
        <v>30485.84</v>
      </c>
      <c r="Q82" s="604">
        <f t="shared" si="47"/>
        <v>0</v>
      </c>
      <c r="R82" s="603">
        <f t="shared" si="48"/>
        <v>4854.92</v>
      </c>
      <c r="S82" s="604">
        <f t="shared" si="49"/>
        <v>8423.1</v>
      </c>
      <c r="T82" s="605">
        <f t="shared" si="50"/>
        <v>0</v>
      </c>
      <c r="U82" s="274"/>
      <c r="V82" s="274"/>
      <c r="Y82" s="267" t="s">
        <v>402</v>
      </c>
      <c r="Z82" s="267">
        <f t="shared" si="53"/>
        <v>181.85000000000002</v>
      </c>
      <c r="AA82" s="267">
        <f t="shared" si="54"/>
        <v>168.5</v>
      </c>
    </row>
    <row r="83" spans="1:36">
      <c r="A83" s="1488"/>
      <c r="B83" s="269" t="s">
        <v>384</v>
      </c>
      <c r="C83" s="603">
        <f t="shared" si="33"/>
        <v>1407.16</v>
      </c>
      <c r="D83" s="604">
        <f t="shared" si="34"/>
        <v>1692.28</v>
      </c>
      <c r="E83" s="604">
        <f t="shared" si="35"/>
        <v>0</v>
      </c>
      <c r="F83" s="603">
        <f t="shared" si="36"/>
        <v>102.14</v>
      </c>
      <c r="G83" s="604">
        <f t="shared" si="37"/>
        <v>476</v>
      </c>
      <c r="H83" s="605">
        <f t="shared" si="38"/>
        <v>0</v>
      </c>
      <c r="I83" s="603">
        <f t="shared" si="39"/>
        <v>0</v>
      </c>
      <c r="J83" s="604">
        <f t="shared" si="40"/>
        <v>0</v>
      </c>
      <c r="K83" s="604">
        <f t="shared" si="41"/>
        <v>0</v>
      </c>
      <c r="L83" s="603">
        <f t="shared" si="42"/>
        <v>0</v>
      </c>
      <c r="M83" s="604">
        <f t="shared" si="43"/>
        <v>0</v>
      </c>
      <c r="N83" s="605">
        <f t="shared" si="44"/>
        <v>0</v>
      </c>
      <c r="O83" s="603">
        <f t="shared" si="45"/>
        <v>68950.84</v>
      </c>
      <c r="P83" s="604">
        <f t="shared" si="46"/>
        <v>82921.72</v>
      </c>
      <c r="Q83" s="604">
        <f t="shared" si="47"/>
        <v>0</v>
      </c>
      <c r="R83" s="603">
        <f t="shared" si="48"/>
        <v>5004.8599999999997</v>
      </c>
      <c r="S83" s="604">
        <f t="shared" si="49"/>
        <v>23324</v>
      </c>
      <c r="T83" s="605">
        <f t="shared" si="50"/>
        <v>0</v>
      </c>
      <c r="U83" s="274"/>
      <c r="V83" s="274"/>
      <c r="Y83" s="267" t="s">
        <v>403</v>
      </c>
      <c r="Z83" s="267">
        <f t="shared" si="53"/>
        <v>161.75</v>
      </c>
      <c r="AA83" s="267">
        <f t="shared" si="54"/>
        <v>126.4</v>
      </c>
    </row>
    <row r="84" spans="1:36">
      <c r="A84" s="1488"/>
      <c r="B84" s="269" t="s">
        <v>385</v>
      </c>
      <c r="C84" s="603">
        <f t="shared" si="33"/>
        <v>1436.16</v>
      </c>
      <c r="D84" s="604">
        <f t="shared" si="34"/>
        <v>1733.66</v>
      </c>
      <c r="E84" s="604">
        <f t="shared" si="35"/>
        <v>0</v>
      </c>
      <c r="F84" s="603">
        <f t="shared" si="36"/>
        <v>730.9</v>
      </c>
      <c r="G84" s="604">
        <f t="shared" si="37"/>
        <v>535.14</v>
      </c>
      <c r="H84" s="605">
        <f t="shared" si="38"/>
        <v>0</v>
      </c>
      <c r="I84" s="603">
        <f t="shared" si="39"/>
        <v>0</v>
      </c>
      <c r="J84" s="604">
        <f t="shared" si="40"/>
        <v>0</v>
      </c>
      <c r="K84" s="604">
        <f t="shared" si="41"/>
        <v>0</v>
      </c>
      <c r="L84" s="603">
        <f t="shared" si="42"/>
        <v>0</v>
      </c>
      <c r="M84" s="604">
        <f t="shared" si="43"/>
        <v>0</v>
      </c>
      <c r="N84" s="605">
        <f t="shared" si="44"/>
        <v>0</v>
      </c>
      <c r="O84" s="603">
        <f t="shared" si="45"/>
        <v>70371.839999999997</v>
      </c>
      <c r="P84" s="604">
        <f t="shared" si="46"/>
        <v>84949.34</v>
      </c>
      <c r="Q84" s="604">
        <f t="shared" si="47"/>
        <v>0</v>
      </c>
      <c r="R84" s="603">
        <f t="shared" si="48"/>
        <v>35814.1</v>
      </c>
      <c r="S84" s="604">
        <f t="shared" si="49"/>
        <v>26221.86</v>
      </c>
      <c r="T84" s="605">
        <f t="shared" si="50"/>
        <v>0</v>
      </c>
      <c r="U84" s="274"/>
      <c r="V84" s="274"/>
      <c r="Y84" s="267" t="s">
        <v>408</v>
      </c>
      <c r="Z84" s="267">
        <f t="shared" si="53"/>
        <v>168.25</v>
      </c>
      <c r="AA84" s="267">
        <f t="shared" si="54"/>
        <v>106.4</v>
      </c>
    </row>
    <row r="85" spans="1:36">
      <c r="A85" s="1488"/>
      <c r="B85" s="269" t="s">
        <v>386</v>
      </c>
      <c r="C85" s="603">
        <f t="shared" si="33"/>
        <v>0</v>
      </c>
      <c r="D85" s="604">
        <f t="shared" si="34"/>
        <v>0</v>
      </c>
      <c r="E85" s="604">
        <f t="shared" si="35"/>
        <v>0</v>
      </c>
      <c r="F85" s="603">
        <f t="shared" si="36"/>
        <v>0</v>
      </c>
      <c r="G85" s="604">
        <f t="shared" si="37"/>
        <v>0</v>
      </c>
      <c r="H85" s="605">
        <f t="shared" si="38"/>
        <v>0</v>
      </c>
      <c r="I85" s="603">
        <f t="shared" si="39"/>
        <v>469.24</v>
      </c>
      <c r="J85" s="604">
        <f t="shared" si="40"/>
        <v>496.06</v>
      </c>
      <c r="K85" s="604">
        <f t="shared" si="41"/>
        <v>0</v>
      </c>
      <c r="L85" s="603">
        <f t="shared" si="42"/>
        <v>20.38</v>
      </c>
      <c r="M85" s="604">
        <f t="shared" si="43"/>
        <v>46.04</v>
      </c>
      <c r="N85" s="605">
        <f t="shared" si="44"/>
        <v>0</v>
      </c>
      <c r="O85" s="603">
        <f t="shared" si="45"/>
        <v>22992.76</v>
      </c>
      <c r="P85" s="604">
        <f t="shared" si="46"/>
        <v>24306.94</v>
      </c>
      <c r="Q85" s="604">
        <f t="shared" si="47"/>
        <v>0</v>
      </c>
      <c r="R85" s="603">
        <f t="shared" si="48"/>
        <v>998.62</v>
      </c>
      <c r="S85" s="604">
        <f t="shared" si="49"/>
        <v>2255.96</v>
      </c>
      <c r="T85" s="605">
        <f t="shared" si="50"/>
        <v>0</v>
      </c>
      <c r="U85" s="274"/>
      <c r="V85" s="274"/>
      <c r="Y85" s="267" t="s">
        <v>409</v>
      </c>
      <c r="Z85" s="267">
        <f t="shared" si="53"/>
        <v>138.69999999999999</v>
      </c>
      <c r="AA85" s="267">
        <f t="shared" si="54"/>
        <v>112.2</v>
      </c>
    </row>
    <row r="86" spans="1:36">
      <c r="A86" s="1487" t="s">
        <v>1023</v>
      </c>
      <c r="B86" s="269" t="s">
        <v>387</v>
      </c>
      <c r="C86" s="603">
        <f t="shared" si="33"/>
        <v>0</v>
      </c>
      <c r="D86" s="604">
        <f t="shared" si="34"/>
        <v>0</v>
      </c>
      <c r="E86" s="604">
        <f t="shared" si="35"/>
        <v>0</v>
      </c>
      <c r="F86" s="603">
        <f t="shared" si="36"/>
        <v>0</v>
      </c>
      <c r="G86" s="604">
        <f t="shared" si="37"/>
        <v>0</v>
      </c>
      <c r="H86" s="605">
        <f t="shared" si="38"/>
        <v>0</v>
      </c>
      <c r="I86" s="603">
        <f t="shared" si="39"/>
        <v>1048.6600000000001</v>
      </c>
      <c r="J86" s="604">
        <f t="shared" si="40"/>
        <v>1017.9</v>
      </c>
      <c r="K86" s="604">
        <f t="shared" si="41"/>
        <v>0</v>
      </c>
      <c r="L86" s="603">
        <f t="shared" si="42"/>
        <v>99.12</v>
      </c>
      <c r="M86" s="604">
        <f t="shared" si="43"/>
        <v>156.06</v>
      </c>
      <c r="N86" s="605">
        <f t="shared" si="44"/>
        <v>0</v>
      </c>
      <c r="O86" s="603">
        <f t="shared" si="45"/>
        <v>51384.34</v>
      </c>
      <c r="P86" s="604">
        <f t="shared" si="46"/>
        <v>49877.1</v>
      </c>
      <c r="Q86" s="604">
        <f t="shared" si="47"/>
        <v>0</v>
      </c>
      <c r="R86" s="603">
        <f t="shared" si="48"/>
        <v>4856.88</v>
      </c>
      <c r="S86" s="604">
        <f t="shared" si="49"/>
        <v>7646.94</v>
      </c>
      <c r="T86" s="605">
        <f t="shared" si="50"/>
        <v>0</v>
      </c>
      <c r="U86" s="274"/>
      <c r="V86" s="274"/>
      <c r="Y86" s="267" t="s">
        <v>372</v>
      </c>
      <c r="Z86" s="267">
        <f t="shared" si="53"/>
        <v>61.7</v>
      </c>
      <c r="AA86" s="267">
        <f t="shared" si="54"/>
        <v>45.3</v>
      </c>
    </row>
    <row r="87" spans="1:36">
      <c r="A87" s="1488"/>
      <c r="B87" s="269" t="s">
        <v>388</v>
      </c>
      <c r="C87" s="603">
        <f t="shared" si="33"/>
        <v>0</v>
      </c>
      <c r="D87" s="604">
        <f t="shared" si="34"/>
        <v>0</v>
      </c>
      <c r="E87" s="604">
        <f t="shared" si="35"/>
        <v>0</v>
      </c>
      <c r="F87" s="603">
        <f t="shared" si="36"/>
        <v>0</v>
      </c>
      <c r="G87" s="604">
        <f t="shared" si="37"/>
        <v>0</v>
      </c>
      <c r="H87" s="605">
        <f t="shared" si="38"/>
        <v>0</v>
      </c>
      <c r="I87" s="603">
        <f t="shared" si="39"/>
        <v>993.44</v>
      </c>
      <c r="J87" s="604">
        <f t="shared" si="40"/>
        <v>999.4</v>
      </c>
      <c r="K87" s="604">
        <f t="shared" si="41"/>
        <v>0</v>
      </c>
      <c r="L87" s="603">
        <f t="shared" si="42"/>
        <v>407.16</v>
      </c>
      <c r="M87" s="604">
        <f t="shared" si="43"/>
        <v>449.02</v>
      </c>
      <c r="N87" s="605">
        <f t="shared" si="44"/>
        <v>0</v>
      </c>
      <c r="O87" s="603">
        <f t="shared" si="45"/>
        <v>48678.559999999998</v>
      </c>
      <c r="P87" s="604">
        <f t="shared" si="46"/>
        <v>48970.6</v>
      </c>
      <c r="Q87" s="604">
        <f t="shared" si="47"/>
        <v>0</v>
      </c>
      <c r="R87" s="603">
        <f t="shared" si="48"/>
        <v>19950.84</v>
      </c>
      <c r="S87" s="604">
        <f t="shared" si="49"/>
        <v>22001.98</v>
      </c>
      <c r="T87" s="605">
        <f t="shared" si="50"/>
        <v>0</v>
      </c>
      <c r="U87" s="274"/>
      <c r="V87" s="274"/>
      <c r="Y87" s="267" t="s">
        <v>407</v>
      </c>
      <c r="Z87" s="267">
        <f t="shared" si="53"/>
        <v>56.849999999999994</v>
      </c>
      <c r="AA87" s="267">
        <f t="shared" si="54"/>
        <v>52.5</v>
      </c>
    </row>
    <row r="88" spans="1:36" ht="15" thickBot="1">
      <c r="A88" s="1488"/>
      <c r="B88" s="269" t="s">
        <v>389</v>
      </c>
      <c r="C88" s="603">
        <f t="shared" si="33"/>
        <v>542</v>
      </c>
      <c r="D88" s="604">
        <f t="shared" si="34"/>
        <v>540.84</v>
      </c>
      <c r="E88" s="604">
        <f t="shared" si="35"/>
        <v>0</v>
      </c>
      <c r="F88" s="603">
        <f t="shared" si="36"/>
        <v>25.900000000000002</v>
      </c>
      <c r="G88" s="604">
        <f t="shared" si="37"/>
        <v>95.88</v>
      </c>
      <c r="H88" s="605">
        <f t="shared" si="38"/>
        <v>0</v>
      </c>
      <c r="I88" s="603">
        <f t="shared" si="39"/>
        <v>0</v>
      </c>
      <c r="J88" s="604">
        <f t="shared" si="40"/>
        <v>0</v>
      </c>
      <c r="K88" s="604">
        <f t="shared" si="41"/>
        <v>0</v>
      </c>
      <c r="L88" s="603">
        <f t="shared" si="42"/>
        <v>0</v>
      </c>
      <c r="M88" s="604">
        <f t="shared" si="43"/>
        <v>0</v>
      </c>
      <c r="N88" s="605">
        <f t="shared" si="44"/>
        <v>0</v>
      </c>
      <c r="O88" s="603">
        <f t="shared" si="45"/>
        <v>26558</v>
      </c>
      <c r="P88" s="604">
        <f t="shared" si="46"/>
        <v>26501.16</v>
      </c>
      <c r="Q88" s="604">
        <f t="shared" si="47"/>
        <v>0</v>
      </c>
      <c r="R88" s="603">
        <f t="shared" si="48"/>
        <v>1269.0999999999999</v>
      </c>
      <c r="S88" s="604">
        <f t="shared" si="49"/>
        <v>4698.12</v>
      </c>
      <c r="T88" s="605">
        <f t="shared" si="50"/>
        <v>0</v>
      </c>
      <c r="U88" s="274"/>
      <c r="V88" s="274"/>
      <c r="W88" s="1550" t="s">
        <v>916</v>
      </c>
      <c r="X88" s="1550"/>
      <c r="Y88" s="1550"/>
      <c r="Z88" s="1550"/>
      <c r="AA88" s="1550"/>
      <c r="AB88" s="1550"/>
      <c r="AC88" s="1550"/>
      <c r="AD88" s="1550"/>
      <c r="AE88" s="1550"/>
      <c r="AF88" s="1550"/>
      <c r="AG88" s="1550"/>
      <c r="AH88" s="1550"/>
      <c r="AI88" s="1550"/>
    </row>
    <row r="89" spans="1:36">
      <c r="A89" s="1488"/>
      <c r="B89" s="269" t="s">
        <v>390</v>
      </c>
      <c r="C89" s="603">
        <f t="shared" si="33"/>
        <v>0</v>
      </c>
      <c r="D89" s="604">
        <f t="shared" si="34"/>
        <v>0</v>
      </c>
      <c r="E89" s="604">
        <f t="shared" si="35"/>
        <v>0</v>
      </c>
      <c r="F89" s="603">
        <f t="shared" si="36"/>
        <v>0</v>
      </c>
      <c r="G89" s="604">
        <f t="shared" si="37"/>
        <v>0</v>
      </c>
      <c r="H89" s="605">
        <f t="shared" si="38"/>
        <v>0</v>
      </c>
      <c r="I89" s="603">
        <f t="shared" si="39"/>
        <v>1112.8800000000001</v>
      </c>
      <c r="J89" s="604">
        <f t="shared" si="40"/>
        <v>952.62</v>
      </c>
      <c r="K89" s="604">
        <f t="shared" si="41"/>
        <v>0</v>
      </c>
      <c r="L89" s="603">
        <f t="shared" si="42"/>
        <v>94.7</v>
      </c>
      <c r="M89" s="604">
        <f t="shared" si="43"/>
        <v>182.46</v>
      </c>
      <c r="N89" s="605">
        <f t="shared" si="44"/>
        <v>0</v>
      </c>
      <c r="O89" s="603">
        <f t="shared" si="45"/>
        <v>54531.12</v>
      </c>
      <c r="P89" s="604">
        <f t="shared" si="46"/>
        <v>46678.38</v>
      </c>
      <c r="Q89" s="604">
        <f t="shared" si="47"/>
        <v>0</v>
      </c>
      <c r="R89" s="603">
        <f t="shared" si="48"/>
        <v>4640.3</v>
      </c>
      <c r="S89" s="604">
        <f t="shared" si="49"/>
        <v>8940.5399999999991</v>
      </c>
      <c r="T89" s="605">
        <f t="shared" si="50"/>
        <v>0</v>
      </c>
      <c r="U89" s="274"/>
      <c r="V89" s="274"/>
      <c r="W89" s="495"/>
      <c r="X89" s="495"/>
      <c r="Y89" s="495"/>
      <c r="Z89" s="1585" t="s">
        <v>416</v>
      </c>
      <c r="AA89" s="1586"/>
      <c r="AB89" s="1586"/>
      <c r="AC89" s="1586"/>
      <c r="AD89" s="1587"/>
      <c r="AE89" s="1585" t="s">
        <v>417</v>
      </c>
      <c r="AF89" s="1586"/>
      <c r="AG89" s="1586"/>
      <c r="AH89" s="1586"/>
      <c r="AI89" s="1587"/>
    </row>
    <row r="90" spans="1:36">
      <c r="A90" s="1488"/>
      <c r="B90" s="269" t="s">
        <v>391</v>
      </c>
      <c r="C90" s="603">
        <f t="shared" si="33"/>
        <v>0</v>
      </c>
      <c r="D90" s="604">
        <f t="shared" si="34"/>
        <v>0</v>
      </c>
      <c r="E90" s="604">
        <f t="shared" si="35"/>
        <v>0</v>
      </c>
      <c r="F90" s="603">
        <f t="shared" si="36"/>
        <v>0</v>
      </c>
      <c r="G90" s="604">
        <f t="shared" si="37"/>
        <v>0</v>
      </c>
      <c r="H90" s="605">
        <f t="shared" si="38"/>
        <v>0</v>
      </c>
      <c r="I90" s="603">
        <f t="shared" si="39"/>
        <v>608.62</v>
      </c>
      <c r="J90" s="604">
        <f t="shared" si="40"/>
        <v>740.06000000000006</v>
      </c>
      <c r="K90" s="604">
        <f t="shared" si="41"/>
        <v>0</v>
      </c>
      <c r="L90" s="603">
        <f t="shared" si="42"/>
        <v>41.84</v>
      </c>
      <c r="M90" s="604">
        <f t="shared" si="43"/>
        <v>193.9</v>
      </c>
      <c r="N90" s="605">
        <f t="shared" si="44"/>
        <v>0</v>
      </c>
      <c r="O90" s="603">
        <f t="shared" si="45"/>
        <v>29822.38</v>
      </c>
      <c r="P90" s="604">
        <f t="shared" si="46"/>
        <v>36262.94</v>
      </c>
      <c r="Q90" s="604">
        <f t="shared" si="47"/>
        <v>0</v>
      </c>
      <c r="R90" s="603">
        <f t="shared" si="48"/>
        <v>2050.16</v>
      </c>
      <c r="S90" s="604">
        <f t="shared" si="49"/>
        <v>9501.1</v>
      </c>
      <c r="T90" s="605">
        <f t="shared" si="50"/>
        <v>0</v>
      </c>
      <c r="U90" s="274"/>
      <c r="V90" s="274"/>
      <c r="W90" s="495"/>
      <c r="X90" s="495"/>
      <c r="Y90" s="495"/>
      <c r="Z90" s="496" t="s">
        <v>418</v>
      </c>
      <c r="AA90" s="497" t="s">
        <v>402</v>
      </c>
      <c r="AB90" s="497" t="s">
        <v>405</v>
      </c>
      <c r="AC90" s="497" t="s">
        <v>419</v>
      </c>
      <c r="AD90" s="498" t="s">
        <v>415</v>
      </c>
      <c r="AE90" s="496" t="s">
        <v>418</v>
      </c>
      <c r="AF90" s="497" t="s">
        <v>402</v>
      </c>
      <c r="AG90" s="497" t="s">
        <v>405</v>
      </c>
      <c r="AH90" s="497" t="s">
        <v>419</v>
      </c>
      <c r="AI90" s="498" t="s">
        <v>415</v>
      </c>
    </row>
    <row r="91" spans="1:36" ht="15" thickBot="1">
      <c r="A91" s="1488"/>
      <c r="B91" s="269" t="s">
        <v>392</v>
      </c>
      <c r="C91" s="606">
        <f t="shared" si="33"/>
        <v>0</v>
      </c>
      <c r="D91" s="607">
        <f t="shared" si="34"/>
        <v>0</v>
      </c>
      <c r="E91" s="607">
        <f t="shared" si="35"/>
        <v>0</v>
      </c>
      <c r="F91" s="606">
        <f t="shared" si="36"/>
        <v>0</v>
      </c>
      <c r="G91" s="607">
        <f t="shared" si="37"/>
        <v>0</v>
      </c>
      <c r="H91" s="608">
        <f t="shared" si="38"/>
        <v>0</v>
      </c>
      <c r="I91" s="606">
        <f t="shared" si="39"/>
        <v>335.26</v>
      </c>
      <c r="J91" s="607">
        <f t="shared" si="40"/>
        <v>318.22000000000003</v>
      </c>
      <c r="K91" s="607">
        <f t="shared" si="41"/>
        <v>0</v>
      </c>
      <c r="L91" s="606">
        <f t="shared" si="42"/>
        <v>28</v>
      </c>
      <c r="M91" s="607">
        <f t="shared" si="43"/>
        <v>45.94</v>
      </c>
      <c r="N91" s="608">
        <f t="shared" si="44"/>
        <v>0</v>
      </c>
      <c r="O91" s="606">
        <f t="shared" si="45"/>
        <v>16427.739999999998</v>
      </c>
      <c r="P91" s="607">
        <f t="shared" si="46"/>
        <v>15592.779999999999</v>
      </c>
      <c r="Q91" s="607">
        <f t="shared" si="47"/>
        <v>0</v>
      </c>
      <c r="R91" s="606">
        <f t="shared" si="48"/>
        <v>1372</v>
      </c>
      <c r="S91" s="607">
        <f t="shared" si="49"/>
        <v>2251.06</v>
      </c>
      <c r="T91" s="608">
        <f t="shared" si="50"/>
        <v>0</v>
      </c>
      <c r="U91" s="274"/>
      <c r="V91" s="274"/>
      <c r="W91" s="499" t="s">
        <v>420</v>
      </c>
      <c r="X91" s="495"/>
      <c r="Y91" s="500">
        <f>SUM(Z91:AI91)</f>
        <v>2238327</v>
      </c>
      <c r="Z91" s="501">
        <v>469897</v>
      </c>
      <c r="AA91" s="502">
        <v>295374</v>
      </c>
      <c r="AB91" s="502">
        <v>538107</v>
      </c>
      <c r="AC91" s="502">
        <v>311696</v>
      </c>
      <c r="AD91" s="503">
        <v>30915</v>
      </c>
      <c r="AE91" s="501">
        <v>158537</v>
      </c>
      <c r="AF91" s="502">
        <v>111382</v>
      </c>
      <c r="AG91" s="502">
        <v>135456</v>
      </c>
      <c r="AH91" s="502">
        <v>166701</v>
      </c>
      <c r="AI91" s="503">
        <v>20262</v>
      </c>
      <c r="AJ91" s="494">
        <f>SUM(Z91:AC91)+SUM(AE91:AH91)</f>
        <v>2187150</v>
      </c>
    </row>
    <row r="92" spans="1:36">
      <c r="A92" s="288"/>
      <c r="B92" s="269"/>
      <c r="C92" s="274"/>
      <c r="D92" s="274"/>
      <c r="E92" s="274"/>
      <c r="F92" s="274"/>
      <c r="G92" s="274"/>
      <c r="H92" s="274"/>
      <c r="I92" s="274"/>
      <c r="J92" s="274"/>
      <c r="K92" s="274"/>
      <c r="L92" s="274"/>
      <c r="M92" s="274"/>
      <c r="N92" s="274"/>
      <c r="O92" s="274"/>
      <c r="P92" s="274"/>
      <c r="R92" s="274"/>
      <c r="S92" s="274"/>
      <c r="T92" s="289"/>
      <c r="U92" s="329"/>
      <c r="V92" s="289"/>
      <c r="W92" s="499" t="s">
        <v>422</v>
      </c>
      <c r="X92" s="495"/>
      <c r="Y92" s="504">
        <v>243952.56200000003</v>
      </c>
      <c r="Z92" s="501">
        <v>58005.807999999997</v>
      </c>
      <c r="AA92" s="502">
        <v>35518.326000000001</v>
      </c>
      <c r="AB92" s="502">
        <v>67171.247000000003</v>
      </c>
      <c r="AC92" s="502">
        <v>43811.48</v>
      </c>
      <c r="AD92" s="503">
        <v>4475.4319999999998</v>
      </c>
      <c r="AE92" s="501">
        <v>7723.0150000000003</v>
      </c>
      <c r="AF92" s="502">
        <v>3890.058</v>
      </c>
      <c r="AG92" s="502">
        <v>6302.2330000000002</v>
      </c>
      <c r="AH92" s="502">
        <v>14586.558999999999</v>
      </c>
      <c r="AI92" s="503">
        <v>2468.404</v>
      </c>
      <c r="AJ92" s="494">
        <f>Z92+AA92+AB92+AC92+AE92+AF92+AG92+AH92</f>
        <v>237008.72600000002</v>
      </c>
    </row>
    <row r="93" spans="1:36" ht="15" thickBot="1">
      <c r="A93" s="288"/>
      <c r="B93" s="269"/>
      <c r="C93" s="274"/>
      <c r="D93" s="274"/>
      <c r="E93" s="274"/>
      <c r="F93" s="274"/>
      <c r="G93" s="274"/>
      <c r="H93" s="274"/>
      <c r="I93" s="274"/>
      <c r="J93" s="274"/>
      <c r="K93" s="274"/>
      <c r="L93" s="274"/>
      <c r="M93" s="274"/>
      <c r="N93" s="274"/>
      <c r="T93" s="289"/>
      <c r="U93" s="329"/>
      <c r="V93" s="289"/>
      <c r="W93" s="499" t="s">
        <v>421</v>
      </c>
      <c r="X93" s="495"/>
      <c r="Y93" s="504">
        <v>288295.22600000002</v>
      </c>
      <c r="Z93" s="505">
        <v>66605.092999999993</v>
      </c>
      <c r="AA93" s="506">
        <v>44816.82</v>
      </c>
      <c r="AB93" s="506">
        <v>87508.137000000002</v>
      </c>
      <c r="AC93" s="506">
        <v>44098.233</v>
      </c>
      <c r="AD93" s="507">
        <v>4668.1899999999996</v>
      </c>
      <c r="AE93" s="505">
        <v>10426.780000000001</v>
      </c>
      <c r="AF93" s="506">
        <v>6988.1270000000004</v>
      </c>
      <c r="AG93" s="506">
        <v>9882.6360000000004</v>
      </c>
      <c r="AH93" s="506">
        <v>11671.125</v>
      </c>
      <c r="AI93" s="507">
        <v>1630.085</v>
      </c>
    </row>
    <row r="94" spans="1:36">
      <c r="A94" s="288"/>
      <c r="B94" s="269"/>
      <c r="C94" s="274"/>
      <c r="D94" s="274"/>
      <c r="E94" s="274"/>
      <c r="F94" s="274"/>
      <c r="G94" s="274"/>
      <c r="H94" s="274"/>
      <c r="I94" s="274"/>
      <c r="J94" s="274"/>
      <c r="K94" s="274"/>
      <c r="L94" s="274"/>
      <c r="M94" s="274"/>
      <c r="N94" s="274"/>
      <c r="T94" s="289"/>
      <c r="U94" s="329"/>
      <c r="V94" s="289"/>
      <c r="W94" s="492" t="s">
        <v>912</v>
      </c>
      <c r="Z94" s="266">
        <f>Z92*1000/Z91</f>
        <v>123.44366531388793</v>
      </c>
      <c r="AA94" s="266">
        <f t="shared" ref="AA94:AI94" si="55">AA92*1000/AA91</f>
        <v>120.24865424851205</v>
      </c>
      <c r="AB94" s="266">
        <f t="shared" si="55"/>
        <v>124.82879241489147</v>
      </c>
      <c r="AC94" s="266">
        <f t="shared" si="55"/>
        <v>140.55836456034083</v>
      </c>
      <c r="AD94" s="266">
        <f t="shared" si="55"/>
        <v>144.76571243732815</v>
      </c>
      <c r="AE94" s="266">
        <f t="shared" si="55"/>
        <v>48.714274901127183</v>
      </c>
      <c r="AF94" s="266">
        <f t="shared" si="55"/>
        <v>34.925373938338332</v>
      </c>
      <c r="AG94" s="266">
        <f t="shared" si="55"/>
        <v>46.52605274037326</v>
      </c>
      <c r="AH94" s="266">
        <f t="shared" si="55"/>
        <v>87.501328726282381</v>
      </c>
      <c r="AI94" s="266">
        <f t="shared" si="55"/>
        <v>121.82430164840588</v>
      </c>
    </row>
    <row r="95" spans="1:36">
      <c r="A95" s="288"/>
      <c r="B95" s="269"/>
      <c r="V95" s="289"/>
      <c r="W95" s="492"/>
    </row>
    <row r="96" spans="1:36" ht="15" thickBot="1">
      <c r="A96" s="288"/>
      <c r="B96" s="269"/>
      <c r="C96" s="1579" t="s">
        <v>914</v>
      </c>
      <c r="D96" s="1579"/>
      <c r="E96" s="1579"/>
      <c r="F96" s="1579"/>
      <c r="G96" s="1579"/>
      <c r="H96" s="1579"/>
      <c r="I96" s="1579"/>
      <c r="J96" s="1579"/>
      <c r="K96" s="1579"/>
      <c r="L96" s="1579"/>
      <c r="M96" s="1579"/>
      <c r="N96" s="1579"/>
      <c r="O96" s="1579"/>
      <c r="P96" s="1579"/>
      <c r="Q96" s="1579"/>
      <c r="V96" s="289"/>
      <c r="W96" s="492"/>
      <c r="Z96" s="281">
        <f t="shared" ref="Z96:AI96" si="56">Z91*$N$58/$AJ$91</f>
        <v>486025.15668472671</v>
      </c>
      <c r="AA96" s="281">
        <f t="shared" si="56"/>
        <v>305512.04759893013</v>
      </c>
      <c r="AB96" s="281">
        <f t="shared" si="56"/>
        <v>556576.31137919205</v>
      </c>
      <c r="AC96" s="281">
        <f t="shared" si="56"/>
        <v>322394.26350456075</v>
      </c>
      <c r="AD96" s="281">
        <f t="shared" si="56"/>
        <v>31976.087778616005</v>
      </c>
      <c r="AE96" s="281">
        <f t="shared" si="56"/>
        <v>163978.42562375695</v>
      </c>
      <c r="AF96" s="281">
        <f t="shared" si="56"/>
        <v>115204.93640491051</v>
      </c>
      <c r="AG96" s="281">
        <f t="shared" si="56"/>
        <v>140105.22225910431</v>
      </c>
      <c r="AH96" s="281">
        <f t="shared" si="56"/>
        <v>172422.63654481861</v>
      </c>
      <c r="AI96" s="281">
        <f t="shared" si="56"/>
        <v>20957.447535834304</v>
      </c>
    </row>
    <row r="97" spans="1:35">
      <c r="C97" s="1564" t="s">
        <v>345</v>
      </c>
      <c r="D97" s="1565"/>
      <c r="E97" s="1565"/>
      <c r="F97" s="1565"/>
      <c r="G97" s="1564" t="s">
        <v>347</v>
      </c>
      <c r="H97" s="1565"/>
      <c r="I97" s="1565"/>
      <c r="J97" s="1565"/>
      <c r="K97" s="1564" t="s">
        <v>350</v>
      </c>
      <c r="L97" s="1565"/>
      <c r="M97" s="1565"/>
      <c r="N97" s="1565"/>
      <c r="O97" s="1566" t="s">
        <v>412</v>
      </c>
      <c r="P97" s="1552"/>
      <c r="Q97" s="1567"/>
      <c r="V97" s="289"/>
      <c r="W97" s="492"/>
      <c r="Z97" s="281">
        <f t="shared" ref="Z97:AI97" si="57">Z92*$N$58/$AJ$91</f>
        <v>59996.726775919342</v>
      </c>
      <c r="AA97" s="281">
        <f t="shared" si="57"/>
        <v>36737.412580478704</v>
      </c>
      <c r="AB97" s="281">
        <f t="shared" si="57"/>
        <v>69476.748836199171</v>
      </c>
      <c r="AC97" s="281">
        <f t="shared" si="57"/>
        <v>45315.210421836644</v>
      </c>
      <c r="AD97" s="281">
        <f t="shared" si="57"/>
        <v>4629.0411282298883</v>
      </c>
      <c r="AE97" s="281">
        <f t="shared" si="57"/>
        <v>7988.090103689733</v>
      </c>
      <c r="AF97" s="281">
        <f t="shared" si="57"/>
        <v>4023.5754834839859</v>
      </c>
      <c r="AG97" s="281">
        <f t="shared" si="57"/>
        <v>6518.5429600288044</v>
      </c>
      <c r="AH97" s="281">
        <f t="shared" si="57"/>
        <v>15087.209800160481</v>
      </c>
      <c r="AI97" s="281">
        <f t="shared" si="57"/>
        <v>2553.126410386119</v>
      </c>
    </row>
    <row r="98" spans="1:35">
      <c r="C98" s="273" t="s">
        <v>404</v>
      </c>
      <c r="D98" s="274" t="s">
        <v>405</v>
      </c>
      <c r="E98" s="274" t="s">
        <v>406</v>
      </c>
      <c r="F98" s="274" t="s">
        <v>407</v>
      </c>
      <c r="G98" s="273" t="s">
        <v>404</v>
      </c>
      <c r="H98" s="274" t="s">
        <v>405</v>
      </c>
      <c r="I98" s="274" t="s">
        <v>406</v>
      </c>
      <c r="J98" s="274" t="s">
        <v>407</v>
      </c>
      <c r="K98" s="273" t="s">
        <v>404</v>
      </c>
      <c r="L98" s="274" t="s">
        <v>405</v>
      </c>
      <c r="M98" s="274" t="s">
        <v>406</v>
      </c>
      <c r="N98" s="274" t="s">
        <v>407</v>
      </c>
      <c r="O98" s="290" t="s">
        <v>148</v>
      </c>
      <c r="P98" s="291" t="s">
        <v>149</v>
      </c>
      <c r="Q98" s="292" t="s">
        <v>177</v>
      </c>
      <c r="V98" s="289"/>
      <c r="W98" s="492"/>
    </row>
    <row r="99" spans="1:35">
      <c r="A99" s="1487" t="s">
        <v>1022</v>
      </c>
      <c r="B99" s="269" t="s">
        <v>374</v>
      </c>
      <c r="C99" s="603">
        <f t="shared" ref="C99:C117" si="58">C39*$E$184*$AJ$92/(1000*$N$119)</f>
        <v>4531.2272117592602</v>
      </c>
      <c r="D99" s="604">
        <f t="shared" ref="D99:D117" si="59">D39*$G$184*$AJ$92/(1000*$N$119)</f>
        <v>2626.6977881532839</v>
      </c>
      <c r="E99" s="604">
        <f t="shared" ref="E99:E117" si="60">E39*$H$184*$AJ$92/(1000*$N$119)</f>
        <v>1277.1242152587022</v>
      </c>
      <c r="F99" s="604">
        <f t="shared" ref="F99:F117" si="61">F39*$I$184/1000</f>
        <v>0</v>
      </c>
      <c r="G99" s="603">
        <f t="shared" ref="G99:G117" si="62">G39*$E$184*$AJ$92/(1000*$N$119)</f>
        <v>2121.536895545878</v>
      </c>
      <c r="H99" s="604">
        <f t="shared" ref="H99:H117" si="63">H39*$G$184*$AJ$92/(1000*$N$119)</f>
        <v>929.22745647625845</v>
      </c>
      <c r="I99" s="604">
        <f t="shared" ref="I99:I117" si="64">I39*$H$184/1000</f>
        <v>847.56693829885523</v>
      </c>
      <c r="J99" s="604">
        <f t="shared" ref="J99:J117" si="65">J39*$I$184/1000</f>
        <v>0</v>
      </c>
      <c r="K99" s="603">
        <f t="shared" ref="K99:K117" si="66">K39*$J$184*$AJ$92/(1000*$N$119)</f>
        <v>307.8794365386197</v>
      </c>
      <c r="L99" s="604">
        <f t="shared" ref="L99:L117" si="67">L39*$L$184*$AJ$92/(1000*$N$119)</f>
        <v>263.24034255459605</v>
      </c>
      <c r="M99" s="604">
        <f t="shared" ref="M99:M117" si="68">M39*$M$184*$AJ$92/(1000*$N$119)</f>
        <v>528.76887114876547</v>
      </c>
      <c r="N99" s="604">
        <f t="shared" ref="N99:N117" si="69">N39*$N$184/1000</f>
        <v>0</v>
      </c>
      <c r="O99" s="518">
        <f t="shared" ref="O99:Q117" si="70">O39</f>
        <v>0</v>
      </c>
      <c r="P99" s="519">
        <f t="shared" si="70"/>
        <v>0.02</v>
      </c>
      <c r="Q99" s="537">
        <f t="shared" si="70"/>
        <v>0.98</v>
      </c>
      <c r="S99" s="526">
        <f>O99*((C99+D99+E99)+(G99+H99+I99)+(K99+L99+M99))</f>
        <v>0</v>
      </c>
      <c r="T99" s="526">
        <f>P99*((C99+D99+E99)+(G99+H99+I99)+(K99+L99+M99))</f>
        <v>268.6653831146844</v>
      </c>
      <c r="V99" s="289"/>
      <c r="W99" s="492"/>
    </row>
    <row r="100" spans="1:35">
      <c r="A100" s="1488"/>
      <c r="B100" s="269" t="s">
        <v>375</v>
      </c>
      <c r="C100" s="603">
        <f t="shared" si="58"/>
        <v>5947.1110054505425</v>
      </c>
      <c r="D100" s="604">
        <f t="shared" si="59"/>
        <v>4473.6452403444837</v>
      </c>
      <c r="E100" s="604">
        <f t="shared" si="60"/>
        <v>3131.1274091705109</v>
      </c>
      <c r="F100" s="604">
        <f t="shared" si="61"/>
        <v>0</v>
      </c>
      <c r="G100" s="603">
        <f t="shared" si="62"/>
        <v>2954.6582722863841</v>
      </c>
      <c r="H100" s="604">
        <f t="shared" si="63"/>
        <v>2733.6212777271771</v>
      </c>
      <c r="I100" s="604">
        <f t="shared" si="64"/>
        <v>1993.2581678301933</v>
      </c>
      <c r="J100" s="604">
        <f t="shared" si="65"/>
        <v>0</v>
      </c>
      <c r="K100" s="603">
        <f t="shared" si="66"/>
        <v>652.38598249903907</v>
      </c>
      <c r="L100" s="604">
        <f t="shared" si="67"/>
        <v>509.99465550928613</v>
      </c>
      <c r="M100" s="604">
        <f t="shared" si="68"/>
        <v>1655.4591290915271</v>
      </c>
      <c r="N100" s="604">
        <f t="shared" si="69"/>
        <v>0</v>
      </c>
      <c r="O100" s="518">
        <f t="shared" si="70"/>
        <v>0</v>
      </c>
      <c r="P100" s="519">
        <f t="shared" si="70"/>
        <v>0.02</v>
      </c>
      <c r="Q100" s="537">
        <f t="shared" si="70"/>
        <v>0.98</v>
      </c>
      <c r="S100" s="526">
        <f t="shared" ref="S100:S117" si="71">O100*((C100+D100+E100)+(G100+H100+I100)+(K100+L100+M100))</f>
        <v>0</v>
      </c>
      <c r="T100" s="526">
        <f t="shared" ref="T100:T117" si="72">P100*((C100+D100+E100)+(G100+H100+I100)+(K100+L100+M100))</f>
        <v>481.02522279818288</v>
      </c>
      <c r="V100" s="289"/>
      <c r="W100" s="492"/>
    </row>
    <row r="101" spans="1:35">
      <c r="A101" s="1488"/>
      <c r="B101" s="269" t="s">
        <v>376</v>
      </c>
      <c r="C101" s="603">
        <f t="shared" si="58"/>
        <v>1533.4926440003817</v>
      </c>
      <c r="D101" s="604">
        <f t="shared" si="59"/>
        <v>1009.180334890818</v>
      </c>
      <c r="E101" s="604">
        <f t="shared" si="60"/>
        <v>580.25332925355747</v>
      </c>
      <c r="F101" s="604">
        <f t="shared" si="61"/>
        <v>0</v>
      </c>
      <c r="G101" s="603">
        <f t="shared" si="62"/>
        <v>3080.1311874365106</v>
      </c>
      <c r="H101" s="604">
        <f t="shared" si="63"/>
        <v>1899.4502419147047</v>
      </c>
      <c r="I101" s="604">
        <f t="shared" si="64"/>
        <v>948.62840241774029</v>
      </c>
      <c r="J101" s="604">
        <f t="shared" si="65"/>
        <v>0</v>
      </c>
      <c r="K101" s="603">
        <f t="shared" si="66"/>
        <v>5807.5351890498287</v>
      </c>
      <c r="L101" s="604">
        <f t="shared" si="67"/>
        <v>2186.3870746086673</v>
      </c>
      <c r="M101" s="604">
        <f t="shared" si="68"/>
        <v>3584.587448288175</v>
      </c>
      <c r="N101" s="604">
        <f t="shared" si="69"/>
        <v>0</v>
      </c>
      <c r="O101" s="518">
        <f t="shared" si="70"/>
        <v>0.02</v>
      </c>
      <c r="P101" s="519">
        <f t="shared" si="70"/>
        <v>0</v>
      </c>
      <c r="Q101" s="537">
        <f t="shared" si="70"/>
        <v>0.98</v>
      </c>
      <c r="S101" s="526">
        <f t="shared" si="71"/>
        <v>412.59291703720766</v>
      </c>
      <c r="T101" s="526">
        <f t="shared" si="72"/>
        <v>0</v>
      </c>
      <c r="V101" s="289"/>
      <c r="W101" s="492"/>
    </row>
    <row r="102" spans="1:35">
      <c r="A102" s="1488"/>
      <c r="B102" s="269" t="s">
        <v>377</v>
      </c>
      <c r="C102" s="603">
        <f t="shared" si="58"/>
        <v>4664.9163140567298</v>
      </c>
      <c r="D102" s="604">
        <f t="shared" si="59"/>
        <v>2774.4967373064342</v>
      </c>
      <c r="E102" s="604">
        <f t="shared" si="60"/>
        <v>940.36402533369028</v>
      </c>
      <c r="F102" s="604">
        <f t="shared" si="61"/>
        <v>0</v>
      </c>
      <c r="G102" s="603">
        <f t="shared" si="62"/>
        <v>584.17090617603515</v>
      </c>
      <c r="H102" s="604">
        <f t="shared" si="63"/>
        <v>476.12118899944517</v>
      </c>
      <c r="I102" s="604">
        <f t="shared" si="64"/>
        <v>639.82167547867141</v>
      </c>
      <c r="J102" s="604">
        <f t="shared" si="65"/>
        <v>0</v>
      </c>
      <c r="K102" s="603">
        <f t="shared" si="66"/>
        <v>144.94172896048619</v>
      </c>
      <c r="L102" s="604">
        <f t="shared" si="67"/>
        <v>138.72390760896482</v>
      </c>
      <c r="M102" s="604">
        <f t="shared" si="68"/>
        <v>286.52500407075962</v>
      </c>
      <c r="N102" s="604">
        <f t="shared" si="69"/>
        <v>0</v>
      </c>
      <c r="O102" s="518">
        <f t="shared" si="70"/>
        <v>0</v>
      </c>
      <c r="P102" s="519">
        <f t="shared" si="70"/>
        <v>0.02</v>
      </c>
      <c r="Q102" s="537">
        <f t="shared" si="70"/>
        <v>0.98</v>
      </c>
      <c r="S102" s="526">
        <f t="shared" si="71"/>
        <v>0</v>
      </c>
      <c r="T102" s="526">
        <f t="shared" si="72"/>
        <v>213.00162975982437</v>
      </c>
      <c r="W102" s="492"/>
    </row>
    <row r="103" spans="1:35">
      <c r="A103" s="1488"/>
      <c r="B103" s="269" t="s">
        <v>378</v>
      </c>
      <c r="C103" s="603">
        <f t="shared" si="58"/>
        <v>4718.4389046165588</v>
      </c>
      <c r="D103" s="604">
        <f t="shared" si="59"/>
        <v>2484.1730918490689</v>
      </c>
      <c r="E103" s="604">
        <f t="shared" si="60"/>
        <v>989.49457007625722</v>
      </c>
      <c r="F103" s="604">
        <f t="shared" si="61"/>
        <v>0</v>
      </c>
      <c r="G103" s="603">
        <f t="shared" si="62"/>
        <v>789.10608845117224</v>
      </c>
      <c r="H103" s="604">
        <f t="shared" si="63"/>
        <v>428.41317459315633</v>
      </c>
      <c r="I103" s="604">
        <f t="shared" si="64"/>
        <v>631.38817360505095</v>
      </c>
      <c r="J103" s="604">
        <f t="shared" si="65"/>
        <v>0</v>
      </c>
      <c r="K103" s="603">
        <f t="shared" si="66"/>
        <v>100.77748025882475</v>
      </c>
      <c r="L103" s="604">
        <f t="shared" si="67"/>
        <v>96.592943075871815</v>
      </c>
      <c r="M103" s="604">
        <f t="shared" si="68"/>
        <v>287.78537798895945</v>
      </c>
      <c r="N103" s="604">
        <f t="shared" si="69"/>
        <v>0</v>
      </c>
      <c r="O103" s="518">
        <f t="shared" si="70"/>
        <v>0</v>
      </c>
      <c r="P103" s="519">
        <f t="shared" si="70"/>
        <v>0.02</v>
      </c>
      <c r="Q103" s="537">
        <f t="shared" si="70"/>
        <v>0.98</v>
      </c>
      <c r="S103" s="526">
        <f t="shared" si="71"/>
        <v>0</v>
      </c>
      <c r="T103" s="526">
        <f t="shared" si="72"/>
        <v>210.52339609029838</v>
      </c>
      <c r="W103" s="492"/>
    </row>
    <row r="104" spans="1:35">
      <c r="A104" s="1488"/>
      <c r="B104" s="269" t="s">
        <v>379</v>
      </c>
      <c r="C104" s="603">
        <f t="shared" si="58"/>
        <v>4573.0123921086006</v>
      </c>
      <c r="D104" s="604">
        <f t="shared" si="59"/>
        <v>2640.2430284244156</v>
      </c>
      <c r="E104" s="604">
        <f t="shared" si="60"/>
        <v>1409.9386548924545</v>
      </c>
      <c r="F104" s="604">
        <f t="shared" si="61"/>
        <v>0</v>
      </c>
      <c r="G104" s="603">
        <f t="shared" si="62"/>
        <v>1349.9195483083345</v>
      </c>
      <c r="H104" s="604">
        <f t="shared" si="63"/>
        <v>957.27689208196614</v>
      </c>
      <c r="I104" s="604">
        <f t="shared" si="64"/>
        <v>882.84708780350081</v>
      </c>
      <c r="J104" s="604">
        <f t="shared" si="65"/>
        <v>0</v>
      </c>
      <c r="K104" s="603">
        <f t="shared" si="66"/>
        <v>265.70533135467451</v>
      </c>
      <c r="L104" s="604">
        <f t="shared" si="67"/>
        <v>305.81808295760521</v>
      </c>
      <c r="M104" s="604">
        <f t="shared" si="68"/>
        <v>619.26371847551275</v>
      </c>
      <c r="N104" s="604">
        <f t="shared" si="69"/>
        <v>0</v>
      </c>
      <c r="O104" s="518">
        <f t="shared" si="70"/>
        <v>0</v>
      </c>
      <c r="P104" s="519">
        <f t="shared" si="70"/>
        <v>0.02</v>
      </c>
      <c r="Q104" s="537">
        <f t="shared" si="70"/>
        <v>0.98</v>
      </c>
      <c r="S104" s="526">
        <f t="shared" si="71"/>
        <v>0</v>
      </c>
      <c r="T104" s="526">
        <f t="shared" si="72"/>
        <v>260.08049472814133</v>
      </c>
      <c r="W104" s="492"/>
    </row>
    <row r="105" spans="1:35">
      <c r="A105" s="1488"/>
      <c r="B105" s="269" t="s">
        <v>380</v>
      </c>
      <c r="C105" s="603">
        <f t="shared" si="58"/>
        <v>4054.6883572134088</v>
      </c>
      <c r="D105" s="604">
        <f t="shared" si="59"/>
        <v>2046.5299747702736</v>
      </c>
      <c r="E105" s="604">
        <f t="shared" si="60"/>
        <v>1192.0905801273364</v>
      </c>
      <c r="F105" s="604">
        <f t="shared" si="61"/>
        <v>0</v>
      </c>
      <c r="G105" s="603">
        <f t="shared" si="62"/>
        <v>1450.3917797101199</v>
      </c>
      <c r="H105" s="604">
        <f t="shared" si="63"/>
        <v>827.09874221958</v>
      </c>
      <c r="I105" s="604">
        <f t="shared" si="64"/>
        <v>884.95546327190596</v>
      </c>
      <c r="J105" s="604">
        <f t="shared" si="65"/>
        <v>0</v>
      </c>
      <c r="K105" s="603">
        <f t="shared" si="66"/>
        <v>172.29561645931005</v>
      </c>
      <c r="L105" s="604">
        <f t="shared" si="67"/>
        <v>222.31567287027664</v>
      </c>
      <c r="M105" s="604">
        <f t="shared" si="68"/>
        <v>527.50849723056569</v>
      </c>
      <c r="N105" s="604">
        <f t="shared" si="69"/>
        <v>0</v>
      </c>
      <c r="O105" s="518">
        <f t="shared" si="70"/>
        <v>0</v>
      </c>
      <c r="P105" s="519">
        <f t="shared" si="70"/>
        <v>0.02</v>
      </c>
      <c r="Q105" s="537">
        <f t="shared" si="70"/>
        <v>0.98</v>
      </c>
      <c r="S105" s="526">
        <f t="shared" si="71"/>
        <v>0</v>
      </c>
      <c r="T105" s="526">
        <f t="shared" si="72"/>
        <v>227.55749367745554</v>
      </c>
      <c r="W105" s="492"/>
    </row>
    <row r="106" spans="1:35">
      <c r="A106" s="1488"/>
      <c r="B106" s="269" t="s">
        <v>381</v>
      </c>
      <c r="C106" s="603">
        <f t="shared" si="58"/>
        <v>3993.0669536083415</v>
      </c>
      <c r="D106" s="604">
        <f t="shared" si="59"/>
        <v>1817.0999758415383</v>
      </c>
      <c r="E106" s="604">
        <f t="shared" si="60"/>
        <v>798.37135206671144</v>
      </c>
      <c r="F106" s="604">
        <f t="shared" si="61"/>
        <v>0</v>
      </c>
      <c r="G106" s="603">
        <f t="shared" si="62"/>
        <v>817.98011756897506</v>
      </c>
      <c r="H106" s="604">
        <f t="shared" si="63"/>
        <v>478.03909912633111</v>
      </c>
      <c r="I106" s="604">
        <f t="shared" si="64"/>
        <v>469.18382090241772</v>
      </c>
      <c r="J106" s="604">
        <f t="shared" si="65"/>
        <v>0</v>
      </c>
      <c r="K106" s="603">
        <f t="shared" si="66"/>
        <v>201.89370835045227</v>
      </c>
      <c r="L106" s="604">
        <f t="shared" si="67"/>
        <v>135.95389721548469</v>
      </c>
      <c r="M106" s="604">
        <f t="shared" si="68"/>
        <v>260.81337613948324</v>
      </c>
      <c r="N106" s="604">
        <f t="shared" si="69"/>
        <v>0</v>
      </c>
      <c r="O106" s="518">
        <f t="shared" si="70"/>
        <v>0</v>
      </c>
      <c r="P106" s="519">
        <f t="shared" si="70"/>
        <v>0.02</v>
      </c>
      <c r="Q106" s="537">
        <f t="shared" si="70"/>
        <v>0.98</v>
      </c>
      <c r="S106" s="526">
        <f t="shared" si="71"/>
        <v>0</v>
      </c>
      <c r="T106" s="526">
        <f t="shared" si="72"/>
        <v>179.4480460163947</v>
      </c>
      <c r="W106" s="492"/>
    </row>
    <row r="107" spans="1:35">
      <c r="A107" s="1488"/>
      <c r="B107" s="269" t="s">
        <v>382</v>
      </c>
      <c r="C107" s="603">
        <f t="shared" si="58"/>
        <v>2474.4808205752806</v>
      </c>
      <c r="D107" s="604">
        <f t="shared" si="59"/>
        <v>1395.8789642242043</v>
      </c>
      <c r="E107" s="604">
        <f t="shared" si="60"/>
        <v>876.38633794913892</v>
      </c>
      <c r="F107" s="604">
        <f t="shared" si="61"/>
        <v>0</v>
      </c>
      <c r="G107" s="603">
        <f t="shared" si="62"/>
        <v>216.67259248562607</v>
      </c>
      <c r="H107" s="604">
        <f t="shared" si="63"/>
        <v>278.21683778139783</v>
      </c>
      <c r="I107" s="604">
        <f t="shared" si="64"/>
        <v>321.45697974949945</v>
      </c>
      <c r="J107" s="604">
        <f t="shared" si="65"/>
        <v>0</v>
      </c>
      <c r="K107" s="603">
        <f t="shared" si="66"/>
        <v>51.066235795017917</v>
      </c>
      <c r="L107" s="604">
        <f t="shared" si="67"/>
        <v>56.338437196426618</v>
      </c>
      <c r="M107" s="604">
        <f t="shared" si="68"/>
        <v>131.66706198794145</v>
      </c>
      <c r="N107" s="604">
        <f t="shared" si="69"/>
        <v>0</v>
      </c>
      <c r="O107" s="518">
        <f t="shared" si="70"/>
        <v>0</v>
      </c>
      <c r="P107" s="519">
        <f t="shared" si="70"/>
        <v>0.02</v>
      </c>
      <c r="Q107" s="537">
        <f t="shared" si="70"/>
        <v>0.98</v>
      </c>
      <c r="S107" s="526">
        <f t="shared" si="71"/>
        <v>0</v>
      </c>
      <c r="T107" s="526">
        <f t="shared" si="72"/>
        <v>116.04328535489067</v>
      </c>
      <c r="W107" s="492"/>
    </row>
    <row r="108" spans="1:35">
      <c r="A108" s="1488"/>
      <c r="B108" s="269" t="s">
        <v>383</v>
      </c>
      <c r="C108" s="603">
        <f t="shared" si="58"/>
        <v>2748.431974888093</v>
      </c>
      <c r="D108" s="604">
        <f t="shared" si="59"/>
        <v>1648.9232315902234</v>
      </c>
      <c r="E108" s="604">
        <f t="shared" si="60"/>
        <v>1112.8608280287465</v>
      </c>
      <c r="F108" s="604">
        <f t="shared" si="61"/>
        <v>0</v>
      </c>
      <c r="G108" s="603">
        <f t="shared" si="62"/>
        <v>883.12274423718873</v>
      </c>
      <c r="H108" s="604">
        <f t="shared" si="63"/>
        <v>531.62071329620824</v>
      </c>
      <c r="I108" s="604">
        <f t="shared" si="64"/>
        <v>656.68867922591244</v>
      </c>
      <c r="J108" s="604">
        <f t="shared" si="65"/>
        <v>0</v>
      </c>
      <c r="K108" s="603">
        <f t="shared" si="66"/>
        <v>209.76959546311673</v>
      </c>
      <c r="L108" s="604">
        <f t="shared" si="67"/>
        <v>168.300470197414</v>
      </c>
      <c r="M108" s="604">
        <f t="shared" si="68"/>
        <v>405.67235180458289</v>
      </c>
      <c r="N108" s="604">
        <f t="shared" si="69"/>
        <v>0</v>
      </c>
      <c r="O108" s="518">
        <f t="shared" si="70"/>
        <v>0</v>
      </c>
      <c r="P108" s="519">
        <f t="shared" si="70"/>
        <v>0.02</v>
      </c>
      <c r="Q108" s="537">
        <f t="shared" si="70"/>
        <v>0.98</v>
      </c>
      <c r="S108" s="526">
        <f t="shared" si="71"/>
        <v>0</v>
      </c>
      <c r="T108" s="526">
        <f t="shared" si="72"/>
        <v>167.3078117746297</v>
      </c>
      <c r="W108" s="492"/>
    </row>
    <row r="109" spans="1:35">
      <c r="A109" s="1488"/>
      <c r="B109" s="269" t="s">
        <v>384</v>
      </c>
      <c r="C109" s="603">
        <f t="shared" si="58"/>
        <v>5716.1187725081199</v>
      </c>
      <c r="D109" s="604">
        <f t="shared" si="59"/>
        <v>4860.3438696778712</v>
      </c>
      <c r="E109" s="604">
        <f t="shared" si="60"/>
        <v>3103.8626563188668</v>
      </c>
      <c r="F109" s="604">
        <f t="shared" si="61"/>
        <v>0</v>
      </c>
      <c r="G109" s="603">
        <f t="shared" si="62"/>
        <v>2542.0883033876971</v>
      </c>
      <c r="H109" s="604">
        <f t="shared" si="63"/>
        <v>1191.0221887961952</v>
      </c>
      <c r="I109" s="604">
        <f t="shared" si="64"/>
        <v>1565.1173893793953</v>
      </c>
      <c r="J109" s="604">
        <f t="shared" si="65"/>
        <v>0</v>
      </c>
      <c r="K109" s="603">
        <f t="shared" si="66"/>
        <v>216.24814776546972</v>
      </c>
      <c r="L109" s="604">
        <f t="shared" si="67"/>
        <v>390.21404478476614</v>
      </c>
      <c r="M109" s="604">
        <f t="shared" si="68"/>
        <v>1265.9195634399018</v>
      </c>
      <c r="N109" s="604">
        <f t="shared" si="69"/>
        <v>0</v>
      </c>
      <c r="O109" s="518">
        <f t="shared" si="70"/>
        <v>0.02</v>
      </c>
      <c r="P109" s="519">
        <f t="shared" si="70"/>
        <v>0</v>
      </c>
      <c r="Q109" s="537">
        <f t="shared" si="70"/>
        <v>0.98</v>
      </c>
      <c r="S109" s="526">
        <f t="shared" si="71"/>
        <v>417.01869872116555</v>
      </c>
      <c r="T109" s="526">
        <f t="shared" si="72"/>
        <v>0</v>
      </c>
      <c r="W109" s="492"/>
    </row>
    <row r="110" spans="1:35">
      <c r="A110" s="1488"/>
      <c r="B110" s="269" t="s">
        <v>385</v>
      </c>
      <c r="C110" s="603">
        <f t="shared" si="58"/>
        <v>6224.3486346222908</v>
      </c>
      <c r="D110" s="604">
        <f t="shared" si="59"/>
        <v>4420.3033649404679</v>
      </c>
      <c r="E110" s="604">
        <f t="shared" si="60"/>
        <v>2821.6319720971437</v>
      </c>
      <c r="F110" s="604">
        <f t="shared" si="61"/>
        <v>0</v>
      </c>
      <c r="G110" s="603">
        <f t="shared" si="62"/>
        <v>2204.0508893256151</v>
      </c>
      <c r="H110" s="604">
        <f t="shared" si="63"/>
        <v>1851.0230112108338</v>
      </c>
      <c r="I110" s="604">
        <f t="shared" si="64"/>
        <v>1891.9155869821875</v>
      </c>
      <c r="J110" s="604">
        <f t="shared" si="65"/>
        <v>0</v>
      </c>
      <c r="K110" s="603">
        <f t="shared" si="66"/>
        <v>1547.4424437221642</v>
      </c>
      <c r="L110" s="604">
        <f t="shared" si="67"/>
        <v>659.66457193119663</v>
      </c>
      <c r="M110" s="604">
        <f t="shared" si="68"/>
        <v>1007.6269351368182</v>
      </c>
      <c r="N110" s="604">
        <f t="shared" si="69"/>
        <v>0</v>
      </c>
      <c r="O110" s="518">
        <f t="shared" si="70"/>
        <v>0.02</v>
      </c>
      <c r="P110" s="519">
        <f t="shared" si="70"/>
        <v>0</v>
      </c>
      <c r="Q110" s="537">
        <f t="shared" si="70"/>
        <v>0.98</v>
      </c>
      <c r="S110" s="526">
        <f t="shared" si="71"/>
        <v>452.5601481993744</v>
      </c>
      <c r="T110" s="526">
        <f t="shared" si="72"/>
        <v>0</v>
      </c>
      <c r="W110" s="492"/>
    </row>
    <row r="111" spans="1:35">
      <c r="A111" s="1488"/>
      <c r="B111" s="269" t="s">
        <v>386</v>
      </c>
      <c r="C111" s="603">
        <f t="shared" si="58"/>
        <v>2374.1259632756005</v>
      </c>
      <c r="D111" s="604">
        <f t="shared" si="59"/>
        <v>1559.2609331583037</v>
      </c>
      <c r="E111" s="604">
        <f t="shared" si="60"/>
        <v>865.58841602769576</v>
      </c>
      <c r="F111" s="604">
        <f t="shared" si="61"/>
        <v>0</v>
      </c>
      <c r="G111" s="603">
        <f t="shared" si="62"/>
        <v>379.70522030931761</v>
      </c>
      <c r="H111" s="604">
        <f t="shared" si="63"/>
        <v>299.433718560074</v>
      </c>
      <c r="I111" s="604">
        <f t="shared" si="64"/>
        <v>405.37032339202301</v>
      </c>
      <c r="J111" s="604">
        <f t="shared" si="65"/>
        <v>0</v>
      </c>
      <c r="K111" s="603">
        <f t="shared" si="66"/>
        <v>43.148005203253113</v>
      </c>
      <c r="L111" s="604">
        <f t="shared" si="67"/>
        <v>28.638333261625267</v>
      </c>
      <c r="M111" s="604">
        <f t="shared" si="68"/>
        <v>139.56540520866034</v>
      </c>
      <c r="N111" s="604">
        <f t="shared" si="69"/>
        <v>0</v>
      </c>
      <c r="O111" s="518">
        <f t="shared" si="70"/>
        <v>0</v>
      </c>
      <c r="P111" s="519">
        <f t="shared" si="70"/>
        <v>0.02</v>
      </c>
      <c r="Q111" s="537">
        <f t="shared" si="70"/>
        <v>0.98</v>
      </c>
      <c r="S111" s="526">
        <f t="shared" si="71"/>
        <v>0</v>
      </c>
      <c r="T111" s="526">
        <f t="shared" si="72"/>
        <v>121.89672636793107</v>
      </c>
      <c r="W111" s="492"/>
    </row>
    <row r="112" spans="1:35">
      <c r="A112" s="1487" t="s">
        <v>1023</v>
      </c>
      <c r="B112" s="269" t="s">
        <v>387</v>
      </c>
      <c r="C112" s="603">
        <f t="shared" si="58"/>
        <v>4627.5913495873738</v>
      </c>
      <c r="D112" s="604">
        <f t="shared" si="59"/>
        <v>3147.1706488369668</v>
      </c>
      <c r="E112" s="604">
        <f t="shared" si="60"/>
        <v>1477.5606409254929</v>
      </c>
      <c r="F112" s="604">
        <f t="shared" si="61"/>
        <v>0</v>
      </c>
      <c r="G112" s="603">
        <f t="shared" si="62"/>
        <v>1526.684946078298</v>
      </c>
      <c r="H112" s="604">
        <f t="shared" si="63"/>
        <v>650.41127178020884</v>
      </c>
      <c r="I112" s="604">
        <f t="shared" si="64"/>
        <v>1161.9959998203376</v>
      </c>
      <c r="J112" s="604">
        <f t="shared" si="65"/>
        <v>0</v>
      </c>
      <c r="K112" s="603">
        <f t="shared" si="66"/>
        <v>209.85428242131744</v>
      </c>
      <c r="L112" s="604">
        <f t="shared" si="67"/>
        <v>172.90226165755035</v>
      </c>
      <c r="M112" s="604">
        <f t="shared" si="68"/>
        <v>330.47004135199347</v>
      </c>
      <c r="N112" s="604">
        <f t="shared" si="69"/>
        <v>0</v>
      </c>
      <c r="O112" s="518">
        <f t="shared" si="70"/>
        <v>0</v>
      </c>
      <c r="P112" s="519">
        <f t="shared" si="70"/>
        <v>0.02</v>
      </c>
      <c r="Q112" s="537">
        <f t="shared" si="70"/>
        <v>0.98</v>
      </c>
      <c r="S112" s="526">
        <f t="shared" si="71"/>
        <v>0</v>
      </c>
      <c r="T112" s="526">
        <f t="shared" si="72"/>
        <v>266.09282884919077</v>
      </c>
      <c r="W112" s="492"/>
    </row>
    <row r="113" spans="1:33">
      <c r="A113" s="1488"/>
      <c r="B113" s="269" t="s">
        <v>388</v>
      </c>
      <c r="C113" s="603">
        <f t="shared" si="58"/>
        <v>3664.6542159188607</v>
      </c>
      <c r="D113" s="604">
        <f t="shared" si="59"/>
        <v>2832.6333880276657</v>
      </c>
      <c r="E113" s="604">
        <f t="shared" si="60"/>
        <v>1354.8692530930939</v>
      </c>
      <c r="F113" s="604">
        <f t="shared" si="61"/>
        <v>0</v>
      </c>
      <c r="G113" s="603">
        <f t="shared" si="62"/>
        <v>2165.5521838352115</v>
      </c>
      <c r="H113" s="604">
        <f t="shared" si="63"/>
        <v>1055.8095248507334</v>
      </c>
      <c r="I113" s="604">
        <f t="shared" si="64"/>
        <v>1053.2038256506337</v>
      </c>
      <c r="J113" s="604">
        <f t="shared" si="65"/>
        <v>0</v>
      </c>
      <c r="K113" s="603">
        <f t="shared" si="66"/>
        <v>862.02854752485473</v>
      </c>
      <c r="L113" s="604">
        <f t="shared" si="67"/>
        <v>434.31082314549019</v>
      </c>
      <c r="M113" s="604">
        <f t="shared" si="68"/>
        <v>1069.6373319122492</v>
      </c>
      <c r="N113" s="604">
        <f t="shared" si="69"/>
        <v>0</v>
      </c>
      <c r="O113" s="518">
        <f t="shared" si="70"/>
        <v>0</v>
      </c>
      <c r="P113" s="519">
        <f t="shared" si="70"/>
        <v>0.02</v>
      </c>
      <c r="Q113" s="537">
        <f t="shared" si="70"/>
        <v>0.98</v>
      </c>
      <c r="S113" s="526">
        <f t="shared" si="71"/>
        <v>0</v>
      </c>
      <c r="T113" s="526">
        <f t="shared" si="72"/>
        <v>289.85398187917588</v>
      </c>
      <c r="W113" s="492"/>
    </row>
    <row r="114" spans="1:33">
      <c r="A114" s="1488"/>
      <c r="B114" s="269" t="s">
        <v>389</v>
      </c>
      <c r="C114" s="603">
        <f t="shared" si="58"/>
        <v>2633.1706066210918</v>
      </c>
      <c r="D114" s="604">
        <f t="shared" si="59"/>
        <v>1873.918063350535</v>
      </c>
      <c r="E114" s="604">
        <f t="shared" si="60"/>
        <v>726.83511933714976</v>
      </c>
      <c r="F114" s="604">
        <f t="shared" si="61"/>
        <v>0</v>
      </c>
      <c r="G114" s="603">
        <f t="shared" si="62"/>
        <v>547.66756042141446</v>
      </c>
      <c r="H114" s="604">
        <f t="shared" si="63"/>
        <v>391.25366588474043</v>
      </c>
      <c r="I114" s="604">
        <f t="shared" si="64"/>
        <v>387.9410861865407</v>
      </c>
      <c r="J114" s="604">
        <f t="shared" si="65"/>
        <v>0</v>
      </c>
      <c r="K114" s="603">
        <f t="shared" si="66"/>
        <v>54.834805434948763</v>
      </c>
      <c r="L114" s="604">
        <f t="shared" si="67"/>
        <v>38.869500682705123</v>
      </c>
      <c r="M114" s="604">
        <f t="shared" si="68"/>
        <v>329.71381700107355</v>
      </c>
      <c r="N114" s="604">
        <f t="shared" si="69"/>
        <v>0</v>
      </c>
      <c r="O114" s="518">
        <f t="shared" si="70"/>
        <v>0.02</v>
      </c>
      <c r="P114" s="519">
        <f t="shared" si="70"/>
        <v>0</v>
      </c>
      <c r="Q114" s="537">
        <f t="shared" si="70"/>
        <v>0.98</v>
      </c>
      <c r="S114" s="526">
        <f t="shared" si="71"/>
        <v>139.68408449840399</v>
      </c>
      <c r="T114" s="526">
        <f t="shared" si="72"/>
        <v>0</v>
      </c>
      <c r="W114" s="492"/>
    </row>
    <row r="115" spans="1:33">
      <c r="A115" s="1488"/>
      <c r="B115" s="269" t="s">
        <v>390</v>
      </c>
      <c r="C115" s="603">
        <f t="shared" si="58"/>
        <v>5041.8045559155298</v>
      </c>
      <c r="D115" s="604">
        <f t="shared" si="59"/>
        <v>3285.2601779727574</v>
      </c>
      <c r="E115" s="604">
        <f t="shared" si="60"/>
        <v>1267.0011634573491</v>
      </c>
      <c r="F115" s="604">
        <f t="shared" si="61"/>
        <v>0</v>
      </c>
      <c r="G115" s="603">
        <f t="shared" si="62"/>
        <v>1489.3599816089431</v>
      </c>
      <c r="H115" s="604">
        <f t="shared" si="63"/>
        <v>678.10109923712514</v>
      </c>
      <c r="I115" s="604">
        <f t="shared" si="64"/>
        <v>728.09232842256552</v>
      </c>
      <c r="J115" s="604">
        <f t="shared" si="65"/>
        <v>0</v>
      </c>
      <c r="K115" s="603">
        <f t="shared" si="66"/>
        <v>200.49637354014084</v>
      </c>
      <c r="L115" s="604">
        <f t="shared" si="67"/>
        <v>126.03547290334616</v>
      </c>
      <c r="M115" s="604">
        <f t="shared" si="68"/>
        <v>529.52509549968545</v>
      </c>
      <c r="N115" s="604">
        <f t="shared" si="69"/>
        <v>0</v>
      </c>
      <c r="O115" s="518">
        <f t="shared" si="70"/>
        <v>0</v>
      </c>
      <c r="P115" s="519">
        <f t="shared" si="70"/>
        <v>0.02</v>
      </c>
      <c r="Q115" s="537">
        <f t="shared" si="70"/>
        <v>0.98</v>
      </c>
      <c r="S115" s="526">
        <f t="shared" si="71"/>
        <v>0</v>
      </c>
      <c r="T115" s="526">
        <f t="shared" si="72"/>
        <v>266.91352497114889</v>
      </c>
      <c r="W115" s="492"/>
    </row>
    <row r="116" spans="1:33">
      <c r="A116" s="1488"/>
      <c r="B116" s="269" t="s">
        <v>391</v>
      </c>
      <c r="C116" s="603">
        <f t="shared" si="58"/>
        <v>2825.5467599710055</v>
      </c>
      <c r="D116" s="604">
        <f t="shared" si="59"/>
        <v>2415.2481966641039</v>
      </c>
      <c r="E116" s="604">
        <f t="shared" si="60"/>
        <v>1011.765284039234</v>
      </c>
      <c r="F116" s="604">
        <f t="shared" si="61"/>
        <v>0</v>
      </c>
      <c r="G116" s="603">
        <f t="shared" si="62"/>
        <v>746.26454118288757</v>
      </c>
      <c r="H116" s="604">
        <f t="shared" si="63"/>
        <v>699.67758816459252</v>
      </c>
      <c r="I116" s="604">
        <f t="shared" si="64"/>
        <v>494.90600161696011</v>
      </c>
      <c r="J116" s="604">
        <f t="shared" si="65"/>
        <v>0</v>
      </c>
      <c r="K116" s="603">
        <f t="shared" si="66"/>
        <v>88.582558277924946</v>
      </c>
      <c r="L116" s="604">
        <f t="shared" si="67"/>
        <v>160.43721488688979</v>
      </c>
      <c r="M116" s="604">
        <f t="shared" si="68"/>
        <v>512.88815977944773</v>
      </c>
      <c r="N116" s="604">
        <f t="shared" si="69"/>
        <v>0</v>
      </c>
      <c r="O116" s="518">
        <f t="shared" si="70"/>
        <v>0</v>
      </c>
      <c r="P116" s="519">
        <f t="shared" si="70"/>
        <v>0.02</v>
      </c>
      <c r="Q116" s="537">
        <f t="shared" si="70"/>
        <v>0.98</v>
      </c>
      <c r="S116" s="526">
        <f t="shared" si="71"/>
        <v>0</v>
      </c>
      <c r="T116" s="526">
        <f t="shared" si="72"/>
        <v>179.10632609166092</v>
      </c>
      <c r="W116" s="492"/>
    </row>
    <row r="117" spans="1:33" ht="15" thickBot="1">
      <c r="A117" s="1488"/>
      <c r="B117" s="269" t="s">
        <v>392</v>
      </c>
      <c r="C117" s="603">
        <f t="shared" si="58"/>
        <v>1420.2266354691631</v>
      </c>
      <c r="D117" s="604">
        <f t="shared" si="59"/>
        <v>996.59404968312867</v>
      </c>
      <c r="E117" s="604">
        <f t="shared" si="60"/>
        <v>494.13990193004742</v>
      </c>
      <c r="F117" s="604">
        <f t="shared" si="61"/>
        <v>0</v>
      </c>
      <c r="G117" s="603">
        <f t="shared" si="62"/>
        <v>547.31543811509994</v>
      </c>
      <c r="H117" s="604">
        <f t="shared" si="63"/>
        <v>286.60769458652402</v>
      </c>
      <c r="I117" s="604">
        <f t="shared" si="64"/>
        <v>217.16267324572658</v>
      </c>
      <c r="J117" s="604">
        <f t="shared" si="65"/>
        <v>0</v>
      </c>
      <c r="K117" s="603">
        <f t="shared" si="66"/>
        <v>59.280870740485149</v>
      </c>
      <c r="L117" s="604">
        <f t="shared" si="67"/>
        <v>35.5633592453256</v>
      </c>
      <c r="M117" s="604">
        <f t="shared" si="68"/>
        <v>126.12141674786223</v>
      </c>
      <c r="N117" s="604">
        <f t="shared" si="69"/>
        <v>0</v>
      </c>
      <c r="O117" s="522">
        <f t="shared" si="70"/>
        <v>0</v>
      </c>
      <c r="P117" s="523">
        <f t="shared" si="70"/>
        <v>0.02</v>
      </c>
      <c r="Q117" s="538">
        <f t="shared" si="70"/>
        <v>0.98</v>
      </c>
      <c r="S117" s="526">
        <f t="shared" si="71"/>
        <v>0</v>
      </c>
      <c r="T117" s="526">
        <f t="shared" si="72"/>
        <v>83.660240795267256</v>
      </c>
      <c r="W117" s="492"/>
    </row>
    <row r="118" spans="1:33" ht="15" thickBot="1">
      <c r="A118" s="288"/>
      <c r="B118" s="269" t="s">
        <v>113</v>
      </c>
      <c r="C118" s="632">
        <f>SUM(C99:C117)</f>
        <v>73766.454072166249</v>
      </c>
      <c r="D118" s="633">
        <f t="shared" ref="D118:N118" si="73">SUM(D99:D117)</f>
        <v>48307.601059706547</v>
      </c>
      <c r="E118" s="633">
        <f t="shared" si="73"/>
        <v>25431.265709383177</v>
      </c>
      <c r="F118" s="633">
        <f t="shared" si="73"/>
        <v>0</v>
      </c>
      <c r="G118" s="632">
        <f t="shared" si="73"/>
        <v>26396.379196470712</v>
      </c>
      <c r="H118" s="633">
        <f t="shared" si="73"/>
        <v>16642.42538728725</v>
      </c>
      <c r="I118" s="633">
        <f t="shared" si="73"/>
        <v>16181.500603280114</v>
      </c>
      <c r="J118" s="633">
        <f t="shared" si="73"/>
        <v>0</v>
      </c>
      <c r="K118" s="632">
        <f t="shared" si="73"/>
        <v>11196.166339359932</v>
      </c>
      <c r="L118" s="633">
        <f t="shared" si="73"/>
        <v>6130.3010662934885</v>
      </c>
      <c r="M118" s="633">
        <f t="shared" si="73"/>
        <v>13599.518602303968</v>
      </c>
      <c r="N118" s="634">
        <f t="shared" si="73"/>
        <v>0</v>
      </c>
      <c r="S118" s="526">
        <f>SUM(S99:S111)</f>
        <v>1282.1717639577475</v>
      </c>
      <c r="T118" s="526">
        <f>SUM(T99:T111)</f>
        <v>2245.549489682433</v>
      </c>
      <c r="W118" s="492"/>
    </row>
    <row r="119" spans="1:33" ht="15.6">
      <c r="A119" s="288"/>
      <c r="B119" s="269"/>
      <c r="C119" s="526">
        <f>C118</f>
        <v>73766.454072166249</v>
      </c>
      <c r="D119" s="526">
        <f>D118</f>
        <v>48307.601059706547</v>
      </c>
      <c r="E119" s="526"/>
      <c r="F119" s="526"/>
      <c r="G119" s="526"/>
      <c r="H119" s="526"/>
      <c r="I119" s="526"/>
      <c r="J119" s="526"/>
      <c r="K119" s="526"/>
      <c r="L119" s="526"/>
      <c r="M119" s="526"/>
      <c r="N119" s="526">
        <v>246814.59381130399</v>
      </c>
      <c r="O119" s="526">
        <f>SUM(C99:E117)+SUM(G99:I117)+SUM(K99:M117)</f>
        <v>237651.6120362514</v>
      </c>
      <c r="S119" s="828">
        <f>S118/(SUM(C99:E111)+SUM(G99:I111)+SUM(K99:M111))</f>
        <v>7.2691217461396751E-3</v>
      </c>
      <c r="T119" s="828">
        <f>T118/(SUM(C99:E111)+SUM(G99:I111)+SUM(K99:M111))</f>
        <v>1.2730878253860326E-2</v>
      </c>
      <c r="W119" s="492"/>
    </row>
    <row r="120" spans="1:33">
      <c r="A120" s="288"/>
      <c r="B120" s="269"/>
      <c r="S120" s="526">
        <f>SUM(S112:S117)</f>
        <v>139.68408449840399</v>
      </c>
      <c r="T120" s="526">
        <f>SUM(T112:T117)</f>
        <v>1085.6269025864437</v>
      </c>
      <c r="W120" s="492"/>
    </row>
    <row r="121" spans="1:33" ht="15.6">
      <c r="A121" s="288"/>
      <c r="B121" s="269"/>
      <c r="S121" s="828">
        <f>S120/(SUM(C112:E117)+SUM(G112:I117)+SUM(K112:M117))</f>
        <v>2.2799776704969911E-3</v>
      </c>
      <c r="T121" s="828">
        <f>T120/(SUM(C112:E117)+SUM(G112:I117)+SUM(K112:M117))</f>
        <v>1.772002232950301E-2</v>
      </c>
      <c r="W121" s="492"/>
    </row>
    <row r="122" spans="1:33" ht="15" thickBot="1">
      <c r="A122" s="288"/>
      <c r="B122" s="269"/>
      <c r="C122" s="1579" t="s">
        <v>915</v>
      </c>
      <c r="D122" s="1579"/>
      <c r="E122" s="1579"/>
      <c r="F122" s="1579"/>
      <c r="G122" s="1579"/>
      <c r="H122" s="1579"/>
      <c r="I122" s="1579"/>
      <c r="J122" s="1579"/>
      <c r="K122" s="1579"/>
      <c r="L122" s="1579"/>
      <c r="M122" s="1579"/>
      <c r="N122" s="1579"/>
      <c r="O122" s="1579"/>
      <c r="P122" s="1579"/>
      <c r="Q122" s="1579"/>
      <c r="R122" s="1579"/>
      <c r="S122" s="1579"/>
      <c r="T122" s="1579"/>
      <c r="V122" s="553" t="s">
        <v>997</v>
      </c>
      <c r="W122" s="554" t="s">
        <v>998</v>
      </c>
    </row>
    <row r="123" spans="1:33">
      <c r="A123" s="288"/>
      <c r="B123" s="269"/>
      <c r="C123" s="1574" t="s">
        <v>148</v>
      </c>
      <c r="D123" s="1575"/>
      <c r="E123" s="1575"/>
      <c r="F123" s="1575"/>
      <c r="G123" s="1575"/>
      <c r="H123" s="1576"/>
      <c r="I123" s="1574" t="s">
        <v>149</v>
      </c>
      <c r="J123" s="1575"/>
      <c r="K123" s="1575"/>
      <c r="L123" s="1575"/>
      <c r="M123" s="1575"/>
      <c r="N123" s="1576"/>
      <c r="O123" s="1574" t="s">
        <v>177</v>
      </c>
      <c r="P123" s="1575"/>
      <c r="Q123" s="1575"/>
      <c r="R123" s="1575"/>
      <c r="S123" s="1575"/>
      <c r="T123" s="1576"/>
      <c r="U123" s="555" t="s">
        <v>176</v>
      </c>
      <c r="V123" s="551">
        <f>Buildings_old!J7</f>
        <v>1.3671387864568623</v>
      </c>
      <c r="W123" s="552">
        <f>Buildings_old!J8</f>
        <v>1.8779773219999785</v>
      </c>
    </row>
    <row r="124" spans="1:33">
      <c r="A124" s="288"/>
      <c r="B124" s="269"/>
      <c r="C124" s="1592" t="s">
        <v>176</v>
      </c>
      <c r="D124" s="1583"/>
      <c r="E124" s="1583"/>
      <c r="F124" s="1583" t="s">
        <v>348</v>
      </c>
      <c r="G124" s="1583"/>
      <c r="H124" s="1593"/>
      <c r="I124" s="1592" t="s">
        <v>176</v>
      </c>
      <c r="J124" s="1583"/>
      <c r="K124" s="1583"/>
      <c r="L124" s="1583" t="s">
        <v>348</v>
      </c>
      <c r="M124" s="1583"/>
      <c r="N124" s="1593"/>
      <c r="O124" s="1592" t="s">
        <v>176</v>
      </c>
      <c r="P124" s="1583"/>
      <c r="Q124" s="1583"/>
      <c r="R124" s="1583" t="s">
        <v>348</v>
      </c>
      <c r="S124" s="1583"/>
      <c r="T124" s="1593"/>
      <c r="U124" s="555" t="s">
        <v>999</v>
      </c>
      <c r="V124" s="551">
        <f>Buildings_old!J25</f>
        <v>1.631209574700055</v>
      </c>
      <c r="W124" s="552">
        <f>Buildings_old!J26</f>
        <v>2.6032679171379502</v>
      </c>
    </row>
    <row r="125" spans="1:33">
      <c r="C125" s="294" t="s">
        <v>424</v>
      </c>
      <c r="D125" s="295" t="s">
        <v>425</v>
      </c>
      <c r="E125" s="295" t="s">
        <v>426</v>
      </c>
      <c r="F125" s="295" t="s">
        <v>424</v>
      </c>
      <c r="G125" s="295" t="s">
        <v>425</v>
      </c>
      <c r="H125" s="296" t="s">
        <v>426</v>
      </c>
      <c r="I125" s="294" t="s">
        <v>424</v>
      </c>
      <c r="J125" s="295" t="s">
        <v>425</v>
      </c>
      <c r="K125" s="295" t="s">
        <v>426</v>
      </c>
      <c r="L125" s="295" t="s">
        <v>424</v>
      </c>
      <c r="M125" s="295" t="s">
        <v>425</v>
      </c>
      <c r="N125" s="296" t="s">
        <v>426</v>
      </c>
      <c r="O125" s="294" t="s">
        <v>424</v>
      </c>
      <c r="P125" s="295" t="s">
        <v>425</v>
      </c>
      <c r="Q125" s="295" t="s">
        <v>426</v>
      </c>
      <c r="R125" s="295" t="s">
        <v>424</v>
      </c>
      <c r="S125" s="295" t="s">
        <v>425</v>
      </c>
      <c r="T125" s="296" t="s">
        <v>426</v>
      </c>
      <c r="U125" s="327"/>
      <c r="V125" s="1580" t="s">
        <v>1000</v>
      </c>
      <c r="W125" s="1581"/>
      <c r="X125" s="1581"/>
      <c r="Y125" s="1581"/>
      <c r="Z125" s="1580" t="s">
        <v>1001</v>
      </c>
      <c r="AA125" s="1581"/>
      <c r="AB125" s="1581"/>
      <c r="AC125" s="1581"/>
      <c r="AD125" s="1580" t="s">
        <v>1002</v>
      </c>
      <c r="AE125" s="1581"/>
      <c r="AF125" s="1581"/>
      <c r="AG125" s="1581"/>
    </row>
    <row r="126" spans="1:33">
      <c r="A126" s="1487" t="s">
        <v>1022</v>
      </c>
      <c r="B126" s="269" t="s">
        <v>374</v>
      </c>
      <c r="C126" s="603">
        <f>(C99+G99)*O99</f>
        <v>0</v>
      </c>
      <c r="D126" s="604">
        <f>(D99+E99+H99+I99)*O99</f>
        <v>0</v>
      </c>
      <c r="E126" s="604">
        <f>(F99+J99)*O99</f>
        <v>0</v>
      </c>
      <c r="F126" s="604">
        <f>K99*O99</f>
        <v>0</v>
      </c>
      <c r="G126" s="604">
        <f>(L99+M99)*O99</f>
        <v>0</v>
      </c>
      <c r="H126" s="605">
        <f>N99*O99</f>
        <v>0</v>
      </c>
      <c r="I126" s="603">
        <f>(C99+G99)*P99</f>
        <v>133.05528214610277</v>
      </c>
      <c r="J126" s="604">
        <f>(D99+E99+H99+I99)*P99</f>
        <v>113.61232796374199</v>
      </c>
      <c r="K126" s="604">
        <f>(F99+J99)*P99</f>
        <v>0</v>
      </c>
      <c r="L126" s="604">
        <f>K99*P99</f>
        <v>6.1575887307723942</v>
      </c>
      <c r="M126" s="604">
        <f>(L99+M99)*P99</f>
        <v>15.84018427406723</v>
      </c>
      <c r="N126" s="605">
        <f>N99*P99</f>
        <v>0</v>
      </c>
      <c r="O126" s="603">
        <f>(C99+G99)*Q99</f>
        <v>6519.7088251590349</v>
      </c>
      <c r="P126" s="604">
        <f>(D99+E99+H99+I99)*Q99</f>
        <v>5567.0040702233573</v>
      </c>
      <c r="Q126" s="604">
        <f>(F99+J99)*Q99</f>
        <v>0</v>
      </c>
      <c r="R126" s="604">
        <f>K99*Q99</f>
        <v>301.72184780784733</v>
      </c>
      <c r="S126" s="604">
        <f>(L99+M99)*Q99</f>
        <v>776.16902942929426</v>
      </c>
      <c r="T126" s="605">
        <f>N99*Q99</f>
        <v>0</v>
      </c>
      <c r="U126" s="274"/>
      <c r="V126" s="551">
        <f>C126/$V$123</f>
        <v>0</v>
      </c>
      <c r="W126" s="552">
        <f>D126/$W$123</f>
        <v>0</v>
      </c>
      <c r="X126" s="551">
        <f>F126/$V$124</f>
        <v>0</v>
      </c>
      <c r="Y126" s="551">
        <f>G126/$W$124</f>
        <v>0</v>
      </c>
      <c r="Z126" s="551">
        <f>I126/$V$123</f>
        <v>97.323902638249891</v>
      </c>
      <c r="AA126" s="551">
        <f>J126/$W$123</f>
        <v>60.497177805506688</v>
      </c>
      <c r="AB126" s="551">
        <f>L126/$V$124</f>
        <v>3.7748605858352962</v>
      </c>
      <c r="AC126" s="551">
        <f>M126/$W$124</f>
        <v>6.0847307224075626</v>
      </c>
      <c r="AD126" s="551">
        <f>O126/$V$123</f>
        <v>4768.8712292742439</v>
      </c>
      <c r="AE126" s="551">
        <f>P126/$W$123</f>
        <v>2964.3617124698276</v>
      </c>
      <c r="AF126" s="551">
        <f>R126/$V$124</f>
        <v>184.96816870592951</v>
      </c>
      <c r="AG126" s="551">
        <f>S126/$W$124</f>
        <v>298.15180539797052</v>
      </c>
    </row>
    <row r="127" spans="1:33">
      <c r="A127" s="1488"/>
      <c r="B127" s="269" t="s">
        <v>375</v>
      </c>
      <c r="C127" s="603">
        <f t="shared" ref="C127:C144" si="74">(C100+G100)*O100</f>
        <v>0</v>
      </c>
      <c r="D127" s="604">
        <f t="shared" ref="D127:D144" si="75">(D100+E100+H100+I100)*O100</f>
        <v>0</v>
      </c>
      <c r="E127" s="604">
        <f t="shared" ref="E127:E144" si="76">(F100+J100)*O100</f>
        <v>0</v>
      </c>
      <c r="F127" s="604">
        <f t="shared" ref="F127:F144" si="77">K100*O100</f>
        <v>0</v>
      </c>
      <c r="G127" s="604">
        <f t="shared" ref="G127:G144" si="78">(L100+M100)*O100</f>
        <v>0</v>
      </c>
      <c r="H127" s="605">
        <f t="shared" ref="H127:H144" si="79">N100*O100</f>
        <v>0</v>
      </c>
      <c r="I127" s="603">
        <f t="shared" ref="I127:I144" si="80">(C100+G100)*P100</f>
        <v>178.03538555473853</v>
      </c>
      <c r="J127" s="604">
        <f t="shared" ref="J127:J144" si="81">(D100+E100+H100+I100)*P100</f>
        <v>246.63304190144734</v>
      </c>
      <c r="K127" s="604">
        <f t="shared" ref="K127:K144" si="82">(F100+J100)*P100</f>
        <v>0</v>
      </c>
      <c r="L127" s="604">
        <f t="shared" ref="L127:L144" si="83">K100*P100</f>
        <v>13.047719649980781</v>
      </c>
      <c r="M127" s="604">
        <f t="shared" ref="M127:M144" si="84">(L100+M100)*P100</f>
        <v>43.309075692016272</v>
      </c>
      <c r="N127" s="605">
        <f t="shared" ref="N127:N144" si="85">N100*P100</f>
        <v>0</v>
      </c>
      <c r="O127" s="603">
        <f t="shared" ref="O127:O144" si="86">(C100+G100)*Q100</f>
        <v>8723.7338921821884</v>
      </c>
      <c r="P127" s="604">
        <f t="shared" ref="P127:P144" si="87">(D100+E100+H100+I100)*Q100</f>
        <v>12085.019053170918</v>
      </c>
      <c r="Q127" s="604">
        <f t="shared" ref="Q127:Q144" si="88">(F100+J100)*Q100</f>
        <v>0</v>
      </c>
      <c r="R127" s="604">
        <f t="shared" ref="R127:R144" si="89">K100*Q100</f>
        <v>639.33826284905831</v>
      </c>
      <c r="S127" s="604">
        <f t="shared" ref="S127:S144" si="90">(L100+M100)*Q100</f>
        <v>2122.1447089087969</v>
      </c>
      <c r="T127" s="605">
        <f t="shared" ref="T127:T144" si="91">N100*Q100</f>
        <v>0</v>
      </c>
      <c r="U127" s="274"/>
      <c r="V127" s="551">
        <f t="shared" ref="V127:V144" si="92">C127/$V$123</f>
        <v>0</v>
      </c>
      <c r="W127" s="552">
        <f t="shared" ref="W127:W144" si="93">D127/$W$123</f>
        <v>0</v>
      </c>
      <c r="X127" s="551">
        <f t="shared" ref="X127:X144" si="94">F127/$V$124</f>
        <v>0</v>
      </c>
      <c r="Y127" s="551">
        <f t="shared" ref="Y127:Y144" si="95">G127/$W$124</f>
        <v>0</v>
      </c>
      <c r="Z127" s="551">
        <f t="shared" ref="Z127:Z144" si="96">I127/$V$123</f>
        <v>130.22480769208732</v>
      </c>
      <c r="AA127" s="551">
        <f t="shared" ref="AA127:AA144" si="97">J127/$W$123</f>
        <v>131.32908422919186</v>
      </c>
      <c r="AB127" s="551">
        <f t="shared" ref="AB127:AB144" si="98">L127/$V$124</f>
        <v>7.9988003088934674</v>
      </c>
      <c r="AC127" s="551">
        <f t="shared" ref="AC127:AC144" si="99">M127/$W$124</f>
        <v>16.63642662628077</v>
      </c>
      <c r="AD127" s="551">
        <f t="shared" ref="AD127:AD144" si="100">O127/$V$123</f>
        <v>6381.0155769122794</v>
      </c>
      <c r="AE127" s="551">
        <f t="shared" ref="AE127:AE144" si="101">P127/$W$123</f>
        <v>6435.1251272303998</v>
      </c>
      <c r="AF127" s="551">
        <f t="shared" ref="AF127:AF144" si="102">R127/$V$124</f>
        <v>391.94121513577988</v>
      </c>
      <c r="AG127" s="551">
        <f t="shared" ref="AG127:AG144" si="103">S127/$W$124</f>
        <v>815.18490468775747</v>
      </c>
    </row>
    <row r="128" spans="1:33">
      <c r="A128" s="1488"/>
      <c r="B128" s="269" t="s">
        <v>376</v>
      </c>
      <c r="C128" s="603">
        <f t="shared" si="74"/>
        <v>92.272476628737849</v>
      </c>
      <c r="D128" s="604">
        <f t="shared" si="75"/>
        <v>88.75024616953641</v>
      </c>
      <c r="E128" s="604">
        <f t="shared" si="76"/>
        <v>0</v>
      </c>
      <c r="F128" s="604">
        <f t="shared" si="77"/>
        <v>116.15070378099658</v>
      </c>
      <c r="G128" s="604">
        <f t="shared" si="78"/>
        <v>115.41949045793685</v>
      </c>
      <c r="H128" s="605">
        <f t="shared" si="79"/>
        <v>0</v>
      </c>
      <c r="I128" s="603">
        <f t="shared" si="80"/>
        <v>0</v>
      </c>
      <c r="J128" s="604">
        <f t="shared" si="81"/>
        <v>0</v>
      </c>
      <c r="K128" s="604">
        <f t="shared" si="82"/>
        <v>0</v>
      </c>
      <c r="L128" s="604">
        <f t="shared" si="83"/>
        <v>0</v>
      </c>
      <c r="M128" s="604">
        <f t="shared" si="84"/>
        <v>0</v>
      </c>
      <c r="N128" s="605">
        <f t="shared" si="85"/>
        <v>0</v>
      </c>
      <c r="O128" s="603">
        <f t="shared" si="86"/>
        <v>4521.3513548081537</v>
      </c>
      <c r="P128" s="604">
        <f t="shared" si="87"/>
        <v>4348.7620623072835</v>
      </c>
      <c r="Q128" s="604">
        <f t="shared" si="88"/>
        <v>0</v>
      </c>
      <c r="R128" s="604">
        <f t="shared" si="89"/>
        <v>5691.3844852688317</v>
      </c>
      <c r="S128" s="604">
        <f t="shared" si="90"/>
        <v>5655.5550324389051</v>
      </c>
      <c r="T128" s="605">
        <f t="shared" si="91"/>
        <v>0</v>
      </c>
      <c r="U128" s="274"/>
      <c r="V128" s="551">
        <f t="shared" si="92"/>
        <v>67.493130575188573</v>
      </c>
      <c r="W128" s="552">
        <f t="shared" si="93"/>
        <v>47.258422734849951</v>
      </c>
      <c r="X128" s="551">
        <f t="shared" si="94"/>
        <v>71.205261164773532</v>
      </c>
      <c r="Y128" s="551">
        <f t="shared" si="95"/>
        <v>44.336385701257285</v>
      </c>
      <c r="Z128" s="551">
        <f t="shared" si="96"/>
        <v>0</v>
      </c>
      <c r="AA128" s="551">
        <f t="shared" si="97"/>
        <v>0</v>
      </c>
      <c r="AB128" s="551">
        <f t="shared" si="98"/>
        <v>0</v>
      </c>
      <c r="AC128" s="551">
        <f t="shared" si="99"/>
        <v>0</v>
      </c>
      <c r="AD128" s="551">
        <f t="shared" si="100"/>
        <v>3307.1633981842392</v>
      </c>
      <c r="AE128" s="551">
        <f t="shared" si="101"/>
        <v>2315.6627140076471</v>
      </c>
      <c r="AF128" s="551">
        <f t="shared" si="102"/>
        <v>3489.0577970739027</v>
      </c>
      <c r="AG128" s="551">
        <f t="shared" si="103"/>
        <v>2172.4828993616065</v>
      </c>
    </row>
    <row r="129" spans="1:33">
      <c r="A129" s="1488"/>
      <c r="B129" s="269" t="s">
        <v>377</v>
      </c>
      <c r="C129" s="603">
        <f t="shared" si="74"/>
        <v>0</v>
      </c>
      <c r="D129" s="604">
        <f t="shared" si="75"/>
        <v>0</v>
      </c>
      <c r="E129" s="604">
        <f t="shared" si="76"/>
        <v>0</v>
      </c>
      <c r="F129" s="604">
        <f t="shared" si="77"/>
        <v>0</v>
      </c>
      <c r="G129" s="604">
        <f t="shared" si="78"/>
        <v>0</v>
      </c>
      <c r="H129" s="605">
        <f t="shared" si="79"/>
        <v>0</v>
      </c>
      <c r="I129" s="603">
        <f t="shared" si="80"/>
        <v>104.98174440465529</v>
      </c>
      <c r="J129" s="604">
        <f t="shared" si="81"/>
        <v>96.616072542364819</v>
      </c>
      <c r="K129" s="604">
        <f t="shared" si="82"/>
        <v>0</v>
      </c>
      <c r="L129" s="604">
        <f t="shared" si="83"/>
        <v>2.8988345792097236</v>
      </c>
      <c r="M129" s="604">
        <f t="shared" si="84"/>
        <v>8.504978233594489</v>
      </c>
      <c r="N129" s="605">
        <f t="shared" si="85"/>
        <v>0</v>
      </c>
      <c r="O129" s="603">
        <f t="shared" si="86"/>
        <v>5144.1054758281089</v>
      </c>
      <c r="P129" s="604">
        <f t="shared" si="87"/>
        <v>4734.1875545758758</v>
      </c>
      <c r="Q129" s="604">
        <f t="shared" si="88"/>
        <v>0</v>
      </c>
      <c r="R129" s="604">
        <f t="shared" si="89"/>
        <v>142.04289438127645</v>
      </c>
      <c r="S129" s="604">
        <f t="shared" si="90"/>
        <v>416.74393344612992</v>
      </c>
      <c r="T129" s="605">
        <f t="shared" si="91"/>
        <v>0</v>
      </c>
      <c r="U129" s="274"/>
      <c r="V129" s="551">
        <f t="shared" si="92"/>
        <v>0</v>
      </c>
      <c r="W129" s="552">
        <f t="shared" si="93"/>
        <v>0</v>
      </c>
      <c r="X129" s="551">
        <f t="shared" si="94"/>
        <v>0</v>
      </c>
      <c r="Y129" s="551">
        <f t="shared" si="95"/>
        <v>0</v>
      </c>
      <c r="Z129" s="551">
        <f t="shared" si="96"/>
        <v>76.789383378355211</v>
      </c>
      <c r="AA129" s="551">
        <f t="shared" si="97"/>
        <v>51.446879262350286</v>
      </c>
      <c r="AB129" s="551">
        <f t="shared" si="98"/>
        <v>1.7771073834842823</v>
      </c>
      <c r="AC129" s="551">
        <f t="shared" si="99"/>
        <v>3.267039161664512</v>
      </c>
      <c r="AD129" s="551">
        <f t="shared" si="100"/>
        <v>3762.6797855394047</v>
      </c>
      <c r="AE129" s="551">
        <f t="shared" si="101"/>
        <v>2520.8970838551641</v>
      </c>
      <c r="AF129" s="551">
        <f t="shared" si="102"/>
        <v>87.078261790729826</v>
      </c>
      <c r="AG129" s="551">
        <f t="shared" si="103"/>
        <v>160.08491892156107</v>
      </c>
    </row>
    <row r="130" spans="1:33">
      <c r="A130" s="1488"/>
      <c r="B130" s="269" t="s">
        <v>378</v>
      </c>
      <c r="C130" s="603">
        <f t="shared" si="74"/>
        <v>0</v>
      </c>
      <c r="D130" s="604">
        <f t="shared" si="75"/>
        <v>0</v>
      </c>
      <c r="E130" s="604">
        <f t="shared" si="76"/>
        <v>0</v>
      </c>
      <c r="F130" s="604">
        <f t="shared" si="77"/>
        <v>0</v>
      </c>
      <c r="G130" s="604">
        <f t="shared" si="78"/>
        <v>0</v>
      </c>
      <c r="H130" s="605">
        <f t="shared" si="79"/>
        <v>0</v>
      </c>
      <c r="I130" s="603">
        <f t="shared" si="80"/>
        <v>110.15089986135463</v>
      </c>
      <c r="J130" s="604">
        <f t="shared" si="81"/>
        <v>90.669380202470677</v>
      </c>
      <c r="K130" s="604">
        <f t="shared" si="82"/>
        <v>0</v>
      </c>
      <c r="L130" s="604">
        <f t="shared" si="83"/>
        <v>2.0155496051764952</v>
      </c>
      <c r="M130" s="604">
        <f t="shared" si="84"/>
        <v>7.6875664212966255</v>
      </c>
      <c r="N130" s="605">
        <f t="shared" si="85"/>
        <v>0</v>
      </c>
      <c r="O130" s="603">
        <f t="shared" si="86"/>
        <v>5397.394093206377</v>
      </c>
      <c r="P130" s="604">
        <f t="shared" si="87"/>
        <v>4442.7996299210627</v>
      </c>
      <c r="Q130" s="604">
        <f t="shared" si="88"/>
        <v>0</v>
      </c>
      <c r="R130" s="604">
        <f t="shared" si="89"/>
        <v>98.76193065364825</v>
      </c>
      <c r="S130" s="604">
        <f t="shared" si="90"/>
        <v>376.6907546435346</v>
      </c>
      <c r="T130" s="605">
        <f t="shared" si="91"/>
        <v>0</v>
      </c>
      <c r="U130" s="274"/>
      <c r="V130" s="551">
        <f t="shared" si="92"/>
        <v>0</v>
      </c>
      <c r="W130" s="552">
        <f t="shared" si="93"/>
        <v>0</v>
      </c>
      <c r="X130" s="551">
        <f t="shared" si="94"/>
        <v>0</v>
      </c>
      <c r="Y130" s="551">
        <f t="shared" si="95"/>
        <v>0</v>
      </c>
      <c r="Z130" s="551">
        <f t="shared" si="96"/>
        <v>80.570386088472119</v>
      </c>
      <c r="AA130" s="551">
        <f t="shared" si="97"/>
        <v>48.280338181033542</v>
      </c>
      <c r="AB130" s="551">
        <f t="shared" si="98"/>
        <v>1.2356165856536934</v>
      </c>
      <c r="AC130" s="551">
        <f t="shared" si="99"/>
        <v>2.9530446600165479</v>
      </c>
      <c r="AD130" s="551">
        <f t="shared" si="100"/>
        <v>3947.9489183351338</v>
      </c>
      <c r="AE130" s="551">
        <f t="shared" si="101"/>
        <v>2365.7365708706429</v>
      </c>
      <c r="AF130" s="551">
        <f t="shared" si="102"/>
        <v>60.545212697030962</v>
      </c>
      <c r="AG130" s="551">
        <f t="shared" si="103"/>
        <v>144.69918834081085</v>
      </c>
    </row>
    <row r="131" spans="1:33">
      <c r="A131" s="1488"/>
      <c r="B131" s="269" t="s">
        <v>379</v>
      </c>
      <c r="C131" s="603">
        <f t="shared" si="74"/>
        <v>0</v>
      </c>
      <c r="D131" s="604">
        <f t="shared" si="75"/>
        <v>0</v>
      </c>
      <c r="E131" s="604">
        <f t="shared" si="76"/>
        <v>0</v>
      </c>
      <c r="F131" s="604">
        <f t="shared" si="77"/>
        <v>0</v>
      </c>
      <c r="G131" s="604">
        <f t="shared" si="78"/>
        <v>0</v>
      </c>
      <c r="H131" s="605">
        <f t="shared" si="79"/>
        <v>0</v>
      </c>
      <c r="I131" s="603">
        <f t="shared" si="80"/>
        <v>118.45863880833869</v>
      </c>
      <c r="J131" s="604">
        <f t="shared" si="81"/>
        <v>117.80611326404673</v>
      </c>
      <c r="K131" s="604">
        <f t="shared" si="82"/>
        <v>0</v>
      </c>
      <c r="L131" s="604">
        <f t="shared" si="83"/>
        <v>5.3141066270934907</v>
      </c>
      <c r="M131" s="604">
        <f t="shared" si="84"/>
        <v>18.501636028662361</v>
      </c>
      <c r="N131" s="605">
        <f t="shared" si="85"/>
        <v>0</v>
      </c>
      <c r="O131" s="603">
        <f t="shared" si="86"/>
        <v>5804.4733016085956</v>
      </c>
      <c r="P131" s="604">
        <f t="shared" si="87"/>
        <v>5772.4995499382894</v>
      </c>
      <c r="Q131" s="604">
        <f t="shared" si="88"/>
        <v>0</v>
      </c>
      <c r="R131" s="604">
        <f t="shared" si="89"/>
        <v>260.391224727581</v>
      </c>
      <c r="S131" s="604">
        <f t="shared" si="90"/>
        <v>906.58016540445567</v>
      </c>
      <c r="T131" s="605">
        <f t="shared" si="91"/>
        <v>0</v>
      </c>
      <c r="U131" s="274"/>
      <c r="V131" s="551">
        <f t="shared" si="92"/>
        <v>0</v>
      </c>
      <c r="W131" s="552">
        <f t="shared" si="93"/>
        <v>0</v>
      </c>
      <c r="X131" s="551">
        <f t="shared" si="94"/>
        <v>0</v>
      </c>
      <c r="Y131" s="551">
        <f t="shared" si="95"/>
        <v>0</v>
      </c>
      <c r="Z131" s="551">
        <f t="shared" si="96"/>
        <v>86.647120235204042</v>
      </c>
      <c r="AA131" s="551">
        <f t="shared" si="97"/>
        <v>62.730317285507709</v>
      </c>
      <c r="AB131" s="551">
        <f t="shared" si="98"/>
        <v>3.2577706197382041</v>
      </c>
      <c r="AC131" s="551">
        <f t="shared" si="99"/>
        <v>7.1070810295250668</v>
      </c>
      <c r="AD131" s="551">
        <f t="shared" si="100"/>
        <v>4245.7088915249979</v>
      </c>
      <c r="AE131" s="551">
        <f t="shared" si="101"/>
        <v>3073.7855469898777</v>
      </c>
      <c r="AF131" s="551">
        <f t="shared" si="102"/>
        <v>159.63076036717197</v>
      </c>
      <c r="AG131" s="551">
        <f t="shared" si="103"/>
        <v>348.24697044672831</v>
      </c>
    </row>
    <row r="132" spans="1:33">
      <c r="A132" s="1488"/>
      <c r="B132" s="269" t="s">
        <v>380</v>
      </c>
      <c r="C132" s="603">
        <f t="shared" si="74"/>
        <v>0</v>
      </c>
      <c r="D132" s="604">
        <f t="shared" si="75"/>
        <v>0</v>
      </c>
      <c r="E132" s="604">
        <f t="shared" si="76"/>
        <v>0</v>
      </c>
      <c r="F132" s="604">
        <f t="shared" si="77"/>
        <v>0</v>
      </c>
      <c r="G132" s="604">
        <f t="shared" si="78"/>
        <v>0</v>
      </c>
      <c r="H132" s="605">
        <f t="shared" si="79"/>
        <v>0</v>
      </c>
      <c r="I132" s="603">
        <f t="shared" si="80"/>
        <v>110.10160273847058</v>
      </c>
      <c r="J132" s="604">
        <f t="shared" si="81"/>
        <v>99.013495207781929</v>
      </c>
      <c r="K132" s="604">
        <f t="shared" si="82"/>
        <v>0</v>
      </c>
      <c r="L132" s="604">
        <f t="shared" si="83"/>
        <v>3.4459123291862013</v>
      </c>
      <c r="M132" s="604">
        <f t="shared" si="84"/>
        <v>14.996483402016848</v>
      </c>
      <c r="N132" s="605">
        <f t="shared" si="85"/>
        <v>0</v>
      </c>
      <c r="O132" s="603">
        <f t="shared" si="86"/>
        <v>5394.9785341850584</v>
      </c>
      <c r="P132" s="604">
        <f t="shared" si="87"/>
        <v>4851.6612651813139</v>
      </c>
      <c r="Q132" s="604">
        <f t="shared" si="88"/>
        <v>0</v>
      </c>
      <c r="R132" s="604">
        <f t="shared" si="89"/>
        <v>168.84970413012385</v>
      </c>
      <c r="S132" s="604">
        <f t="shared" si="90"/>
        <v>734.82768669882546</v>
      </c>
      <c r="T132" s="605">
        <f t="shared" si="91"/>
        <v>0</v>
      </c>
      <c r="U132" s="274"/>
      <c r="V132" s="551">
        <f t="shared" si="92"/>
        <v>0</v>
      </c>
      <c r="W132" s="552">
        <f t="shared" si="93"/>
        <v>0</v>
      </c>
      <c r="X132" s="551">
        <f t="shared" si="94"/>
        <v>0</v>
      </c>
      <c r="Y132" s="551">
        <f t="shared" si="95"/>
        <v>0</v>
      </c>
      <c r="Z132" s="551">
        <f t="shared" si="96"/>
        <v>80.534327479520044</v>
      </c>
      <c r="AA132" s="551">
        <f t="shared" si="97"/>
        <v>52.723477566990056</v>
      </c>
      <c r="AB132" s="551">
        <f t="shared" si="98"/>
        <v>2.1124890281617135</v>
      </c>
      <c r="AC132" s="551">
        <f t="shared" si="99"/>
        <v>5.7606377366276149</v>
      </c>
      <c r="AD132" s="551">
        <f t="shared" si="100"/>
        <v>3946.1820464964826</v>
      </c>
      <c r="AE132" s="551">
        <f t="shared" si="101"/>
        <v>2583.4504007825126</v>
      </c>
      <c r="AF132" s="551">
        <f t="shared" si="102"/>
        <v>103.51196237992396</v>
      </c>
      <c r="AG132" s="551">
        <f t="shared" si="103"/>
        <v>282.2712490947531</v>
      </c>
    </row>
    <row r="133" spans="1:33">
      <c r="A133" s="1488"/>
      <c r="B133" s="269" t="s">
        <v>381</v>
      </c>
      <c r="C133" s="603">
        <f t="shared" si="74"/>
        <v>0</v>
      </c>
      <c r="D133" s="604">
        <f t="shared" si="75"/>
        <v>0</v>
      </c>
      <c r="E133" s="604">
        <f t="shared" si="76"/>
        <v>0</v>
      </c>
      <c r="F133" s="604">
        <f t="shared" si="77"/>
        <v>0</v>
      </c>
      <c r="G133" s="604">
        <f t="shared" si="78"/>
        <v>0</v>
      </c>
      <c r="H133" s="605">
        <f t="shared" si="79"/>
        <v>0</v>
      </c>
      <c r="I133" s="603">
        <f t="shared" si="80"/>
        <v>96.220941423546336</v>
      </c>
      <c r="J133" s="604">
        <f t="shared" si="81"/>
        <v>71.253884958739974</v>
      </c>
      <c r="K133" s="604">
        <f t="shared" si="82"/>
        <v>0</v>
      </c>
      <c r="L133" s="604">
        <f t="shared" si="83"/>
        <v>4.0378741670090452</v>
      </c>
      <c r="M133" s="604">
        <f t="shared" si="84"/>
        <v>7.9353454670993591</v>
      </c>
      <c r="N133" s="605">
        <f t="shared" si="85"/>
        <v>0</v>
      </c>
      <c r="O133" s="603">
        <f t="shared" si="86"/>
        <v>4714.8261297537701</v>
      </c>
      <c r="P133" s="604">
        <f t="shared" si="87"/>
        <v>3491.4403629782587</v>
      </c>
      <c r="Q133" s="604">
        <f t="shared" si="88"/>
        <v>0</v>
      </c>
      <c r="R133" s="604">
        <f t="shared" si="89"/>
        <v>197.85583418344322</v>
      </c>
      <c r="S133" s="604">
        <f t="shared" si="90"/>
        <v>388.83192788786857</v>
      </c>
      <c r="T133" s="605">
        <f t="shared" si="91"/>
        <v>0</v>
      </c>
      <c r="U133" s="274"/>
      <c r="V133" s="551">
        <f t="shared" si="92"/>
        <v>0</v>
      </c>
      <c r="W133" s="552">
        <f t="shared" si="93"/>
        <v>0</v>
      </c>
      <c r="X133" s="551">
        <f t="shared" si="94"/>
        <v>0</v>
      </c>
      <c r="Y133" s="551">
        <f t="shared" si="95"/>
        <v>0</v>
      </c>
      <c r="Z133" s="551">
        <f t="shared" si="96"/>
        <v>70.381253444587585</v>
      </c>
      <c r="AA133" s="551">
        <f t="shared" si="97"/>
        <v>37.941823963484893</v>
      </c>
      <c r="AB133" s="551">
        <f t="shared" si="98"/>
        <v>2.4753865043684069</v>
      </c>
      <c r="AC133" s="551">
        <f t="shared" si="99"/>
        <v>3.0482246621098952</v>
      </c>
      <c r="AD133" s="551">
        <f t="shared" si="100"/>
        <v>3448.6814187847917</v>
      </c>
      <c r="AE133" s="551">
        <f t="shared" si="101"/>
        <v>1859.1493742107598</v>
      </c>
      <c r="AF133" s="551">
        <f t="shared" si="102"/>
        <v>121.29393871405195</v>
      </c>
      <c r="AG133" s="551">
        <f t="shared" si="103"/>
        <v>149.36300844338487</v>
      </c>
    </row>
    <row r="134" spans="1:33">
      <c r="A134" s="1488"/>
      <c r="B134" s="269" t="s">
        <v>382</v>
      </c>
      <c r="C134" s="603">
        <f t="shared" si="74"/>
        <v>0</v>
      </c>
      <c r="D134" s="604">
        <f t="shared" si="75"/>
        <v>0</v>
      </c>
      <c r="E134" s="604">
        <f t="shared" si="76"/>
        <v>0</v>
      </c>
      <c r="F134" s="604">
        <f t="shared" si="77"/>
        <v>0</v>
      </c>
      <c r="G134" s="604">
        <f t="shared" si="78"/>
        <v>0</v>
      </c>
      <c r="H134" s="605">
        <f t="shared" si="79"/>
        <v>0</v>
      </c>
      <c r="I134" s="603">
        <f t="shared" si="80"/>
        <v>53.823068261218133</v>
      </c>
      <c r="J134" s="604">
        <f t="shared" si="81"/>
        <v>57.438782394084811</v>
      </c>
      <c r="K134" s="604">
        <f t="shared" si="82"/>
        <v>0</v>
      </c>
      <c r="L134" s="604">
        <f t="shared" si="83"/>
        <v>1.0213247159003584</v>
      </c>
      <c r="M134" s="604">
        <f t="shared" si="84"/>
        <v>3.7601099836873613</v>
      </c>
      <c r="N134" s="605">
        <f t="shared" si="85"/>
        <v>0</v>
      </c>
      <c r="O134" s="603">
        <f t="shared" si="86"/>
        <v>2637.3303447996882</v>
      </c>
      <c r="P134" s="604">
        <f t="shared" si="87"/>
        <v>2814.5003373101558</v>
      </c>
      <c r="Q134" s="604">
        <f t="shared" si="88"/>
        <v>0</v>
      </c>
      <c r="R134" s="604">
        <f t="shared" si="89"/>
        <v>50.044911079117561</v>
      </c>
      <c r="S134" s="604">
        <f t="shared" si="90"/>
        <v>184.24538920068071</v>
      </c>
      <c r="T134" s="605">
        <f t="shared" si="91"/>
        <v>0</v>
      </c>
      <c r="U134" s="274"/>
      <c r="V134" s="551">
        <f t="shared" si="92"/>
        <v>0</v>
      </c>
      <c r="W134" s="552">
        <f t="shared" si="93"/>
        <v>0</v>
      </c>
      <c r="X134" s="551">
        <f t="shared" si="94"/>
        <v>0</v>
      </c>
      <c r="Y134" s="551">
        <f t="shared" si="95"/>
        <v>0</v>
      </c>
      <c r="Z134" s="551">
        <f t="shared" si="96"/>
        <v>39.369132669191835</v>
      </c>
      <c r="AA134" s="551">
        <f t="shared" si="97"/>
        <v>30.585450485054086</v>
      </c>
      <c r="AB134" s="551">
        <f t="shared" si="98"/>
        <v>0.62611495894888824</v>
      </c>
      <c r="AC134" s="551">
        <f t="shared" si="99"/>
        <v>1.4443807181480002</v>
      </c>
      <c r="AD134" s="551">
        <f t="shared" si="100"/>
        <v>1929.0875007903996</v>
      </c>
      <c r="AE134" s="551">
        <f t="shared" si="101"/>
        <v>1498.6870737676502</v>
      </c>
      <c r="AF134" s="551">
        <f t="shared" si="102"/>
        <v>30.679632988495523</v>
      </c>
      <c r="AG134" s="551">
        <f t="shared" si="103"/>
        <v>70.774655189252016</v>
      </c>
    </row>
    <row r="135" spans="1:33">
      <c r="A135" s="1488"/>
      <c r="B135" s="269" t="s">
        <v>383</v>
      </c>
      <c r="C135" s="603">
        <f t="shared" si="74"/>
        <v>0</v>
      </c>
      <c r="D135" s="604">
        <f t="shared" si="75"/>
        <v>0</v>
      </c>
      <c r="E135" s="604">
        <f t="shared" si="76"/>
        <v>0</v>
      </c>
      <c r="F135" s="604">
        <f t="shared" si="77"/>
        <v>0</v>
      </c>
      <c r="G135" s="604">
        <f t="shared" si="78"/>
        <v>0</v>
      </c>
      <c r="H135" s="605">
        <f t="shared" si="79"/>
        <v>0</v>
      </c>
      <c r="I135" s="603">
        <f t="shared" si="80"/>
        <v>72.631094382505637</v>
      </c>
      <c r="J135" s="604">
        <f t="shared" si="81"/>
        <v>79.001869042821809</v>
      </c>
      <c r="K135" s="604">
        <f t="shared" si="82"/>
        <v>0</v>
      </c>
      <c r="L135" s="604">
        <f t="shared" si="83"/>
        <v>4.1953919092623346</v>
      </c>
      <c r="M135" s="604">
        <f t="shared" si="84"/>
        <v>11.479456440039938</v>
      </c>
      <c r="N135" s="605">
        <f t="shared" si="85"/>
        <v>0</v>
      </c>
      <c r="O135" s="603">
        <f t="shared" si="86"/>
        <v>3558.9236247427762</v>
      </c>
      <c r="P135" s="604">
        <f t="shared" si="87"/>
        <v>3871.0915830982685</v>
      </c>
      <c r="Q135" s="604">
        <f t="shared" si="88"/>
        <v>0</v>
      </c>
      <c r="R135" s="604">
        <f t="shared" si="89"/>
        <v>205.5742035538544</v>
      </c>
      <c r="S135" s="604">
        <f t="shared" si="90"/>
        <v>562.49336556195692</v>
      </c>
      <c r="T135" s="605">
        <f t="shared" si="91"/>
        <v>0</v>
      </c>
      <c r="U135" s="274"/>
      <c r="V135" s="551">
        <f t="shared" si="92"/>
        <v>0</v>
      </c>
      <c r="W135" s="552">
        <f t="shared" si="93"/>
        <v>0</v>
      </c>
      <c r="X135" s="551">
        <f t="shared" si="94"/>
        <v>0</v>
      </c>
      <c r="Y135" s="551">
        <f t="shared" si="95"/>
        <v>0</v>
      </c>
      <c r="Z135" s="551">
        <f t="shared" si="96"/>
        <v>53.12635052271439</v>
      </c>
      <c r="AA135" s="551">
        <f t="shared" si="97"/>
        <v>42.06753091069686</v>
      </c>
      <c r="AB135" s="551">
        <f t="shared" si="98"/>
        <v>2.5719514980371412</v>
      </c>
      <c r="AC135" s="551">
        <f t="shared" si="99"/>
        <v>4.4096331247613296</v>
      </c>
      <c r="AD135" s="551">
        <f t="shared" si="100"/>
        <v>2603.1911756130048</v>
      </c>
      <c r="AE135" s="551">
        <f t="shared" si="101"/>
        <v>2061.3090146241461</v>
      </c>
      <c r="AF135" s="551">
        <f t="shared" si="102"/>
        <v>126.02562340381992</v>
      </c>
      <c r="AG135" s="551">
        <f t="shared" si="103"/>
        <v>216.07202311330514</v>
      </c>
    </row>
    <row r="136" spans="1:33">
      <c r="A136" s="1488"/>
      <c r="B136" s="269" t="s">
        <v>384</v>
      </c>
      <c r="C136" s="603">
        <f t="shared" si="74"/>
        <v>165.16414151791636</v>
      </c>
      <c r="D136" s="604">
        <f t="shared" si="75"/>
        <v>214.4069220834466</v>
      </c>
      <c r="E136" s="604">
        <f t="shared" si="76"/>
        <v>0</v>
      </c>
      <c r="F136" s="604">
        <f t="shared" si="77"/>
        <v>4.3249629553093945</v>
      </c>
      <c r="G136" s="604">
        <f t="shared" si="78"/>
        <v>33.122672164493359</v>
      </c>
      <c r="H136" s="605">
        <f t="shared" si="79"/>
        <v>0</v>
      </c>
      <c r="I136" s="603">
        <f t="shared" si="80"/>
        <v>0</v>
      </c>
      <c r="J136" s="604">
        <f t="shared" si="81"/>
        <v>0</v>
      </c>
      <c r="K136" s="604">
        <f t="shared" si="82"/>
        <v>0</v>
      </c>
      <c r="L136" s="604">
        <f t="shared" si="83"/>
        <v>0</v>
      </c>
      <c r="M136" s="604">
        <f t="shared" si="84"/>
        <v>0</v>
      </c>
      <c r="N136" s="605">
        <f t="shared" si="85"/>
        <v>0</v>
      </c>
      <c r="O136" s="603">
        <f t="shared" si="86"/>
        <v>8093.0429343779015</v>
      </c>
      <c r="P136" s="604">
        <f t="shared" si="87"/>
        <v>10505.939182088883</v>
      </c>
      <c r="Q136" s="604">
        <f t="shared" si="88"/>
        <v>0</v>
      </c>
      <c r="R136" s="604">
        <f t="shared" si="89"/>
        <v>211.92318481016034</v>
      </c>
      <c r="S136" s="604">
        <f t="shared" si="90"/>
        <v>1623.0109360601746</v>
      </c>
      <c r="T136" s="605">
        <f t="shared" si="91"/>
        <v>0</v>
      </c>
      <c r="U136" s="274"/>
      <c r="V136" s="551">
        <f t="shared" si="92"/>
        <v>120.81007660236391</v>
      </c>
      <c r="W136" s="552">
        <f t="shared" si="93"/>
        <v>114.16906880169934</v>
      </c>
      <c r="X136" s="551">
        <f t="shared" si="94"/>
        <v>2.6513839928291643</v>
      </c>
      <c r="Y136" s="551">
        <f t="shared" si="95"/>
        <v>12.72349724223108</v>
      </c>
      <c r="Z136" s="551">
        <f t="shared" si="96"/>
        <v>0</v>
      </c>
      <c r="AA136" s="551">
        <f t="shared" si="97"/>
        <v>0</v>
      </c>
      <c r="AB136" s="551">
        <f t="shared" si="98"/>
        <v>0</v>
      </c>
      <c r="AC136" s="551">
        <f t="shared" si="99"/>
        <v>0</v>
      </c>
      <c r="AD136" s="551">
        <f t="shared" si="100"/>
        <v>5919.6937535158313</v>
      </c>
      <c r="AE136" s="551">
        <f t="shared" si="101"/>
        <v>5594.2843712832673</v>
      </c>
      <c r="AF136" s="551">
        <f t="shared" si="102"/>
        <v>129.91781564862904</v>
      </c>
      <c r="AG136" s="551">
        <f t="shared" si="103"/>
        <v>623.4513648693229</v>
      </c>
    </row>
    <row r="137" spans="1:33">
      <c r="A137" s="1488"/>
      <c r="B137" s="269" t="s">
        <v>385</v>
      </c>
      <c r="C137" s="603">
        <f t="shared" si="74"/>
        <v>168.56799047895814</v>
      </c>
      <c r="D137" s="604">
        <f t="shared" si="75"/>
        <v>219.69747870461265</v>
      </c>
      <c r="E137" s="604">
        <f t="shared" si="76"/>
        <v>0</v>
      </c>
      <c r="F137" s="604">
        <f t="shared" si="77"/>
        <v>30.948848874443286</v>
      </c>
      <c r="G137" s="604">
        <f t="shared" si="78"/>
        <v>33.345830141360295</v>
      </c>
      <c r="H137" s="605">
        <f t="shared" si="79"/>
        <v>0</v>
      </c>
      <c r="I137" s="603">
        <f t="shared" si="80"/>
        <v>0</v>
      </c>
      <c r="J137" s="604">
        <f t="shared" si="81"/>
        <v>0</v>
      </c>
      <c r="K137" s="604">
        <f t="shared" si="82"/>
        <v>0</v>
      </c>
      <c r="L137" s="604">
        <f t="shared" si="83"/>
        <v>0</v>
      </c>
      <c r="M137" s="604">
        <f t="shared" si="84"/>
        <v>0</v>
      </c>
      <c r="N137" s="605">
        <f t="shared" si="85"/>
        <v>0</v>
      </c>
      <c r="O137" s="603">
        <f t="shared" si="86"/>
        <v>8259.8315334689487</v>
      </c>
      <c r="P137" s="604">
        <f t="shared" si="87"/>
        <v>10765.17645652602</v>
      </c>
      <c r="Q137" s="604">
        <f t="shared" si="88"/>
        <v>0</v>
      </c>
      <c r="R137" s="604">
        <f t="shared" si="89"/>
        <v>1516.4935948477209</v>
      </c>
      <c r="S137" s="604">
        <f t="shared" si="90"/>
        <v>1633.9456769266546</v>
      </c>
      <c r="T137" s="605">
        <f t="shared" si="91"/>
        <v>0</v>
      </c>
      <c r="U137" s="274"/>
      <c r="V137" s="551">
        <f t="shared" si="92"/>
        <v>123.29983769667339</v>
      </c>
      <c r="W137" s="552">
        <f t="shared" si="93"/>
        <v>116.98622562206593</v>
      </c>
      <c r="X137" s="551">
        <f t="shared" si="94"/>
        <v>18.972944589375725</v>
      </c>
      <c r="Y137" s="551">
        <f t="shared" si="95"/>
        <v>12.80921948979455</v>
      </c>
      <c r="Z137" s="551">
        <f t="shared" si="96"/>
        <v>0</v>
      </c>
      <c r="AA137" s="551">
        <f t="shared" si="97"/>
        <v>0</v>
      </c>
      <c r="AB137" s="551">
        <f t="shared" si="98"/>
        <v>0</v>
      </c>
      <c r="AC137" s="551">
        <f t="shared" si="99"/>
        <v>0</v>
      </c>
      <c r="AD137" s="551">
        <f t="shared" si="100"/>
        <v>6041.6920471369958</v>
      </c>
      <c r="AE137" s="551">
        <f t="shared" si="101"/>
        <v>5732.3250554812312</v>
      </c>
      <c r="AF137" s="551">
        <f t="shared" si="102"/>
        <v>929.67428487941049</v>
      </c>
      <c r="AG137" s="551">
        <f t="shared" si="103"/>
        <v>627.65175499993302</v>
      </c>
    </row>
    <row r="138" spans="1:33">
      <c r="A138" s="1488"/>
      <c r="B138" s="269" t="s">
        <v>386</v>
      </c>
      <c r="C138" s="603">
        <f t="shared" si="74"/>
        <v>0</v>
      </c>
      <c r="D138" s="604">
        <f t="shared" si="75"/>
        <v>0</v>
      </c>
      <c r="E138" s="604">
        <f t="shared" si="76"/>
        <v>0</v>
      </c>
      <c r="F138" s="604">
        <f t="shared" si="77"/>
        <v>0</v>
      </c>
      <c r="G138" s="604">
        <f t="shared" si="78"/>
        <v>0</v>
      </c>
      <c r="H138" s="605">
        <f t="shared" si="79"/>
        <v>0</v>
      </c>
      <c r="I138" s="603">
        <f t="shared" si="80"/>
        <v>55.076623671698364</v>
      </c>
      <c r="J138" s="604">
        <f t="shared" si="81"/>
        <v>62.593067822761931</v>
      </c>
      <c r="K138" s="604">
        <f t="shared" si="82"/>
        <v>0</v>
      </c>
      <c r="L138" s="604">
        <f t="shared" si="83"/>
        <v>0.86296010406506229</v>
      </c>
      <c r="M138" s="604">
        <f t="shared" si="84"/>
        <v>3.364074769405712</v>
      </c>
      <c r="N138" s="605">
        <f t="shared" si="85"/>
        <v>0</v>
      </c>
      <c r="O138" s="603">
        <f t="shared" si="86"/>
        <v>2698.7545599132195</v>
      </c>
      <c r="P138" s="604">
        <f t="shared" si="87"/>
        <v>3067.0603233153347</v>
      </c>
      <c r="Q138" s="604">
        <f t="shared" si="88"/>
        <v>0</v>
      </c>
      <c r="R138" s="604">
        <f t="shared" si="89"/>
        <v>42.285045099188054</v>
      </c>
      <c r="S138" s="604">
        <f t="shared" si="90"/>
        <v>164.8396637008799</v>
      </c>
      <c r="T138" s="605">
        <f t="shared" si="91"/>
        <v>0</v>
      </c>
      <c r="U138" s="274"/>
      <c r="V138" s="551">
        <f t="shared" si="92"/>
        <v>0</v>
      </c>
      <c r="W138" s="552">
        <f t="shared" si="93"/>
        <v>0</v>
      </c>
      <c r="X138" s="551">
        <f t="shared" si="94"/>
        <v>0</v>
      </c>
      <c r="Y138" s="551">
        <f t="shared" si="95"/>
        <v>0</v>
      </c>
      <c r="Z138" s="551">
        <f t="shared" si="96"/>
        <v>40.286051582544445</v>
      </c>
      <c r="AA138" s="551">
        <f t="shared" si="97"/>
        <v>33.330044558846197</v>
      </c>
      <c r="AB138" s="551">
        <f t="shared" si="98"/>
        <v>0.52903079864752656</v>
      </c>
      <c r="AC138" s="551">
        <f t="shared" si="99"/>
        <v>1.2922506927770223</v>
      </c>
      <c r="AD138" s="551">
        <f t="shared" si="100"/>
        <v>1974.0165275446775</v>
      </c>
      <c r="AE138" s="551">
        <f t="shared" si="101"/>
        <v>1633.1721833834636</v>
      </c>
      <c r="AF138" s="551">
        <f t="shared" si="102"/>
        <v>25.922509133728806</v>
      </c>
      <c r="AG138" s="551">
        <f t="shared" si="103"/>
        <v>63.320283946074092</v>
      </c>
    </row>
    <row r="139" spans="1:33">
      <c r="A139" s="1487" t="s">
        <v>1023</v>
      </c>
      <c r="B139" s="269" t="s">
        <v>387</v>
      </c>
      <c r="C139" s="603">
        <f t="shared" si="74"/>
        <v>0</v>
      </c>
      <c r="D139" s="604">
        <f t="shared" si="75"/>
        <v>0</v>
      </c>
      <c r="E139" s="604">
        <f t="shared" si="76"/>
        <v>0</v>
      </c>
      <c r="F139" s="604">
        <f t="shared" si="77"/>
        <v>0</v>
      </c>
      <c r="G139" s="604">
        <f t="shared" si="78"/>
        <v>0</v>
      </c>
      <c r="H139" s="605">
        <f t="shared" si="79"/>
        <v>0</v>
      </c>
      <c r="I139" s="603">
        <f t="shared" si="80"/>
        <v>123.08552591331343</v>
      </c>
      <c r="J139" s="604">
        <f t="shared" si="81"/>
        <v>128.74277122726014</v>
      </c>
      <c r="K139" s="604">
        <f t="shared" si="82"/>
        <v>0</v>
      </c>
      <c r="L139" s="604">
        <f t="shared" si="83"/>
        <v>4.1970856484263486</v>
      </c>
      <c r="M139" s="604">
        <f t="shared" si="84"/>
        <v>10.067446060190877</v>
      </c>
      <c r="N139" s="605">
        <f t="shared" si="85"/>
        <v>0</v>
      </c>
      <c r="O139" s="603">
        <f t="shared" si="86"/>
        <v>6031.1907697523584</v>
      </c>
      <c r="P139" s="604">
        <f t="shared" si="87"/>
        <v>6308.3957901357462</v>
      </c>
      <c r="Q139" s="604">
        <f t="shared" si="88"/>
        <v>0</v>
      </c>
      <c r="R139" s="604">
        <f t="shared" si="89"/>
        <v>205.65719677289107</v>
      </c>
      <c r="S139" s="604">
        <f t="shared" si="90"/>
        <v>493.30485694935294</v>
      </c>
      <c r="T139" s="605">
        <f t="shared" si="91"/>
        <v>0</v>
      </c>
      <c r="U139" s="274"/>
      <c r="V139" s="551">
        <f t="shared" si="92"/>
        <v>0</v>
      </c>
      <c r="W139" s="552">
        <f t="shared" si="93"/>
        <v>0</v>
      </c>
      <c r="X139" s="551">
        <f t="shared" si="94"/>
        <v>0</v>
      </c>
      <c r="Y139" s="551">
        <f t="shared" si="95"/>
        <v>0</v>
      </c>
      <c r="Z139" s="551">
        <f t="shared" si="96"/>
        <v>90.031478246848195</v>
      </c>
      <c r="AA139" s="551">
        <f t="shared" si="97"/>
        <v>68.553954150071263</v>
      </c>
      <c r="AB139" s="551">
        <f t="shared" si="98"/>
        <v>2.5729898313023964</v>
      </c>
      <c r="AC139" s="551">
        <f t="shared" si="99"/>
        <v>3.8672339461929424</v>
      </c>
      <c r="AD139" s="551">
        <f t="shared" si="100"/>
        <v>4411.5424340955615</v>
      </c>
      <c r="AE139" s="551">
        <f t="shared" si="101"/>
        <v>3359.1437533534913</v>
      </c>
      <c r="AF139" s="551">
        <f t="shared" si="102"/>
        <v>126.07650173381742</v>
      </c>
      <c r="AG139" s="551">
        <f t="shared" si="103"/>
        <v>189.49446336345417</v>
      </c>
    </row>
    <row r="140" spans="1:33">
      <c r="A140" s="1488"/>
      <c r="B140" s="269" t="s">
        <v>388</v>
      </c>
      <c r="C140" s="603">
        <f t="shared" si="74"/>
        <v>0</v>
      </c>
      <c r="D140" s="604">
        <f t="shared" si="75"/>
        <v>0</v>
      </c>
      <c r="E140" s="604">
        <f t="shared" si="76"/>
        <v>0</v>
      </c>
      <c r="F140" s="604">
        <f t="shared" si="77"/>
        <v>0</v>
      </c>
      <c r="G140" s="604">
        <f t="shared" si="78"/>
        <v>0</v>
      </c>
      <c r="H140" s="605">
        <f t="shared" si="79"/>
        <v>0</v>
      </c>
      <c r="I140" s="603">
        <f t="shared" si="80"/>
        <v>116.60412799508144</v>
      </c>
      <c r="J140" s="604">
        <f t="shared" si="81"/>
        <v>125.93031983244255</v>
      </c>
      <c r="K140" s="604">
        <f t="shared" si="82"/>
        <v>0</v>
      </c>
      <c r="L140" s="604">
        <f t="shared" si="83"/>
        <v>17.240570950497094</v>
      </c>
      <c r="M140" s="604">
        <f t="shared" si="84"/>
        <v>30.078963101154788</v>
      </c>
      <c r="N140" s="605">
        <f t="shared" si="85"/>
        <v>0</v>
      </c>
      <c r="O140" s="603">
        <f t="shared" si="86"/>
        <v>5713.6022717589904</v>
      </c>
      <c r="P140" s="604">
        <f t="shared" si="87"/>
        <v>6170.585671789685</v>
      </c>
      <c r="Q140" s="604">
        <f t="shared" si="88"/>
        <v>0</v>
      </c>
      <c r="R140" s="604">
        <f t="shared" si="89"/>
        <v>844.78797657435757</v>
      </c>
      <c r="S140" s="604">
        <f t="shared" si="90"/>
        <v>1473.8691919565845</v>
      </c>
      <c r="T140" s="605">
        <f t="shared" si="91"/>
        <v>0</v>
      </c>
      <c r="U140" s="274"/>
      <c r="V140" s="551">
        <f t="shared" si="92"/>
        <v>0</v>
      </c>
      <c r="W140" s="552">
        <f t="shared" si="93"/>
        <v>0</v>
      </c>
      <c r="X140" s="551">
        <f t="shared" si="94"/>
        <v>0</v>
      </c>
      <c r="Y140" s="551">
        <f t="shared" si="95"/>
        <v>0</v>
      </c>
      <c r="Z140" s="551">
        <f t="shared" si="96"/>
        <v>85.290629707959567</v>
      </c>
      <c r="AA140" s="551">
        <f t="shared" si="97"/>
        <v>67.056358113170006</v>
      </c>
      <c r="AB140" s="551">
        <f t="shared" si="98"/>
        <v>10.569194307032726</v>
      </c>
      <c r="AC140" s="551">
        <f t="shared" si="99"/>
        <v>11.554309452030507</v>
      </c>
      <c r="AD140" s="551">
        <f t="shared" si="100"/>
        <v>4179.2408556900182</v>
      </c>
      <c r="AE140" s="551">
        <f t="shared" si="101"/>
        <v>3285.7615475453308</v>
      </c>
      <c r="AF140" s="551">
        <f t="shared" si="102"/>
        <v>517.89052104460347</v>
      </c>
      <c r="AG140" s="551">
        <f t="shared" si="103"/>
        <v>566.16116314949477</v>
      </c>
    </row>
    <row r="141" spans="1:33">
      <c r="A141" s="1488"/>
      <c r="B141" s="269" t="s">
        <v>389</v>
      </c>
      <c r="C141" s="603">
        <f t="shared" si="74"/>
        <v>63.61676334085012</v>
      </c>
      <c r="D141" s="604">
        <f t="shared" si="75"/>
        <v>67.59895869517932</v>
      </c>
      <c r="E141" s="604">
        <f t="shared" si="76"/>
        <v>0</v>
      </c>
      <c r="F141" s="604">
        <f t="shared" si="77"/>
        <v>1.0966961086989753</v>
      </c>
      <c r="G141" s="604">
        <f t="shared" si="78"/>
        <v>7.3716663536755735</v>
      </c>
      <c r="H141" s="605">
        <f t="shared" si="79"/>
        <v>0</v>
      </c>
      <c r="I141" s="603">
        <f t="shared" si="80"/>
        <v>0</v>
      </c>
      <c r="J141" s="604">
        <f t="shared" si="81"/>
        <v>0</v>
      </c>
      <c r="K141" s="604">
        <f t="shared" si="82"/>
        <v>0</v>
      </c>
      <c r="L141" s="604">
        <f t="shared" si="83"/>
        <v>0</v>
      </c>
      <c r="M141" s="604">
        <f t="shared" si="84"/>
        <v>0</v>
      </c>
      <c r="N141" s="605">
        <f t="shared" si="85"/>
        <v>0</v>
      </c>
      <c r="O141" s="603">
        <f t="shared" si="86"/>
        <v>3117.2214037016561</v>
      </c>
      <c r="P141" s="604">
        <f t="shared" si="87"/>
        <v>3312.3489760637863</v>
      </c>
      <c r="Q141" s="604">
        <f t="shared" si="88"/>
        <v>0</v>
      </c>
      <c r="R141" s="604">
        <f t="shared" si="89"/>
        <v>53.738109326249784</v>
      </c>
      <c r="S141" s="604">
        <f t="shared" si="90"/>
        <v>361.21165133010305</v>
      </c>
      <c r="T141" s="605">
        <f t="shared" si="91"/>
        <v>0</v>
      </c>
      <c r="U141" s="274"/>
      <c r="V141" s="551">
        <f t="shared" si="92"/>
        <v>46.532776314336132</v>
      </c>
      <c r="W141" s="552">
        <f t="shared" si="93"/>
        <v>35.995620342842507</v>
      </c>
      <c r="X141" s="551">
        <f t="shared" si="94"/>
        <v>0.67232078925274485</v>
      </c>
      <c r="Y141" s="551">
        <f t="shared" si="95"/>
        <v>2.8316971546209624</v>
      </c>
      <c r="Z141" s="551">
        <f t="shared" si="96"/>
        <v>0</v>
      </c>
      <c r="AA141" s="551">
        <f t="shared" si="97"/>
        <v>0</v>
      </c>
      <c r="AB141" s="551">
        <f t="shared" si="98"/>
        <v>0</v>
      </c>
      <c r="AC141" s="551">
        <f t="shared" si="99"/>
        <v>0</v>
      </c>
      <c r="AD141" s="551">
        <f t="shared" si="100"/>
        <v>2280.1060394024703</v>
      </c>
      <c r="AE141" s="551">
        <f t="shared" si="101"/>
        <v>1763.7853967992826</v>
      </c>
      <c r="AF141" s="551">
        <f t="shared" si="102"/>
        <v>32.943718673384495</v>
      </c>
      <c r="AG141" s="551">
        <f t="shared" si="103"/>
        <v>138.75316057642715</v>
      </c>
    </row>
    <row r="142" spans="1:33">
      <c r="A142" s="1488"/>
      <c r="B142" s="269" t="s">
        <v>390</v>
      </c>
      <c r="C142" s="603">
        <f t="shared" si="74"/>
        <v>0</v>
      </c>
      <c r="D142" s="604">
        <f t="shared" si="75"/>
        <v>0</v>
      </c>
      <c r="E142" s="604">
        <f t="shared" si="76"/>
        <v>0</v>
      </c>
      <c r="F142" s="604">
        <f t="shared" si="77"/>
        <v>0</v>
      </c>
      <c r="G142" s="604">
        <f t="shared" si="78"/>
        <v>0</v>
      </c>
      <c r="H142" s="605">
        <f t="shared" si="79"/>
        <v>0</v>
      </c>
      <c r="I142" s="603">
        <f t="shared" si="80"/>
        <v>130.62329075048947</v>
      </c>
      <c r="J142" s="604">
        <f t="shared" si="81"/>
        <v>119.16909538179594</v>
      </c>
      <c r="K142" s="604">
        <f t="shared" si="82"/>
        <v>0</v>
      </c>
      <c r="L142" s="604">
        <f t="shared" si="83"/>
        <v>4.0099274708028165</v>
      </c>
      <c r="M142" s="604">
        <f t="shared" si="84"/>
        <v>13.111211368060633</v>
      </c>
      <c r="N142" s="605">
        <f t="shared" si="85"/>
        <v>0</v>
      </c>
      <c r="O142" s="603">
        <f t="shared" si="86"/>
        <v>6400.5412467739834</v>
      </c>
      <c r="P142" s="604">
        <f t="shared" si="87"/>
        <v>5839.285673708001</v>
      </c>
      <c r="Q142" s="604">
        <f t="shared" si="88"/>
        <v>0</v>
      </c>
      <c r="R142" s="604">
        <f t="shared" si="89"/>
        <v>196.48644606933803</v>
      </c>
      <c r="S142" s="604">
        <f t="shared" si="90"/>
        <v>642.44935703497106</v>
      </c>
      <c r="T142" s="605">
        <f t="shared" si="91"/>
        <v>0</v>
      </c>
      <c r="U142" s="274"/>
      <c r="V142" s="551">
        <f t="shared" si="92"/>
        <v>0</v>
      </c>
      <c r="W142" s="552">
        <f t="shared" si="93"/>
        <v>0</v>
      </c>
      <c r="X142" s="551">
        <f t="shared" si="94"/>
        <v>0</v>
      </c>
      <c r="Y142" s="551">
        <f t="shared" si="95"/>
        <v>0</v>
      </c>
      <c r="Z142" s="551">
        <f t="shared" si="96"/>
        <v>95.545011263281182</v>
      </c>
      <c r="AA142" s="551">
        <f t="shared" si="97"/>
        <v>63.456088625652377</v>
      </c>
      <c r="AB142" s="551">
        <f t="shared" si="98"/>
        <v>2.4582540054916961</v>
      </c>
      <c r="AC142" s="551">
        <f t="shared" si="99"/>
        <v>5.0364433417499281</v>
      </c>
      <c r="AD142" s="551">
        <f t="shared" si="100"/>
        <v>4681.7055519007772</v>
      </c>
      <c r="AE142" s="551">
        <f t="shared" si="101"/>
        <v>3109.3483426569665</v>
      </c>
      <c r="AF142" s="551">
        <f t="shared" si="102"/>
        <v>120.45444626909313</v>
      </c>
      <c r="AG142" s="551">
        <f t="shared" si="103"/>
        <v>246.78572374574648</v>
      </c>
    </row>
    <row r="143" spans="1:33">
      <c r="A143" s="1488"/>
      <c r="B143" s="269" t="s">
        <v>391</v>
      </c>
      <c r="C143" s="603">
        <f t="shared" si="74"/>
        <v>0</v>
      </c>
      <c r="D143" s="604">
        <f t="shared" si="75"/>
        <v>0</v>
      </c>
      <c r="E143" s="604">
        <f t="shared" si="76"/>
        <v>0</v>
      </c>
      <c r="F143" s="604">
        <f t="shared" si="77"/>
        <v>0</v>
      </c>
      <c r="G143" s="604">
        <f t="shared" si="78"/>
        <v>0</v>
      </c>
      <c r="H143" s="605">
        <f t="shared" si="79"/>
        <v>0</v>
      </c>
      <c r="I143" s="603">
        <f t="shared" si="80"/>
        <v>71.436226023077865</v>
      </c>
      <c r="J143" s="604">
        <f t="shared" si="81"/>
        <v>92.431941409697799</v>
      </c>
      <c r="K143" s="604">
        <f t="shared" si="82"/>
        <v>0</v>
      </c>
      <c r="L143" s="604">
        <f t="shared" si="83"/>
        <v>1.771651165558499</v>
      </c>
      <c r="M143" s="604">
        <f t="shared" si="84"/>
        <v>13.466507493326752</v>
      </c>
      <c r="N143" s="605">
        <f t="shared" si="85"/>
        <v>0</v>
      </c>
      <c r="O143" s="603">
        <f t="shared" si="86"/>
        <v>3500.3750751308153</v>
      </c>
      <c r="P143" s="604">
        <f t="shared" si="87"/>
        <v>4529.1651290751915</v>
      </c>
      <c r="Q143" s="604">
        <f t="shared" si="88"/>
        <v>0</v>
      </c>
      <c r="R143" s="604">
        <f t="shared" si="89"/>
        <v>86.810907112366451</v>
      </c>
      <c r="S143" s="604">
        <f t="shared" si="90"/>
        <v>659.85886717301082</v>
      </c>
      <c r="T143" s="605">
        <f t="shared" si="91"/>
        <v>0</v>
      </c>
      <c r="U143" s="274"/>
      <c r="V143" s="551">
        <f t="shared" si="92"/>
        <v>0</v>
      </c>
      <c r="W143" s="552">
        <f t="shared" si="93"/>
        <v>0</v>
      </c>
      <c r="X143" s="551">
        <f t="shared" si="94"/>
        <v>0</v>
      </c>
      <c r="Y143" s="551">
        <f t="shared" si="95"/>
        <v>0</v>
      </c>
      <c r="Z143" s="551">
        <f t="shared" si="96"/>
        <v>52.252358524780917</v>
      </c>
      <c r="AA143" s="551">
        <f t="shared" si="97"/>
        <v>49.218880508770518</v>
      </c>
      <c r="AB143" s="551">
        <f t="shared" si="98"/>
        <v>1.0860965954569437</v>
      </c>
      <c r="AC143" s="551">
        <f t="shared" si="99"/>
        <v>5.1729241560860624</v>
      </c>
      <c r="AD143" s="551">
        <f t="shared" si="100"/>
        <v>2560.3655677142647</v>
      </c>
      <c r="AE143" s="551">
        <f t="shared" si="101"/>
        <v>2411.7251449297551</v>
      </c>
      <c r="AF143" s="551">
        <f t="shared" si="102"/>
        <v>53.218733177390249</v>
      </c>
      <c r="AG143" s="551">
        <f t="shared" si="103"/>
        <v>253.47328364821703</v>
      </c>
    </row>
    <row r="144" spans="1:33">
      <c r="A144" s="1488"/>
      <c r="B144" s="269" t="s">
        <v>392</v>
      </c>
      <c r="C144" s="603">
        <f t="shared" si="74"/>
        <v>0</v>
      </c>
      <c r="D144" s="604">
        <f t="shared" si="75"/>
        <v>0</v>
      </c>
      <c r="E144" s="604">
        <f t="shared" si="76"/>
        <v>0</v>
      </c>
      <c r="F144" s="604">
        <f t="shared" si="77"/>
        <v>0</v>
      </c>
      <c r="G144" s="604">
        <f t="shared" si="78"/>
        <v>0</v>
      </c>
      <c r="H144" s="605">
        <f t="shared" si="79"/>
        <v>0</v>
      </c>
      <c r="I144" s="603">
        <f t="shared" si="80"/>
        <v>39.350841471685264</v>
      </c>
      <c r="J144" s="604">
        <f t="shared" si="81"/>
        <v>39.890086388908536</v>
      </c>
      <c r="K144" s="604">
        <f t="shared" si="82"/>
        <v>0</v>
      </c>
      <c r="L144" s="604">
        <f t="shared" si="83"/>
        <v>1.185617414809703</v>
      </c>
      <c r="M144" s="604">
        <f t="shared" si="84"/>
        <v>3.2336955198637565</v>
      </c>
      <c r="N144" s="605">
        <f t="shared" si="85"/>
        <v>0</v>
      </c>
      <c r="O144" s="603">
        <f t="shared" si="86"/>
        <v>1928.1912321125778</v>
      </c>
      <c r="P144" s="604">
        <f t="shared" si="87"/>
        <v>1954.6142330565183</v>
      </c>
      <c r="Q144" s="604">
        <f t="shared" si="88"/>
        <v>0</v>
      </c>
      <c r="R144" s="604">
        <f t="shared" si="89"/>
        <v>58.095253325675444</v>
      </c>
      <c r="S144" s="604">
        <f t="shared" si="90"/>
        <v>158.45108047332405</v>
      </c>
      <c r="T144" s="605">
        <f t="shared" si="91"/>
        <v>0</v>
      </c>
      <c r="U144" s="274"/>
      <c r="V144" s="551">
        <f t="shared" si="92"/>
        <v>0</v>
      </c>
      <c r="W144" s="552">
        <f t="shared" si="93"/>
        <v>0</v>
      </c>
      <c r="X144" s="551">
        <f t="shared" si="94"/>
        <v>0</v>
      </c>
      <c r="Y144" s="551">
        <f t="shared" si="95"/>
        <v>0</v>
      </c>
      <c r="Z144" s="551">
        <f t="shared" si="96"/>
        <v>28.78335532683456</v>
      </c>
      <c r="AA144" s="551">
        <f t="shared" si="97"/>
        <v>21.240984074518551</v>
      </c>
      <c r="AB144" s="551">
        <f t="shared" si="98"/>
        <v>0.72683328567864303</v>
      </c>
      <c r="AC144" s="551">
        <f t="shared" si="99"/>
        <v>1.2421677763458563</v>
      </c>
      <c r="AD144" s="551">
        <f t="shared" si="100"/>
        <v>1410.3844110148934</v>
      </c>
      <c r="AE144" s="551">
        <f t="shared" si="101"/>
        <v>1040.808219651409</v>
      </c>
      <c r="AF144" s="551">
        <f t="shared" si="102"/>
        <v>35.61483099825351</v>
      </c>
      <c r="AG144" s="551">
        <f t="shared" si="103"/>
        <v>60.866221040946954</v>
      </c>
    </row>
    <row r="145" spans="1:33" ht="15" thickBot="1">
      <c r="A145" s="288"/>
      <c r="B145" s="269" t="s">
        <v>113</v>
      </c>
      <c r="C145" s="606"/>
      <c r="D145" s="607"/>
      <c r="E145" s="607"/>
      <c r="F145" s="607"/>
      <c r="G145" s="607"/>
      <c r="H145" s="608"/>
      <c r="I145" s="606"/>
      <c r="J145" s="607"/>
      <c r="K145" s="607"/>
      <c r="L145" s="607"/>
      <c r="M145" s="607"/>
      <c r="N145" s="608"/>
      <c r="O145" s="606"/>
      <c r="P145" s="607"/>
      <c r="Q145" s="607"/>
      <c r="R145" s="607"/>
      <c r="S145" s="607"/>
      <c r="T145" s="608"/>
      <c r="U145" s="274"/>
      <c r="Z145" s="551"/>
      <c r="AA145" s="551"/>
      <c r="AB145" s="551"/>
      <c r="AC145" s="551"/>
      <c r="AD145" s="551"/>
      <c r="AE145" s="551"/>
      <c r="AF145" s="551"/>
      <c r="AG145" s="551"/>
    </row>
    <row r="146" spans="1:33">
      <c r="A146" s="288"/>
      <c r="B146" s="269"/>
      <c r="C146" s="604">
        <f>SUM(C126:C145)</f>
        <v>489.6213719664625</v>
      </c>
      <c r="D146" s="604">
        <f>SUM(D126:D145)</f>
        <v>590.45360565277497</v>
      </c>
      <c r="E146" s="604"/>
      <c r="F146" s="604">
        <f>SUM(F126:F145)</f>
        <v>152.52121171944825</v>
      </c>
      <c r="G146" s="604">
        <f>SUM(G126:G145)</f>
        <v>189.25965911746607</v>
      </c>
      <c r="H146" s="604"/>
      <c r="I146" s="604">
        <f>SUM(I126:I145)</f>
        <v>1513.6352934062766</v>
      </c>
      <c r="J146" s="604">
        <f>SUM(J126:J145)</f>
        <v>1540.802249540367</v>
      </c>
      <c r="K146" s="604"/>
      <c r="L146" s="604">
        <f>SUM(L126:L145)</f>
        <v>71.402115067750344</v>
      </c>
      <c r="M146" s="604">
        <f>SUM(M126:M145)</f>
        <v>205.33673425448296</v>
      </c>
      <c r="N146" s="604"/>
      <c r="O146" s="604">
        <f>SUM(O126:O145)</f>
        <v>98159.576603264184</v>
      </c>
      <c r="P146" s="604">
        <f>SUM(P126:P145)</f>
        <v>104431.53690446397</v>
      </c>
      <c r="Q146" s="604"/>
      <c r="R146" s="604">
        <f>SUM(R126:R145)</f>
        <v>10972.243012572731</v>
      </c>
      <c r="S146" s="604">
        <f>SUM(S126:S145)</f>
        <v>19335.223275225504</v>
      </c>
      <c r="T146" s="604"/>
      <c r="U146" s="493">
        <f>SUM(C146:T146)</f>
        <v>237651.61203625138</v>
      </c>
    </row>
    <row r="147" spans="1:33">
      <c r="A147" s="288"/>
      <c r="B147" s="269"/>
      <c r="C147" s="274"/>
      <c r="D147" s="274"/>
      <c r="E147" s="274"/>
      <c r="F147" s="274"/>
      <c r="G147" s="274"/>
      <c r="H147" s="274"/>
      <c r="I147" s="274"/>
      <c r="J147" s="274"/>
      <c r="K147" s="274"/>
      <c r="L147" s="274"/>
      <c r="M147" s="274"/>
      <c r="N147" s="274"/>
      <c r="O147" s="274"/>
      <c r="P147" s="274"/>
      <c r="Q147" s="274"/>
      <c r="R147" s="274"/>
      <c r="S147" s="274"/>
      <c r="T147" s="274"/>
      <c r="U147" s="274"/>
      <c r="V147" s="1582" t="s">
        <v>1004</v>
      </c>
      <c r="W147" s="1583"/>
      <c r="X147" s="1583"/>
      <c r="Y147" s="1583"/>
    </row>
    <row r="148" spans="1:33">
      <c r="A148" s="288"/>
      <c r="B148" s="269"/>
      <c r="C148" s="274"/>
      <c r="D148" s="274"/>
      <c r="E148" s="274"/>
      <c r="F148" s="274"/>
      <c r="G148" s="274"/>
      <c r="H148" s="274"/>
      <c r="I148" s="274"/>
      <c r="J148" s="274"/>
      <c r="K148" s="274"/>
      <c r="L148" s="274"/>
      <c r="M148" s="274"/>
      <c r="N148" s="274"/>
      <c r="O148" s="274"/>
      <c r="P148" s="274"/>
      <c r="Q148" s="274"/>
      <c r="R148" s="274"/>
      <c r="S148" s="274"/>
      <c r="T148" s="274"/>
      <c r="U148" s="274"/>
      <c r="V148" s="556"/>
      <c r="W148" s="557" t="s">
        <v>1000</v>
      </c>
      <c r="X148" s="557" t="s">
        <v>1003</v>
      </c>
      <c r="Y148" s="557" t="s">
        <v>177</v>
      </c>
    </row>
    <row r="149" spans="1:33" ht="15" thickBot="1">
      <c r="A149" s="288"/>
      <c r="B149" s="269"/>
      <c r="C149" s="1559" t="s">
        <v>982</v>
      </c>
      <c r="D149" s="1560"/>
      <c r="E149" s="1560"/>
      <c r="F149" s="1560"/>
      <c r="G149" s="1560"/>
      <c r="H149" s="1560"/>
      <c r="I149" s="1560"/>
      <c r="J149" s="1560"/>
      <c r="K149" s="1560"/>
      <c r="L149" s="1560"/>
      <c r="M149" s="1560"/>
      <c r="N149" s="1560"/>
      <c r="O149" s="1560"/>
      <c r="P149" s="1560"/>
      <c r="Q149" s="1560"/>
      <c r="R149" s="1560"/>
      <c r="S149" s="1560"/>
      <c r="T149" s="1560"/>
      <c r="U149" s="328"/>
      <c r="V149" s="580" t="s">
        <v>1016</v>
      </c>
      <c r="W149" s="558">
        <f>SUM(V126:Y138)/1000</f>
        <v>0.75271545421310249</v>
      </c>
      <c r="X149" s="558">
        <f>SUM(Z126:AC138)/1000</f>
        <v>1.3845474173856755</v>
      </c>
      <c r="Y149" s="558">
        <f>SUM(AD126:AG138)/1000</f>
        <v>104.72588070834011</v>
      </c>
    </row>
    <row r="150" spans="1:33">
      <c r="A150" s="288"/>
      <c r="B150" s="306"/>
      <c r="C150" s="1556" t="s">
        <v>148</v>
      </c>
      <c r="D150" s="1557"/>
      <c r="E150" s="1557"/>
      <c r="F150" s="1557"/>
      <c r="G150" s="1557"/>
      <c r="H150" s="1558"/>
      <c r="I150" s="1556" t="s">
        <v>149</v>
      </c>
      <c r="J150" s="1557"/>
      <c r="K150" s="1557"/>
      <c r="L150" s="1557"/>
      <c r="M150" s="1557"/>
      <c r="N150" s="1558"/>
      <c r="O150" s="1556" t="s">
        <v>177</v>
      </c>
      <c r="P150" s="1557"/>
      <c r="Q150" s="1557"/>
      <c r="R150" s="1557"/>
      <c r="S150" s="1557"/>
      <c r="T150" s="1558"/>
      <c r="U150" s="488"/>
      <c r="V150" s="580" t="s">
        <v>1017</v>
      </c>
      <c r="W150" s="558">
        <f>SUM(V139:Y144)/1000</f>
        <v>8.6032414601052348E-2</v>
      </c>
      <c r="X150" s="558">
        <f>SUM(Z139:AC144)/1000</f>
        <v>0.66571554523925502</v>
      </c>
      <c r="Y150" s="558">
        <f>SUM(AD139:AG144)/1000</f>
        <v>36.835650032175046</v>
      </c>
    </row>
    <row r="151" spans="1:33">
      <c r="B151" s="306"/>
      <c r="C151" s="1563" t="s">
        <v>176</v>
      </c>
      <c r="D151" s="1561"/>
      <c r="E151" s="1561"/>
      <c r="F151" s="1561" t="s">
        <v>348</v>
      </c>
      <c r="G151" s="1561"/>
      <c r="H151" s="1562"/>
      <c r="I151" s="1563" t="s">
        <v>176</v>
      </c>
      <c r="J151" s="1561"/>
      <c r="K151" s="1561"/>
      <c r="L151" s="1561" t="s">
        <v>348</v>
      </c>
      <c r="M151" s="1561"/>
      <c r="N151" s="1562"/>
      <c r="O151" s="1563" t="s">
        <v>176</v>
      </c>
      <c r="P151" s="1561"/>
      <c r="Q151" s="1561"/>
      <c r="R151" s="1561" t="s">
        <v>348</v>
      </c>
      <c r="S151" s="1561"/>
      <c r="T151" s="1562"/>
      <c r="U151" s="488"/>
      <c r="V151" s="274"/>
    </row>
    <row r="152" spans="1:33">
      <c r="B152" s="306"/>
      <c r="C152" s="307" t="s">
        <v>424</v>
      </c>
      <c r="D152" s="308" t="s">
        <v>425</v>
      </c>
      <c r="E152" s="308" t="s">
        <v>426</v>
      </c>
      <c r="F152" s="308" t="s">
        <v>424</v>
      </c>
      <c r="G152" s="308" t="s">
        <v>425</v>
      </c>
      <c r="H152" s="309" t="s">
        <v>426</v>
      </c>
      <c r="I152" s="307" t="s">
        <v>424</v>
      </c>
      <c r="J152" s="308" t="s">
        <v>425</v>
      </c>
      <c r="K152" s="308" t="s">
        <v>426</v>
      </c>
      <c r="L152" s="308" t="s">
        <v>424</v>
      </c>
      <c r="M152" s="308" t="s">
        <v>425</v>
      </c>
      <c r="N152" s="309" t="s">
        <v>426</v>
      </c>
      <c r="O152" s="307" t="s">
        <v>424</v>
      </c>
      <c r="P152" s="308" t="s">
        <v>425</v>
      </c>
      <c r="Q152" s="308" t="s">
        <v>426</v>
      </c>
      <c r="R152" s="308" t="s">
        <v>424</v>
      </c>
      <c r="S152" s="308" t="s">
        <v>425</v>
      </c>
      <c r="T152" s="309" t="s">
        <v>426</v>
      </c>
      <c r="U152" s="489"/>
      <c r="V152" s="274"/>
    </row>
    <row r="153" spans="1:33">
      <c r="B153" s="581" t="s">
        <v>1016</v>
      </c>
      <c r="C153" s="610">
        <f>SUM(C126:C138)</f>
        <v>426.00460862561238</v>
      </c>
      <c r="D153" s="611">
        <f t="shared" ref="D153:T153" si="104">SUM(D126:D138)</f>
        <v>522.85464695759561</v>
      </c>
      <c r="E153" s="611">
        <f t="shared" si="104"/>
        <v>0</v>
      </c>
      <c r="F153" s="611">
        <f t="shared" si="104"/>
        <v>151.42451561074927</v>
      </c>
      <c r="G153" s="611">
        <f t="shared" si="104"/>
        <v>181.88799276379049</v>
      </c>
      <c r="H153" s="612">
        <f t="shared" si="104"/>
        <v>0</v>
      </c>
      <c r="I153" s="610">
        <f t="shared" si="104"/>
        <v>1032.5352812526291</v>
      </c>
      <c r="J153" s="611">
        <f t="shared" si="104"/>
        <v>1034.6380353002621</v>
      </c>
      <c r="K153" s="611">
        <f t="shared" si="104"/>
        <v>0</v>
      </c>
      <c r="L153" s="611">
        <f t="shared" si="104"/>
        <v>42.997262417655875</v>
      </c>
      <c r="M153" s="611">
        <f t="shared" si="104"/>
        <v>135.37891071188616</v>
      </c>
      <c r="N153" s="612">
        <f t="shared" si="104"/>
        <v>0</v>
      </c>
      <c r="O153" s="610">
        <f t="shared" si="104"/>
        <v>71468.454604033817</v>
      </c>
      <c r="P153" s="611">
        <f t="shared" si="104"/>
        <v>76317.141430635034</v>
      </c>
      <c r="Q153" s="611">
        <f t="shared" si="104"/>
        <v>0</v>
      </c>
      <c r="R153" s="611">
        <f t="shared" si="104"/>
        <v>9526.6671233918514</v>
      </c>
      <c r="S153" s="611">
        <f t="shared" si="104"/>
        <v>15546.078270308157</v>
      </c>
      <c r="T153" s="612">
        <f t="shared" si="104"/>
        <v>0</v>
      </c>
      <c r="U153" s="302"/>
      <c r="V153" s="274"/>
    </row>
    <row r="154" spans="1:33" ht="15" thickBot="1">
      <c r="B154" s="581" t="s">
        <v>1017</v>
      </c>
      <c r="C154" s="613">
        <f t="shared" ref="C154:T154" si="105">SUM(C139:C144)</f>
        <v>63.61676334085012</v>
      </c>
      <c r="D154" s="614">
        <f t="shared" si="105"/>
        <v>67.59895869517932</v>
      </c>
      <c r="E154" s="614">
        <f t="shared" si="105"/>
        <v>0</v>
      </c>
      <c r="F154" s="614">
        <f t="shared" si="105"/>
        <v>1.0966961086989753</v>
      </c>
      <c r="G154" s="614">
        <f t="shared" si="105"/>
        <v>7.3716663536755735</v>
      </c>
      <c r="H154" s="615">
        <f t="shared" si="105"/>
        <v>0</v>
      </c>
      <c r="I154" s="613">
        <f t="shared" si="105"/>
        <v>481.10001215364753</v>
      </c>
      <c r="J154" s="614">
        <f t="shared" si="105"/>
        <v>506.16421424010497</v>
      </c>
      <c r="K154" s="614">
        <f t="shared" si="105"/>
        <v>0</v>
      </c>
      <c r="L154" s="614">
        <f t="shared" si="105"/>
        <v>28.404852650094462</v>
      </c>
      <c r="M154" s="614">
        <f t="shared" si="105"/>
        <v>69.957823542596813</v>
      </c>
      <c r="N154" s="615">
        <f t="shared" si="105"/>
        <v>0</v>
      </c>
      <c r="O154" s="613">
        <f t="shared" si="105"/>
        <v>26691.121999230381</v>
      </c>
      <c r="P154" s="614">
        <f t="shared" si="105"/>
        <v>28114.395473828929</v>
      </c>
      <c r="Q154" s="614">
        <f t="shared" si="105"/>
        <v>0</v>
      </c>
      <c r="R154" s="614">
        <f t="shared" si="105"/>
        <v>1445.5758891808782</v>
      </c>
      <c r="S154" s="614">
        <f t="shared" si="105"/>
        <v>3789.1450049173463</v>
      </c>
      <c r="T154" s="615">
        <f t="shared" si="105"/>
        <v>0</v>
      </c>
      <c r="U154" s="302"/>
      <c r="V154" s="508" t="s">
        <v>917</v>
      </c>
    </row>
    <row r="155" spans="1:33">
      <c r="A155" s="288"/>
      <c r="B155" s="269"/>
      <c r="C155" s="616">
        <f>SUM(C153:C154)</f>
        <v>489.6213719664625</v>
      </c>
      <c r="D155" s="616">
        <f>SUM(D153:D154)</f>
        <v>590.45360565277497</v>
      </c>
      <c r="E155" s="526"/>
      <c r="F155" s="616">
        <f>SUM(F153:F154)</f>
        <v>152.52121171944825</v>
      </c>
      <c r="G155" s="616">
        <f>SUM(G153:G154)</f>
        <v>189.25965911746607</v>
      </c>
      <c r="H155" s="526"/>
      <c r="I155" s="616">
        <f>SUM(I153:I154)</f>
        <v>1513.6352934062766</v>
      </c>
      <c r="J155" s="616">
        <f>SUM(J153:J154)</f>
        <v>1540.802249540367</v>
      </c>
      <c r="K155" s="526"/>
      <c r="L155" s="616">
        <f>SUM(L153:L154)</f>
        <v>71.402115067750344</v>
      </c>
      <c r="M155" s="616">
        <f>SUM(M153:M154)</f>
        <v>205.33673425448296</v>
      </c>
      <c r="N155" s="526"/>
      <c r="O155" s="616">
        <f>SUM(O153:O154)</f>
        <v>98159.576603264199</v>
      </c>
      <c r="P155" s="616">
        <f>SUM(P153:P154)</f>
        <v>104431.53690446397</v>
      </c>
      <c r="Q155" s="526"/>
      <c r="R155" s="616">
        <f>SUM(R153:R154)</f>
        <v>10972.24301257273</v>
      </c>
      <c r="S155" s="616">
        <f>SUM(S153:S154)</f>
        <v>19335.223275225504</v>
      </c>
      <c r="T155" s="526"/>
      <c r="U155" s="493">
        <f>SUM(C155:T155)</f>
        <v>237651.61203625143</v>
      </c>
      <c r="V155" s="493">
        <f>AJ92</f>
        <v>237008.72600000002</v>
      </c>
    </row>
    <row r="156" spans="1:33">
      <c r="A156" s="457"/>
      <c r="B156" s="269"/>
      <c r="V156" s="274"/>
    </row>
    <row r="157" spans="1:33">
      <c r="A157" s="457"/>
      <c r="B157" s="269"/>
      <c r="V157" s="274"/>
    </row>
    <row r="158" spans="1:33">
      <c r="A158" s="457"/>
      <c r="B158" s="269"/>
      <c r="V158" s="274"/>
    </row>
    <row r="159" spans="1:33">
      <c r="A159" s="288"/>
      <c r="B159" s="269"/>
      <c r="C159" s="477" t="s">
        <v>176</v>
      </c>
      <c r="D159" s="477" t="s">
        <v>348</v>
      </c>
      <c r="V159" s="328"/>
    </row>
    <row r="160" spans="1:33" ht="15.6">
      <c r="A160" s="288"/>
      <c r="B160" s="581" t="s">
        <v>1016</v>
      </c>
      <c r="C160" s="617">
        <f>C153+D153+I153+J153+O153+P153</f>
        <v>150801.62860680494</v>
      </c>
      <c r="D160" s="617">
        <f>F153+G153+M153+L153+R153+S153</f>
        <v>25584.434075204088</v>
      </c>
    </row>
    <row r="161" spans="1:17" ht="15.6">
      <c r="A161" s="288"/>
      <c r="B161" s="581" t="s">
        <v>1017</v>
      </c>
      <c r="C161" s="617">
        <f>C154+D154+I154+J154+O154+P154</f>
        <v>55923.997421489097</v>
      </c>
      <c r="D161" s="617">
        <f>F154+G154+M154+L154+R154+S154</f>
        <v>5341.5519327532902</v>
      </c>
    </row>
    <row r="163" spans="1:17">
      <c r="C163" s="1581"/>
      <c r="D163" s="1581"/>
      <c r="E163" s="1581"/>
      <c r="F163" s="1581"/>
      <c r="G163" s="1581"/>
      <c r="H163" s="1581"/>
      <c r="I163" s="1581"/>
      <c r="J163" s="1581"/>
      <c r="K163" s="1581"/>
      <c r="L163" s="1581"/>
      <c r="M163" s="1581"/>
      <c r="N163" s="1581"/>
      <c r="O163" s="1581"/>
      <c r="P163" s="1581"/>
      <c r="Q163" s="1581"/>
    </row>
    <row r="164" spans="1:17">
      <c r="C164" s="1581"/>
      <c r="D164" s="1581"/>
      <c r="E164" s="1581"/>
      <c r="F164" s="1581"/>
      <c r="G164" s="1581"/>
      <c r="H164" s="1581"/>
      <c r="I164" s="1581"/>
      <c r="J164" s="1581"/>
      <c r="K164" s="1581"/>
      <c r="L164" s="1581"/>
      <c r="M164" s="1581"/>
      <c r="N164" s="1581"/>
      <c r="O164" s="1581"/>
      <c r="P164" s="1581"/>
      <c r="Q164" s="1581"/>
    </row>
    <row r="165" spans="1:17">
      <c r="C165" s="269"/>
      <c r="D165" s="269"/>
      <c r="E165" s="269"/>
      <c r="F165" s="269"/>
      <c r="G165" s="269"/>
      <c r="H165" s="269"/>
      <c r="I165" s="269"/>
      <c r="J165" s="269"/>
      <c r="K165" s="269"/>
      <c r="L165" s="269"/>
      <c r="M165" s="269"/>
      <c r="N165" s="269"/>
      <c r="O165" s="269"/>
      <c r="P165" s="269"/>
      <c r="Q165" s="269"/>
    </row>
    <row r="166" spans="1:17" ht="18">
      <c r="A166" s="1488"/>
      <c r="B166" s="246" t="s">
        <v>978</v>
      </c>
      <c r="C166" s="247"/>
      <c r="D166" s="247"/>
      <c r="E166" s="247"/>
      <c r="F166" s="247"/>
      <c r="G166" s="247"/>
      <c r="H166" s="247"/>
      <c r="I166" s="247"/>
      <c r="J166" s="247"/>
    </row>
    <row r="167" spans="1:17">
      <c r="A167" s="1488"/>
      <c r="B167" s="247"/>
      <c r="C167" s="247"/>
      <c r="D167" s="247"/>
      <c r="E167" s="247"/>
      <c r="F167" s="247"/>
      <c r="G167" s="247"/>
      <c r="H167" s="247"/>
      <c r="I167" s="247"/>
      <c r="J167" s="247"/>
    </row>
    <row r="168" spans="1:17">
      <c r="A168" s="1488"/>
      <c r="B168" s="247"/>
      <c r="C168" s="248">
        <v>2009</v>
      </c>
      <c r="D168" s="247"/>
      <c r="E168" s="247"/>
      <c r="F168" s="247"/>
      <c r="G168" s="247"/>
      <c r="H168" s="247"/>
      <c r="I168" s="247"/>
      <c r="J168" s="247"/>
    </row>
    <row r="169" spans="1:17">
      <c r="A169" s="1488"/>
      <c r="B169" s="247"/>
      <c r="C169" s="248" t="s">
        <v>934</v>
      </c>
      <c r="D169" s="247"/>
      <c r="E169" s="247"/>
      <c r="F169" s="247"/>
      <c r="G169" s="247"/>
      <c r="H169" s="247"/>
      <c r="I169" s="247"/>
      <c r="J169" s="247"/>
    </row>
    <row r="170" spans="1:17">
      <c r="A170" s="1488"/>
      <c r="B170" s="247"/>
      <c r="C170" s="248" t="s">
        <v>936</v>
      </c>
      <c r="D170" s="248" t="s">
        <v>938</v>
      </c>
      <c r="E170" s="248" t="s">
        <v>940</v>
      </c>
      <c r="F170" s="248" t="s">
        <v>942</v>
      </c>
      <c r="G170" s="248" t="s">
        <v>943</v>
      </c>
      <c r="H170" s="248" t="s">
        <v>945</v>
      </c>
      <c r="I170" s="248" t="s">
        <v>946</v>
      </c>
      <c r="J170" s="248" t="s">
        <v>947</v>
      </c>
    </row>
    <row r="171" spans="1:17">
      <c r="A171" s="1488"/>
      <c r="B171" s="248" t="s">
        <v>147</v>
      </c>
      <c r="C171" s="247">
        <v>14513</v>
      </c>
      <c r="D171" s="247">
        <v>20845</v>
      </c>
      <c r="E171" s="247">
        <v>26596</v>
      </c>
      <c r="F171" s="247">
        <v>22527</v>
      </c>
      <c r="G171" s="247">
        <v>19972</v>
      </c>
      <c r="H171" s="247">
        <v>19172</v>
      </c>
      <c r="I171" s="247">
        <v>20846</v>
      </c>
      <c r="J171" s="247">
        <v>20919</v>
      </c>
    </row>
    <row r="172" spans="1:17">
      <c r="A172" s="1488"/>
      <c r="B172" s="248" t="s">
        <v>979</v>
      </c>
      <c r="C172" s="247">
        <v>11740</v>
      </c>
      <c r="D172" s="247">
        <v>17290</v>
      </c>
      <c r="E172" s="247">
        <v>16740</v>
      </c>
      <c r="F172" s="247">
        <v>17255</v>
      </c>
      <c r="G172" s="247">
        <v>15933</v>
      </c>
      <c r="H172" s="247">
        <v>15255</v>
      </c>
      <c r="I172" s="247">
        <v>16568</v>
      </c>
      <c r="J172" s="247">
        <v>17462</v>
      </c>
    </row>
    <row r="173" spans="1:17">
      <c r="A173" s="1488"/>
      <c r="B173" s="248" t="s">
        <v>980</v>
      </c>
      <c r="C173" s="247">
        <v>866</v>
      </c>
      <c r="D173" s="247">
        <v>2470</v>
      </c>
      <c r="E173" s="247">
        <v>7543</v>
      </c>
      <c r="F173" s="247">
        <v>4464</v>
      </c>
      <c r="G173" s="247">
        <v>2882</v>
      </c>
      <c r="H173" s="247">
        <v>3279</v>
      </c>
      <c r="I173" s="247">
        <v>3797</v>
      </c>
      <c r="J173" s="247">
        <v>3141</v>
      </c>
    </row>
    <row r="174" spans="1:17">
      <c r="A174" s="1488"/>
      <c r="B174" s="248" t="s">
        <v>981</v>
      </c>
      <c r="C174" s="247">
        <v>1324</v>
      </c>
      <c r="D174" s="247">
        <v>939</v>
      </c>
      <c r="E174" s="247">
        <v>2281</v>
      </c>
      <c r="F174" s="247">
        <v>780</v>
      </c>
      <c r="G174" s="247">
        <v>951</v>
      </c>
      <c r="H174" s="247">
        <v>376</v>
      </c>
      <c r="I174" s="247">
        <v>333</v>
      </c>
      <c r="J174" s="247">
        <v>283</v>
      </c>
    </row>
    <row r="175" spans="1:17">
      <c r="A175" s="1488"/>
      <c r="B175" s="248" t="s">
        <v>935</v>
      </c>
      <c r="C175" s="247">
        <v>583</v>
      </c>
      <c r="D175" s="247">
        <v>146</v>
      </c>
      <c r="E175" s="247">
        <v>33</v>
      </c>
      <c r="F175" s="247">
        <v>26</v>
      </c>
      <c r="G175" s="247">
        <v>206</v>
      </c>
      <c r="H175" s="247">
        <v>263</v>
      </c>
      <c r="I175" s="247">
        <v>149</v>
      </c>
      <c r="J175" s="247">
        <v>33</v>
      </c>
    </row>
    <row r="176" spans="1:17">
      <c r="A176" s="1488"/>
      <c r="B176" s="247"/>
      <c r="C176" s="631">
        <f>C175/C171</f>
        <v>4.0170881278853439E-2</v>
      </c>
      <c r="D176" s="631">
        <f t="shared" ref="D176:J176" si="106">D175/D171</f>
        <v>7.0040777164787722E-3</v>
      </c>
      <c r="E176" s="631">
        <f t="shared" si="106"/>
        <v>1.240788088434351E-3</v>
      </c>
      <c r="F176" s="631">
        <f t="shared" si="106"/>
        <v>1.1541705508944821E-3</v>
      </c>
      <c r="G176" s="631">
        <f t="shared" si="106"/>
        <v>1.0314440216302824E-2</v>
      </c>
      <c r="H176" s="631">
        <f t="shared" si="106"/>
        <v>1.371792196953891E-2</v>
      </c>
      <c r="I176" s="631">
        <f t="shared" si="106"/>
        <v>7.1476542262304517E-3</v>
      </c>
      <c r="J176" s="631">
        <f t="shared" si="106"/>
        <v>1.5775132654524595E-3</v>
      </c>
      <c r="K176" s="609">
        <f>SUM(C176:J176)</f>
        <v>8.2327447312185678E-2</v>
      </c>
    </row>
    <row r="177" spans="1:14">
      <c r="A177" s="1488"/>
      <c r="B177" s="269"/>
      <c r="C177" s="609">
        <f>C172/C171</f>
        <v>0.80892992489492177</v>
      </c>
      <c r="D177" s="609">
        <f t="shared" ref="D177:J177" si="107">D172/D171</f>
        <v>0.82945550491724629</v>
      </c>
      <c r="E177" s="609">
        <f t="shared" si="107"/>
        <v>0.62941795758760721</v>
      </c>
      <c r="F177" s="609">
        <f t="shared" si="107"/>
        <v>0.7659697252186265</v>
      </c>
      <c r="G177" s="609">
        <f t="shared" si="107"/>
        <v>0.7977668736230723</v>
      </c>
      <c r="H177" s="609">
        <f t="shared" si="107"/>
        <v>0.7956916336323806</v>
      </c>
      <c r="I177" s="609">
        <f t="shared" si="107"/>
        <v>0.79478077328983976</v>
      </c>
      <c r="J177" s="609">
        <f t="shared" si="107"/>
        <v>0.83474353458578321</v>
      </c>
      <c r="K177" s="609"/>
    </row>
    <row r="178" spans="1:14">
      <c r="A178" s="1488"/>
      <c r="B178" s="269"/>
    </row>
    <row r="179" spans="1:14">
      <c r="A179" s="1488"/>
      <c r="B179" s="269"/>
    </row>
    <row r="180" spans="1:14">
      <c r="A180" s="1488"/>
      <c r="B180" s="269"/>
    </row>
    <row r="181" spans="1:14" ht="15" thickBot="1">
      <c r="A181" s="1488"/>
      <c r="B181" s="1550" t="s">
        <v>913</v>
      </c>
      <c r="C181" s="1550"/>
      <c r="D181" s="1550"/>
      <c r="E181" s="1550"/>
      <c r="F181" s="1550"/>
      <c r="G181" s="1550"/>
      <c r="H181" s="1550"/>
      <c r="I181" s="1550"/>
      <c r="J181" s="1550"/>
      <c r="K181" s="1550"/>
      <c r="L181" s="1550"/>
      <c r="M181" s="1550"/>
      <c r="N181" s="1550"/>
    </row>
    <row r="182" spans="1:14" ht="15" thickBot="1">
      <c r="A182" s="1488"/>
      <c r="E182" s="1589" t="s">
        <v>416</v>
      </c>
      <c r="F182" s="1573"/>
      <c r="G182" s="1573"/>
      <c r="H182" s="1573"/>
      <c r="I182" s="1569"/>
      <c r="J182" s="1589" t="s">
        <v>417</v>
      </c>
      <c r="K182" s="1573"/>
      <c r="L182" s="1573"/>
      <c r="M182" s="1573"/>
      <c r="N182" s="1569"/>
    </row>
    <row r="183" spans="1:14">
      <c r="A183" s="1488"/>
      <c r="E183" s="1564" t="s">
        <v>404</v>
      </c>
      <c r="F183" s="1565"/>
      <c r="G183" s="286" t="s">
        <v>405</v>
      </c>
      <c r="H183" s="286" t="s">
        <v>406</v>
      </c>
      <c r="I183" s="287" t="s">
        <v>407</v>
      </c>
      <c r="J183" s="1564" t="s">
        <v>404</v>
      </c>
      <c r="K183" s="1565"/>
      <c r="L183" s="286" t="s">
        <v>405</v>
      </c>
      <c r="M183" s="286" t="s">
        <v>406</v>
      </c>
      <c r="N183" s="287" t="s">
        <v>407</v>
      </c>
    </row>
    <row r="184" spans="1:14" ht="15" thickBot="1">
      <c r="A184" s="1488"/>
      <c r="B184" s="293" t="s">
        <v>423</v>
      </c>
      <c r="E184" s="1590">
        <f>((Z94*Z92)+(AA92*AA94))/(Z92+AA92)</f>
        <v>122.23027322202823</v>
      </c>
      <c r="F184" s="1591"/>
      <c r="G184" s="607">
        <f>AB94</f>
        <v>124.82879241489147</v>
      </c>
      <c r="H184" s="607">
        <f>AC94</f>
        <v>140.55836456034083</v>
      </c>
      <c r="I184" s="608">
        <f>AD94</f>
        <v>144.76571243732815</v>
      </c>
      <c r="J184" s="1590">
        <f>((AE94*AE92)+(AF92*AF94))/(AE92+AF92)</f>
        <v>44.095374761473842</v>
      </c>
      <c r="K184" s="1591"/>
      <c r="L184" s="607">
        <f>AG94</f>
        <v>46.52605274037326</v>
      </c>
      <c r="M184" s="607">
        <f>AH94</f>
        <v>87.501328726282381</v>
      </c>
      <c r="N184" s="608">
        <f>AI94</f>
        <v>121.82430164840588</v>
      </c>
    </row>
    <row r="186" spans="1:14" ht="15" thickBot="1"/>
    <row r="187" spans="1:14">
      <c r="B187" s="319" t="s">
        <v>229</v>
      </c>
      <c r="C187" s="316" t="s">
        <v>321</v>
      </c>
      <c r="D187" s="316" t="s">
        <v>233</v>
      </c>
      <c r="E187" s="317" t="s">
        <v>322</v>
      </c>
    </row>
    <row r="188" spans="1:14">
      <c r="B188" s="320" t="s">
        <v>7</v>
      </c>
      <c r="C188" s="315" t="s">
        <v>317</v>
      </c>
      <c r="D188" s="245" t="s">
        <v>320</v>
      </c>
      <c r="E188" s="318" t="s">
        <v>317</v>
      </c>
    </row>
    <row r="189" spans="1:14">
      <c r="B189" s="321" t="s">
        <v>454</v>
      </c>
      <c r="C189" s="627">
        <f>C190+C193+C196</f>
        <v>204183403.21842736</v>
      </c>
      <c r="D189" s="627">
        <f>D190+D193+D196</f>
        <v>1969262.9999999998</v>
      </c>
      <c r="E189" s="628">
        <f t="shared" ref="E189:E209" si="108">C189/D189</f>
        <v>103.68518741195432</v>
      </c>
    </row>
    <row r="190" spans="1:14">
      <c r="B190" s="322" t="s">
        <v>148</v>
      </c>
      <c r="C190" s="621">
        <f>C191+C192</f>
        <v>1282171.7639577477</v>
      </c>
      <c r="D190" s="621">
        <f>D191+D192</f>
        <v>14180.86</v>
      </c>
      <c r="E190" s="622">
        <f t="shared" si="108"/>
        <v>90.415656311235537</v>
      </c>
    </row>
    <row r="191" spans="1:14">
      <c r="B191" s="323" t="s">
        <v>231</v>
      </c>
      <c r="C191" s="623">
        <f>SUM(C126:D140)*1000</f>
        <v>948859.25558320794</v>
      </c>
      <c r="D191" s="623">
        <f>SUM(C73:D87)</f>
        <v>7761.66</v>
      </c>
      <c r="E191" s="624">
        <f t="shared" si="108"/>
        <v>122.24952594975919</v>
      </c>
    </row>
    <row r="192" spans="1:14">
      <c r="B192" s="323" t="s">
        <v>230</v>
      </c>
      <c r="C192" s="623">
        <f>SUM(F126:G140)*1000</f>
        <v>333312.50837453973</v>
      </c>
      <c r="D192" s="623">
        <f>SUM(F73:G87)</f>
        <v>6419.2000000000007</v>
      </c>
      <c r="E192" s="624">
        <f t="shared" si="108"/>
        <v>51.924306513979886</v>
      </c>
    </row>
    <row r="193" spans="1:5">
      <c r="A193" s="1488"/>
      <c r="B193" s="322" t="s">
        <v>149</v>
      </c>
      <c r="C193" s="621">
        <f>C194+C195</f>
        <v>2801496.3004108001</v>
      </c>
      <c r="D193" s="621">
        <f>D194+D195</f>
        <v>25204.400000000005</v>
      </c>
      <c r="E193" s="622">
        <f t="shared" si="108"/>
        <v>111.1510807799749</v>
      </c>
    </row>
    <row r="194" spans="1:5">
      <c r="A194" s="1488"/>
      <c r="B194" s="323" t="s">
        <v>231</v>
      </c>
      <c r="C194" s="623">
        <f>SUM(I126:J140)*1000</f>
        <v>2561536.0615209891</v>
      </c>
      <c r="D194" s="623">
        <f>SUM(I73:J87)</f>
        <v>21062.700000000004</v>
      </c>
      <c r="E194" s="625">
        <f t="shared" si="108"/>
        <v>121.61480064383903</v>
      </c>
    </row>
    <row r="195" spans="1:5">
      <c r="A195" s="1488"/>
      <c r="B195" s="323" t="s">
        <v>230</v>
      </c>
      <c r="C195" s="623">
        <f>SUM(L126:M140)*1000</f>
        <v>239960.23888981115</v>
      </c>
      <c r="D195" s="623">
        <f>SUM(L73:M87)</f>
        <v>4141.7</v>
      </c>
      <c r="E195" s="625">
        <f t="shared" si="108"/>
        <v>57.937619549897668</v>
      </c>
    </row>
    <row r="196" spans="1:5">
      <c r="A196" s="1488"/>
      <c r="B196" s="322" t="s">
        <v>177</v>
      </c>
      <c r="C196" s="621">
        <f>C197+C198</f>
        <v>200099735.15405881</v>
      </c>
      <c r="D196" s="621">
        <f>D197+D198</f>
        <v>1929877.7399999998</v>
      </c>
      <c r="E196" s="626">
        <f t="shared" si="108"/>
        <v>103.68518741195432</v>
      </c>
    </row>
    <row r="197" spans="1:5">
      <c r="A197" s="1488"/>
      <c r="B197" s="323" t="s">
        <v>231</v>
      </c>
      <c r="C197" s="623">
        <f>SUM(O126:P140)*1000</f>
        <v>172009370.53810561</v>
      </c>
      <c r="D197" s="623">
        <f>SUM(O73:P87)</f>
        <v>1412393.64</v>
      </c>
      <c r="E197" s="625">
        <f t="shared" si="108"/>
        <v>121.78571587033316</v>
      </c>
    </row>
    <row r="198" spans="1:5">
      <c r="A198" s="1488"/>
      <c r="B198" s="323" t="s">
        <v>230</v>
      </c>
      <c r="C198" s="623">
        <f>SUM(R126:S140)*1000</f>
        <v>28090364.615953192</v>
      </c>
      <c r="D198" s="623">
        <f>SUM(R73:S87)</f>
        <v>517484.1</v>
      </c>
      <c r="E198" s="625">
        <f t="shared" si="108"/>
        <v>54.282565620766306</v>
      </c>
    </row>
    <row r="199" spans="1:5">
      <c r="A199" s="1488"/>
      <c r="B199" s="321" t="s">
        <v>455</v>
      </c>
      <c r="C199" s="627">
        <f>C200+C203+C206</f>
        <v>33468208.817824047</v>
      </c>
      <c r="D199" s="627">
        <f>D200+D203+D206</f>
        <v>292956</v>
      </c>
      <c r="E199" s="628">
        <f t="shared" si="108"/>
        <v>114.24312462562312</v>
      </c>
    </row>
    <row r="200" spans="1:5">
      <c r="A200" s="1488"/>
      <c r="B200" s="322" t="s">
        <v>148</v>
      </c>
      <c r="C200" s="621">
        <f>C201+C202</f>
        <v>139684.084498404</v>
      </c>
      <c r="D200" s="621">
        <f>D201+D202</f>
        <v>1204.6200000000001</v>
      </c>
      <c r="E200" s="626">
        <f t="shared" si="108"/>
        <v>115.95696941641678</v>
      </c>
    </row>
    <row r="201" spans="1:5">
      <c r="A201" s="1488"/>
      <c r="B201" s="323" t="s">
        <v>231</v>
      </c>
      <c r="C201" s="623">
        <f>SUM(C141:D144)*1000</f>
        <v>131215.72203602945</v>
      </c>
      <c r="D201" s="623">
        <f>SUM(C88:D91)</f>
        <v>1082.8400000000001</v>
      </c>
      <c r="E201" s="625">
        <f t="shared" si="108"/>
        <v>121.17738727423205</v>
      </c>
    </row>
    <row r="202" spans="1:5">
      <c r="A202" s="1488"/>
      <c r="B202" s="323" t="s">
        <v>230</v>
      </c>
      <c r="C202" s="623">
        <f>SUM(F141:G144)*1000</f>
        <v>8468.3624623745491</v>
      </c>
      <c r="D202" s="623">
        <f>SUM(F88:G91)</f>
        <v>121.78</v>
      </c>
      <c r="E202" s="625">
        <f t="shared" si="108"/>
        <v>69.538203829648126</v>
      </c>
    </row>
    <row r="203" spans="1:5">
      <c r="A203" s="1488"/>
      <c r="B203" s="322" t="s">
        <v>149</v>
      </c>
      <c r="C203" s="621">
        <f>C204+C205</f>
        <v>529680.0918580771</v>
      </c>
      <c r="D203" s="621">
        <f>D204+D205</f>
        <v>4654.5</v>
      </c>
      <c r="E203" s="626">
        <f t="shared" si="108"/>
        <v>113.79956855904545</v>
      </c>
    </row>
    <row r="204" spans="1:5">
      <c r="A204" s="1488"/>
      <c r="B204" s="323" t="s">
        <v>231</v>
      </c>
      <c r="C204" s="623">
        <f>SUM(I141:J144)*1000</f>
        <v>492901.4814256549</v>
      </c>
      <c r="D204" s="623">
        <f>SUM(I88:J91)</f>
        <v>4067.66</v>
      </c>
      <c r="E204" s="625">
        <f t="shared" si="108"/>
        <v>121.17568366718332</v>
      </c>
    </row>
    <row r="205" spans="1:5">
      <c r="A205" s="1488"/>
      <c r="B205" s="323" t="s">
        <v>230</v>
      </c>
      <c r="C205" s="623">
        <f>SUM(L141:M144)*1000</f>
        <v>36778.61043242216</v>
      </c>
      <c r="D205" s="623">
        <f>SUM(L88:M91)</f>
        <v>586.83999999999992</v>
      </c>
      <c r="E205" s="625">
        <f t="shared" si="108"/>
        <v>62.672296422231213</v>
      </c>
    </row>
    <row r="206" spans="1:5">
      <c r="A206" s="1488"/>
      <c r="B206" s="322" t="s">
        <v>177</v>
      </c>
      <c r="C206" s="621">
        <f>C207+C208</f>
        <v>32798844.641467568</v>
      </c>
      <c r="D206" s="621">
        <f>D207+D208</f>
        <v>287096.88</v>
      </c>
      <c r="E206" s="626">
        <f t="shared" si="108"/>
        <v>114.24312462562312</v>
      </c>
    </row>
    <row r="207" spans="1:5">
      <c r="A207" s="1488"/>
      <c r="B207" s="323" t="s">
        <v>231</v>
      </c>
      <c r="C207" s="623">
        <f>SUM(O141:P144)*1000</f>
        <v>30581742.96962253</v>
      </c>
      <c r="D207" s="623">
        <f>SUM(O88:P91)</f>
        <v>252374.5</v>
      </c>
      <c r="E207" s="625">
        <f t="shared" si="108"/>
        <v>121.17604183315878</v>
      </c>
    </row>
    <row r="208" spans="1:5">
      <c r="A208" s="1488"/>
      <c r="B208" s="323" t="s">
        <v>230</v>
      </c>
      <c r="C208" s="623">
        <f>SUM(R141:S144)*1000</f>
        <v>2217101.6718450389</v>
      </c>
      <c r="D208" s="623">
        <f>SUM(R88:S91)</f>
        <v>34722.379999999997</v>
      </c>
      <c r="E208" s="625">
        <f t="shared" si="108"/>
        <v>63.852238004567631</v>
      </c>
    </row>
    <row r="209" spans="1:5" ht="15" thickBot="1">
      <c r="A209" s="1488"/>
      <c r="B209" s="324" t="s">
        <v>232</v>
      </c>
      <c r="C209" s="629">
        <f>C189+C199</f>
        <v>237651612.0362514</v>
      </c>
      <c r="D209" s="629">
        <f>D189+D199</f>
        <v>2262219</v>
      </c>
      <c r="E209" s="630">
        <f t="shared" si="108"/>
        <v>105.052433931574</v>
      </c>
    </row>
    <row r="210" spans="1:5">
      <c r="A210" s="1488"/>
      <c r="B210" s="269"/>
    </row>
    <row r="211" spans="1:5">
      <c r="A211" s="1488"/>
      <c r="B211" s="269"/>
    </row>
  </sheetData>
  <mergeCells count="98">
    <mergeCell ref="AY7:BJ7"/>
    <mergeCell ref="BK7:BV7"/>
    <mergeCell ref="L151:N151"/>
    <mergeCell ref="O151:Q151"/>
    <mergeCell ref="A52:A57"/>
    <mergeCell ref="A73:A85"/>
    <mergeCell ref="A86:A91"/>
    <mergeCell ref="A99:A111"/>
    <mergeCell ref="A112:A117"/>
    <mergeCell ref="A126:A138"/>
    <mergeCell ref="A139:A144"/>
    <mergeCell ref="C122:T122"/>
    <mergeCell ref="C96:Q96"/>
    <mergeCell ref="I71:K71"/>
    <mergeCell ref="L71:N71"/>
    <mergeCell ref="C123:H123"/>
    <mergeCell ref="E184:F184"/>
    <mergeCell ref="B181:N181"/>
    <mergeCell ref="I150:N150"/>
    <mergeCell ref="O7:Z7"/>
    <mergeCell ref="AA7:AL7"/>
    <mergeCell ref="I123:N123"/>
    <mergeCell ref="O123:T123"/>
    <mergeCell ref="C124:E124"/>
    <mergeCell ref="F124:H124"/>
    <mergeCell ref="I124:K124"/>
    <mergeCell ref="L124:N124"/>
    <mergeCell ref="O124:Q124"/>
    <mergeCell ref="R124:T124"/>
    <mergeCell ref="C150:H150"/>
    <mergeCell ref="V125:Y125"/>
    <mergeCell ref="Z125:AC125"/>
    <mergeCell ref="A208:A211"/>
    <mergeCell ref="C163:K163"/>
    <mergeCell ref="L163:Q163"/>
    <mergeCell ref="C164:E164"/>
    <mergeCell ref="F164:H164"/>
    <mergeCell ref="I164:K164"/>
    <mergeCell ref="L164:N164"/>
    <mergeCell ref="O164:Q164"/>
    <mergeCell ref="A166:A180"/>
    <mergeCell ref="A181:A184"/>
    <mergeCell ref="A193:A207"/>
    <mergeCell ref="E182:I182"/>
    <mergeCell ref="J182:N182"/>
    <mergeCell ref="J184:K184"/>
    <mergeCell ref="J183:K183"/>
    <mergeCell ref="E183:F183"/>
    <mergeCell ref="AD125:AG125"/>
    <mergeCell ref="V147:Y147"/>
    <mergeCell ref="V68:V69"/>
    <mergeCell ref="W88:AI88"/>
    <mergeCell ref="Z89:AD89"/>
    <mergeCell ref="AE89:AI89"/>
    <mergeCell ref="W72:AC72"/>
    <mergeCell ref="Z73:AA73"/>
    <mergeCell ref="AB73:AC73"/>
    <mergeCell ref="C69:S69"/>
    <mergeCell ref="W65:AF65"/>
    <mergeCell ref="AL42:AN42"/>
    <mergeCell ref="AC54:AE54"/>
    <mergeCell ref="AF54:AH54"/>
    <mergeCell ref="AI54:AK54"/>
    <mergeCell ref="AL54:AN54"/>
    <mergeCell ref="W53:AN53"/>
    <mergeCell ref="W54:Y54"/>
    <mergeCell ref="Z54:AB54"/>
    <mergeCell ref="W42:Y42"/>
    <mergeCell ref="C71:E71"/>
    <mergeCell ref="F71:H71"/>
    <mergeCell ref="C70:H70"/>
    <mergeCell ref="I70:N70"/>
    <mergeCell ref="O70:T70"/>
    <mergeCell ref="O71:Q71"/>
    <mergeCell ref="R71:T71"/>
    <mergeCell ref="C97:F97"/>
    <mergeCell ref="G97:J97"/>
    <mergeCell ref="K97:N97"/>
    <mergeCell ref="O97:Q97"/>
    <mergeCell ref="X73:Y73"/>
    <mergeCell ref="O150:T150"/>
    <mergeCell ref="C149:T149"/>
    <mergeCell ref="R151:T151"/>
    <mergeCell ref="C151:E151"/>
    <mergeCell ref="F151:H151"/>
    <mergeCell ref="I151:K151"/>
    <mergeCell ref="A39:A51"/>
    <mergeCell ref="W41:AN41"/>
    <mergeCell ref="B6:S6"/>
    <mergeCell ref="B31:E31"/>
    <mergeCell ref="B30:E30"/>
    <mergeCell ref="C7:N7"/>
    <mergeCell ref="W51:AB51"/>
    <mergeCell ref="AM7:AX7"/>
    <mergeCell ref="Z42:AB42"/>
    <mergeCell ref="AC42:AE42"/>
    <mergeCell ref="AF42:AH42"/>
    <mergeCell ref="AI42:AK42"/>
  </mergeCells>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T23" sqref="T23"/>
    </sheetView>
  </sheetViews>
  <sheetFormatPr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601980</xdr:colOff>
                <xdr:row>44</xdr:row>
                <xdr:rowOff>7620</xdr:rowOff>
              </to>
            </anchor>
          </objectPr>
        </oleObject>
      </mc:Choice>
      <mc:Fallback>
        <oleObject progId="Visio.Drawing.15" shapeId="54273"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LOG</vt:lpstr>
      <vt:lpstr>Intro</vt:lpstr>
      <vt:lpstr>RES</vt:lpstr>
      <vt:lpstr>Legend</vt:lpstr>
      <vt:lpstr>Commodities</vt:lpstr>
      <vt:lpstr>Processes</vt:lpstr>
      <vt:lpstr>Boilers_DR</vt:lpstr>
      <vt:lpstr>Buildings_DR</vt:lpstr>
      <vt:lpstr>Dem</vt:lpstr>
      <vt:lpstr>RES_Fuel</vt:lpstr>
      <vt:lpstr>Emis</vt:lpstr>
      <vt:lpstr>Service_Demand_2010</vt:lpstr>
      <vt:lpstr>Statistics Norway - STOCK</vt:lpstr>
      <vt:lpstr>Statistics Norway - ENERGY USE</vt:lpstr>
      <vt:lpstr>Regions</vt:lpstr>
      <vt:lpstr>EUROSTAT</vt:lpstr>
      <vt:lpstr>Boilers_old</vt:lpstr>
      <vt:lpstr>Buildings_old</vt:lpstr>
      <vt:lpstr>Building Stock &amp; Specific Heat </vt:lpstr>
      <vt:lpstr>Workflow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Mikkel Bosack</cp:lastModifiedBy>
  <cp:lastPrinted>2017-04-25T15:34:18Z</cp:lastPrinted>
  <dcterms:created xsi:type="dcterms:W3CDTF">2000-12-13T15:53:11Z</dcterms:created>
  <dcterms:modified xsi:type="dcterms:W3CDTF">2021-01-22T15:33:29Z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ies>
</file>