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hidePivotFieldList="1"/>
  <mc:AlternateContent xmlns:mc="http://schemas.openxmlformats.org/markup-compatibility/2006">
    <mc:Choice Requires="x15">
      <x15ac:absPath xmlns:x15ac="http://schemas.microsoft.com/office/spreadsheetml/2010/11/ac" url="C:\TIMES models\TIMES-Nordic\"/>
    </mc:Choice>
  </mc:AlternateContent>
  <xr:revisionPtr revIDLastSave="0" documentId="13_ncr:1_{BC7E4246-6DBB-4B46-ADDE-D9901FA93E72}" xr6:coauthVersionLast="46" xr6:coauthVersionMax="46" xr10:uidLastSave="{00000000-0000-0000-0000-000000000000}"/>
  <bookViews>
    <workbookView xWindow="9540" yWindow="996" windowWidth="22560" windowHeight="15504" tabRatio="757" firstSheet="2" activeTab="8" xr2:uid="{00000000-000D-0000-FFFF-FFFF00000000}"/>
  </bookViews>
  <sheets>
    <sheet name="LOG" sheetId="236" r:id="rId1"/>
    <sheet name="Intro" sheetId="243" r:id="rId2"/>
    <sheet name="Commodities" sheetId="216" r:id="rId3"/>
    <sheet name="Processes" sheetId="231" r:id="rId4"/>
    <sheet name="MIN-IMP-EXP" sheetId="245" r:id="rId5"/>
    <sheet name="ETS_NETS_Prices" sheetId="242" r:id="rId6"/>
    <sheet name="Refineries" sheetId="246" r:id="rId7"/>
    <sheet name="Emis" sheetId="244" r:id="rId8"/>
    <sheet name="Fuel Tech" sheetId="237" r:id="rId9"/>
    <sheet name="BiomassCost" sheetId="241" r:id="rId10"/>
    <sheet name="Energy Balance" sheetId="24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definedNames>
    <definedName name="_xlnm._FilterDatabase" localSheetId="2" hidden="1">Commodities!$C$5:$K$15</definedName>
    <definedName name="_Order1" hidden="1">255</definedName>
    <definedName name="_Order2" hidden="1">255</definedName>
    <definedName name="BiomassLargeCHP" localSheetId="6">[1]TechnologyData!$A$14:$M$41</definedName>
    <definedName name="BiomassLargeCHP">[2]TechnologyData!$A$14:$M$41</definedName>
    <definedName name="BPslut" localSheetId="6">[1]Plants!$J$2</definedName>
    <definedName name="BPslut">[2]Plants!$J$2</definedName>
    <definedName name="chosenYear" localSheetId="6">[3]Cockpit!$B$5</definedName>
    <definedName name="chosenYear">[4]Cockpit!$B$5</definedName>
    <definedName name="CO2Price">ETS_NETS_Prices!$F$13:$AT$14</definedName>
    <definedName name="dkkPerEUR" localSheetId="6">'[5]Centrale data'!$C$34</definedName>
    <definedName name="dkkPerEUR">'[6]Centrale data'!$C$34</definedName>
    <definedName name="Eksportstigning" localSheetId="6">[1]Plants!$J$6</definedName>
    <definedName name="Eksportstigning">[2]Plants!$J$6</definedName>
    <definedName name="ElBoiler" localSheetId="6">[1]TechnologyData!$O$72:$AA$99</definedName>
    <definedName name="ElBoiler">[2]TechnologyData!$O$72:$AA$99</definedName>
    <definedName name="ElPriceMix" localSheetId="6">[1]Subsidy!#REF!</definedName>
    <definedName name="ElPriceMix">[2]Subsidy!#REF!</definedName>
    <definedName name="Fastprisår" localSheetId="6">[7]Forside!$B$5</definedName>
    <definedName name="Fastprisår">[8]Forside!$B$5</definedName>
    <definedName name="FID_1" localSheetId="0">[9]AGR_Fuels!$A$2</definedName>
    <definedName name="FID_1" localSheetId="6">[10]AGR_Fuels!$A$2</definedName>
    <definedName name="FID_1">[9]AGR_Fuels!$A$2</definedName>
    <definedName name="FID_2" localSheetId="5">[11]LOG!#REF!</definedName>
    <definedName name="FID_2" localSheetId="6">LOG!#REF!</definedName>
    <definedName name="FID_2">LOG!#REF!</definedName>
    <definedName name="FuelPrices" localSheetId="5">#REF!</definedName>
    <definedName name="FuelPrices">#REF!</definedName>
    <definedName name="HeatPump_Large" localSheetId="6">[1]TechnologyData!$O$101:$AA$128</definedName>
    <definedName name="HeatPump_Large">[2]TechnologyData!$O$101:$AA$128</definedName>
    <definedName name="Inflation" localSheetId="6">[1]General!#REF!</definedName>
    <definedName name="Inflation">[2]General!#REF!</definedName>
    <definedName name="LastPSOYear" localSheetId="6">[1]Plants!$H$2</definedName>
    <definedName name="LastPSOYear">[2]Plants!$H$2</definedName>
    <definedName name="MINCRD" comment="Activity bound for DK crude oil production based on projection from DEA." localSheetId="5">'[11]Mining NGA&amp;CRD'!$N$13:$O$93</definedName>
    <definedName name="MINCRD" comment="Activity bound for DK crude oil production based on projection from DEA.">#REF!</definedName>
    <definedName name="MINNGA" comment="Activity bound for DK natural gas  production based on projection from DEA." localSheetId="5">'[11]Mining NGA&amp;CRD'!$P$13:$Q$93</definedName>
    <definedName name="MINNGA" comment="Activity bound for DK natural gas  production based on projection from DEA.">#REF!</definedName>
    <definedName name="Nettarif" localSheetId="6">[1]TechnologyData!$F$11</definedName>
    <definedName name="Nettarif">[2]TechnologyData!$F$11</definedName>
    <definedName name="NGCC_SmallBP" localSheetId="6">[1]TechnologyData!$A$72:$M$99</definedName>
    <definedName name="NGCC_SmallBP">[2]TechnologyData!$A$72:$M$99</definedName>
    <definedName name="nhydro" localSheetId="6">[1]General!#REF!</definedName>
    <definedName name="nhydro">[2]General!#REF!</definedName>
    <definedName name="NyeNGCC" localSheetId="6">[1]Plants!$J$5</definedName>
    <definedName name="NyeNGCC">[2]Plants!$J$5</definedName>
    <definedName name="OffshoreWindPark" localSheetId="6">[1]TechnologyData!$O$43:$AA$70</definedName>
    <definedName name="OffshoreWindPark">[2]TechnologyData!$O$43:$AA$70</definedName>
    <definedName name="OnshoreWindPark" localSheetId="6">[1]TechnologyData!$O$14:$AA$41</definedName>
    <definedName name="OnshoreWindPark">[2]TechnologyData!$O$14:$AA$41</definedName>
    <definedName name="Prisår_Til_Ramses">#REF!</definedName>
    <definedName name="Raggr1" localSheetId="6">[12]Rækker!$A$4:$A$4</definedName>
    <definedName name="Raggr1">[13]Rækker!$A$4:$A$4</definedName>
    <definedName name="Raggr2" localSheetId="6">[12]Rækker!$B$4:$B$4</definedName>
    <definedName name="Raggr2">[13]Rækker!$B$4:$B$4</definedName>
    <definedName name="Raggr3" localSheetId="6">[12]Rækker!$C$4:$C$4</definedName>
    <definedName name="Raggr3">[13]Rækker!$C$4:$C$4</definedName>
    <definedName name="Raggr4" localSheetId="6">#REF!</definedName>
    <definedName name="Raggr4">#REF!</definedName>
    <definedName name="Raggr5" localSheetId="6">#REF!</definedName>
    <definedName name="Raggr5">#REF!</definedName>
    <definedName name="Real_interest_rate" localSheetId="6">[14]TechnologyData!$B$37</definedName>
    <definedName name="Real_interest_rate">[15]TechnologyData!$B$37</definedName>
    <definedName name="RefurbishedCoalBioCHP" localSheetId="6">[1]TechnologyData!$A$43:$M$70</definedName>
    <definedName name="RefurbishedCoalBioCHP">[2]TechnologyData!$A$43:$M$70</definedName>
    <definedName name="RenovCKV" localSheetId="6">[1]Plants!$J$4</definedName>
    <definedName name="RenovCKV">[2]Plants!$J$4</definedName>
    <definedName name="rSØK" localSheetId="6">'[5]Centrale data'!$C$32</definedName>
    <definedName name="rSØK">'[6]Centrale data'!$C$32</definedName>
    <definedName name="Saggr1" localSheetId="6">[12]Søjler!$A$4:$A$7</definedName>
    <definedName name="Saggr1">[13]Søjler!$A$4:$A$7</definedName>
    <definedName name="Saggr2" localSheetId="6">[12]Søjler!$B$4:$B$7</definedName>
    <definedName name="Saggr2">[13]Søjler!$B$4:$B$7</definedName>
    <definedName name="Saggr3" localSheetId="6">[12]Søjler!$C$4:$C$7</definedName>
    <definedName name="Saggr3">[13]Søjler!$C$4:$C$7</definedName>
    <definedName name="Saggr4" localSheetId="6">[12]Søjler!$D$4:$D$7</definedName>
    <definedName name="Saggr4">[13]Søjler!$D$4:$D$7</definedName>
    <definedName name="Saggr5" localSheetId="6">[12]Søjler!$E$4:$E$7</definedName>
    <definedName name="Saggr5">[13]Søjler!$E$4:$E$7</definedName>
    <definedName name="Saggr6" localSheetId="6">[12]Søjler!$F$4:$F$7</definedName>
    <definedName name="Saggr6">[13]Søjler!$F$4:$F$7</definedName>
    <definedName name="Saggr7" localSheetId="6">[12]Søjler!$G$4:$G$7</definedName>
    <definedName name="Saggr7">[13]Søjler!$G$4:$G$7</definedName>
    <definedName name="Saggr8" localSheetId="6">[12]Søjler!$H$4:$H$7</definedName>
    <definedName name="Saggr8">[13]Søjler!$H$4:$H$7</definedName>
    <definedName name="WasteCHP" localSheetId="6">[1]TechnologyData!$A$101:$M$129</definedName>
    <definedName name="WasteCHP">[2]TechnologyData!$A$101:$M$129</definedName>
    <definedName name="Wood_SmallBP" localSheetId="6">[1]TechnologyData!$A$131:$M$158</definedName>
    <definedName name="Wood_SmallBP">[2]TechnologyData!$A$131:$M$158</definedName>
    <definedName name="x" localSheetId="2">[16]AGR_Fuels!$A$2</definedName>
    <definedName name="x" localSheetId="6">[17]AGR_Fuels!$A$2</definedName>
    <definedName name="x">[16]AGR_Fuels!$A$2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8" i="246" l="1"/>
  <c r="AA8" i="246"/>
  <c r="Z8" i="246"/>
  <c r="Q17" i="246"/>
  <c r="P17" i="246" s="1"/>
  <c r="O17" i="246"/>
  <c r="N17" i="246"/>
  <c r="E12" i="244"/>
  <c r="R17" i="246" l="1"/>
  <c r="H76" i="245"/>
  <c r="I76" i="245"/>
  <c r="J76" i="245"/>
  <c r="K76" i="245"/>
  <c r="L76" i="245"/>
  <c r="M76" i="245"/>
  <c r="N76" i="245"/>
  <c r="O76" i="245"/>
  <c r="P76" i="245"/>
  <c r="Q76" i="245"/>
  <c r="R76" i="245"/>
  <c r="S76" i="245"/>
  <c r="T76" i="245"/>
  <c r="U76" i="245"/>
  <c r="V76" i="245"/>
  <c r="W76" i="245"/>
  <c r="X76" i="245"/>
  <c r="Y76" i="245"/>
  <c r="Z76" i="245"/>
  <c r="AA76" i="245"/>
  <c r="AB76" i="245"/>
  <c r="AC76" i="245"/>
  <c r="AD76" i="245"/>
  <c r="AE76" i="245"/>
  <c r="AF76" i="245"/>
  <c r="AG76" i="245"/>
  <c r="AH76" i="245"/>
  <c r="AI76" i="245"/>
  <c r="AJ76" i="245"/>
  <c r="AK76" i="245"/>
  <c r="AL76" i="245"/>
  <c r="AM76" i="245"/>
  <c r="AN76" i="245"/>
  <c r="AO76" i="245"/>
  <c r="AP76" i="245"/>
  <c r="AQ76" i="245"/>
  <c r="AR76" i="245"/>
  <c r="AS76" i="245"/>
  <c r="AT76" i="245"/>
  <c r="AU76" i="245"/>
  <c r="H77" i="245"/>
  <c r="I77" i="245"/>
  <c r="I90" i="245" s="1"/>
  <c r="J77" i="245"/>
  <c r="J90" i="245" s="1"/>
  <c r="K77" i="245"/>
  <c r="K90" i="245" s="1"/>
  <c r="L77" i="245"/>
  <c r="L90" i="245" s="1"/>
  <c r="M77" i="245"/>
  <c r="M98" i="245" s="1"/>
  <c r="N77" i="245"/>
  <c r="N90" i="245" s="1"/>
  <c r="O77" i="245"/>
  <c r="O90" i="245" s="1"/>
  <c r="P77" i="245"/>
  <c r="P90" i="245" s="1"/>
  <c r="Q77" i="245"/>
  <c r="Q99" i="245" s="1"/>
  <c r="R77" i="245"/>
  <c r="R97" i="245" s="1"/>
  <c r="S77" i="245"/>
  <c r="S97" i="245" s="1"/>
  <c r="T77" i="245"/>
  <c r="T98" i="245" s="1"/>
  <c r="U77" i="245"/>
  <c r="U87" i="245" s="1"/>
  <c r="V77" i="245"/>
  <c r="V97" i="245" s="1"/>
  <c r="W77" i="245"/>
  <c r="W87" i="245" s="1"/>
  <c r="X77" i="245"/>
  <c r="Y77" i="245"/>
  <c r="Z77" i="245"/>
  <c r="AA77" i="245"/>
  <c r="AB77" i="245"/>
  <c r="AC77" i="245"/>
  <c r="AD77" i="245"/>
  <c r="AD87" i="245" s="1"/>
  <c r="AE77" i="245"/>
  <c r="AE87" i="245" s="1"/>
  <c r="AF77" i="245"/>
  <c r="AG77" i="245"/>
  <c r="AG99" i="245" s="1"/>
  <c r="AH77" i="245"/>
  <c r="AH87" i="245" s="1"/>
  <c r="AI77" i="245"/>
  <c r="AI97" i="245" s="1"/>
  <c r="AJ77" i="245"/>
  <c r="AK77" i="245"/>
  <c r="AK87" i="245" s="1"/>
  <c r="AL77" i="245"/>
  <c r="AL90" i="245" s="1"/>
  <c r="AM77" i="245"/>
  <c r="AM87" i="245" s="1"/>
  <c r="AN77" i="245"/>
  <c r="AN91" i="245" s="1"/>
  <c r="AO77" i="245"/>
  <c r="AO87" i="245" s="1"/>
  <c r="AP77" i="245"/>
  <c r="AP87" i="245" s="1"/>
  <c r="AQ77" i="245"/>
  <c r="AQ90" i="245" s="1"/>
  <c r="AR77" i="245"/>
  <c r="AR91" i="245" s="1"/>
  <c r="AS77" i="245"/>
  <c r="AS99" i="245" s="1"/>
  <c r="AT77" i="245"/>
  <c r="AT91" i="245" s="1"/>
  <c r="AU77" i="245"/>
  <c r="AU91" i="245" s="1"/>
  <c r="H78" i="245"/>
  <c r="I78" i="245"/>
  <c r="J78" i="245"/>
  <c r="K78" i="245"/>
  <c r="L78" i="245"/>
  <c r="M78" i="245"/>
  <c r="N78" i="245"/>
  <c r="O78" i="245"/>
  <c r="P78" i="245"/>
  <c r="Q78" i="245"/>
  <c r="R78" i="245"/>
  <c r="S78" i="245"/>
  <c r="T78" i="245"/>
  <c r="U78" i="245"/>
  <c r="V78" i="245"/>
  <c r="W78" i="245"/>
  <c r="X78" i="245"/>
  <c r="Y78" i="245"/>
  <c r="Z78" i="245"/>
  <c r="AA78" i="245"/>
  <c r="AB78" i="245"/>
  <c r="AC78" i="245"/>
  <c r="AD78" i="245"/>
  <c r="AE78" i="245"/>
  <c r="AF78" i="245"/>
  <c r="AG78" i="245"/>
  <c r="AH78" i="245"/>
  <c r="AI78" i="245"/>
  <c r="AJ78" i="245"/>
  <c r="AK78" i="245"/>
  <c r="AL78" i="245"/>
  <c r="AM78" i="245"/>
  <c r="AN78" i="245"/>
  <c r="AO78" i="245"/>
  <c r="AP78" i="245"/>
  <c r="AQ78" i="245"/>
  <c r="AR78" i="245"/>
  <c r="AS78" i="245"/>
  <c r="AT78" i="245"/>
  <c r="AU78" i="245"/>
  <c r="H79" i="245"/>
  <c r="I79" i="245"/>
  <c r="J79" i="245"/>
  <c r="J109" i="245" s="1"/>
  <c r="K79" i="245"/>
  <c r="L79" i="245"/>
  <c r="M79" i="245"/>
  <c r="N79" i="245"/>
  <c r="N109" i="245" s="1"/>
  <c r="O79" i="245"/>
  <c r="P79" i="245"/>
  <c r="Q79" i="245"/>
  <c r="R79" i="245"/>
  <c r="S79" i="245"/>
  <c r="S109" i="245" s="1"/>
  <c r="T79" i="245"/>
  <c r="U79" i="245"/>
  <c r="V79" i="245"/>
  <c r="V109" i="245" s="1"/>
  <c r="W79" i="245"/>
  <c r="W109" i="245" s="1"/>
  <c r="X79" i="245"/>
  <c r="X109" i="245" s="1"/>
  <c r="Y79" i="245"/>
  <c r="Z79" i="245"/>
  <c r="Z109" i="245" s="1"/>
  <c r="AA79" i="245"/>
  <c r="AA109" i="245" s="1"/>
  <c r="AB79" i="245"/>
  <c r="AC79" i="245"/>
  <c r="AD79" i="245"/>
  <c r="AE79" i="245"/>
  <c r="AF79" i="245"/>
  <c r="AG79" i="245"/>
  <c r="AH79" i="245"/>
  <c r="AH109" i="245" s="1"/>
  <c r="AI79" i="245"/>
  <c r="AI109" i="245" s="1"/>
  <c r="AJ79" i="245"/>
  <c r="AK79" i="245"/>
  <c r="AL79" i="245"/>
  <c r="AM79" i="245"/>
  <c r="AM109" i="245" s="1"/>
  <c r="AN79" i="245"/>
  <c r="AO79" i="245"/>
  <c r="AO109" i="245" s="1"/>
  <c r="AP79" i="245"/>
  <c r="AP109" i="245" s="1"/>
  <c r="AQ79" i="245"/>
  <c r="AQ109" i="245" s="1"/>
  <c r="AR79" i="245"/>
  <c r="AR109" i="245" s="1"/>
  <c r="AS79" i="245"/>
  <c r="AS109" i="245" s="1"/>
  <c r="AT79" i="245"/>
  <c r="AT109" i="245" s="1"/>
  <c r="AU79" i="245"/>
  <c r="AU109" i="245" s="1"/>
  <c r="H80" i="245"/>
  <c r="I80" i="245"/>
  <c r="J80" i="245"/>
  <c r="K80" i="245"/>
  <c r="L80" i="245"/>
  <c r="M80" i="245"/>
  <c r="N80" i="245"/>
  <c r="O80" i="245"/>
  <c r="P80" i="245"/>
  <c r="Q80" i="245"/>
  <c r="R80" i="245"/>
  <c r="S80" i="245"/>
  <c r="T80" i="245"/>
  <c r="U80" i="245"/>
  <c r="V80" i="245"/>
  <c r="W80" i="245"/>
  <c r="X80" i="245"/>
  <c r="Y80" i="245"/>
  <c r="Z80" i="245"/>
  <c r="AA80" i="245"/>
  <c r="AB80" i="245"/>
  <c r="AC80" i="245"/>
  <c r="AD80" i="245"/>
  <c r="AE80" i="245"/>
  <c r="AF80" i="245"/>
  <c r="AG80" i="245"/>
  <c r="AH80" i="245"/>
  <c r="AI80" i="245"/>
  <c r="AJ80" i="245"/>
  <c r="AK80" i="245"/>
  <c r="AL80" i="245"/>
  <c r="AM80" i="245"/>
  <c r="AN80" i="245"/>
  <c r="AO80" i="245"/>
  <c r="AP80" i="245"/>
  <c r="AQ80" i="245"/>
  <c r="AR80" i="245"/>
  <c r="AS80" i="245"/>
  <c r="AT80" i="245"/>
  <c r="AU80" i="245"/>
  <c r="H81" i="245"/>
  <c r="I81" i="245"/>
  <c r="I105" i="245" s="1"/>
  <c r="I108" i="245" s="1"/>
  <c r="J81" i="245"/>
  <c r="J104" i="245" s="1"/>
  <c r="J107" i="245" s="1"/>
  <c r="K81" i="245"/>
  <c r="K104" i="245" s="1"/>
  <c r="K107" i="245" s="1"/>
  <c r="L81" i="245"/>
  <c r="L104" i="245" s="1"/>
  <c r="L107" i="245" s="1"/>
  <c r="M81" i="245"/>
  <c r="M103" i="245" s="1"/>
  <c r="M106" i="245" s="1"/>
  <c r="N81" i="245"/>
  <c r="N105" i="245" s="1"/>
  <c r="N108" i="245" s="1"/>
  <c r="O81" i="245"/>
  <c r="O104" i="245" s="1"/>
  <c r="O107" i="245" s="1"/>
  <c r="P81" i="245"/>
  <c r="Q81" i="245"/>
  <c r="Q103" i="245" s="1"/>
  <c r="Q106" i="245" s="1"/>
  <c r="R81" i="245"/>
  <c r="R104" i="245" s="1"/>
  <c r="R107" i="245" s="1"/>
  <c r="S81" i="245"/>
  <c r="S103" i="245" s="1"/>
  <c r="S106" i="245" s="1"/>
  <c r="T81" i="245"/>
  <c r="T104" i="245" s="1"/>
  <c r="T107" i="245" s="1"/>
  <c r="U81" i="245"/>
  <c r="U104" i="245" s="1"/>
  <c r="U107" i="245" s="1"/>
  <c r="V81" i="245"/>
  <c r="V104" i="245" s="1"/>
  <c r="V107" i="245" s="1"/>
  <c r="W81" i="245"/>
  <c r="W104" i="245" s="1"/>
  <c r="W107" i="245" s="1"/>
  <c r="X81" i="245"/>
  <c r="X103" i="245" s="1"/>
  <c r="X106" i="245" s="1"/>
  <c r="Y81" i="245"/>
  <c r="Y103" i="245" s="1"/>
  <c r="Y106" i="245" s="1"/>
  <c r="Z81" i="245"/>
  <c r="Z104" i="245" s="1"/>
  <c r="Z107" i="245" s="1"/>
  <c r="AA81" i="245"/>
  <c r="AA103" i="245" s="1"/>
  <c r="AA106" i="245" s="1"/>
  <c r="AB81" i="245"/>
  <c r="AB103" i="245" s="1"/>
  <c r="AB106" i="245" s="1"/>
  <c r="AC81" i="245"/>
  <c r="AC105" i="245" s="1"/>
  <c r="AC108" i="245" s="1"/>
  <c r="AD81" i="245"/>
  <c r="AD105" i="245" s="1"/>
  <c r="AD108" i="245" s="1"/>
  <c r="AE81" i="245"/>
  <c r="AE105" i="245" s="1"/>
  <c r="AE108" i="245" s="1"/>
  <c r="AF81" i="245"/>
  <c r="AF104" i="245" s="1"/>
  <c r="AF107" i="245" s="1"/>
  <c r="AG81" i="245"/>
  <c r="AG105" i="245" s="1"/>
  <c r="AG108" i="245" s="1"/>
  <c r="AH81" i="245"/>
  <c r="AH105" i="245" s="1"/>
  <c r="AH108" i="245" s="1"/>
  <c r="AI81" i="245"/>
  <c r="AI103" i="245" s="1"/>
  <c r="AI106" i="245" s="1"/>
  <c r="AJ81" i="245"/>
  <c r="AJ105" i="245" s="1"/>
  <c r="AJ108" i="245" s="1"/>
  <c r="AK81" i="245"/>
  <c r="AK105" i="245" s="1"/>
  <c r="AK108" i="245" s="1"/>
  <c r="AL81" i="245"/>
  <c r="AL105" i="245" s="1"/>
  <c r="AL108" i="245" s="1"/>
  <c r="AM81" i="245"/>
  <c r="AM104" i="245" s="1"/>
  <c r="AM107" i="245" s="1"/>
  <c r="AN81" i="245"/>
  <c r="AN104" i="245" s="1"/>
  <c r="AN107" i="245" s="1"/>
  <c r="AO81" i="245"/>
  <c r="AP81" i="245"/>
  <c r="AP105" i="245" s="1"/>
  <c r="AP108" i="245" s="1"/>
  <c r="AQ81" i="245"/>
  <c r="AQ105" i="245" s="1"/>
  <c r="AQ108" i="245" s="1"/>
  <c r="AR81" i="245"/>
  <c r="AR105" i="245" s="1"/>
  <c r="AR108" i="245" s="1"/>
  <c r="AS81" i="245"/>
  <c r="AS103" i="245" s="1"/>
  <c r="AS106" i="245" s="1"/>
  <c r="AT81" i="245"/>
  <c r="AT104" i="245" s="1"/>
  <c r="AT107" i="245" s="1"/>
  <c r="AU81" i="245"/>
  <c r="AU104" i="245" s="1"/>
  <c r="AU107" i="245" s="1"/>
  <c r="H82" i="245"/>
  <c r="H95" i="245" s="1"/>
  <c r="I82" i="245"/>
  <c r="I86" i="245" s="1"/>
  <c r="J82" i="245"/>
  <c r="J86" i="245" s="1"/>
  <c r="K82" i="245"/>
  <c r="K95" i="245" s="1"/>
  <c r="L82" i="245"/>
  <c r="L96" i="245" s="1"/>
  <c r="M82" i="245"/>
  <c r="M95" i="245" s="1"/>
  <c r="N82" i="245"/>
  <c r="N86" i="245" s="1"/>
  <c r="O82" i="245"/>
  <c r="O95" i="245" s="1"/>
  <c r="P82" i="245"/>
  <c r="P94" i="245" s="1"/>
  <c r="Q82" i="245"/>
  <c r="Q95" i="245" s="1"/>
  <c r="R82" i="245"/>
  <c r="R94" i="245" s="1"/>
  <c r="S82" i="245"/>
  <c r="S94" i="245" s="1"/>
  <c r="T82" i="245"/>
  <c r="T86" i="245" s="1"/>
  <c r="U82" i="245"/>
  <c r="U94" i="245" s="1"/>
  <c r="V82" i="245"/>
  <c r="V95" i="245" s="1"/>
  <c r="W82" i="245"/>
  <c r="W95" i="245" s="1"/>
  <c r="X82" i="245"/>
  <c r="X86" i="245" s="1"/>
  <c r="Y82" i="245"/>
  <c r="Y86" i="245" s="1"/>
  <c r="Z82" i="245"/>
  <c r="Z94" i="245" s="1"/>
  <c r="AA82" i="245"/>
  <c r="AA94" i="245" s="1"/>
  <c r="AB82" i="245"/>
  <c r="AB86" i="245" s="1"/>
  <c r="AC82" i="245"/>
  <c r="AD82" i="245"/>
  <c r="AD86" i="245" s="1"/>
  <c r="AE82" i="245"/>
  <c r="AE94" i="245" s="1"/>
  <c r="AF82" i="245"/>
  <c r="AF86" i="245" s="1"/>
  <c r="AG82" i="245"/>
  <c r="AG95" i="245" s="1"/>
  <c r="AH82" i="245"/>
  <c r="AH95" i="245" s="1"/>
  <c r="AI82" i="245"/>
  <c r="AI94" i="245" s="1"/>
  <c r="AJ82" i="245"/>
  <c r="AJ95" i="245" s="1"/>
  <c r="AK82" i="245"/>
  <c r="AK95" i="245" s="1"/>
  <c r="AL82" i="245"/>
  <c r="AL96" i="245" s="1"/>
  <c r="AM82" i="245"/>
  <c r="AM86" i="245" s="1"/>
  <c r="AN82" i="245"/>
  <c r="AN95" i="245" s="1"/>
  <c r="AO82" i="245"/>
  <c r="AO95" i="245" s="1"/>
  <c r="AP82" i="245"/>
  <c r="AP86" i="245" s="1"/>
  <c r="AQ82" i="245"/>
  <c r="AQ95" i="245" s="1"/>
  <c r="AR82" i="245"/>
  <c r="AR86" i="245" s="1"/>
  <c r="AS82" i="245"/>
  <c r="AS95" i="245" s="1"/>
  <c r="AT82" i="245"/>
  <c r="AT94" i="245" s="1"/>
  <c r="AU82" i="245"/>
  <c r="AU94" i="245" s="1"/>
  <c r="H83" i="245"/>
  <c r="H93" i="245" s="1"/>
  <c r="I83" i="245"/>
  <c r="I102" i="245" s="1"/>
  <c r="J83" i="245"/>
  <c r="J100" i="245" s="1"/>
  <c r="K83" i="245"/>
  <c r="K93" i="245" s="1"/>
  <c r="L83" i="245"/>
  <c r="L92" i="245" s="1"/>
  <c r="M83" i="245"/>
  <c r="M92" i="245" s="1"/>
  <c r="N83" i="245"/>
  <c r="N92" i="245" s="1"/>
  <c r="O83" i="245"/>
  <c r="O92" i="245" s="1"/>
  <c r="P83" i="245"/>
  <c r="P101" i="245" s="1"/>
  <c r="Q83" i="245"/>
  <c r="R83" i="245"/>
  <c r="R93" i="245" s="1"/>
  <c r="S83" i="245"/>
  <c r="S93" i="245" s="1"/>
  <c r="T83" i="245"/>
  <c r="T101" i="245" s="1"/>
  <c r="U83" i="245"/>
  <c r="U93" i="245" s="1"/>
  <c r="V83" i="245"/>
  <c r="V101" i="245" s="1"/>
  <c r="W83" i="245"/>
  <c r="W101" i="245" s="1"/>
  <c r="X83" i="245"/>
  <c r="X93" i="245" s="1"/>
  <c r="Y83" i="245"/>
  <c r="Y101" i="245" s="1"/>
  <c r="Z83" i="245"/>
  <c r="Z102" i="245" s="1"/>
  <c r="AA83" i="245"/>
  <c r="AA101" i="245" s="1"/>
  <c r="AB83" i="245"/>
  <c r="AB93" i="245" s="1"/>
  <c r="AC83" i="245"/>
  <c r="AC101" i="245" s="1"/>
  <c r="AD83" i="245"/>
  <c r="AD92" i="245" s="1"/>
  <c r="AE83" i="245"/>
  <c r="AE93" i="245" s="1"/>
  <c r="AF83" i="245"/>
  <c r="AF93" i="245" s="1"/>
  <c r="AG83" i="245"/>
  <c r="AG93" i="245" s="1"/>
  <c r="AH83" i="245"/>
  <c r="AH102" i="245" s="1"/>
  <c r="AI83" i="245"/>
  <c r="AI102" i="245" s="1"/>
  <c r="AJ83" i="245"/>
  <c r="AJ100" i="245" s="1"/>
  <c r="AK83" i="245"/>
  <c r="AK102" i="245" s="1"/>
  <c r="AL83" i="245"/>
  <c r="AL100" i="245" s="1"/>
  <c r="AM83" i="245"/>
  <c r="AM102" i="245" s="1"/>
  <c r="AN83" i="245"/>
  <c r="AN93" i="245" s="1"/>
  <c r="AO83" i="245"/>
  <c r="AO92" i="245" s="1"/>
  <c r="AP83" i="245"/>
  <c r="AP100" i="245" s="1"/>
  <c r="AQ83" i="245"/>
  <c r="AQ92" i="245" s="1"/>
  <c r="AR83" i="245"/>
  <c r="AR101" i="245" s="1"/>
  <c r="AS83" i="245"/>
  <c r="AT83" i="245"/>
  <c r="AT93" i="245" s="1"/>
  <c r="AU83" i="245"/>
  <c r="AU93" i="245" s="1"/>
  <c r="H84" i="245"/>
  <c r="H88" i="245" s="1"/>
  <c r="I84" i="245"/>
  <c r="I88" i="245" s="1"/>
  <c r="J84" i="245"/>
  <c r="J88" i="245" s="1"/>
  <c r="K84" i="245"/>
  <c r="K88" i="245" s="1"/>
  <c r="L84" i="245"/>
  <c r="L88" i="245" s="1"/>
  <c r="M84" i="245"/>
  <c r="M88" i="245" s="1"/>
  <c r="N84" i="245"/>
  <c r="N88" i="245" s="1"/>
  <c r="O84" i="245"/>
  <c r="O88" i="245" s="1"/>
  <c r="P84" i="245"/>
  <c r="P88" i="245" s="1"/>
  <c r="Q84" i="245"/>
  <c r="Q88" i="245" s="1"/>
  <c r="R84" i="245"/>
  <c r="R88" i="245" s="1"/>
  <c r="S84" i="245"/>
  <c r="S88" i="245" s="1"/>
  <c r="T84" i="245"/>
  <c r="T88" i="245" s="1"/>
  <c r="U84" i="245"/>
  <c r="U88" i="245" s="1"/>
  <c r="V84" i="245"/>
  <c r="V88" i="245" s="1"/>
  <c r="W84" i="245"/>
  <c r="W88" i="245" s="1"/>
  <c r="X84" i="245"/>
  <c r="X88" i="245" s="1"/>
  <c r="Y84" i="245"/>
  <c r="Z84" i="245"/>
  <c r="Z88" i="245" s="1"/>
  <c r="AA84" i="245"/>
  <c r="AA88" i="245" s="1"/>
  <c r="AB84" i="245"/>
  <c r="AB88" i="245" s="1"/>
  <c r="AC84" i="245"/>
  <c r="AC88" i="245" s="1"/>
  <c r="AD84" i="245"/>
  <c r="AE84" i="245"/>
  <c r="AE88" i="245" s="1"/>
  <c r="AF84" i="245"/>
  <c r="AF88" i="245" s="1"/>
  <c r="AG84" i="245"/>
  <c r="AH84" i="245"/>
  <c r="AH88" i="245" s="1"/>
  <c r="AI84" i="245"/>
  <c r="AJ84" i="245"/>
  <c r="AJ88" i="245" s="1"/>
  <c r="AK84" i="245"/>
  <c r="AK88" i="245" s="1"/>
  <c r="AL84" i="245"/>
  <c r="AL88" i="245" s="1"/>
  <c r="AM84" i="245"/>
  <c r="AM88" i="245" s="1"/>
  <c r="AN84" i="245"/>
  <c r="AN88" i="245" s="1"/>
  <c r="AO84" i="245"/>
  <c r="AO88" i="245" s="1"/>
  <c r="AP84" i="245"/>
  <c r="AP88" i="245" s="1"/>
  <c r="AQ84" i="245"/>
  <c r="AQ88" i="245" s="1"/>
  <c r="AR84" i="245"/>
  <c r="AR88" i="245" s="1"/>
  <c r="AS84" i="245"/>
  <c r="AS88" i="245" s="1"/>
  <c r="AT84" i="245"/>
  <c r="AT88" i="245" s="1"/>
  <c r="AU84" i="245"/>
  <c r="AU88" i="245" s="1"/>
  <c r="H85" i="245"/>
  <c r="I85" i="245"/>
  <c r="J85" i="245"/>
  <c r="K85" i="245"/>
  <c r="L85" i="245"/>
  <c r="M85" i="245"/>
  <c r="N85" i="245"/>
  <c r="O85" i="245"/>
  <c r="P85" i="245"/>
  <c r="Q85" i="245"/>
  <c r="R85" i="245"/>
  <c r="S85" i="245"/>
  <c r="T85" i="245"/>
  <c r="U85" i="245"/>
  <c r="V85" i="245"/>
  <c r="W85" i="245"/>
  <c r="X85" i="245"/>
  <c r="Y85" i="245"/>
  <c r="Z85" i="245"/>
  <c r="AA85" i="245"/>
  <c r="AB85" i="245"/>
  <c r="AC85" i="245"/>
  <c r="AD85" i="245"/>
  <c r="AE85" i="245"/>
  <c r="AF85" i="245"/>
  <c r="AG85" i="245"/>
  <c r="AH85" i="245"/>
  <c r="AI85" i="245"/>
  <c r="AJ85" i="245"/>
  <c r="AK85" i="245"/>
  <c r="AL85" i="245"/>
  <c r="AM85" i="245"/>
  <c r="AN85" i="245"/>
  <c r="AO85" i="245"/>
  <c r="AP85" i="245"/>
  <c r="AQ85" i="245"/>
  <c r="AR85" i="245"/>
  <c r="AS85" i="245"/>
  <c r="AT85" i="245"/>
  <c r="AU85" i="245"/>
  <c r="AC86" i="245"/>
  <c r="H87" i="245"/>
  <c r="I87" i="245"/>
  <c r="K87" i="245"/>
  <c r="L87" i="245"/>
  <c r="N87" i="245"/>
  <c r="O87" i="245"/>
  <c r="Q87" i="245"/>
  <c r="X87" i="245"/>
  <c r="Y87" i="245"/>
  <c r="Z87" i="245"/>
  <c r="AA87" i="245"/>
  <c r="AB87" i="245"/>
  <c r="AC87" i="245"/>
  <c r="AF87" i="245"/>
  <c r="AG87" i="245"/>
  <c r="AJ87" i="245"/>
  <c r="Y88" i="245"/>
  <c r="AD88" i="245"/>
  <c r="AG88" i="245"/>
  <c r="AI88" i="245"/>
  <c r="H89" i="245"/>
  <c r="I89" i="245"/>
  <c r="J89" i="245"/>
  <c r="K89" i="245"/>
  <c r="L89" i="245"/>
  <c r="M89" i="245"/>
  <c r="N89" i="245"/>
  <c r="O89" i="245"/>
  <c r="P89" i="245"/>
  <c r="Q89" i="245"/>
  <c r="R89" i="245"/>
  <c r="S89" i="245"/>
  <c r="T89" i="245"/>
  <c r="U89" i="245"/>
  <c r="V89" i="245"/>
  <c r="W89" i="245"/>
  <c r="X89" i="245"/>
  <c r="Y89" i="245"/>
  <c r="Z89" i="245"/>
  <c r="AA89" i="245"/>
  <c r="AB89" i="245"/>
  <c r="AC89" i="245"/>
  <c r="AD89" i="245"/>
  <c r="AE89" i="245"/>
  <c r="AF89" i="245"/>
  <c r="AG89" i="245"/>
  <c r="AH89" i="245"/>
  <c r="AI89" i="245"/>
  <c r="AJ89" i="245"/>
  <c r="AK89" i="245"/>
  <c r="AL89" i="245"/>
  <c r="AM89" i="245"/>
  <c r="AN89" i="245"/>
  <c r="AO89" i="245"/>
  <c r="AP89" i="245"/>
  <c r="AQ89" i="245"/>
  <c r="AR89" i="245"/>
  <c r="AS89" i="245"/>
  <c r="AT89" i="245"/>
  <c r="AU89" i="245"/>
  <c r="H90" i="245"/>
  <c r="X90" i="245"/>
  <c r="Y90" i="245"/>
  <c r="Z90" i="245"/>
  <c r="AA90" i="245"/>
  <c r="AB90" i="245"/>
  <c r="AC90" i="245"/>
  <c r="AD90" i="245"/>
  <c r="AE90" i="245"/>
  <c r="AF90" i="245"/>
  <c r="AG90" i="245"/>
  <c r="AH90" i="245"/>
  <c r="AJ90" i="245"/>
  <c r="AK90" i="245"/>
  <c r="AM90" i="245"/>
  <c r="H91" i="245"/>
  <c r="I91" i="245"/>
  <c r="Q91" i="245"/>
  <c r="X91" i="245"/>
  <c r="Y91" i="245"/>
  <c r="Z91" i="245"/>
  <c r="AA91" i="245"/>
  <c r="AB91" i="245"/>
  <c r="AC91" i="245"/>
  <c r="AD91" i="245"/>
  <c r="AE91" i="245"/>
  <c r="AF91" i="245"/>
  <c r="AG91" i="245"/>
  <c r="AH91" i="245"/>
  <c r="AI91" i="245"/>
  <c r="AJ91" i="245"/>
  <c r="AK91" i="245"/>
  <c r="AS91" i="245"/>
  <c r="H92" i="245"/>
  <c r="I92" i="245"/>
  <c r="Q92" i="245"/>
  <c r="S92" i="245"/>
  <c r="AG92" i="245"/>
  <c r="AL92" i="245"/>
  <c r="AP92" i="245"/>
  <c r="AS92" i="245"/>
  <c r="AT92" i="245"/>
  <c r="AU92" i="245"/>
  <c r="J93" i="245"/>
  <c r="L93" i="245"/>
  <c r="P93" i="245"/>
  <c r="Q93" i="245"/>
  <c r="AM93" i="245"/>
  <c r="AP93" i="245"/>
  <c r="AS93" i="245"/>
  <c r="M94" i="245"/>
  <c r="T94" i="245"/>
  <c r="X94" i="245"/>
  <c r="Y94" i="245"/>
  <c r="AC94" i="245"/>
  <c r="AD94" i="245"/>
  <c r="AF94" i="245"/>
  <c r="AS94" i="245"/>
  <c r="X95" i="245"/>
  <c r="Y95" i="245"/>
  <c r="Z95" i="245"/>
  <c r="AC95" i="245"/>
  <c r="AD95" i="245"/>
  <c r="AE95" i="245"/>
  <c r="AF95" i="245"/>
  <c r="AI95" i="245"/>
  <c r="Q96" i="245"/>
  <c r="T96" i="245"/>
  <c r="U96" i="245"/>
  <c r="V96" i="245"/>
  <c r="X96" i="245"/>
  <c r="Y96" i="245"/>
  <c r="AC96" i="245"/>
  <c r="AE96" i="245"/>
  <c r="H97" i="245"/>
  <c r="I97" i="245"/>
  <c r="O97" i="245"/>
  <c r="P97" i="245"/>
  <c r="U97" i="245"/>
  <c r="X97" i="245"/>
  <c r="Y97" i="245"/>
  <c r="Z97" i="245"/>
  <c r="AA97" i="245"/>
  <c r="AB97" i="245"/>
  <c r="AC97" i="245"/>
  <c r="AD97" i="245"/>
  <c r="AE97" i="245"/>
  <c r="AF97" i="245"/>
  <c r="AG97" i="245"/>
  <c r="AJ97" i="245"/>
  <c r="AK97" i="245"/>
  <c r="H98" i="245"/>
  <c r="I98" i="245"/>
  <c r="J98" i="245"/>
  <c r="K98" i="245"/>
  <c r="L98" i="245"/>
  <c r="O98" i="245"/>
  <c r="P98" i="245"/>
  <c r="Q98" i="245"/>
  <c r="U98" i="245"/>
  <c r="V98" i="245"/>
  <c r="X98" i="245"/>
  <c r="Y98" i="245"/>
  <c r="Z98" i="245"/>
  <c r="AA98" i="245"/>
  <c r="AB98" i="245"/>
  <c r="AC98" i="245"/>
  <c r="AE98" i="245"/>
  <c r="AF98" i="245"/>
  <c r="AG98" i="245"/>
  <c r="AH98" i="245"/>
  <c r="AI98" i="245"/>
  <c r="AJ98" i="245"/>
  <c r="AS98" i="245"/>
  <c r="H99" i="245"/>
  <c r="I99" i="245"/>
  <c r="J99" i="245"/>
  <c r="K99" i="245"/>
  <c r="L99" i="245"/>
  <c r="U99" i="245"/>
  <c r="X99" i="245"/>
  <c r="Y99" i="245"/>
  <c r="Z99" i="245"/>
  <c r="AA99" i="245"/>
  <c r="AB99" i="245"/>
  <c r="AC99" i="245"/>
  <c r="AE99" i="245"/>
  <c r="AF99" i="245"/>
  <c r="AJ99" i="245"/>
  <c r="AQ99" i="245"/>
  <c r="AR99" i="245"/>
  <c r="L100" i="245"/>
  <c r="Q100" i="245"/>
  <c r="S100" i="245"/>
  <c r="T100" i="245"/>
  <c r="AS100" i="245"/>
  <c r="H101" i="245"/>
  <c r="I101" i="245"/>
  <c r="N101" i="245"/>
  <c r="Q101" i="245"/>
  <c r="AG101" i="245"/>
  <c r="AJ101" i="245"/>
  <c r="AM101" i="245"/>
  <c r="AP101" i="245"/>
  <c r="AS101" i="245"/>
  <c r="AT101" i="245"/>
  <c r="H102" i="245"/>
  <c r="J102" i="245"/>
  <c r="K102" i="245"/>
  <c r="L102" i="245"/>
  <c r="M102" i="245"/>
  <c r="N102" i="245"/>
  <c r="Q102" i="245"/>
  <c r="S102" i="245"/>
  <c r="AC102" i="245"/>
  <c r="AL102" i="245"/>
  <c r="AS102" i="245"/>
  <c r="AT102" i="245"/>
  <c r="H103" i="245"/>
  <c r="H106" i="245" s="1"/>
  <c r="I103" i="245"/>
  <c r="I106" i="245" s="1"/>
  <c r="J103" i="245"/>
  <c r="J106" i="245" s="1"/>
  <c r="P103" i="245"/>
  <c r="P106" i="245" s="1"/>
  <c r="AF103" i="245"/>
  <c r="AF106" i="245" s="1"/>
  <c r="AG103" i="245"/>
  <c r="AG106" i="245" s="1"/>
  <c r="AH103" i="245"/>
  <c r="AH106" i="245" s="1"/>
  <c r="AL103" i="245"/>
  <c r="AL106" i="245" s="1"/>
  <c r="AO103" i="245"/>
  <c r="AO106" i="245" s="1"/>
  <c r="AQ103" i="245"/>
  <c r="AQ106" i="245" s="1"/>
  <c r="AR103" i="245"/>
  <c r="AR106" i="245" s="1"/>
  <c r="AT103" i="245"/>
  <c r="AT106" i="245" s="1"/>
  <c r="H104" i="245"/>
  <c r="H107" i="245" s="1"/>
  <c r="I104" i="245"/>
  <c r="I107" i="245" s="1"/>
  <c r="M104" i="245"/>
  <c r="M107" i="245" s="1"/>
  <c r="P104" i="245"/>
  <c r="P107" i="245" s="1"/>
  <c r="AG104" i="245"/>
  <c r="AG107" i="245" s="1"/>
  <c r="AH104" i="245"/>
  <c r="AH107" i="245" s="1"/>
  <c r="AJ104" i="245"/>
  <c r="AJ107" i="245" s="1"/>
  <c r="AK104" i="245"/>
  <c r="AK107" i="245" s="1"/>
  <c r="AL104" i="245"/>
  <c r="AL107" i="245" s="1"/>
  <c r="AO104" i="245"/>
  <c r="AO107" i="245" s="1"/>
  <c r="AP104" i="245"/>
  <c r="AP107" i="245" s="1"/>
  <c r="AQ104" i="245"/>
  <c r="AQ107" i="245" s="1"/>
  <c r="AR104" i="245"/>
  <c r="AR107" i="245" s="1"/>
  <c r="H105" i="245"/>
  <c r="H108" i="245" s="1"/>
  <c r="J105" i="245"/>
  <c r="J108" i="245" s="1"/>
  <c r="L105" i="245"/>
  <c r="L108" i="245" s="1"/>
  <c r="M105" i="245"/>
  <c r="M108" i="245" s="1"/>
  <c r="O105" i="245"/>
  <c r="O108" i="245" s="1"/>
  <c r="P105" i="245"/>
  <c r="P108" i="245" s="1"/>
  <c r="Z105" i="245"/>
  <c r="Z108" i="245" s="1"/>
  <c r="AF105" i="245"/>
  <c r="AF108" i="245" s="1"/>
  <c r="AI105" i="245"/>
  <c r="AI108" i="245" s="1"/>
  <c r="AN105" i="245"/>
  <c r="AN108" i="245" s="1"/>
  <c r="AO105" i="245"/>
  <c r="AO108" i="245" s="1"/>
  <c r="AS105" i="245"/>
  <c r="AS108" i="245" s="1"/>
  <c r="H109" i="245"/>
  <c r="I109" i="245"/>
  <c r="K109" i="245"/>
  <c r="L109" i="245"/>
  <c r="M109" i="245"/>
  <c r="O109" i="245"/>
  <c r="P109" i="245"/>
  <c r="Q109" i="245"/>
  <c r="R109" i="245"/>
  <c r="T109" i="245"/>
  <c r="U109" i="245"/>
  <c r="Y109" i="245"/>
  <c r="AB109" i="245"/>
  <c r="AC109" i="245"/>
  <c r="AD109" i="245"/>
  <c r="AE109" i="245"/>
  <c r="AF109" i="245"/>
  <c r="AG109" i="245"/>
  <c r="AJ109" i="245"/>
  <c r="AK109" i="245"/>
  <c r="AL109" i="245"/>
  <c r="AN109" i="245"/>
  <c r="G110" i="245"/>
  <c r="G89" i="245"/>
  <c r="F69" i="245"/>
  <c r="F68" i="245"/>
  <c r="F27" i="245"/>
  <c r="H244" i="245"/>
  <c r="G244" i="245"/>
  <c r="H243" i="245"/>
  <c r="H152" i="245" s="1"/>
  <c r="H153" i="245" s="1"/>
  <c r="G243" i="245"/>
  <c r="G152" i="245" s="1"/>
  <c r="H242" i="245"/>
  <c r="G242" i="245"/>
  <c r="H241" i="245"/>
  <c r="G241" i="245"/>
  <c r="AM240" i="245"/>
  <c r="AN240" i="245" s="1"/>
  <c r="AO240" i="245" s="1"/>
  <c r="AP240" i="245" s="1"/>
  <c r="AQ240" i="245" s="1"/>
  <c r="AR240" i="245" s="1"/>
  <c r="AS240" i="245" s="1"/>
  <c r="AT240" i="245" s="1"/>
  <c r="AU240" i="245" s="1"/>
  <c r="AL240" i="245"/>
  <c r="H240" i="245"/>
  <c r="G240" i="245"/>
  <c r="H239" i="245"/>
  <c r="G239" i="245"/>
  <c r="H238" i="245"/>
  <c r="G238" i="245"/>
  <c r="H237" i="245"/>
  <c r="G237" i="245"/>
  <c r="AL236" i="245"/>
  <c r="AM236" i="245" s="1"/>
  <c r="AN236" i="245" s="1"/>
  <c r="AO236" i="245" s="1"/>
  <c r="AP236" i="245" s="1"/>
  <c r="AQ236" i="245" s="1"/>
  <c r="AR236" i="245" s="1"/>
  <c r="AS236" i="245" s="1"/>
  <c r="AT236" i="245" s="1"/>
  <c r="AU236" i="245" s="1"/>
  <c r="H236" i="245"/>
  <c r="G236" i="245"/>
  <c r="H235" i="245"/>
  <c r="G235" i="245"/>
  <c r="H234" i="245"/>
  <c r="G234" i="245"/>
  <c r="H233" i="245"/>
  <c r="G233" i="245"/>
  <c r="H232" i="245"/>
  <c r="G232" i="245"/>
  <c r="AL231" i="245"/>
  <c r="AM231" i="245" s="1"/>
  <c r="AN231" i="245" s="1"/>
  <c r="AO231" i="245" s="1"/>
  <c r="AP231" i="245" s="1"/>
  <c r="AQ231" i="245" s="1"/>
  <c r="AR231" i="245" s="1"/>
  <c r="AS231" i="245" s="1"/>
  <c r="AT231" i="245" s="1"/>
  <c r="AU231" i="245" s="1"/>
  <c r="H231" i="245"/>
  <c r="G231" i="245"/>
  <c r="G150" i="245" s="1"/>
  <c r="AL223" i="245"/>
  <c r="AM223" i="245" s="1"/>
  <c r="AN223" i="245" s="1"/>
  <c r="AO223" i="245" s="1"/>
  <c r="AP223" i="245" s="1"/>
  <c r="AQ223" i="245" s="1"/>
  <c r="AR223" i="245" s="1"/>
  <c r="AS223" i="245" s="1"/>
  <c r="AT223" i="245" s="1"/>
  <c r="AU223" i="245" s="1"/>
  <c r="AL219" i="245"/>
  <c r="AM219" i="245" s="1"/>
  <c r="AN219" i="245" s="1"/>
  <c r="AO219" i="245" s="1"/>
  <c r="AP219" i="245" s="1"/>
  <c r="AQ219" i="245" s="1"/>
  <c r="AR219" i="245" s="1"/>
  <c r="AS219" i="245" s="1"/>
  <c r="AT219" i="245" s="1"/>
  <c r="AU219" i="245" s="1"/>
  <c r="AM218" i="245"/>
  <c r="AN218" i="245" s="1"/>
  <c r="AO218" i="245" s="1"/>
  <c r="AP218" i="245" s="1"/>
  <c r="AQ218" i="245" s="1"/>
  <c r="AR218" i="245" s="1"/>
  <c r="AS218" i="245" s="1"/>
  <c r="AT218" i="245" s="1"/>
  <c r="AU218" i="245" s="1"/>
  <c r="AL218" i="245"/>
  <c r="AL217" i="245"/>
  <c r="AM217" i="245" s="1"/>
  <c r="AN217" i="245" s="1"/>
  <c r="AO217" i="245" s="1"/>
  <c r="AP217" i="245" s="1"/>
  <c r="AQ217" i="245" s="1"/>
  <c r="AR217" i="245" s="1"/>
  <c r="AS217" i="245" s="1"/>
  <c r="AT217" i="245" s="1"/>
  <c r="AU217" i="245" s="1"/>
  <c r="AM216" i="245"/>
  <c r="AN216" i="245" s="1"/>
  <c r="AO216" i="245" s="1"/>
  <c r="AP216" i="245" s="1"/>
  <c r="AQ216" i="245" s="1"/>
  <c r="AR216" i="245" s="1"/>
  <c r="AS216" i="245" s="1"/>
  <c r="AT216" i="245" s="1"/>
  <c r="AU216" i="245" s="1"/>
  <c r="AL216" i="245"/>
  <c r="AL215" i="245"/>
  <c r="AM215" i="245" s="1"/>
  <c r="AN215" i="245" s="1"/>
  <c r="AO215" i="245" s="1"/>
  <c r="AP215" i="245" s="1"/>
  <c r="AQ215" i="245" s="1"/>
  <c r="AR215" i="245" s="1"/>
  <c r="AS215" i="245" s="1"/>
  <c r="AT215" i="245" s="1"/>
  <c r="AU215" i="245" s="1"/>
  <c r="E206" i="245"/>
  <c r="T158" i="245" s="1"/>
  <c r="T159" i="245" s="1"/>
  <c r="E205" i="245"/>
  <c r="X157" i="245" s="1"/>
  <c r="E204" i="245"/>
  <c r="AT156" i="245" s="1"/>
  <c r="E203" i="245"/>
  <c r="Z155" i="245" s="1"/>
  <c r="E202" i="245"/>
  <c r="AD154" i="245" s="1"/>
  <c r="E198" i="245"/>
  <c r="C198" i="245"/>
  <c r="E197" i="245"/>
  <c r="Y172" i="245" s="1"/>
  <c r="C197" i="245"/>
  <c r="C196" i="245"/>
  <c r="C195" i="245"/>
  <c r="E194" i="245"/>
  <c r="C194" i="245"/>
  <c r="C193" i="245"/>
  <c r="D192" i="245"/>
  <c r="D190" i="245"/>
  <c r="D189" i="245"/>
  <c r="D188" i="245"/>
  <c r="D187" i="245"/>
  <c r="AU173" i="245"/>
  <c r="AT173" i="245"/>
  <c r="AS173" i="245"/>
  <c r="AR173" i="245"/>
  <c r="AQ173" i="245"/>
  <c r="AP173" i="245"/>
  <c r="AO173" i="245"/>
  <c r="AN173" i="245"/>
  <c r="AM173" i="245"/>
  <c r="AL173" i="245"/>
  <c r="AK173" i="245"/>
  <c r="AJ173" i="245"/>
  <c r="AI173" i="245"/>
  <c r="AH173" i="245"/>
  <c r="AG173" i="245"/>
  <c r="AF173" i="245"/>
  <c r="AE173" i="245"/>
  <c r="AD173" i="245"/>
  <c r="AC173" i="245"/>
  <c r="AB173" i="245"/>
  <c r="AA173" i="245"/>
  <c r="Z173" i="245"/>
  <c r="Y173" i="245"/>
  <c r="X173" i="245"/>
  <c r="W173" i="245"/>
  <c r="V173" i="245"/>
  <c r="U173" i="245"/>
  <c r="T173" i="245"/>
  <c r="S173" i="245"/>
  <c r="R173" i="245"/>
  <c r="Q173" i="245"/>
  <c r="P173" i="245"/>
  <c r="O173" i="245"/>
  <c r="N173" i="245"/>
  <c r="M173" i="245"/>
  <c r="L173" i="245"/>
  <c r="K173" i="245"/>
  <c r="J173" i="245"/>
  <c r="I173" i="245"/>
  <c r="H173" i="245"/>
  <c r="G173" i="245"/>
  <c r="AR172" i="245"/>
  <c r="AQ172" i="245"/>
  <c r="AP172" i="245"/>
  <c r="AO172" i="245"/>
  <c r="AN172" i="245"/>
  <c r="AM172" i="245"/>
  <c r="AL172" i="245"/>
  <c r="AK172" i="245"/>
  <c r="AJ172" i="245"/>
  <c r="AI172" i="245"/>
  <c r="AH172" i="245"/>
  <c r="AG172" i="245"/>
  <c r="AF172" i="245"/>
  <c r="AE172" i="245"/>
  <c r="AD172" i="245"/>
  <c r="AC172" i="245"/>
  <c r="AB172" i="245"/>
  <c r="AA172" i="245"/>
  <c r="Z172" i="245"/>
  <c r="U172" i="245"/>
  <c r="P172" i="245"/>
  <c r="O172" i="245"/>
  <c r="N172" i="245"/>
  <c r="M172" i="245"/>
  <c r="L172" i="245"/>
  <c r="K172" i="245"/>
  <c r="J172" i="245"/>
  <c r="I172" i="245"/>
  <c r="H172" i="245"/>
  <c r="G172" i="245"/>
  <c r="Y171" i="245"/>
  <c r="AN170" i="245"/>
  <c r="AJ170" i="245"/>
  <c r="AI170" i="245"/>
  <c r="AH170" i="245"/>
  <c r="AG170" i="245"/>
  <c r="AE170" i="245"/>
  <c r="AD170" i="245"/>
  <c r="AC170" i="245"/>
  <c r="AB170" i="245"/>
  <c r="Z170" i="245"/>
  <c r="L170" i="245"/>
  <c r="H170" i="245"/>
  <c r="F167" i="245"/>
  <c r="F168" i="245" s="1"/>
  <c r="F169" i="245" s="1"/>
  <c r="AF166" i="245"/>
  <c r="AE166" i="245"/>
  <c r="AD166" i="245"/>
  <c r="AB166" i="245"/>
  <c r="AA166" i="245"/>
  <c r="Z166" i="245"/>
  <c r="AR165" i="245"/>
  <c r="AP165" i="245"/>
  <c r="AG165" i="245"/>
  <c r="AB165" i="245"/>
  <c r="Z165" i="245"/>
  <c r="Y165" i="245"/>
  <c r="N165" i="245"/>
  <c r="AU164" i="245"/>
  <c r="AT164" i="245"/>
  <c r="AS164" i="245"/>
  <c r="AR164" i="245"/>
  <c r="AQ164" i="245"/>
  <c r="AP164" i="245"/>
  <c r="AO164" i="245"/>
  <c r="AN164" i="245"/>
  <c r="AM164" i="245"/>
  <c r="AL164" i="245"/>
  <c r="AK164" i="245"/>
  <c r="AJ164" i="245"/>
  <c r="AI164" i="245"/>
  <c r="AH164" i="245"/>
  <c r="AG164" i="245"/>
  <c r="AF164" i="245"/>
  <c r="AE164" i="245"/>
  <c r="AD164" i="245"/>
  <c r="AC164" i="245"/>
  <c r="AB164" i="245"/>
  <c r="AA164" i="245"/>
  <c r="Z164" i="245"/>
  <c r="Y164" i="245"/>
  <c r="X164" i="245"/>
  <c r="W164" i="245"/>
  <c r="V164" i="245"/>
  <c r="U164" i="245"/>
  <c r="T164" i="245"/>
  <c r="S164" i="245"/>
  <c r="R164" i="245"/>
  <c r="Q164" i="245"/>
  <c r="P164" i="245"/>
  <c r="O164" i="245"/>
  <c r="N164" i="245"/>
  <c r="M164" i="245"/>
  <c r="L164" i="245"/>
  <c r="K164" i="245"/>
  <c r="J164" i="245"/>
  <c r="I164" i="245"/>
  <c r="H164" i="245"/>
  <c r="G164" i="245"/>
  <c r="AU163" i="245"/>
  <c r="AT163" i="245"/>
  <c r="AS163" i="245"/>
  <c r="AR163" i="245"/>
  <c r="AQ163" i="245"/>
  <c r="AP163" i="245"/>
  <c r="AO163" i="245"/>
  <c r="AN163" i="245"/>
  <c r="AM163" i="245"/>
  <c r="AL163" i="245"/>
  <c r="AK163" i="245"/>
  <c r="AJ163" i="245"/>
  <c r="AI163" i="245"/>
  <c r="AH163" i="245"/>
  <c r="AG163" i="245"/>
  <c r="AF163" i="245"/>
  <c r="AE163" i="245"/>
  <c r="AD163" i="245"/>
  <c r="AC163" i="245"/>
  <c r="AB163" i="245"/>
  <c r="AA163" i="245"/>
  <c r="Z163" i="245"/>
  <c r="Y163" i="245"/>
  <c r="X163" i="245"/>
  <c r="W163" i="245"/>
  <c r="V163" i="245"/>
  <c r="U163" i="245"/>
  <c r="T163" i="245"/>
  <c r="S163" i="245"/>
  <c r="R163" i="245"/>
  <c r="Q163" i="245"/>
  <c r="P163" i="245"/>
  <c r="O163" i="245"/>
  <c r="N163" i="245"/>
  <c r="M163" i="245"/>
  <c r="L163" i="245"/>
  <c r="K163" i="245"/>
  <c r="J163" i="245"/>
  <c r="I163" i="245"/>
  <c r="H163" i="245"/>
  <c r="G163" i="245"/>
  <c r="AU162" i="245"/>
  <c r="AT162" i="245"/>
  <c r="AS162" i="245"/>
  <c r="AR162" i="245"/>
  <c r="AQ162" i="245"/>
  <c r="AP162" i="245"/>
  <c r="AO162" i="245"/>
  <c r="AN162" i="245"/>
  <c r="AM162" i="245"/>
  <c r="AL162" i="245"/>
  <c r="AK162" i="245"/>
  <c r="AJ162" i="245"/>
  <c r="AI162" i="245"/>
  <c r="AH162" i="245"/>
  <c r="AG162" i="245"/>
  <c r="AF162" i="245"/>
  <c r="AE162" i="245"/>
  <c r="AD162" i="245"/>
  <c r="AC162" i="245"/>
  <c r="AB162" i="245"/>
  <c r="AA162" i="245"/>
  <c r="Z162" i="245"/>
  <c r="Y162" i="245"/>
  <c r="X162" i="245"/>
  <c r="W162" i="245"/>
  <c r="V162" i="245"/>
  <c r="U162" i="245"/>
  <c r="T162" i="245"/>
  <c r="S162" i="245"/>
  <c r="R162" i="245"/>
  <c r="Q162" i="245"/>
  <c r="P162" i="245"/>
  <c r="O162" i="245"/>
  <c r="N162" i="245"/>
  <c r="M162" i="245"/>
  <c r="L162" i="245"/>
  <c r="K162" i="245"/>
  <c r="J162" i="245"/>
  <c r="I162" i="245"/>
  <c r="H162" i="245"/>
  <c r="G162" i="245"/>
  <c r="AU161" i="245"/>
  <c r="AT161" i="245"/>
  <c r="AS161" i="245"/>
  <c r="AR161" i="245"/>
  <c r="AQ161" i="245"/>
  <c r="AP161" i="245"/>
  <c r="AO161" i="245"/>
  <c r="AN161" i="245"/>
  <c r="AM161" i="245"/>
  <c r="AL161" i="245"/>
  <c r="AK161" i="245"/>
  <c r="AJ161" i="245"/>
  <c r="AI161" i="245"/>
  <c r="AH161" i="245"/>
  <c r="AG161" i="245"/>
  <c r="AF161" i="245"/>
  <c r="AE161" i="245"/>
  <c r="AD161" i="245"/>
  <c r="AC161" i="245"/>
  <c r="AB161" i="245"/>
  <c r="AA161" i="245"/>
  <c r="Z161" i="245"/>
  <c r="Y161" i="245"/>
  <c r="X161" i="245"/>
  <c r="W161" i="245"/>
  <c r="V161" i="245"/>
  <c r="U161" i="245"/>
  <c r="T161" i="245"/>
  <c r="S161" i="245"/>
  <c r="R161" i="245"/>
  <c r="Q161" i="245"/>
  <c r="P161" i="245"/>
  <c r="O161" i="245"/>
  <c r="N161" i="245"/>
  <c r="M161" i="245"/>
  <c r="L161" i="245"/>
  <c r="K161" i="245"/>
  <c r="J161" i="245"/>
  <c r="I161" i="245"/>
  <c r="H161" i="245"/>
  <c r="G161" i="245"/>
  <c r="AU160" i="245"/>
  <c r="AT160" i="245"/>
  <c r="AS160" i="245"/>
  <c r="AR160" i="245"/>
  <c r="AQ160" i="245"/>
  <c r="AP160" i="245"/>
  <c r="AO160" i="245"/>
  <c r="AN160" i="245"/>
  <c r="AM160" i="245"/>
  <c r="AL160" i="245"/>
  <c r="AK160" i="245"/>
  <c r="AJ160" i="245"/>
  <c r="AI160" i="245"/>
  <c r="AH160" i="245"/>
  <c r="AG160" i="245"/>
  <c r="AF160" i="245"/>
  <c r="AE160" i="245"/>
  <c r="AD160" i="245"/>
  <c r="AC160" i="245"/>
  <c r="AB160" i="245"/>
  <c r="AA160" i="245"/>
  <c r="Z160" i="245"/>
  <c r="Y160" i="245"/>
  <c r="X160" i="245"/>
  <c r="W160" i="245"/>
  <c r="V160" i="245"/>
  <c r="U160" i="245"/>
  <c r="T160" i="245"/>
  <c r="S160" i="245"/>
  <c r="R160" i="245"/>
  <c r="Q160" i="245"/>
  <c r="P160" i="245"/>
  <c r="O160" i="245"/>
  <c r="N160" i="245"/>
  <c r="M160" i="245"/>
  <c r="L160" i="245"/>
  <c r="K160" i="245"/>
  <c r="J160" i="245"/>
  <c r="I160" i="245"/>
  <c r="H160" i="245"/>
  <c r="G160" i="245"/>
  <c r="AM158" i="245"/>
  <c r="AM159" i="245" s="1"/>
  <c r="AL158" i="245"/>
  <c r="AL159" i="245" s="1"/>
  <c r="AK158" i="245"/>
  <c r="AK159" i="245" s="1"/>
  <c r="AO155" i="245"/>
  <c r="AN155" i="245"/>
  <c r="AC155" i="245"/>
  <c r="AP154" i="245"/>
  <c r="AL154" i="245"/>
  <c r="AJ154" i="245"/>
  <c r="AG154" i="245"/>
  <c r="AF154" i="245"/>
  <c r="AE154" i="245"/>
  <c r="Y154" i="245"/>
  <c r="AP153" i="245"/>
  <c r="AO153" i="245"/>
  <c r="AL153" i="245"/>
  <c r="AK153" i="245"/>
  <c r="AJ153" i="245"/>
  <c r="AI153" i="245"/>
  <c r="AG153" i="245"/>
  <c r="AF153" i="245"/>
  <c r="AE153" i="245"/>
  <c r="AD153" i="245"/>
  <c r="AB153" i="245"/>
  <c r="U153" i="245"/>
  <c r="N153" i="245"/>
  <c r="J153" i="245"/>
  <c r="I153" i="245"/>
  <c r="G153" i="245"/>
  <c r="AU152" i="245"/>
  <c r="AU153" i="245" s="1"/>
  <c r="AT152" i="245"/>
  <c r="AT153" i="245" s="1"/>
  <c r="AS152" i="245"/>
  <c r="AS153" i="245" s="1"/>
  <c r="AR152" i="245"/>
  <c r="AR153" i="245" s="1"/>
  <c r="AQ152" i="245"/>
  <c r="AQ153" i="245" s="1"/>
  <c r="AP152" i="245"/>
  <c r="AO152" i="245"/>
  <c r="AN152" i="245"/>
  <c r="AN153" i="245" s="1"/>
  <c r="AM152" i="245"/>
  <c r="AM153" i="245" s="1"/>
  <c r="AL152" i="245"/>
  <c r="AK152" i="245"/>
  <c r="AJ152" i="245"/>
  <c r="AI152" i="245"/>
  <c r="AH152" i="245"/>
  <c r="AH153" i="245" s="1"/>
  <c r="AG152" i="245"/>
  <c r="AF152" i="245"/>
  <c r="AE152" i="245"/>
  <c r="AD152" i="245"/>
  <c r="AC152" i="245"/>
  <c r="AC153" i="245" s="1"/>
  <c r="AB152" i="245"/>
  <c r="AA152" i="245"/>
  <c r="AA153" i="245" s="1"/>
  <c r="Z152" i="245"/>
  <c r="Z153" i="245" s="1"/>
  <c r="Y152" i="245"/>
  <c r="Y153" i="245" s="1"/>
  <c r="X152" i="245"/>
  <c r="X153" i="245" s="1"/>
  <c r="W152" i="245"/>
  <c r="W153" i="245" s="1"/>
  <c r="V152" i="245"/>
  <c r="V153" i="245" s="1"/>
  <c r="U152" i="245"/>
  <c r="T152" i="245"/>
  <c r="T153" i="245" s="1"/>
  <c r="S152" i="245"/>
  <c r="S153" i="245" s="1"/>
  <c r="R152" i="245"/>
  <c r="R153" i="245" s="1"/>
  <c r="Q152" i="245"/>
  <c r="Q153" i="245" s="1"/>
  <c r="P152" i="245"/>
  <c r="P153" i="245" s="1"/>
  <c r="O152" i="245"/>
  <c r="O153" i="245" s="1"/>
  <c r="N152" i="245"/>
  <c r="M152" i="245"/>
  <c r="M153" i="245" s="1"/>
  <c r="L152" i="245"/>
  <c r="L153" i="245" s="1"/>
  <c r="K152" i="245"/>
  <c r="K153" i="245" s="1"/>
  <c r="J152" i="245"/>
  <c r="I152" i="245"/>
  <c r="AU151" i="245"/>
  <c r="AT151" i="245"/>
  <c r="AS151" i="245"/>
  <c r="AR151" i="245"/>
  <c r="AQ151" i="245"/>
  <c r="AP151" i="245"/>
  <c r="AO151" i="245"/>
  <c r="AN151" i="245"/>
  <c r="AM151" i="245"/>
  <c r="AL151" i="245"/>
  <c r="AK151" i="245"/>
  <c r="AJ151" i="245"/>
  <c r="AI151" i="245"/>
  <c r="AH151" i="245"/>
  <c r="AG151" i="245"/>
  <c r="AF151" i="245"/>
  <c r="AE151" i="245"/>
  <c r="AD151" i="245"/>
  <c r="AC151" i="245"/>
  <c r="AB151" i="245"/>
  <c r="AA151" i="245"/>
  <c r="Z151" i="245"/>
  <c r="Y151" i="245"/>
  <c r="X151" i="245"/>
  <c r="W151" i="245"/>
  <c r="V151" i="245"/>
  <c r="U151" i="245"/>
  <c r="T151" i="245"/>
  <c r="S151" i="245"/>
  <c r="R151" i="245"/>
  <c r="Q151" i="245"/>
  <c r="P151" i="245"/>
  <c r="O151" i="245"/>
  <c r="N151" i="245"/>
  <c r="M151" i="245"/>
  <c r="L151" i="245"/>
  <c r="K151" i="245"/>
  <c r="J151" i="245"/>
  <c r="I151" i="245"/>
  <c r="H151" i="245"/>
  <c r="G151" i="245"/>
  <c r="AU150" i="245"/>
  <c r="AT150" i="245"/>
  <c r="AS150" i="245"/>
  <c r="AS170" i="245" s="1"/>
  <c r="AR150" i="245"/>
  <c r="AQ150" i="245"/>
  <c r="AQ170" i="245" s="1"/>
  <c r="AP150" i="245"/>
  <c r="AO150" i="245"/>
  <c r="AO170" i="245" s="1"/>
  <c r="AN150" i="245"/>
  <c r="AN169" i="245" s="1"/>
  <c r="AM150" i="245"/>
  <c r="AL150" i="245"/>
  <c r="AK150" i="245"/>
  <c r="AK169" i="245" s="1"/>
  <c r="AJ150" i="245"/>
  <c r="AJ169" i="245" s="1"/>
  <c r="AI150" i="245"/>
  <c r="AI169" i="245" s="1"/>
  <c r="AH150" i="245"/>
  <c r="AH169" i="245" s="1"/>
  <c r="AG150" i="245"/>
  <c r="AG169" i="245" s="1"/>
  <c r="AF150" i="245"/>
  <c r="AE150" i="245"/>
  <c r="AE169" i="245" s="1"/>
  <c r="AD150" i="245"/>
  <c r="AD169" i="245" s="1"/>
  <c r="AC150" i="245"/>
  <c r="AC169" i="245" s="1"/>
  <c r="AB150" i="245"/>
  <c r="AB169" i="245" s="1"/>
  <c r="AA150" i="245"/>
  <c r="AA170" i="245" s="1"/>
  <c r="Z150" i="245"/>
  <c r="Z169" i="245" s="1"/>
  <c r="Y150" i="245"/>
  <c r="X150" i="245"/>
  <c r="W150" i="245"/>
  <c r="W170" i="245" s="1"/>
  <c r="V150" i="245"/>
  <c r="V170" i="245" s="1"/>
  <c r="U150" i="245"/>
  <c r="U170" i="245" s="1"/>
  <c r="T150" i="245"/>
  <c r="S150" i="245"/>
  <c r="R150" i="245"/>
  <c r="Q150" i="245"/>
  <c r="Q170" i="245" s="1"/>
  <c r="P150" i="245"/>
  <c r="O150" i="245"/>
  <c r="O170" i="245" s="1"/>
  <c r="N150" i="245"/>
  <c r="M150" i="245"/>
  <c r="M170" i="245" s="1"/>
  <c r="L150" i="245"/>
  <c r="L169" i="245" s="1"/>
  <c r="K150" i="245"/>
  <c r="J150" i="245"/>
  <c r="I150" i="245"/>
  <c r="I169" i="245" s="1"/>
  <c r="H150" i="245"/>
  <c r="H169" i="245" s="1"/>
  <c r="AS149" i="245"/>
  <c r="AL149" i="245"/>
  <c r="AK149" i="245"/>
  <c r="AG149" i="245"/>
  <c r="AF149" i="245"/>
  <c r="AE149" i="245"/>
  <c r="AB149" i="245"/>
  <c r="AA149" i="245"/>
  <c r="Z149" i="245"/>
  <c r="Y149" i="245"/>
  <c r="X149" i="245"/>
  <c r="W149" i="245"/>
  <c r="I149" i="245"/>
  <c r="X148" i="245"/>
  <c r="W148" i="245"/>
  <c r="N148" i="245"/>
  <c r="W146" i="245"/>
  <c r="W147" i="245" s="1"/>
  <c r="X145" i="245"/>
  <c r="X146" i="245" s="1"/>
  <c r="X147" i="245" s="1"/>
  <c r="AG143" i="245"/>
  <c r="AG144" i="245" s="1"/>
  <c r="AG145" i="245" s="1"/>
  <c r="AG146" i="245" s="1"/>
  <c r="AG147" i="245" s="1"/>
  <c r="AF143" i="245"/>
  <c r="AE143" i="245"/>
  <c r="AE144" i="245" s="1"/>
  <c r="AE145" i="245" s="1"/>
  <c r="AE146" i="245" s="1"/>
  <c r="AE147" i="245" s="1"/>
  <c r="AD143" i="245"/>
  <c r="AB143" i="245"/>
  <c r="AB144" i="245" s="1"/>
  <c r="AB145" i="245" s="1"/>
  <c r="AB146" i="245" s="1"/>
  <c r="AB147" i="245" s="1"/>
  <c r="AA143" i="245"/>
  <c r="Z143" i="245"/>
  <c r="Y143" i="245"/>
  <c r="X143" i="245"/>
  <c r="X144" i="245" s="1"/>
  <c r="F143" i="245"/>
  <c r="F144" i="245" s="1"/>
  <c r="AU142" i="245"/>
  <c r="AT142" i="245"/>
  <c r="AS142" i="245"/>
  <c r="AR142" i="245"/>
  <c r="AQ142" i="245"/>
  <c r="AQ143" i="245" s="1"/>
  <c r="AP142" i="245"/>
  <c r="AP143" i="245" s="1"/>
  <c r="AP144" i="245" s="1"/>
  <c r="AP145" i="245" s="1"/>
  <c r="AP146" i="245" s="1"/>
  <c r="AP147" i="245" s="1"/>
  <c r="AO142" i="245"/>
  <c r="AN142" i="245"/>
  <c r="AM142" i="245"/>
  <c r="AL142" i="245"/>
  <c r="AK142" i="245"/>
  <c r="AK165" i="245" s="1"/>
  <c r="AJ142" i="245"/>
  <c r="AI142" i="245"/>
  <c r="AH142" i="245"/>
  <c r="AH165" i="245" s="1"/>
  <c r="AG142" i="245"/>
  <c r="AG166" i="245" s="1"/>
  <c r="AF142" i="245"/>
  <c r="AF165" i="245" s="1"/>
  <c r="AE142" i="245"/>
  <c r="AE165" i="245" s="1"/>
  <c r="AD142" i="245"/>
  <c r="AD165" i="245" s="1"/>
  <c r="AC142" i="245"/>
  <c r="AC165" i="245" s="1"/>
  <c r="AB142" i="245"/>
  <c r="AA142" i="245"/>
  <c r="AA165" i="245" s="1"/>
  <c r="Z142" i="245"/>
  <c r="Y142" i="245"/>
  <c r="Y166" i="245" s="1"/>
  <c r="X142" i="245"/>
  <c r="X166" i="245" s="1"/>
  <c r="W142" i="245"/>
  <c r="W143" i="245" s="1"/>
  <c r="W144" i="245" s="1"/>
  <c r="W145" i="245" s="1"/>
  <c r="V142" i="245"/>
  <c r="U142" i="245"/>
  <c r="T142" i="245"/>
  <c r="T143" i="245" s="1"/>
  <c r="S142" i="245"/>
  <c r="R142" i="245"/>
  <c r="Q142" i="245"/>
  <c r="P142" i="245"/>
  <c r="O142" i="245"/>
  <c r="N142" i="245"/>
  <c r="N143" i="245" s="1"/>
  <c r="N144" i="245" s="1"/>
  <c r="N145" i="245" s="1"/>
  <c r="N146" i="245" s="1"/>
  <c r="N147" i="245" s="1"/>
  <c r="M142" i="245"/>
  <c r="L142" i="245"/>
  <c r="K142" i="245"/>
  <c r="J142" i="245"/>
  <c r="I142" i="245"/>
  <c r="I165" i="245" s="1"/>
  <c r="H142" i="245"/>
  <c r="G142" i="245"/>
  <c r="AP141" i="245"/>
  <c r="AI141" i="245"/>
  <c r="AH141" i="245"/>
  <c r="AG141" i="245"/>
  <c r="AF141" i="245"/>
  <c r="AE141" i="245"/>
  <c r="AD141" i="245"/>
  <c r="AC141" i="245"/>
  <c r="AA141" i="245"/>
  <c r="Z141" i="245"/>
  <c r="Y141" i="245"/>
  <c r="X141" i="245"/>
  <c r="W141" i="245"/>
  <c r="T141" i="245"/>
  <c r="F141" i="245"/>
  <c r="AI140" i="245"/>
  <c r="F140" i="245"/>
  <c r="AP139" i="245"/>
  <c r="AP140" i="245" s="1"/>
  <c r="AI139" i="245"/>
  <c r="AG139" i="245"/>
  <c r="AG140" i="245" s="1"/>
  <c r="AF139" i="245"/>
  <c r="AF140" i="245" s="1"/>
  <c r="AE139" i="245"/>
  <c r="AE140" i="245" s="1"/>
  <c r="AD139" i="245"/>
  <c r="AD140" i="245" s="1"/>
  <c r="AC139" i="245"/>
  <c r="AC140" i="245" s="1"/>
  <c r="AA139" i="245"/>
  <c r="AA140" i="245" s="1"/>
  <c r="Z139" i="245"/>
  <c r="Z140" i="245" s="1"/>
  <c r="Y139" i="245"/>
  <c r="Y140" i="245" s="1"/>
  <c r="X139" i="245"/>
  <c r="X140" i="245" s="1"/>
  <c r="W139" i="245"/>
  <c r="W140" i="245" s="1"/>
  <c r="T139" i="245"/>
  <c r="T140" i="245" s="1"/>
  <c r="N139" i="245"/>
  <c r="N140" i="245" s="1"/>
  <c r="G139" i="245"/>
  <c r="G140" i="245" s="1"/>
  <c r="F139" i="245"/>
  <c r="AU138" i="245"/>
  <c r="AT138" i="245"/>
  <c r="AS138" i="245"/>
  <c r="AR138" i="245"/>
  <c r="AQ138" i="245"/>
  <c r="AP138" i="245"/>
  <c r="AO138" i="245"/>
  <c r="AO141" i="245" s="1"/>
  <c r="AN138" i="245"/>
  <c r="AM138" i="245"/>
  <c r="AL138" i="245"/>
  <c r="AK138" i="245"/>
  <c r="AJ138" i="245"/>
  <c r="AJ141" i="245" s="1"/>
  <c r="AI138" i="245"/>
  <c r="AH138" i="245"/>
  <c r="AH139" i="245" s="1"/>
  <c r="AH140" i="245" s="1"/>
  <c r="AG138" i="245"/>
  <c r="AF138" i="245"/>
  <c r="AE138" i="245"/>
  <c r="AD138" i="245"/>
  <c r="AC138" i="245"/>
  <c r="AB138" i="245"/>
  <c r="AB141" i="245" s="1"/>
  <c r="AA138" i="245"/>
  <c r="Z138" i="245"/>
  <c r="Y138" i="245"/>
  <c r="X138" i="245"/>
  <c r="W138" i="245"/>
  <c r="V138" i="245"/>
  <c r="V141" i="245" s="1"/>
  <c r="U138" i="245"/>
  <c r="U141" i="245" s="1"/>
  <c r="T138" i="245"/>
  <c r="S138" i="245"/>
  <c r="R138" i="245"/>
  <c r="Q138" i="245"/>
  <c r="P138" i="245"/>
  <c r="O138" i="245"/>
  <c r="N138" i="245"/>
  <c r="N141" i="245" s="1"/>
  <c r="M138" i="245"/>
  <c r="M141" i="245" s="1"/>
  <c r="L138" i="245"/>
  <c r="K138" i="245"/>
  <c r="J138" i="245"/>
  <c r="I138" i="245"/>
  <c r="H138" i="245"/>
  <c r="H141" i="245" s="1"/>
  <c r="G138" i="245"/>
  <c r="G141" i="245" s="1"/>
  <c r="AU137" i="245"/>
  <c r="AT137" i="245"/>
  <c r="AP137" i="245"/>
  <c r="AO137" i="245"/>
  <c r="AK137" i="245"/>
  <c r="AJ137" i="245"/>
  <c r="AI137" i="245"/>
  <c r="AH137" i="245"/>
  <c r="AC137" i="245"/>
  <c r="AB137" i="245"/>
  <c r="X137" i="245"/>
  <c r="W137" i="245"/>
  <c r="V137" i="245"/>
  <c r="N137" i="245"/>
  <c r="M137" i="245"/>
  <c r="I137" i="245"/>
  <c r="H137" i="245"/>
  <c r="G137" i="245"/>
  <c r="F137" i="245"/>
  <c r="AP136" i="245"/>
  <c r="AO136" i="245"/>
  <c r="AM136" i="245"/>
  <c r="AK136" i="245"/>
  <c r="AH136" i="245"/>
  <c r="M136" i="245"/>
  <c r="K136" i="245"/>
  <c r="I136" i="245"/>
  <c r="H136" i="245"/>
  <c r="AT135" i="245"/>
  <c r="AT136" i="245" s="1"/>
  <c r="AN135" i="245"/>
  <c r="AN136" i="245" s="1"/>
  <c r="AC135" i="245"/>
  <c r="AC136" i="245" s="1"/>
  <c r="X135" i="245"/>
  <c r="X136" i="245" s="1"/>
  <c r="W135" i="245"/>
  <c r="W136" i="245" s="1"/>
  <c r="V135" i="245"/>
  <c r="V136" i="245" s="1"/>
  <c r="L135" i="245"/>
  <c r="L136" i="245" s="1"/>
  <c r="AT134" i="245"/>
  <c r="AP134" i="245"/>
  <c r="AP135" i="245" s="1"/>
  <c r="AO134" i="245"/>
  <c r="AO135" i="245" s="1"/>
  <c r="AN134" i="245"/>
  <c r="AM134" i="245"/>
  <c r="AM135" i="245" s="1"/>
  <c r="AK134" i="245"/>
  <c r="AK135" i="245" s="1"/>
  <c r="AJ134" i="245"/>
  <c r="AJ135" i="245" s="1"/>
  <c r="AJ136" i="245" s="1"/>
  <c r="AI134" i="245"/>
  <c r="AI135" i="245" s="1"/>
  <c r="AI136" i="245" s="1"/>
  <c r="AH134" i="245"/>
  <c r="AH135" i="245" s="1"/>
  <c r="Y134" i="245"/>
  <c r="Y135" i="245" s="1"/>
  <c r="Y136" i="245" s="1"/>
  <c r="S134" i="245"/>
  <c r="S135" i="245" s="1"/>
  <c r="S136" i="245" s="1"/>
  <c r="R134" i="245"/>
  <c r="R135" i="245" s="1"/>
  <c r="R136" i="245" s="1"/>
  <c r="Q134" i="245"/>
  <c r="Q135" i="245" s="1"/>
  <c r="Q136" i="245" s="1"/>
  <c r="P134" i="245"/>
  <c r="P135" i="245" s="1"/>
  <c r="P136" i="245" s="1"/>
  <c r="O134" i="245"/>
  <c r="O135" i="245" s="1"/>
  <c r="O136" i="245" s="1"/>
  <c r="N134" i="245"/>
  <c r="N135" i="245" s="1"/>
  <c r="N136" i="245" s="1"/>
  <c r="M134" i="245"/>
  <c r="M135" i="245" s="1"/>
  <c r="L134" i="245"/>
  <c r="K134" i="245"/>
  <c r="K135" i="245" s="1"/>
  <c r="I134" i="245"/>
  <c r="I135" i="245" s="1"/>
  <c r="H134" i="245"/>
  <c r="H135" i="245" s="1"/>
  <c r="G134" i="245"/>
  <c r="G135" i="245" s="1"/>
  <c r="G136" i="245" s="1"/>
  <c r="AU133" i="245"/>
  <c r="AU134" i="245" s="1"/>
  <c r="AU135" i="245" s="1"/>
  <c r="AU136" i="245" s="1"/>
  <c r="AT133" i="245"/>
  <c r="AS133" i="245"/>
  <c r="AS137" i="245" s="1"/>
  <c r="AR133" i="245"/>
  <c r="AR137" i="245" s="1"/>
  <c r="AQ133" i="245"/>
  <c r="AQ137" i="245" s="1"/>
  <c r="AP133" i="245"/>
  <c r="AO133" i="245"/>
  <c r="AN133" i="245"/>
  <c r="AN137" i="245" s="1"/>
  <c r="AM133" i="245"/>
  <c r="AM137" i="245" s="1"/>
  <c r="AL133" i="245"/>
  <c r="AK133" i="245"/>
  <c r="AJ133" i="245"/>
  <c r="AI133" i="245"/>
  <c r="AH133" i="245"/>
  <c r="AG133" i="245"/>
  <c r="AG134" i="245" s="1"/>
  <c r="AG135" i="245" s="1"/>
  <c r="AG136" i="245" s="1"/>
  <c r="AF133" i="245"/>
  <c r="AF134" i="245" s="1"/>
  <c r="AF135" i="245" s="1"/>
  <c r="AF136" i="245" s="1"/>
  <c r="AE133" i="245"/>
  <c r="AE134" i="245" s="1"/>
  <c r="AE135" i="245" s="1"/>
  <c r="AE136" i="245" s="1"/>
  <c r="AD133" i="245"/>
  <c r="AD134" i="245" s="1"/>
  <c r="AD135" i="245" s="1"/>
  <c r="AD136" i="245" s="1"/>
  <c r="AC133" i="245"/>
  <c r="AC134" i="245" s="1"/>
  <c r="AB133" i="245"/>
  <c r="AB134" i="245" s="1"/>
  <c r="AB135" i="245" s="1"/>
  <c r="AB136" i="245" s="1"/>
  <c r="AA133" i="245"/>
  <c r="AA134" i="245" s="1"/>
  <c r="AA135" i="245" s="1"/>
  <c r="AA136" i="245" s="1"/>
  <c r="Z133" i="245"/>
  <c r="Y133" i="245"/>
  <c r="Y137" i="245" s="1"/>
  <c r="X133" i="245"/>
  <c r="X134" i="245" s="1"/>
  <c r="W133" i="245"/>
  <c r="W134" i="245" s="1"/>
  <c r="V133" i="245"/>
  <c r="V134" i="245" s="1"/>
  <c r="U133" i="245"/>
  <c r="T133" i="245"/>
  <c r="T134" i="245" s="1"/>
  <c r="T135" i="245" s="1"/>
  <c r="T136" i="245" s="1"/>
  <c r="S133" i="245"/>
  <c r="S137" i="245" s="1"/>
  <c r="R133" i="245"/>
  <c r="R137" i="245" s="1"/>
  <c r="Q133" i="245"/>
  <c r="Q137" i="245" s="1"/>
  <c r="P133" i="245"/>
  <c r="P137" i="245" s="1"/>
  <c r="O133" i="245"/>
  <c r="O137" i="245" s="1"/>
  <c r="N133" i="245"/>
  <c r="M133" i="245"/>
  <c r="L133" i="245"/>
  <c r="L137" i="245" s="1"/>
  <c r="K133" i="245"/>
  <c r="K137" i="245" s="1"/>
  <c r="J133" i="245"/>
  <c r="I133" i="245"/>
  <c r="H133" i="245"/>
  <c r="G133" i="245"/>
  <c r="AL132" i="245"/>
  <c r="W132" i="245"/>
  <c r="R132" i="245"/>
  <c r="Q132" i="245"/>
  <c r="J132" i="245"/>
  <c r="I132" i="245"/>
  <c r="AU131" i="245"/>
  <c r="AQ131" i="245"/>
  <c r="W131" i="245"/>
  <c r="V131" i="245"/>
  <c r="Q131" i="245"/>
  <c r="H131" i="245"/>
  <c r="AQ130" i="245"/>
  <c r="AQ132" i="245" s="1"/>
  <c r="AL130" i="245"/>
  <c r="AL131" i="245" s="1"/>
  <c r="AK130" i="245"/>
  <c r="AK131" i="245" s="1"/>
  <c r="AJ130" i="245"/>
  <c r="AJ132" i="245" s="1"/>
  <c r="J130" i="245"/>
  <c r="J131" i="245" s="1"/>
  <c r="I130" i="245"/>
  <c r="I131" i="245" s="1"/>
  <c r="H130" i="245"/>
  <c r="H132" i="245" s="1"/>
  <c r="G130" i="245"/>
  <c r="G131" i="245" s="1"/>
  <c r="AT129" i="245"/>
  <c r="AT130" i="245" s="1"/>
  <c r="AT132" i="245" s="1"/>
  <c r="AS129" i="245"/>
  <c r="AS130" i="245" s="1"/>
  <c r="AS132" i="245" s="1"/>
  <c r="AR129" i="245"/>
  <c r="AR130" i="245" s="1"/>
  <c r="AQ129" i="245"/>
  <c r="W129" i="245"/>
  <c r="W130" i="245" s="1"/>
  <c r="V129" i="245"/>
  <c r="V130" i="245" s="1"/>
  <c r="V132" i="245" s="1"/>
  <c r="U129" i="245"/>
  <c r="U130" i="245" s="1"/>
  <c r="T129" i="245"/>
  <c r="T130" i="245" s="1"/>
  <c r="T132" i="245" s="1"/>
  <c r="R129" i="245"/>
  <c r="R130" i="245" s="1"/>
  <c r="R131" i="245" s="1"/>
  <c r="Q129" i="245"/>
  <c r="Q130" i="245" s="1"/>
  <c r="P129" i="245"/>
  <c r="P130" i="245" s="1"/>
  <c r="O129" i="245"/>
  <c r="O130" i="245" s="1"/>
  <c r="K129" i="245"/>
  <c r="K130" i="245" s="1"/>
  <c r="AU128" i="245"/>
  <c r="AU129" i="245" s="1"/>
  <c r="AU130" i="245" s="1"/>
  <c r="AU132" i="245" s="1"/>
  <c r="AT128" i="245"/>
  <c r="AS128" i="245"/>
  <c r="AR128" i="245"/>
  <c r="AQ128" i="245"/>
  <c r="AP128" i="245"/>
  <c r="AP129" i="245" s="1"/>
  <c r="AP130" i="245" s="1"/>
  <c r="AO128" i="245"/>
  <c r="AO129" i="245" s="1"/>
  <c r="AO130" i="245" s="1"/>
  <c r="AN128" i="245"/>
  <c r="AN129" i="245" s="1"/>
  <c r="AN130" i="245" s="1"/>
  <c r="AM128" i="245"/>
  <c r="AM129" i="245" s="1"/>
  <c r="AM130" i="245" s="1"/>
  <c r="AL128" i="245"/>
  <c r="AL129" i="245" s="1"/>
  <c r="AK128" i="245"/>
  <c r="AK129" i="245" s="1"/>
  <c r="AJ128" i="245"/>
  <c r="AJ129" i="245" s="1"/>
  <c r="AI128" i="245"/>
  <c r="AI129" i="245" s="1"/>
  <c r="AI130" i="245" s="1"/>
  <c r="AH128" i="245"/>
  <c r="AH129" i="245" s="1"/>
  <c r="AH130" i="245" s="1"/>
  <c r="AG128" i="245"/>
  <c r="AG129" i="245" s="1"/>
  <c r="AG130" i="245" s="1"/>
  <c r="AF128" i="245"/>
  <c r="AF129" i="245" s="1"/>
  <c r="AF130" i="245" s="1"/>
  <c r="AE128" i="245"/>
  <c r="AE129" i="245" s="1"/>
  <c r="AE130" i="245" s="1"/>
  <c r="AD128" i="245"/>
  <c r="AD129" i="245" s="1"/>
  <c r="AD130" i="245" s="1"/>
  <c r="AC128" i="245"/>
  <c r="AC129" i="245" s="1"/>
  <c r="AC130" i="245" s="1"/>
  <c r="AB128" i="245"/>
  <c r="AB129" i="245" s="1"/>
  <c r="AB130" i="245" s="1"/>
  <c r="AA128" i="245"/>
  <c r="AA129" i="245" s="1"/>
  <c r="AA130" i="245" s="1"/>
  <c r="Z128" i="245"/>
  <c r="Z129" i="245" s="1"/>
  <c r="Z130" i="245" s="1"/>
  <c r="Y128" i="245"/>
  <c r="Y129" i="245" s="1"/>
  <c r="Y130" i="245" s="1"/>
  <c r="X128" i="245"/>
  <c r="X129" i="245" s="1"/>
  <c r="X130" i="245" s="1"/>
  <c r="W128" i="245"/>
  <c r="V128" i="245"/>
  <c r="U128" i="245"/>
  <c r="T128" i="245"/>
  <c r="S128" i="245"/>
  <c r="S129" i="245" s="1"/>
  <c r="S130" i="245" s="1"/>
  <c r="S132" i="245" s="1"/>
  <c r="R128" i="245"/>
  <c r="Q128" i="245"/>
  <c r="P128" i="245"/>
  <c r="O128" i="245"/>
  <c r="N128" i="245"/>
  <c r="N129" i="245" s="1"/>
  <c r="N130" i="245" s="1"/>
  <c r="M128" i="245"/>
  <c r="M129" i="245" s="1"/>
  <c r="M130" i="245" s="1"/>
  <c r="L128" i="245"/>
  <c r="L129" i="245" s="1"/>
  <c r="L130" i="245" s="1"/>
  <c r="K128" i="245"/>
  <c r="J128" i="245"/>
  <c r="J129" i="245" s="1"/>
  <c r="I128" i="245"/>
  <c r="I129" i="245" s="1"/>
  <c r="H128" i="245"/>
  <c r="H129" i="245" s="1"/>
  <c r="G128" i="245"/>
  <c r="G129" i="245" s="1"/>
  <c r="U127" i="245"/>
  <c r="O127" i="245"/>
  <c r="M127" i="245"/>
  <c r="AG126" i="245"/>
  <c r="AG127" i="245" s="1"/>
  <c r="AC126" i="245"/>
  <c r="AC127" i="245" s="1"/>
  <c r="AB126" i="245"/>
  <c r="AB127" i="245" s="1"/>
  <c r="AA126" i="245"/>
  <c r="AA127" i="245" s="1"/>
  <c r="Z126" i="245"/>
  <c r="Z127" i="245" s="1"/>
  <c r="Y126" i="245"/>
  <c r="Y127" i="245" s="1"/>
  <c r="X126" i="245"/>
  <c r="X127" i="245" s="1"/>
  <c r="W126" i="245"/>
  <c r="W127" i="245" s="1"/>
  <c r="L126" i="245"/>
  <c r="L127" i="245" s="1"/>
  <c r="AU125" i="245"/>
  <c r="AU126" i="245" s="1"/>
  <c r="AU127" i="245" s="1"/>
  <c r="AT125" i="245"/>
  <c r="AT126" i="245" s="1"/>
  <c r="AT127" i="245" s="1"/>
  <c r="AP125" i="245"/>
  <c r="AP126" i="245" s="1"/>
  <c r="AP127" i="245" s="1"/>
  <c r="AO125" i="245"/>
  <c r="AO126" i="245" s="1"/>
  <c r="AO127" i="245" s="1"/>
  <c r="AN125" i="245"/>
  <c r="AN126" i="245" s="1"/>
  <c r="AN127" i="245" s="1"/>
  <c r="AM125" i="245"/>
  <c r="AM126" i="245" s="1"/>
  <c r="AM127" i="245" s="1"/>
  <c r="Y125" i="245"/>
  <c r="X125" i="245"/>
  <c r="W125" i="245"/>
  <c r="V125" i="245"/>
  <c r="V126" i="245" s="1"/>
  <c r="V127" i="245" s="1"/>
  <c r="U125" i="245"/>
  <c r="U126" i="245" s="1"/>
  <c r="T125" i="245"/>
  <c r="T126" i="245" s="1"/>
  <c r="T127" i="245" s="1"/>
  <c r="S125" i="245"/>
  <c r="S126" i="245" s="1"/>
  <c r="S127" i="245" s="1"/>
  <c r="R125" i="245"/>
  <c r="R126" i="245" s="1"/>
  <c r="R127" i="245" s="1"/>
  <c r="N125" i="245"/>
  <c r="N126" i="245" s="1"/>
  <c r="N127" i="245" s="1"/>
  <c r="M125" i="245"/>
  <c r="M126" i="245" s="1"/>
  <c r="L125" i="245"/>
  <c r="K125" i="245"/>
  <c r="K126" i="245" s="1"/>
  <c r="K127" i="245" s="1"/>
  <c r="AU124" i="245"/>
  <c r="AT124" i="245"/>
  <c r="AS124" i="245"/>
  <c r="AS125" i="245" s="1"/>
  <c r="AS126" i="245" s="1"/>
  <c r="AS127" i="245" s="1"/>
  <c r="AR124" i="245"/>
  <c r="AR125" i="245" s="1"/>
  <c r="AR126" i="245" s="1"/>
  <c r="AR127" i="245" s="1"/>
  <c r="AQ124" i="245"/>
  <c r="AQ125" i="245" s="1"/>
  <c r="AQ126" i="245" s="1"/>
  <c r="AQ127" i="245" s="1"/>
  <c r="AP124" i="245"/>
  <c r="AO124" i="245"/>
  <c r="AN124" i="245"/>
  <c r="AM124" i="245"/>
  <c r="AL124" i="245"/>
  <c r="AL125" i="245" s="1"/>
  <c r="AL126" i="245" s="1"/>
  <c r="AL127" i="245" s="1"/>
  <c r="AK124" i="245"/>
  <c r="AK125" i="245" s="1"/>
  <c r="AK126" i="245" s="1"/>
  <c r="AK127" i="245" s="1"/>
  <c r="AJ124" i="245"/>
  <c r="AJ125" i="245" s="1"/>
  <c r="AJ126" i="245" s="1"/>
  <c r="AJ127" i="245" s="1"/>
  <c r="AI124" i="245"/>
  <c r="AI125" i="245" s="1"/>
  <c r="AI126" i="245" s="1"/>
  <c r="AI127" i="245" s="1"/>
  <c r="AH124" i="245"/>
  <c r="AH125" i="245" s="1"/>
  <c r="AH126" i="245" s="1"/>
  <c r="AH127" i="245" s="1"/>
  <c r="AG124" i="245"/>
  <c r="AG125" i="245" s="1"/>
  <c r="AF124" i="245"/>
  <c r="AF125" i="245" s="1"/>
  <c r="AF126" i="245" s="1"/>
  <c r="AF127" i="245" s="1"/>
  <c r="AE124" i="245"/>
  <c r="AE125" i="245" s="1"/>
  <c r="AE126" i="245" s="1"/>
  <c r="AE127" i="245" s="1"/>
  <c r="AD124" i="245"/>
  <c r="AD125" i="245" s="1"/>
  <c r="AD126" i="245" s="1"/>
  <c r="AD127" i="245" s="1"/>
  <c r="AC124" i="245"/>
  <c r="AC125" i="245" s="1"/>
  <c r="AB124" i="245"/>
  <c r="AB125" i="245" s="1"/>
  <c r="AA124" i="245"/>
  <c r="AA125" i="245" s="1"/>
  <c r="Z124" i="245"/>
  <c r="Z125" i="245" s="1"/>
  <c r="Y124" i="245"/>
  <c r="X124" i="245"/>
  <c r="W124" i="245"/>
  <c r="V124" i="245"/>
  <c r="U124" i="245"/>
  <c r="T124" i="245"/>
  <c r="S124" i="245"/>
  <c r="R124" i="245"/>
  <c r="Q124" i="245"/>
  <c r="Q125" i="245" s="1"/>
  <c r="Q126" i="245" s="1"/>
  <c r="Q127" i="245" s="1"/>
  <c r="P124" i="245"/>
  <c r="P125" i="245" s="1"/>
  <c r="P126" i="245" s="1"/>
  <c r="P127" i="245" s="1"/>
  <c r="O124" i="245"/>
  <c r="O125" i="245" s="1"/>
  <c r="O126" i="245" s="1"/>
  <c r="N124" i="245"/>
  <c r="M124" i="245"/>
  <c r="L124" i="245"/>
  <c r="K124" i="245"/>
  <c r="J124" i="245"/>
  <c r="J125" i="245" s="1"/>
  <c r="J126" i="245" s="1"/>
  <c r="J127" i="245" s="1"/>
  <c r="I124" i="245"/>
  <c r="I125" i="245" s="1"/>
  <c r="I126" i="245" s="1"/>
  <c r="I127" i="245" s="1"/>
  <c r="H124" i="245"/>
  <c r="H125" i="245" s="1"/>
  <c r="H126" i="245" s="1"/>
  <c r="H127" i="245" s="1"/>
  <c r="G124" i="245"/>
  <c r="G125" i="245" s="1"/>
  <c r="G126" i="245" s="1"/>
  <c r="G127" i="245" s="1"/>
  <c r="AU123" i="245"/>
  <c r="AT123" i="245"/>
  <c r="AS123" i="245"/>
  <c r="AR123" i="245"/>
  <c r="AQ123" i="245"/>
  <c r="AN123" i="245"/>
  <c r="AM123" i="245"/>
  <c r="AL123" i="245"/>
  <c r="AK123" i="245"/>
  <c r="AE123" i="245"/>
  <c r="T123" i="245"/>
  <c r="S123" i="245"/>
  <c r="R123" i="245"/>
  <c r="Q123" i="245"/>
  <c r="P123" i="245"/>
  <c r="O123" i="245"/>
  <c r="N123" i="245"/>
  <c r="L123" i="245"/>
  <c r="K123" i="245"/>
  <c r="J123" i="245"/>
  <c r="I123" i="245"/>
  <c r="H123" i="245"/>
  <c r="AU122" i="245"/>
  <c r="AT122" i="245"/>
  <c r="AS122" i="245"/>
  <c r="AR122" i="245"/>
  <c r="AQ122" i="245"/>
  <c r="AP122" i="245"/>
  <c r="AP123" i="245" s="1"/>
  <c r="AO122" i="245"/>
  <c r="AO123" i="245" s="1"/>
  <c r="AN122" i="245"/>
  <c r="AM122" i="245"/>
  <c r="AL122" i="245"/>
  <c r="AK122" i="245"/>
  <c r="AJ122" i="245"/>
  <c r="AJ123" i="245" s="1"/>
  <c r="AI122" i="245"/>
  <c r="AI123" i="245" s="1"/>
  <c r="AH122" i="245"/>
  <c r="AH123" i="245" s="1"/>
  <c r="AG122" i="245"/>
  <c r="AG123" i="245" s="1"/>
  <c r="AF122" i="245"/>
  <c r="AF123" i="245" s="1"/>
  <c r="AE122" i="245"/>
  <c r="AD122" i="245"/>
  <c r="AD123" i="245" s="1"/>
  <c r="AC122" i="245"/>
  <c r="AC123" i="245" s="1"/>
  <c r="AB122" i="245"/>
  <c r="AB123" i="245" s="1"/>
  <c r="AA122" i="245"/>
  <c r="AA123" i="245" s="1"/>
  <c r="Z122" i="245"/>
  <c r="Z123" i="245" s="1"/>
  <c r="Y122" i="245"/>
  <c r="Y123" i="245" s="1"/>
  <c r="X122" i="245"/>
  <c r="X123" i="245" s="1"/>
  <c r="W122" i="245"/>
  <c r="W123" i="245" s="1"/>
  <c r="V122" i="245"/>
  <c r="V123" i="245" s="1"/>
  <c r="U122" i="245"/>
  <c r="U123" i="245" s="1"/>
  <c r="T122" i="245"/>
  <c r="S122" i="245"/>
  <c r="R122" i="245"/>
  <c r="Q122" i="245"/>
  <c r="P122" i="245"/>
  <c r="O122" i="245"/>
  <c r="N122" i="245"/>
  <c r="M122" i="245"/>
  <c r="M123" i="245" s="1"/>
  <c r="L122" i="245"/>
  <c r="K122" i="245"/>
  <c r="J122" i="245"/>
  <c r="I122" i="245"/>
  <c r="H122" i="245"/>
  <c r="G122" i="245"/>
  <c r="G123" i="245" s="1"/>
  <c r="AU121" i="245"/>
  <c r="AU171" i="245" s="1"/>
  <c r="AT121" i="245"/>
  <c r="AT171" i="245" s="1"/>
  <c r="AS121" i="245"/>
  <c r="AS171" i="245" s="1"/>
  <c r="AR121" i="245"/>
  <c r="AR171" i="245" s="1"/>
  <c r="AQ121" i="245"/>
  <c r="AQ171" i="245" s="1"/>
  <c r="AP121" i="245"/>
  <c r="AP171" i="245" s="1"/>
  <c r="AO121" i="245"/>
  <c r="AO171" i="245" s="1"/>
  <c r="AN121" i="245"/>
  <c r="AN171" i="245" s="1"/>
  <c r="AM121" i="245"/>
  <c r="AM171" i="245" s="1"/>
  <c r="AL121" i="245"/>
  <c r="AL171" i="245" s="1"/>
  <c r="AK121" i="245"/>
  <c r="AK171" i="245" s="1"/>
  <c r="AJ121" i="245"/>
  <c r="AJ171" i="245" s="1"/>
  <c r="AI121" i="245"/>
  <c r="AI171" i="245" s="1"/>
  <c r="AH121" i="245"/>
  <c r="AH171" i="245" s="1"/>
  <c r="AG121" i="245"/>
  <c r="AG171" i="245" s="1"/>
  <c r="AF121" i="245"/>
  <c r="AF171" i="245" s="1"/>
  <c r="AE121" i="245"/>
  <c r="AE171" i="245" s="1"/>
  <c r="AD121" i="245"/>
  <c r="AD171" i="245" s="1"/>
  <c r="AC121" i="245"/>
  <c r="AC171" i="245" s="1"/>
  <c r="AB121" i="245"/>
  <c r="AB171" i="245" s="1"/>
  <c r="AA121" i="245"/>
  <c r="AA171" i="245" s="1"/>
  <c r="Z121" i="245"/>
  <c r="Z171" i="245" s="1"/>
  <c r="Y121" i="245"/>
  <c r="X121" i="245"/>
  <c r="X171" i="245" s="1"/>
  <c r="W121" i="245"/>
  <c r="W171" i="245" s="1"/>
  <c r="V121" i="245"/>
  <c r="V171" i="245" s="1"/>
  <c r="U121" i="245"/>
  <c r="U171" i="245" s="1"/>
  <c r="T121" i="245"/>
  <c r="T171" i="245" s="1"/>
  <c r="S121" i="245"/>
  <c r="S171" i="245" s="1"/>
  <c r="R121" i="245"/>
  <c r="R171" i="245" s="1"/>
  <c r="Q121" i="245"/>
  <c r="Q171" i="245" s="1"/>
  <c r="P121" i="245"/>
  <c r="P171" i="245" s="1"/>
  <c r="O121" i="245"/>
  <c r="O171" i="245" s="1"/>
  <c r="N121" i="245"/>
  <c r="N171" i="245" s="1"/>
  <c r="M121" i="245"/>
  <c r="M171" i="245" s="1"/>
  <c r="L121" i="245"/>
  <c r="L171" i="245" s="1"/>
  <c r="K121" i="245"/>
  <c r="K171" i="245" s="1"/>
  <c r="J121" i="245"/>
  <c r="J171" i="245" s="1"/>
  <c r="I121" i="245"/>
  <c r="I171" i="245" s="1"/>
  <c r="H121" i="245"/>
  <c r="H171" i="245" s="1"/>
  <c r="G121" i="245"/>
  <c r="G171" i="245" s="1"/>
  <c r="P42" i="246"/>
  <c r="Q42" i="246"/>
  <c r="O42" i="246"/>
  <c r="N42" i="246"/>
  <c r="Z100" i="245" l="1"/>
  <c r="K96" i="245"/>
  <c r="AO90" i="245"/>
  <c r="W105" i="245"/>
  <c r="W108" i="245" s="1"/>
  <c r="AU103" i="245"/>
  <c r="AU106" i="245" s="1"/>
  <c r="X102" i="245"/>
  <c r="X100" i="245"/>
  <c r="T99" i="245"/>
  <c r="AL95" i="245"/>
  <c r="AN90" i="245"/>
  <c r="AP99" i="245"/>
  <c r="I95" i="245"/>
  <c r="V105" i="245"/>
  <c r="V108" i="245" s="1"/>
  <c r="P99" i="245"/>
  <c r="T105" i="245"/>
  <c r="T108" i="245" s="1"/>
  <c r="O99" i="245"/>
  <c r="S105" i="245"/>
  <c r="S108" i="245" s="1"/>
  <c r="N99" i="245"/>
  <c r="AM154" i="245"/>
  <c r="N100" i="245"/>
  <c r="M99" i="245"/>
  <c r="N93" i="245"/>
  <c r="AI90" i="245"/>
  <c r="P87" i="245"/>
  <c r="W103" i="245"/>
  <c r="W106" i="245" s="1"/>
  <c r="AL99" i="245"/>
  <c r="AL94" i="245"/>
  <c r="R103" i="245"/>
  <c r="R106" i="245" s="1"/>
  <c r="AK99" i="245"/>
  <c r="AP98" i="245"/>
  <c r="K97" i="245"/>
  <c r="AK94" i="245"/>
  <c r="U92" i="245"/>
  <c r="U91" i="245"/>
  <c r="AE86" i="245"/>
  <c r="AH96" i="245"/>
  <c r="N98" i="245"/>
  <c r="AO99" i="245"/>
  <c r="V103" i="245"/>
  <c r="V106" i="245" s="1"/>
  <c r="AN99" i="245"/>
  <c r="N97" i="245"/>
  <c r="U103" i="245"/>
  <c r="U106" i="245" s="1"/>
  <c r="AM99" i="245"/>
  <c r="AR98" i="245"/>
  <c r="M97" i="245"/>
  <c r="AM94" i="245"/>
  <c r="AL86" i="245"/>
  <c r="T103" i="245"/>
  <c r="T106" i="245" s="1"/>
  <c r="L97" i="245"/>
  <c r="AJ86" i="245"/>
  <c r="AN98" i="245"/>
  <c r="AU97" i="245"/>
  <c r="AJ94" i="245"/>
  <c r="T91" i="245"/>
  <c r="O103" i="245"/>
  <c r="O106" i="245" s="1"/>
  <c r="X101" i="245"/>
  <c r="AI99" i="245"/>
  <c r="AM98" i="245"/>
  <c r="AR97" i="245"/>
  <c r="AG94" i="245"/>
  <c r="Z86" i="245"/>
  <c r="N103" i="245"/>
  <c r="N106" i="245" s="1"/>
  <c r="S101" i="245"/>
  <c r="AH99" i="245"/>
  <c r="AL98" i="245"/>
  <c r="AQ97" i="245"/>
  <c r="P91" i="245"/>
  <c r="U90" i="245"/>
  <c r="AI104" i="245"/>
  <c r="AI107" i="245" s="1"/>
  <c r="R101" i="245"/>
  <c r="AK98" i="245"/>
  <c r="AP97" i="245"/>
  <c r="AF96" i="245"/>
  <c r="J92" i="245"/>
  <c r="O91" i="245"/>
  <c r="T90" i="245"/>
  <c r="AS87" i="245"/>
  <c r="H86" i="245"/>
  <c r="AO97" i="245"/>
  <c r="N91" i="245"/>
  <c r="AQ87" i="245"/>
  <c r="AN97" i="245"/>
  <c r="M91" i="245"/>
  <c r="AN87" i="245"/>
  <c r="AC104" i="245"/>
  <c r="AC107" i="245" s="1"/>
  <c r="J101" i="245"/>
  <c r="AD99" i="245"/>
  <c r="AM97" i="245"/>
  <c r="Z96" i="245"/>
  <c r="L91" i="245"/>
  <c r="AU102" i="245"/>
  <c r="AQ91" i="245"/>
  <c r="K91" i="245"/>
  <c r="AI87" i="245"/>
  <c r="AQ98" i="245"/>
  <c r="S104" i="245"/>
  <c r="S107" i="245" s="1"/>
  <c r="M90" i="245"/>
  <c r="G154" i="245"/>
  <c r="AP91" i="245"/>
  <c r="J91" i="245"/>
  <c r="H154" i="245"/>
  <c r="AO91" i="245"/>
  <c r="I154" i="245"/>
  <c r="AP102" i="245"/>
  <c r="AC100" i="245"/>
  <c r="AD98" i="245"/>
  <c r="AH97" i="245"/>
  <c r="K94" i="245"/>
  <c r="K154" i="245"/>
  <c r="AN102" i="245"/>
  <c r="AB100" i="245"/>
  <c r="J94" i="245"/>
  <c r="AM91" i="245"/>
  <c r="AA100" i="245"/>
  <c r="H94" i="245"/>
  <c r="AL91" i="245"/>
  <c r="AP90" i="245"/>
  <c r="X158" i="245"/>
  <c r="X159" i="245" s="1"/>
  <c r="AL101" i="245"/>
  <c r="K100" i="245"/>
  <c r="AK92" i="245"/>
  <c r="AL157" i="245"/>
  <c r="O158" i="245"/>
  <c r="O159" i="245" s="1"/>
  <c r="W158" i="245"/>
  <c r="W159" i="245" s="1"/>
  <c r="X104" i="245"/>
  <c r="X107" i="245" s="1"/>
  <c r="Y158" i="245"/>
  <c r="Y159" i="245" s="1"/>
  <c r="AB105" i="245"/>
  <c r="AB108" i="245" s="1"/>
  <c r="AK101" i="245"/>
  <c r="M96" i="245"/>
  <c r="AA158" i="245"/>
  <c r="AA159" i="245" s="1"/>
  <c r="AB158" i="245"/>
  <c r="AB159" i="245" s="1"/>
  <c r="Y105" i="245"/>
  <c r="Y108" i="245" s="1"/>
  <c r="Q104" i="245"/>
  <c r="Q107" i="245" s="1"/>
  <c r="J96" i="245"/>
  <c r="Z92" i="245"/>
  <c r="G158" i="245"/>
  <c r="G159" i="245" s="1"/>
  <c r="H158" i="245"/>
  <c r="H159" i="245" s="1"/>
  <c r="AB92" i="245"/>
  <c r="AC158" i="245"/>
  <c r="AC159" i="245" s="1"/>
  <c r="X105" i="245"/>
  <c r="X108" i="245" s="1"/>
  <c r="Z101" i="245"/>
  <c r="T97" i="245"/>
  <c r="H96" i="245"/>
  <c r="V94" i="245"/>
  <c r="X92" i="245"/>
  <c r="T155" i="245"/>
  <c r="W102" i="245"/>
  <c r="AO96" i="245"/>
  <c r="AL93" i="245"/>
  <c r="V155" i="245"/>
  <c r="AP103" i="245"/>
  <c r="AP106" i="245" s="1"/>
  <c r="U102" i="245"/>
  <c r="AR100" i="245"/>
  <c r="AN96" i="245"/>
  <c r="U95" i="245"/>
  <c r="AJ93" i="245"/>
  <c r="X155" i="245"/>
  <c r="AS104" i="245"/>
  <c r="AS107" i="245" s="1"/>
  <c r="T102" i="245"/>
  <c r="AM96" i="245"/>
  <c r="T95" i="245"/>
  <c r="Y93" i="245"/>
  <c r="U86" i="245"/>
  <c r="L155" i="245"/>
  <c r="M155" i="245"/>
  <c r="AA155" i="245"/>
  <c r="AO100" i="245"/>
  <c r="L95" i="245"/>
  <c r="K86" i="245"/>
  <c r="AB155" i="245"/>
  <c r="AJ103" i="245"/>
  <c r="AJ106" i="245" s="1"/>
  <c r="AN100" i="245"/>
  <c r="AJ96" i="245"/>
  <c r="J95" i="245"/>
  <c r="T93" i="245"/>
  <c r="AR90" i="245"/>
  <c r="S156" i="245"/>
  <c r="H157" i="245"/>
  <c r="AD155" i="245"/>
  <c r="W94" i="245"/>
  <c r="AN86" i="245"/>
  <c r="AE155" i="245"/>
  <c r="AF155" i="245"/>
  <c r="W100" i="245"/>
  <c r="AG155" i="245"/>
  <c r="V158" i="245"/>
  <c r="V159" i="245" s="1"/>
  <c r="AR102" i="245"/>
  <c r="U100" i="245"/>
  <c r="AG96" i="245"/>
  <c r="AA95" i="245"/>
  <c r="AN92" i="245"/>
  <c r="AR87" i="245"/>
  <c r="AI86" i="245"/>
  <c r="AH155" i="245"/>
  <c r="AB101" i="245"/>
  <c r="L94" i="245"/>
  <c r="AM92" i="245"/>
  <c r="AG86" i="245"/>
  <c r="H155" i="245"/>
  <c r="AU157" i="245"/>
  <c r="G155" i="245"/>
  <c r="AI155" i="245"/>
  <c r="AJ155" i="245"/>
  <c r="I155" i="245"/>
  <c r="AK155" i="245"/>
  <c r="Z158" i="245"/>
  <c r="Z159" i="245" s="1"/>
  <c r="AN103" i="245"/>
  <c r="AN106" i="245" s="1"/>
  <c r="AG102" i="245"/>
  <c r="U101" i="245"/>
  <c r="P100" i="245"/>
  <c r="AB96" i="245"/>
  <c r="AJ92" i="245"/>
  <c r="AA86" i="245"/>
  <c r="J155" i="245"/>
  <c r="AL155" i="245"/>
  <c r="AA96" i="245"/>
  <c r="K155" i="245"/>
  <c r="AM155" i="245"/>
  <c r="AK103" i="245"/>
  <c r="AK106" i="245" s="1"/>
  <c r="AB102" i="245"/>
  <c r="W98" i="245"/>
  <c r="P95" i="245"/>
  <c r="AR93" i="245"/>
  <c r="AF92" i="245"/>
  <c r="O101" i="245"/>
  <c r="W86" i="245"/>
  <c r="N155" i="245"/>
  <c r="AQ155" i="245"/>
  <c r="P86" i="245"/>
  <c r="O155" i="245"/>
  <c r="M101" i="245"/>
  <c r="P155" i="245"/>
  <c r="AR155" i="245"/>
  <c r="AU158" i="245"/>
  <c r="AU159" i="245" s="1"/>
  <c r="L101" i="245"/>
  <c r="AN94" i="245"/>
  <c r="AC93" i="245"/>
  <c r="T92" i="245"/>
  <c r="L86" i="245"/>
  <c r="AP155" i="245"/>
  <c r="W96" i="245"/>
  <c r="Q155" i="245"/>
  <c r="AS155" i="245"/>
  <c r="R155" i="245"/>
  <c r="AT155" i="245"/>
  <c r="P102" i="245"/>
  <c r="R96" i="245"/>
  <c r="AA93" i="245"/>
  <c r="R92" i="245"/>
  <c r="S155" i="245"/>
  <c r="AU155" i="245"/>
  <c r="V91" i="245"/>
  <c r="U155" i="245"/>
  <c r="G157" i="245"/>
  <c r="W93" i="245"/>
  <c r="K92" i="245"/>
  <c r="W155" i="245"/>
  <c r="I157" i="245"/>
  <c r="R157" i="245"/>
  <c r="Y155" i="245"/>
  <c r="S157" i="245"/>
  <c r="AM100" i="245"/>
  <c r="AJ157" i="245"/>
  <c r="U105" i="245"/>
  <c r="U108" i="245" s="1"/>
  <c r="L103" i="245"/>
  <c r="L106" i="245" s="1"/>
  <c r="AU96" i="245"/>
  <c r="AM95" i="245"/>
  <c r="AB94" i="245"/>
  <c r="M93" i="245"/>
  <c r="AK157" i="245"/>
  <c r="AQ101" i="245"/>
  <c r="AD93" i="245"/>
  <c r="J157" i="245"/>
  <c r="AE92" i="245"/>
  <c r="R90" i="245"/>
  <c r="K157" i="245"/>
  <c r="AN157" i="245"/>
  <c r="AD158" i="245"/>
  <c r="AD159" i="245" s="1"/>
  <c r="AB104" i="245"/>
  <c r="AB107" i="245" s="1"/>
  <c r="AO102" i="245"/>
  <c r="AU101" i="245"/>
  <c r="K101" i="245"/>
  <c r="M100" i="245"/>
  <c r="Z93" i="245"/>
  <c r="AC92" i="245"/>
  <c r="AA104" i="245"/>
  <c r="AA107" i="245" s="1"/>
  <c r="M157" i="245"/>
  <c r="AP157" i="245"/>
  <c r="AF158" i="245"/>
  <c r="AF159" i="245" s="1"/>
  <c r="Y104" i="245"/>
  <c r="Y107" i="245" s="1"/>
  <c r="S99" i="245"/>
  <c r="AA92" i="245"/>
  <c r="AU90" i="245"/>
  <c r="AA105" i="245"/>
  <c r="AA108" i="245" s="1"/>
  <c r="AM157" i="245"/>
  <c r="AO157" i="245"/>
  <c r="AG158" i="245"/>
  <c r="AG159" i="245" s="1"/>
  <c r="AE158" i="245"/>
  <c r="AE159" i="245" s="1"/>
  <c r="J156" i="245"/>
  <c r="AQ157" i="245"/>
  <c r="AT90" i="245"/>
  <c r="J154" i="245"/>
  <c r="O156" i="245"/>
  <c r="O157" i="245"/>
  <c r="AR157" i="245"/>
  <c r="AH158" i="245"/>
  <c r="AH159" i="245" s="1"/>
  <c r="AJ102" i="245"/>
  <c r="AU100" i="245"/>
  <c r="H100" i="245"/>
  <c r="AS96" i="245"/>
  <c r="P96" i="245"/>
  <c r="N95" i="245"/>
  <c r="Q94" i="245"/>
  <c r="Y92" i="245"/>
  <c r="V86" i="245"/>
  <c r="AU99" i="245"/>
  <c r="AT97" i="245"/>
  <c r="L157" i="245"/>
  <c r="N157" i="245"/>
  <c r="R99" i="245"/>
  <c r="P156" i="245"/>
  <c r="P157" i="245"/>
  <c r="AS157" i="245"/>
  <c r="AI158" i="245"/>
  <c r="AI159" i="245" s="1"/>
  <c r="AO101" i="245"/>
  <c r="AR96" i="245"/>
  <c r="O96" i="245"/>
  <c r="N154" i="245"/>
  <c r="Q156" i="245"/>
  <c r="Q157" i="245"/>
  <c r="AT157" i="245"/>
  <c r="AJ158" i="245"/>
  <c r="AJ159" i="245" s="1"/>
  <c r="Q105" i="245"/>
  <c r="Q108" i="245" s="1"/>
  <c r="Z103" i="245"/>
  <c r="Z106" i="245" s="1"/>
  <c r="AF102" i="245"/>
  <c r="AN101" i="245"/>
  <c r="AT99" i="245"/>
  <c r="AQ96" i="245"/>
  <c r="N96" i="245"/>
  <c r="O94" i="245"/>
  <c r="W92" i="245"/>
  <c r="T87" i="245"/>
  <c r="AE102" i="245"/>
  <c r="AP96" i="245"/>
  <c r="N94" i="245"/>
  <c r="S87" i="245"/>
  <c r="S90" i="245"/>
  <c r="AD102" i="245"/>
  <c r="R87" i="245"/>
  <c r="U157" i="245"/>
  <c r="V157" i="245"/>
  <c r="AQ94" i="245"/>
  <c r="T156" i="245"/>
  <c r="V156" i="245"/>
  <c r="I158" i="245"/>
  <c r="I159" i="245" s="1"/>
  <c r="AN158" i="245"/>
  <c r="AN159" i="245" s="1"/>
  <c r="AR94" i="245"/>
  <c r="AH154" i="245"/>
  <c r="X156" i="245"/>
  <c r="J158" i="245"/>
  <c r="J159" i="245" s="1"/>
  <c r="AO158" i="245"/>
  <c r="AO159" i="245" s="1"/>
  <c r="AA102" i="245"/>
  <c r="I96" i="245"/>
  <c r="AI154" i="245"/>
  <c r="Y156" i="245"/>
  <c r="W157" i="245"/>
  <c r="K158" i="245"/>
  <c r="K159" i="245" s="1"/>
  <c r="AQ158" i="245"/>
  <c r="AQ159" i="245" s="1"/>
  <c r="AU105" i="245"/>
  <c r="AU108" i="245" s="1"/>
  <c r="N104" i="245"/>
  <c r="N107" i="245" s="1"/>
  <c r="AF101" i="245"/>
  <c r="AK96" i="245"/>
  <c r="AP94" i="245"/>
  <c r="I94" i="245"/>
  <c r="U156" i="245"/>
  <c r="L158" i="245"/>
  <c r="L159" i="245" s="1"/>
  <c r="Y102" i="245"/>
  <c r="AF100" i="245"/>
  <c r="AU98" i="245"/>
  <c r="S98" i="245"/>
  <c r="AR95" i="245"/>
  <c r="AO94" i="245"/>
  <c r="AU87" i="245"/>
  <c r="M87" i="245"/>
  <c r="T157" i="245"/>
  <c r="Z156" i="245"/>
  <c r="Y157" i="245"/>
  <c r="AR158" i="245"/>
  <c r="AR159" i="245" s="1"/>
  <c r="AE101" i="245"/>
  <c r="AK154" i="245"/>
  <c r="AA156" i="245"/>
  <c r="Z157" i="245"/>
  <c r="M158" i="245"/>
  <c r="M159" i="245" s="1"/>
  <c r="AS158" i="245"/>
  <c r="AS159" i="245" s="1"/>
  <c r="AD101" i="245"/>
  <c r="AD100" i="245"/>
  <c r="AT98" i="245"/>
  <c r="R98" i="245"/>
  <c r="AI96" i="245"/>
  <c r="AP95" i="245"/>
  <c r="AT87" i="245"/>
  <c r="AA157" i="245"/>
  <c r="AC156" i="245"/>
  <c r="AB157" i="245"/>
  <c r="P158" i="245"/>
  <c r="P159" i="245" s="1"/>
  <c r="AB156" i="245"/>
  <c r="AD156" i="245"/>
  <c r="AC157" i="245"/>
  <c r="Q158" i="245"/>
  <c r="Q159" i="245" s="1"/>
  <c r="AE156" i="245"/>
  <c r="AD157" i="245"/>
  <c r="S158" i="245"/>
  <c r="S159" i="245" s="1"/>
  <c r="AO93" i="245"/>
  <c r="S91" i="245"/>
  <c r="AL156" i="245"/>
  <c r="AE157" i="245"/>
  <c r="U158" i="245"/>
  <c r="U159" i="245" s="1"/>
  <c r="R102" i="245"/>
  <c r="Y100" i="245"/>
  <c r="AO98" i="245"/>
  <c r="AD96" i="245"/>
  <c r="R91" i="245"/>
  <c r="AQ156" i="245"/>
  <c r="AF157" i="245"/>
  <c r="AR156" i="245"/>
  <c r="AG157" i="245"/>
  <c r="AS156" i="245"/>
  <c r="AH157" i="245"/>
  <c r="AU156" i="245"/>
  <c r="AI157" i="245"/>
  <c r="AB95" i="245"/>
  <c r="AE104" i="245"/>
  <c r="AE107" i="245" s="1"/>
  <c r="AI92" i="245"/>
  <c r="AT96" i="245"/>
  <c r="AT105" i="245"/>
  <c r="AT108" i="245" s="1"/>
  <c r="R105" i="245"/>
  <c r="R108" i="245" s="1"/>
  <c r="AD104" i="245"/>
  <c r="AD107" i="245" s="1"/>
  <c r="V100" i="245"/>
  <c r="V93" i="245"/>
  <c r="AH92" i="245"/>
  <c r="AL87" i="245"/>
  <c r="J87" i="245"/>
  <c r="S96" i="245"/>
  <c r="W91" i="245"/>
  <c r="AM103" i="245"/>
  <c r="AM106" i="245" s="1"/>
  <c r="K103" i="245"/>
  <c r="K106" i="245" s="1"/>
  <c r="AI101" i="245"/>
  <c r="AU86" i="245"/>
  <c r="S86" i="245"/>
  <c r="V102" i="245"/>
  <c r="AH101" i="245"/>
  <c r="AT100" i="245"/>
  <c r="R100" i="245"/>
  <c r="AH94" i="245"/>
  <c r="AT86" i="245"/>
  <c r="R86" i="245"/>
  <c r="AS86" i="245"/>
  <c r="Q86" i="245"/>
  <c r="AM105" i="245"/>
  <c r="AM108" i="245" s="1"/>
  <c r="K105" i="245"/>
  <c r="K108" i="245" s="1"/>
  <c r="AQ100" i="245"/>
  <c r="O100" i="245"/>
  <c r="W97" i="245"/>
  <c r="AU95" i="245"/>
  <c r="S95" i="245"/>
  <c r="AQ93" i="245"/>
  <c r="O93" i="245"/>
  <c r="W90" i="245"/>
  <c r="AQ86" i="245"/>
  <c r="O86" i="245"/>
  <c r="AO86" i="245"/>
  <c r="M86" i="245"/>
  <c r="AE103" i="245"/>
  <c r="AE106" i="245" s="1"/>
  <c r="AQ102" i="245"/>
  <c r="O102" i="245"/>
  <c r="W99" i="245"/>
  <c r="AD103" i="245"/>
  <c r="AD106" i="245" s="1"/>
  <c r="V99" i="245"/>
  <c r="V92" i="245"/>
  <c r="AC103" i="245"/>
  <c r="AC106" i="245" s="1"/>
  <c r="AK100" i="245"/>
  <c r="I100" i="245"/>
  <c r="AS97" i="245"/>
  <c r="Q97" i="245"/>
  <c r="AK93" i="245"/>
  <c r="I93" i="245"/>
  <c r="AS90" i="245"/>
  <c r="Q90" i="245"/>
  <c r="AK86" i="245"/>
  <c r="V90" i="245"/>
  <c r="R95" i="245"/>
  <c r="AI100" i="245"/>
  <c r="AI93" i="245"/>
  <c r="AH100" i="245"/>
  <c r="V87" i="245"/>
  <c r="AG100" i="245"/>
  <c r="AH93" i="245"/>
  <c r="AH86" i="245"/>
  <c r="AR92" i="245"/>
  <c r="P92" i="245"/>
  <c r="AT95" i="245"/>
  <c r="AE100" i="245"/>
  <c r="AL97" i="245"/>
  <c r="J97" i="245"/>
  <c r="L154" i="245"/>
  <c r="AN154" i="245"/>
  <c r="M154" i="245"/>
  <c r="AO154" i="245"/>
  <c r="AQ154" i="245"/>
  <c r="P154" i="245"/>
  <c r="AR154" i="245"/>
  <c r="Q154" i="245"/>
  <c r="AS154" i="245"/>
  <c r="N158" i="245"/>
  <c r="N159" i="245" s="1"/>
  <c r="AP158" i="245"/>
  <c r="AP159" i="245" s="1"/>
  <c r="R154" i="245"/>
  <c r="AT154" i="245"/>
  <c r="S154" i="245"/>
  <c r="T154" i="245"/>
  <c r="O154" i="245"/>
  <c r="AU154" i="245"/>
  <c r="U154" i="245"/>
  <c r="R158" i="245"/>
  <c r="R159" i="245" s="1"/>
  <c r="AT158" i="245"/>
  <c r="AT159" i="245" s="1"/>
  <c r="V154" i="245"/>
  <c r="W154" i="245"/>
  <c r="X154" i="245"/>
  <c r="Z154" i="245"/>
  <c r="AA154" i="245"/>
  <c r="AB154" i="245"/>
  <c r="AC154" i="245"/>
  <c r="K131" i="245"/>
  <c r="K132" i="245"/>
  <c r="Z132" i="245"/>
  <c r="Z131" i="245"/>
  <c r="AA132" i="245"/>
  <c r="AA131" i="245"/>
  <c r="AB131" i="245"/>
  <c r="AB132" i="245"/>
  <c r="P132" i="245"/>
  <c r="P131" i="245"/>
  <c r="AR132" i="245"/>
  <c r="AR131" i="245"/>
  <c r="X132" i="245"/>
  <c r="X131" i="245"/>
  <c r="AE131" i="245"/>
  <c r="AE132" i="245"/>
  <c r="Y132" i="245"/>
  <c r="Y131" i="245"/>
  <c r="AF131" i="245"/>
  <c r="AF132" i="245"/>
  <c r="AC131" i="245"/>
  <c r="AC132" i="245"/>
  <c r="AH131" i="245"/>
  <c r="AH132" i="245"/>
  <c r="U132" i="245"/>
  <c r="U131" i="245"/>
  <c r="AQ148" i="245"/>
  <c r="AQ144" i="245"/>
  <c r="AQ145" i="245" s="1"/>
  <c r="AQ146" i="245" s="1"/>
  <c r="AQ147" i="245" s="1"/>
  <c r="AI131" i="245"/>
  <c r="AI132" i="245"/>
  <c r="O132" i="245"/>
  <c r="O131" i="245"/>
  <c r="AN131" i="245"/>
  <c r="AN132" i="245"/>
  <c r="L131" i="245"/>
  <c r="L132" i="245"/>
  <c r="M132" i="245"/>
  <c r="M131" i="245"/>
  <c r="AO132" i="245"/>
  <c r="AO131" i="245"/>
  <c r="AM131" i="245"/>
  <c r="AM132" i="245"/>
  <c r="N132" i="245"/>
  <c r="N131" i="245"/>
  <c r="AP131" i="245"/>
  <c r="AP132" i="245"/>
  <c r="AG131" i="245"/>
  <c r="AG132" i="245"/>
  <c r="AD131" i="245"/>
  <c r="AD132" i="245"/>
  <c r="AA144" i="245"/>
  <c r="AA145" i="245" s="1"/>
  <c r="AA146" i="245" s="1"/>
  <c r="AA147" i="245" s="1"/>
  <c r="AA148" i="245"/>
  <c r="Y144" i="245"/>
  <c r="Y145" i="245" s="1"/>
  <c r="Y146" i="245" s="1"/>
  <c r="Y147" i="245" s="1"/>
  <c r="Y148" i="245"/>
  <c r="Z144" i="245"/>
  <c r="Z145" i="245" s="1"/>
  <c r="Z146" i="245" s="1"/>
  <c r="Z147" i="245" s="1"/>
  <c r="Z148" i="245"/>
  <c r="AD137" i="245"/>
  <c r="AE137" i="245"/>
  <c r="U139" i="245"/>
  <c r="U140" i="245" s="1"/>
  <c r="AC149" i="245"/>
  <c r="AS131" i="245"/>
  <c r="AF137" i="245"/>
  <c r="AC143" i="245"/>
  <c r="AT131" i="245"/>
  <c r="AG137" i="245"/>
  <c r="AD144" i="245"/>
  <c r="AD145" i="245" s="1"/>
  <c r="AD146" i="245" s="1"/>
  <c r="AD147" i="245" s="1"/>
  <c r="AD148" i="245"/>
  <c r="AF169" i="245"/>
  <c r="AF170" i="245"/>
  <c r="AF144" i="245"/>
  <c r="AF145" i="245" s="1"/>
  <c r="AF146" i="245" s="1"/>
  <c r="AF147" i="245" s="1"/>
  <c r="AF148" i="245"/>
  <c r="G165" i="245"/>
  <c r="G149" i="245"/>
  <c r="G166" i="245"/>
  <c r="AI165" i="245"/>
  <c r="AI149" i="245"/>
  <c r="AI166" i="245"/>
  <c r="AB139" i="245"/>
  <c r="AB140" i="245" s="1"/>
  <c r="H165" i="245"/>
  <c r="H149" i="245"/>
  <c r="H166" i="245"/>
  <c r="AJ165" i="245"/>
  <c r="AJ149" i="245"/>
  <c r="AJ166" i="245"/>
  <c r="AI143" i="245"/>
  <c r="AC166" i="245"/>
  <c r="AJ143" i="245"/>
  <c r="J165" i="245"/>
  <c r="J143" i="245"/>
  <c r="J166" i="245"/>
  <c r="AL165" i="245"/>
  <c r="AL143" i="245"/>
  <c r="AL166" i="245"/>
  <c r="J137" i="245"/>
  <c r="J134" i="245"/>
  <c r="J135" i="245" s="1"/>
  <c r="J136" i="245" s="1"/>
  <c r="AL137" i="245"/>
  <c r="AL134" i="245"/>
  <c r="AL135" i="245" s="1"/>
  <c r="AL136" i="245" s="1"/>
  <c r="K165" i="245"/>
  <c r="K143" i="245"/>
  <c r="K149" i="245"/>
  <c r="K166" i="245"/>
  <c r="AM165" i="245"/>
  <c r="AM143" i="245"/>
  <c r="AM149" i="245"/>
  <c r="AM166" i="245"/>
  <c r="AE148" i="245"/>
  <c r="J169" i="245"/>
  <c r="J170" i="245"/>
  <c r="AL169" i="245"/>
  <c r="AL170" i="245"/>
  <c r="L165" i="245"/>
  <c r="L143" i="245"/>
  <c r="L149" i="245"/>
  <c r="L166" i="245"/>
  <c r="AN165" i="245"/>
  <c r="AN143" i="245"/>
  <c r="AN149" i="245"/>
  <c r="AN166" i="245"/>
  <c r="K169" i="245"/>
  <c r="K170" i="245"/>
  <c r="AM169" i="245"/>
  <c r="AM170" i="245"/>
  <c r="M165" i="245"/>
  <c r="M143" i="245"/>
  <c r="M149" i="245"/>
  <c r="M166" i="245"/>
  <c r="AO165" i="245"/>
  <c r="AO143" i="245"/>
  <c r="AO149" i="245"/>
  <c r="AO166" i="245"/>
  <c r="M169" i="245"/>
  <c r="S131" i="245"/>
  <c r="O169" i="245"/>
  <c r="T131" i="245"/>
  <c r="I141" i="245"/>
  <c r="I139" i="245"/>
  <c r="I140" i="245" s="1"/>
  <c r="AK141" i="245"/>
  <c r="AK139" i="245"/>
  <c r="AK140" i="245" s="1"/>
  <c r="O149" i="245"/>
  <c r="O166" i="245"/>
  <c r="O165" i="245"/>
  <c r="AQ149" i="245"/>
  <c r="AQ166" i="245"/>
  <c r="AQ165" i="245"/>
  <c r="N170" i="245"/>
  <c r="N169" i="245"/>
  <c r="AP170" i="245"/>
  <c r="AP169" i="245"/>
  <c r="AO169" i="245"/>
  <c r="J141" i="245"/>
  <c r="J139" i="245"/>
  <c r="J140" i="245" s="1"/>
  <c r="AL141" i="245"/>
  <c r="AL139" i="245"/>
  <c r="AL140" i="245" s="1"/>
  <c r="P143" i="245"/>
  <c r="P149" i="245"/>
  <c r="P166" i="245"/>
  <c r="AR143" i="245"/>
  <c r="AR149" i="245"/>
  <c r="AR166" i="245"/>
  <c r="AP148" i="245"/>
  <c r="AQ169" i="245"/>
  <c r="AQ134" i="245"/>
  <c r="AQ135" i="245" s="1"/>
  <c r="AQ136" i="245" s="1"/>
  <c r="K141" i="245"/>
  <c r="K139" i="245"/>
  <c r="K140" i="245" s="1"/>
  <c r="AM141" i="245"/>
  <c r="AM139" i="245"/>
  <c r="AM140" i="245" s="1"/>
  <c r="Q143" i="245"/>
  <c r="Q166" i="245"/>
  <c r="Q165" i="245"/>
  <c r="AS143" i="245"/>
  <c r="AS166" i="245"/>
  <c r="AS165" i="245"/>
  <c r="P170" i="245"/>
  <c r="P169" i="245"/>
  <c r="AR170" i="245"/>
  <c r="AR169" i="245"/>
  <c r="AR134" i="245"/>
  <c r="AR135" i="245" s="1"/>
  <c r="AR136" i="245" s="1"/>
  <c r="L139" i="245"/>
  <c r="L140" i="245" s="1"/>
  <c r="L141" i="245"/>
  <c r="AN141" i="245"/>
  <c r="AN139" i="245"/>
  <c r="AN140" i="245" s="1"/>
  <c r="R143" i="245"/>
  <c r="R149" i="245"/>
  <c r="R166" i="245"/>
  <c r="R165" i="245"/>
  <c r="AT143" i="245"/>
  <c r="AT149" i="245"/>
  <c r="AT166" i="245"/>
  <c r="AT165" i="245"/>
  <c r="AS134" i="245"/>
  <c r="AS135" i="245" s="1"/>
  <c r="AS136" i="245" s="1"/>
  <c r="S143" i="245"/>
  <c r="S149" i="245"/>
  <c r="S166" i="245"/>
  <c r="S165" i="245"/>
  <c r="AU143" i="245"/>
  <c r="AU149" i="245"/>
  <c r="AU166" i="245"/>
  <c r="AU165" i="245"/>
  <c r="R170" i="245"/>
  <c r="R169" i="245"/>
  <c r="AT170" i="245"/>
  <c r="AT169" i="245"/>
  <c r="T144" i="245"/>
  <c r="T145" i="245" s="1"/>
  <c r="T146" i="245" s="1"/>
  <c r="T147" i="245" s="1"/>
  <c r="T148" i="245"/>
  <c r="F145" i="245"/>
  <c r="F149" i="245"/>
  <c r="S170" i="245"/>
  <c r="S169" i="245"/>
  <c r="AU170" i="245"/>
  <c r="AU169" i="245"/>
  <c r="T137" i="245"/>
  <c r="O141" i="245"/>
  <c r="O139" i="245"/>
  <c r="O140" i="245" s="1"/>
  <c r="AQ141" i="245"/>
  <c r="AQ139" i="245"/>
  <c r="AQ140" i="245" s="1"/>
  <c r="U149" i="245"/>
  <c r="U166" i="245"/>
  <c r="U165" i="245"/>
  <c r="G143" i="245"/>
  <c r="T170" i="245"/>
  <c r="T169" i="245"/>
  <c r="G132" i="245"/>
  <c r="U137" i="245"/>
  <c r="U134" i="245"/>
  <c r="U135" i="245" s="1"/>
  <c r="U136" i="245" s="1"/>
  <c r="P141" i="245"/>
  <c r="P139" i="245"/>
  <c r="P140" i="245" s="1"/>
  <c r="AR141" i="245"/>
  <c r="AR139" i="245"/>
  <c r="AR140" i="245" s="1"/>
  <c r="V149" i="245"/>
  <c r="V166" i="245"/>
  <c r="V165" i="245"/>
  <c r="H143" i="245"/>
  <c r="J149" i="245"/>
  <c r="G169" i="245"/>
  <c r="G170" i="245"/>
  <c r="Z134" i="245"/>
  <c r="Z135" i="245" s="1"/>
  <c r="Z136" i="245" s="1"/>
  <c r="Z137" i="245"/>
  <c r="Q141" i="245"/>
  <c r="Q139" i="245"/>
  <c r="Q140" i="245" s="1"/>
  <c r="AS141" i="245"/>
  <c r="AS139" i="245"/>
  <c r="AS140" i="245" s="1"/>
  <c r="O143" i="245"/>
  <c r="Q149" i="245"/>
  <c r="R141" i="245"/>
  <c r="R139" i="245"/>
  <c r="R140" i="245" s="1"/>
  <c r="AT141" i="245"/>
  <c r="AT139" i="245"/>
  <c r="AT140" i="245" s="1"/>
  <c r="U143" i="245"/>
  <c r="S141" i="245"/>
  <c r="S139" i="245"/>
  <c r="S140" i="245" s="1"/>
  <c r="AU141" i="245"/>
  <c r="AU139" i="245"/>
  <c r="AU140" i="245" s="1"/>
  <c r="V143" i="245"/>
  <c r="X170" i="245"/>
  <c r="X169" i="245"/>
  <c r="AJ131" i="245"/>
  <c r="AK132" i="245"/>
  <c r="AA137" i="245"/>
  <c r="Y170" i="245"/>
  <c r="Y169" i="245"/>
  <c r="P165" i="245"/>
  <c r="AD149" i="245"/>
  <c r="W156" i="245"/>
  <c r="Q169" i="245"/>
  <c r="AS169" i="245"/>
  <c r="AH166" i="245"/>
  <c r="T165" i="245"/>
  <c r="AH149" i="245"/>
  <c r="I166" i="245"/>
  <c r="AK166" i="245"/>
  <c r="U169" i="245"/>
  <c r="W165" i="245"/>
  <c r="V169" i="245"/>
  <c r="I170" i="245"/>
  <c r="AK170" i="245"/>
  <c r="AH143" i="245"/>
  <c r="X165" i="245"/>
  <c r="W169" i="245"/>
  <c r="H139" i="245"/>
  <c r="H140" i="245" s="1"/>
  <c r="AJ139" i="245"/>
  <c r="AJ140" i="245" s="1"/>
  <c r="I143" i="245"/>
  <c r="AK143" i="245"/>
  <c r="AF156" i="245"/>
  <c r="N166" i="245"/>
  <c r="AP166" i="245"/>
  <c r="AG156" i="245"/>
  <c r="AA169" i="245"/>
  <c r="AH156" i="245"/>
  <c r="Q172" i="245"/>
  <c r="AS172" i="245"/>
  <c r="AB148" i="245"/>
  <c r="N149" i="245"/>
  <c r="AP149" i="245"/>
  <c r="G156" i="245"/>
  <c r="AI156" i="245"/>
  <c r="R172" i="245"/>
  <c r="AT172" i="245"/>
  <c r="H156" i="245"/>
  <c r="AJ156" i="245"/>
  <c r="S172" i="245"/>
  <c r="AU172" i="245"/>
  <c r="M139" i="245"/>
  <c r="M140" i="245" s="1"/>
  <c r="AO139" i="245"/>
  <c r="AO140" i="245" s="1"/>
  <c r="I156" i="245"/>
  <c r="AK156" i="245"/>
  <c r="T172" i="245"/>
  <c r="T166" i="245"/>
  <c r="K156" i="245"/>
  <c r="AM156" i="245"/>
  <c r="V172" i="245"/>
  <c r="AG148" i="245"/>
  <c r="L156" i="245"/>
  <c r="AN156" i="245"/>
  <c r="W172" i="245"/>
  <c r="F148" i="245"/>
  <c r="T149" i="245"/>
  <c r="M156" i="245"/>
  <c r="AO156" i="245"/>
  <c r="W166" i="245"/>
  <c r="X172" i="245"/>
  <c r="N156" i="245"/>
  <c r="AP156" i="245"/>
  <c r="V139" i="245"/>
  <c r="V140" i="245" s="1"/>
  <c r="R156" i="245"/>
  <c r="D39" i="237"/>
  <c r="D40" i="237"/>
  <c r="D41" i="237"/>
  <c r="D42" i="237"/>
  <c r="D43" i="237"/>
  <c r="D44" i="237"/>
  <c r="D45" i="237"/>
  <c r="D46" i="237"/>
  <c r="D47" i="237"/>
  <c r="D48" i="237"/>
  <c r="D49" i="237"/>
  <c r="D50" i="237"/>
  <c r="D51" i="237"/>
  <c r="D52" i="237"/>
  <c r="D38" i="237"/>
  <c r="S144" i="245" l="1"/>
  <c r="S145" i="245" s="1"/>
  <c r="S146" i="245" s="1"/>
  <c r="S147" i="245" s="1"/>
  <c r="S148" i="245"/>
  <c r="Q144" i="245"/>
  <c r="Q145" i="245" s="1"/>
  <c r="Q146" i="245" s="1"/>
  <c r="Q147" i="245" s="1"/>
  <c r="Q148" i="245"/>
  <c r="AT144" i="245"/>
  <c r="AT145" i="245" s="1"/>
  <c r="AT146" i="245" s="1"/>
  <c r="AT147" i="245" s="1"/>
  <c r="AT148" i="245"/>
  <c r="O144" i="245"/>
  <c r="O145" i="245" s="1"/>
  <c r="O146" i="245" s="1"/>
  <c r="O147" i="245" s="1"/>
  <c r="O148" i="245"/>
  <c r="AU144" i="245"/>
  <c r="AU145" i="245" s="1"/>
  <c r="AU146" i="245" s="1"/>
  <c r="AU147" i="245" s="1"/>
  <c r="AU148" i="245"/>
  <c r="G148" i="245"/>
  <c r="G144" i="245"/>
  <c r="G145" i="245" s="1"/>
  <c r="G146" i="245" s="1"/>
  <c r="G147" i="245" s="1"/>
  <c r="U148" i="245"/>
  <c r="U144" i="245"/>
  <c r="U145" i="245" s="1"/>
  <c r="U146" i="245" s="1"/>
  <c r="U147" i="245" s="1"/>
  <c r="K148" i="245"/>
  <c r="K144" i="245"/>
  <c r="K145" i="245" s="1"/>
  <c r="K146" i="245" s="1"/>
  <c r="K147" i="245" s="1"/>
  <c r="L144" i="245"/>
  <c r="L145" i="245" s="1"/>
  <c r="L146" i="245" s="1"/>
  <c r="L147" i="245" s="1"/>
  <c r="L148" i="245"/>
  <c r="AL144" i="245"/>
  <c r="AL145" i="245" s="1"/>
  <c r="AL146" i="245" s="1"/>
  <c r="AL147" i="245" s="1"/>
  <c r="AL148" i="245"/>
  <c r="AM148" i="245"/>
  <c r="AM144" i="245"/>
  <c r="AM145" i="245" s="1"/>
  <c r="AM146" i="245" s="1"/>
  <c r="AM147" i="245" s="1"/>
  <c r="M144" i="245"/>
  <c r="M145" i="245" s="1"/>
  <c r="M146" i="245" s="1"/>
  <c r="M147" i="245" s="1"/>
  <c r="M148" i="245"/>
  <c r="AC148" i="245"/>
  <c r="AC144" i="245"/>
  <c r="AC145" i="245" s="1"/>
  <c r="AC146" i="245" s="1"/>
  <c r="AC147" i="245" s="1"/>
  <c r="R144" i="245"/>
  <c r="R145" i="245" s="1"/>
  <c r="R146" i="245" s="1"/>
  <c r="R147" i="245" s="1"/>
  <c r="R148" i="245"/>
  <c r="H148" i="245"/>
  <c r="H144" i="245"/>
  <c r="H145" i="245" s="1"/>
  <c r="H146" i="245" s="1"/>
  <c r="H147" i="245" s="1"/>
  <c r="J144" i="245"/>
  <c r="J145" i="245" s="1"/>
  <c r="J146" i="245" s="1"/>
  <c r="J147" i="245" s="1"/>
  <c r="J148" i="245"/>
  <c r="AH144" i="245"/>
  <c r="AH145" i="245" s="1"/>
  <c r="AH146" i="245" s="1"/>
  <c r="AH147" i="245" s="1"/>
  <c r="AH148" i="245"/>
  <c r="AN148" i="245"/>
  <c r="AN144" i="245"/>
  <c r="AN145" i="245" s="1"/>
  <c r="AN146" i="245" s="1"/>
  <c r="AN147" i="245" s="1"/>
  <c r="AR148" i="245"/>
  <c r="AR144" i="245"/>
  <c r="AR145" i="245" s="1"/>
  <c r="AR146" i="245" s="1"/>
  <c r="AR147" i="245" s="1"/>
  <c r="AJ148" i="245"/>
  <c r="AJ144" i="245"/>
  <c r="AJ145" i="245" s="1"/>
  <c r="AJ146" i="245" s="1"/>
  <c r="AJ147" i="245" s="1"/>
  <c r="AO148" i="245"/>
  <c r="AO144" i="245"/>
  <c r="AO145" i="245" s="1"/>
  <c r="AO146" i="245" s="1"/>
  <c r="AO147" i="245" s="1"/>
  <c r="AK144" i="245"/>
  <c r="AK145" i="245" s="1"/>
  <c r="AK146" i="245" s="1"/>
  <c r="AK147" i="245" s="1"/>
  <c r="AK148" i="245"/>
  <c r="P148" i="245"/>
  <c r="P144" i="245"/>
  <c r="P145" i="245" s="1"/>
  <c r="P146" i="245" s="1"/>
  <c r="P147" i="245" s="1"/>
  <c r="AS148" i="245"/>
  <c r="AS144" i="245"/>
  <c r="AS145" i="245" s="1"/>
  <c r="AS146" i="245" s="1"/>
  <c r="AS147" i="245" s="1"/>
  <c r="I144" i="245"/>
  <c r="I145" i="245" s="1"/>
  <c r="I146" i="245" s="1"/>
  <c r="I147" i="245" s="1"/>
  <c r="I148" i="245"/>
  <c r="V148" i="245"/>
  <c r="V144" i="245"/>
  <c r="V145" i="245" s="1"/>
  <c r="V146" i="245" s="1"/>
  <c r="V147" i="245" s="1"/>
  <c r="AI148" i="245"/>
  <c r="AI144" i="245"/>
  <c r="AI145" i="245" s="1"/>
  <c r="AI146" i="245" s="1"/>
  <c r="AI147" i="245" s="1"/>
  <c r="AH155" i="247"/>
  <c r="AF155" i="247"/>
  <c r="AA153" i="247"/>
  <c r="AA151" i="247"/>
  <c r="AA150" i="247"/>
  <c r="AA149" i="247"/>
  <c r="AA148" i="247"/>
  <c r="AA147" i="247"/>
  <c r="AA146" i="247"/>
  <c r="AA145" i="247"/>
  <c r="AA144" i="247"/>
  <c r="AA143" i="247"/>
  <c r="AA139" i="247"/>
  <c r="AA138" i="247"/>
  <c r="AH137" i="247"/>
  <c r="AF137" i="247"/>
  <c r="AA135" i="247"/>
  <c r="AA133" i="247"/>
  <c r="AA132" i="247"/>
  <c r="AA131" i="247"/>
  <c r="AA130" i="247"/>
  <c r="AA129" i="247"/>
  <c r="AA128" i="247"/>
  <c r="AA127" i="247"/>
  <c r="AA126" i="247"/>
  <c r="AA125" i="247"/>
  <c r="AA121" i="247"/>
  <c r="AA120" i="247"/>
  <c r="AH119" i="247"/>
  <c r="AF119" i="247"/>
  <c r="AA117" i="247"/>
  <c r="AA115" i="247"/>
  <c r="AA114" i="247"/>
  <c r="AA113" i="247"/>
  <c r="AA112" i="247"/>
  <c r="AA111" i="247"/>
  <c r="AA110" i="247"/>
  <c r="AA109" i="247"/>
  <c r="AA108" i="247"/>
  <c r="AA107" i="247"/>
  <c r="AA103" i="247"/>
  <c r="AA102" i="247"/>
  <c r="AH101" i="247"/>
  <c r="AF101" i="247"/>
  <c r="AA99" i="247"/>
  <c r="AA97" i="247"/>
  <c r="AA96" i="247"/>
  <c r="AA95" i="247"/>
  <c r="AA94" i="247"/>
  <c r="AA93" i="247"/>
  <c r="AA92" i="247"/>
  <c r="AA91" i="247"/>
  <c r="AA90" i="247"/>
  <c r="AA89" i="247"/>
  <c r="AA85" i="247"/>
  <c r="AA84" i="247"/>
  <c r="AH78" i="247"/>
  <c r="AF78" i="247"/>
  <c r="AA76" i="247"/>
  <c r="AA74" i="247"/>
  <c r="AA73" i="247"/>
  <c r="AA72" i="247"/>
  <c r="AA71" i="247"/>
  <c r="AA70" i="247"/>
  <c r="AA69" i="247"/>
  <c r="AA68" i="247"/>
  <c r="AA67" i="247"/>
  <c r="AA66" i="247"/>
  <c r="AA62" i="247"/>
  <c r="AA61" i="247"/>
  <c r="AH60" i="247"/>
  <c r="AF60" i="247"/>
  <c r="AA58" i="247"/>
  <c r="AA56" i="247"/>
  <c r="AA55" i="247"/>
  <c r="AA54" i="247"/>
  <c r="AA53" i="247"/>
  <c r="AA52" i="247"/>
  <c r="AA51" i="247"/>
  <c r="AA50" i="247"/>
  <c r="AA49" i="247"/>
  <c r="AA48" i="247"/>
  <c r="AA44" i="247"/>
  <c r="AA43" i="247"/>
  <c r="AH42" i="247"/>
  <c r="AF42" i="247"/>
  <c r="AA40" i="247"/>
  <c r="AA38" i="247"/>
  <c r="AA37" i="247"/>
  <c r="AA36" i="247"/>
  <c r="AA35" i="247"/>
  <c r="AA34" i="247"/>
  <c r="AA33" i="247"/>
  <c r="AA32" i="247"/>
  <c r="AA31" i="247"/>
  <c r="AA30" i="247"/>
  <c r="AA26" i="247"/>
  <c r="AA25" i="247"/>
  <c r="A155" i="247"/>
  <c r="AA22" i="247" l="1"/>
  <c r="AA20" i="247"/>
  <c r="AA19" i="247"/>
  <c r="AA18" i="247"/>
  <c r="AA17" i="247"/>
  <c r="AA16" i="247"/>
  <c r="AA15" i="247"/>
  <c r="AA14" i="247"/>
  <c r="AA13" i="247"/>
  <c r="AA12" i="247"/>
  <c r="AA8" i="247"/>
  <c r="AA7" i="247"/>
  <c r="AF24" i="247" l="1"/>
  <c r="AH24" i="247"/>
  <c r="A44" i="247" l="1"/>
  <c r="A45" i="247"/>
  <c r="A46" i="247"/>
  <c r="A47" i="247"/>
  <c r="A48" i="247"/>
  <c r="A49" i="247"/>
  <c r="A50" i="247"/>
  <c r="A51" i="247"/>
  <c r="A52" i="247"/>
  <c r="A53" i="247"/>
  <c r="A54" i="247"/>
  <c r="A55" i="247"/>
  <c r="A56" i="247"/>
  <c r="A57" i="247"/>
  <c r="A58" i="247"/>
  <c r="A59" i="247"/>
  <c r="A60" i="247"/>
  <c r="A43" i="247"/>
  <c r="A139" i="247"/>
  <c r="A140" i="247"/>
  <c r="A141" i="247"/>
  <c r="A142" i="247"/>
  <c r="A143" i="247"/>
  <c r="A144" i="247"/>
  <c r="A145" i="247"/>
  <c r="A146" i="247"/>
  <c r="A147" i="247"/>
  <c r="A148" i="247"/>
  <c r="A149" i="247"/>
  <c r="A150" i="247"/>
  <c r="A151" i="247"/>
  <c r="A152" i="247"/>
  <c r="A153" i="247"/>
  <c r="A154" i="247"/>
  <c r="A138" i="247"/>
  <c r="E138" i="247"/>
  <c r="F138" i="247"/>
  <c r="G138" i="247"/>
  <c r="H138" i="247"/>
  <c r="I138" i="247"/>
  <c r="J138" i="247"/>
  <c r="K138" i="247"/>
  <c r="L138" i="247"/>
  <c r="M138" i="247"/>
  <c r="N138" i="247"/>
  <c r="O138" i="247"/>
  <c r="P138" i="247"/>
  <c r="Q138" i="247"/>
  <c r="R138" i="247"/>
  <c r="S138" i="247"/>
  <c r="T138" i="247"/>
  <c r="U138" i="247"/>
  <c r="V138" i="247"/>
  <c r="W138" i="247"/>
  <c r="E139" i="247"/>
  <c r="F139" i="247"/>
  <c r="G139" i="247"/>
  <c r="H139" i="247"/>
  <c r="I139" i="247"/>
  <c r="J139" i="247"/>
  <c r="K139" i="247"/>
  <c r="L139" i="247"/>
  <c r="M139" i="247"/>
  <c r="N139" i="247"/>
  <c r="O139" i="247"/>
  <c r="P139" i="247"/>
  <c r="Q139" i="247"/>
  <c r="R139" i="247"/>
  <c r="S139" i="247"/>
  <c r="T139" i="247"/>
  <c r="U139" i="247"/>
  <c r="V139" i="247"/>
  <c r="W139" i="247"/>
  <c r="E140" i="247"/>
  <c r="F140" i="247"/>
  <c r="G140" i="247"/>
  <c r="H140" i="247"/>
  <c r="I140" i="247"/>
  <c r="J140" i="247"/>
  <c r="K140" i="247"/>
  <c r="L140" i="247"/>
  <c r="M140" i="247"/>
  <c r="N140" i="247"/>
  <c r="O140" i="247"/>
  <c r="P140" i="247"/>
  <c r="Q140" i="247"/>
  <c r="R140" i="247"/>
  <c r="S140" i="247"/>
  <c r="T140" i="247"/>
  <c r="U140" i="247"/>
  <c r="V140" i="247"/>
  <c r="W140" i="247"/>
  <c r="E141" i="247"/>
  <c r="F141" i="247"/>
  <c r="G141" i="247"/>
  <c r="H141" i="247"/>
  <c r="I141" i="247"/>
  <c r="J141" i="247"/>
  <c r="K141" i="247"/>
  <c r="L141" i="247"/>
  <c r="M141" i="247"/>
  <c r="N141" i="247"/>
  <c r="O141" i="247"/>
  <c r="P141" i="247"/>
  <c r="Q141" i="247"/>
  <c r="R141" i="247"/>
  <c r="S141" i="247"/>
  <c r="T141" i="247"/>
  <c r="U141" i="247"/>
  <c r="V141" i="247"/>
  <c r="W141" i="247"/>
  <c r="E142" i="247"/>
  <c r="F142" i="247"/>
  <c r="G142" i="247"/>
  <c r="H142" i="247"/>
  <c r="I142" i="247"/>
  <c r="J142" i="247"/>
  <c r="K142" i="247"/>
  <c r="L142" i="247"/>
  <c r="M142" i="247"/>
  <c r="N142" i="247"/>
  <c r="O142" i="247"/>
  <c r="P142" i="247"/>
  <c r="Q142" i="247"/>
  <c r="R142" i="247"/>
  <c r="S142" i="247"/>
  <c r="T142" i="247"/>
  <c r="U142" i="247"/>
  <c r="V142" i="247"/>
  <c r="W142" i="247"/>
  <c r="E143" i="247"/>
  <c r="F143" i="247"/>
  <c r="G143" i="247"/>
  <c r="H143" i="247"/>
  <c r="I143" i="247"/>
  <c r="J143" i="247"/>
  <c r="K143" i="247"/>
  <c r="L143" i="247"/>
  <c r="M143" i="247"/>
  <c r="N143" i="247"/>
  <c r="O143" i="247"/>
  <c r="P143" i="247"/>
  <c r="Q143" i="247"/>
  <c r="R143" i="247"/>
  <c r="S143" i="247"/>
  <c r="T143" i="247"/>
  <c r="U143" i="247"/>
  <c r="V143" i="247"/>
  <c r="W143" i="247"/>
  <c r="E144" i="247"/>
  <c r="F144" i="247"/>
  <c r="G144" i="247"/>
  <c r="H144" i="247"/>
  <c r="I144" i="247"/>
  <c r="J144" i="247"/>
  <c r="K144" i="247"/>
  <c r="L144" i="247"/>
  <c r="M144" i="247"/>
  <c r="N144" i="247"/>
  <c r="O144" i="247"/>
  <c r="P144" i="247"/>
  <c r="Q144" i="247"/>
  <c r="R144" i="247"/>
  <c r="S144" i="247"/>
  <c r="T144" i="247"/>
  <c r="U144" i="247"/>
  <c r="V144" i="247"/>
  <c r="W144" i="247"/>
  <c r="E145" i="247"/>
  <c r="F145" i="247"/>
  <c r="G145" i="247"/>
  <c r="H145" i="247"/>
  <c r="I145" i="247"/>
  <c r="J145" i="247"/>
  <c r="K145" i="247"/>
  <c r="L145" i="247"/>
  <c r="M145" i="247"/>
  <c r="N145" i="247"/>
  <c r="O145" i="247"/>
  <c r="P145" i="247"/>
  <c r="Q145" i="247"/>
  <c r="R145" i="247"/>
  <c r="S145" i="247"/>
  <c r="T145" i="247"/>
  <c r="U145" i="247"/>
  <c r="V145" i="247"/>
  <c r="W145" i="247"/>
  <c r="E146" i="247"/>
  <c r="F146" i="247"/>
  <c r="G146" i="247"/>
  <c r="H146" i="247"/>
  <c r="I146" i="247"/>
  <c r="J146" i="247"/>
  <c r="K146" i="247"/>
  <c r="L146" i="247"/>
  <c r="M146" i="247"/>
  <c r="N146" i="247"/>
  <c r="O146" i="247"/>
  <c r="P146" i="247"/>
  <c r="Q146" i="247"/>
  <c r="R146" i="247"/>
  <c r="S146" i="247"/>
  <c r="T146" i="247"/>
  <c r="U146" i="247"/>
  <c r="V146" i="247"/>
  <c r="W146" i="247"/>
  <c r="E147" i="247"/>
  <c r="F147" i="247"/>
  <c r="G147" i="247"/>
  <c r="H147" i="247"/>
  <c r="I147" i="247"/>
  <c r="J147" i="247"/>
  <c r="K147" i="247"/>
  <c r="L147" i="247"/>
  <c r="M147" i="247"/>
  <c r="N147" i="247"/>
  <c r="O147" i="247"/>
  <c r="P147" i="247"/>
  <c r="Q147" i="247"/>
  <c r="R147" i="247"/>
  <c r="S147" i="247"/>
  <c r="T147" i="247"/>
  <c r="U147" i="247"/>
  <c r="V147" i="247"/>
  <c r="W147" i="247"/>
  <c r="E148" i="247"/>
  <c r="F148" i="247"/>
  <c r="G148" i="247"/>
  <c r="H148" i="247"/>
  <c r="I148" i="247"/>
  <c r="J148" i="247"/>
  <c r="K148" i="247"/>
  <c r="L148" i="247"/>
  <c r="M148" i="247"/>
  <c r="N148" i="247"/>
  <c r="O148" i="247"/>
  <c r="P148" i="247"/>
  <c r="Q148" i="247"/>
  <c r="R148" i="247"/>
  <c r="S148" i="247"/>
  <c r="T148" i="247"/>
  <c r="U148" i="247"/>
  <c r="V148" i="247"/>
  <c r="W148" i="247"/>
  <c r="E149" i="247"/>
  <c r="F149" i="247"/>
  <c r="G149" i="247"/>
  <c r="H149" i="247"/>
  <c r="I149" i="247"/>
  <c r="J149" i="247"/>
  <c r="K149" i="247"/>
  <c r="L149" i="247"/>
  <c r="M149" i="247"/>
  <c r="N149" i="247"/>
  <c r="O149" i="247"/>
  <c r="P149" i="247"/>
  <c r="Q149" i="247"/>
  <c r="R149" i="247"/>
  <c r="S149" i="247"/>
  <c r="T149" i="247"/>
  <c r="U149" i="247"/>
  <c r="V149" i="247"/>
  <c r="W149" i="247"/>
  <c r="E150" i="247"/>
  <c r="F150" i="247"/>
  <c r="G150" i="247"/>
  <c r="H150" i="247"/>
  <c r="I150" i="247"/>
  <c r="J150" i="247"/>
  <c r="K150" i="247"/>
  <c r="L150" i="247"/>
  <c r="M150" i="247"/>
  <c r="N150" i="247"/>
  <c r="O150" i="247"/>
  <c r="P150" i="247"/>
  <c r="Q150" i="247"/>
  <c r="R150" i="247"/>
  <c r="S150" i="247"/>
  <c r="T150" i="247"/>
  <c r="U150" i="247"/>
  <c r="V150" i="247"/>
  <c r="W150" i="247"/>
  <c r="E151" i="247"/>
  <c r="F151" i="247"/>
  <c r="G151" i="247"/>
  <c r="H151" i="247"/>
  <c r="I151" i="247"/>
  <c r="J151" i="247"/>
  <c r="K151" i="247"/>
  <c r="L151" i="247"/>
  <c r="M151" i="247"/>
  <c r="N151" i="247"/>
  <c r="O151" i="247"/>
  <c r="P151" i="247"/>
  <c r="Q151" i="247"/>
  <c r="R151" i="247"/>
  <c r="S151" i="247"/>
  <c r="T151" i="247"/>
  <c r="U151" i="247"/>
  <c r="V151" i="247"/>
  <c r="W151" i="247"/>
  <c r="E152" i="247"/>
  <c r="F152" i="247"/>
  <c r="G152" i="247"/>
  <c r="H152" i="247"/>
  <c r="I152" i="247"/>
  <c r="J152" i="247"/>
  <c r="K152" i="247"/>
  <c r="L152" i="247"/>
  <c r="M152" i="247"/>
  <c r="N152" i="247"/>
  <c r="O152" i="247"/>
  <c r="P152" i="247"/>
  <c r="Q152" i="247"/>
  <c r="R152" i="247"/>
  <c r="S152" i="247"/>
  <c r="T152" i="247"/>
  <c r="U152" i="247"/>
  <c r="V152" i="247"/>
  <c r="W152" i="247"/>
  <c r="E153" i="247"/>
  <c r="F153" i="247"/>
  <c r="G153" i="247"/>
  <c r="H153" i="247"/>
  <c r="I153" i="247"/>
  <c r="J153" i="247"/>
  <c r="K153" i="247"/>
  <c r="L153" i="247"/>
  <c r="M153" i="247"/>
  <c r="N153" i="247"/>
  <c r="O153" i="247"/>
  <c r="P153" i="247"/>
  <c r="Q153" i="247"/>
  <c r="R153" i="247"/>
  <c r="S153" i="247"/>
  <c r="T153" i="247"/>
  <c r="U153" i="247"/>
  <c r="V153" i="247"/>
  <c r="W153" i="247"/>
  <c r="E154" i="247"/>
  <c r="F154" i="247"/>
  <c r="G154" i="247"/>
  <c r="H154" i="247"/>
  <c r="I154" i="247"/>
  <c r="J154" i="247"/>
  <c r="K154" i="247"/>
  <c r="L154" i="247"/>
  <c r="M154" i="247"/>
  <c r="N154" i="247"/>
  <c r="O154" i="247"/>
  <c r="P154" i="247"/>
  <c r="Q154" i="247"/>
  <c r="R154" i="247"/>
  <c r="S154" i="247"/>
  <c r="T154" i="247"/>
  <c r="U154" i="247"/>
  <c r="V154" i="247"/>
  <c r="W154" i="247"/>
  <c r="D139" i="247"/>
  <c r="D140" i="247"/>
  <c r="D141" i="247"/>
  <c r="D142" i="247"/>
  <c r="D143" i="247"/>
  <c r="D144" i="247"/>
  <c r="D145" i="247"/>
  <c r="D146" i="247"/>
  <c r="D147" i="247"/>
  <c r="D148" i="247"/>
  <c r="D149" i="247"/>
  <c r="D150" i="247"/>
  <c r="D151" i="247"/>
  <c r="D152" i="247"/>
  <c r="D153" i="247"/>
  <c r="D154" i="247"/>
  <c r="D138" i="247"/>
  <c r="A8" i="247"/>
  <c r="A9" i="247"/>
  <c r="A10" i="247"/>
  <c r="A11" i="247"/>
  <c r="A12" i="247"/>
  <c r="A13" i="247"/>
  <c r="A14" i="247"/>
  <c r="A15" i="247"/>
  <c r="A16" i="247"/>
  <c r="A17" i="247"/>
  <c r="A18" i="247"/>
  <c r="A19" i="247"/>
  <c r="A20" i="247"/>
  <c r="A21" i="247"/>
  <c r="A22" i="247"/>
  <c r="A23" i="247"/>
  <c r="A24" i="247"/>
  <c r="A7" i="247"/>
  <c r="AX5" i="245"/>
  <c r="AY5" i="245"/>
  <c r="AZ5" i="245"/>
  <c r="BA5" i="245"/>
  <c r="BB5" i="245"/>
  <c r="BC5" i="245"/>
  <c r="BD5" i="245"/>
  <c r="BE5" i="245"/>
  <c r="BF5" i="245"/>
  <c r="BG5" i="245"/>
  <c r="BH5" i="245"/>
  <c r="BI5" i="245"/>
  <c r="BJ5" i="245"/>
  <c r="BK5" i="245"/>
  <c r="BL5" i="245"/>
  <c r="AW5" i="245"/>
  <c r="C151" i="231" l="1"/>
  <c r="E151" i="231"/>
  <c r="D151" i="231"/>
  <c r="D68" i="231" l="1"/>
  <c r="D67" i="231"/>
  <c r="BH8" i="245" l="1"/>
  <c r="BG8" i="245"/>
  <c r="BF8" i="245"/>
  <c r="AZ8" i="245"/>
  <c r="AY8" i="245"/>
  <c r="AX8" i="245"/>
  <c r="BK8" i="245"/>
  <c r="BJ8" i="245"/>
  <c r="BL8" i="245"/>
  <c r="BB8" i="245"/>
  <c r="BD8" i="245"/>
  <c r="BC8" i="245"/>
  <c r="G62" i="246" l="1"/>
  <c r="G61" i="246"/>
  <c r="G60" i="246"/>
  <c r="G59" i="246"/>
  <c r="G58" i="246"/>
  <c r="G57" i="246"/>
  <c r="B53" i="237" l="1"/>
  <c r="B54" i="237"/>
  <c r="E150" i="231"/>
  <c r="E149" i="231"/>
  <c r="E7" i="237"/>
  <c r="E8" i="237"/>
  <c r="E6" i="237"/>
  <c r="E114" i="231"/>
  <c r="D114" i="231"/>
  <c r="B8" i="237" s="1"/>
  <c r="E113" i="231"/>
  <c r="D113" i="231"/>
  <c r="B7" i="237" s="1"/>
  <c r="E112" i="231"/>
  <c r="D112" i="231"/>
  <c r="B6" i="237" s="1"/>
  <c r="AJ11" i="242"/>
  <c r="AK11" i="242" s="1"/>
  <c r="AL11" i="242" s="1"/>
  <c r="AM11" i="242" s="1"/>
  <c r="AN11" i="242" s="1"/>
  <c r="AO11" i="242" s="1"/>
  <c r="AP11" i="242" s="1"/>
  <c r="AQ11" i="242" s="1"/>
  <c r="AR11" i="242" s="1"/>
  <c r="AS11" i="242" s="1"/>
  <c r="AJ24" i="242"/>
  <c r="AK24" i="242" s="1"/>
  <c r="AL24" i="242" s="1"/>
  <c r="AM24" i="242" s="1"/>
  <c r="AN24" i="242" s="1"/>
  <c r="AO24" i="242" s="1"/>
  <c r="AP24" i="242" s="1"/>
  <c r="AQ24" i="242" s="1"/>
  <c r="AR24" i="242" s="1"/>
  <c r="AS24" i="242" s="1"/>
  <c r="H27" i="245" l="1"/>
  <c r="I27" i="245"/>
  <c r="J27" i="245"/>
  <c r="K27" i="245"/>
  <c r="L27" i="245"/>
  <c r="M27" i="245"/>
  <c r="N27" i="245"/>
  <c r="O27" i="245"/>
  <c r="P27" i="245"/>
  <c r="Q27" i="245"/>
  <c r="R27" i="245"/>
  <c r="S27" i="245"/>
  <c r="T27" i="245"/>
  <c r="U27" i="245"/>
  <c r="V27" i="245"/>
  <c r="W27" i="245"/>
  <c r="X27" i="245"/>
  <c r="Y27" i="245"/>
  <c r="Z27" i="245"/>
  <c r="AA27" i="245"/>
  <c r="AB27" i="245"/>
  <c r="AC27" i="245"/>
  <c r="AD27" i="245"/>
  <c r="AE27" i="245"/>
  <c r="AF27" i="245"/>
  <c r="AG27" i="245"/>
  <c r="AH27" i="245"/>
  <c r="AI27" i="245"/>
  <c r="AJ27" i="245"/>
  <c r="AK27" i="245"/>
  <c r="AL27" i="245"/>
  <c r="AM27" i="245"/>
  <c r="AN27" i="245"/>
  <c r="AO27" i="245"/>
  <c r="AP27" i="245"/>
  <c r="AQ27" i="245"/>
  <c r="AR27" i="245"/>
  <c r="AS27" i="245"/>
  <c r="AT27" i="245"/>
  <c r="AU27" i="245"/>
  <c r="E57" i="231"/>
  <c r="C58" i="245" s="1"/>
  <c r="E58" i="231"/>
  <c r="C59" i="245" s="1"/>
  <c r="E59" i="231"/>
  <c r="C60" i="245" s="1"/>
  <c r="E60" i="231"/>
  <c r="C61" i="245" s="1"/>
  <c r="E61" i="231"/>
  <c r="C62" i="245" s="1"/>
  <c r="E62" i="231"/>
  <c r="C63" i="245" s="1"/>
  <c r="E63" i="231"/>
  <c r="C64" i="245" s="1"/>
  <c r="E64" i="231"/>
  <c r="C65" i="245" s="1"/>
  <c r="E65" i="231"/>
  <c r="C66" i="245" s="1"/>
  <c r="E66" i="231"/>
  <c r="C67" i="245" s="1"/>
  <c r="E67" i="231"/>
  <c r="C68" i="245" s="1"/>
  <c r="E68" i="231"/>
  <c r="C69" i="245" s="1"/>
  <c r="E69" i="231"/>
  <c r="C70" i="245" s="1"/>
  <c r="E70" i="231"/>
  <c r="C71" i="245" s="1"/>
  <c r="E71" i="231"/>
  <c r="C72" i="245" s="1"/>
  <c r="E72" i="231"/>
  <c r="C73" i="245" s="1"/>
  <c r="E73" i="231"/>
  <c r="C74" i="245" s="1"/>
  <c r="E74" i="231"/>
  <c r="C75" i="245" s="1"/>
  <c r="E56" i="231"/>
  <c r="C57" i="245" s="1"/>
  <c r="D56" i="231"/>
  <c r="B57" i="245" s="1"/>
  <c r="D108" i="231"/>
  <c r="B109" i="245" s="1"/>
  <c r="D109" i="245" s="1"/>
  <c r="F109" i="245" s="1"/>
  <c r="E108" i="231"/>
  <c r="C109" i="245" s="1"/>
  <c r="D109" i="231"/>
  <c r="B110" i="245" s="1"/>
  <c r="D110" i="245" s="1"/>
  <c r="F110" i="245" s="1"/>
  <c r="E109" i="231"/>
  <c r="C110" i="245" s="1"/>
  <c r="D110" i="231"/>
  <c r="B111" i="245" s="1"/>
  <c r="D111" i="245" s="1"/>
  <c r="F111" i="245" s="1"/>
  <c r="E110" i="231"/>
  <c r="C111" i="245" s="1"/>
  <c r="D111" i="231"/>
  <c r="E111" i="231"/>
  <c r="C112" i="245" s="1"/>
  <c r="D84" i="231"/>
  <c r="B85" i="245" s="1"/>
  <c r="D85" i="245" s="1"/>
  <c r="F85" i="245" s="1"/>
  <c r="E84" i="231"/>
  <c r="C85" i="245" s="1"/>
  <c r="D85" i="231"/>
  <c r="B86" i="245" s="1"/>
  <c r="D86" i="245" s="1"/>
  <c r="F86" i="245" s="1"/>
  <c r="E85" i="231"/>
  <c r="C86" i="245" s="1"/>
  <c r="D86" i="231"/>
  <c r="B87" i="245" s="1"/>
  <c r="E86" i="231"/>
  <c r="C87" i="245" s="1"/>
  <c r="D87" i="231"/>
  <c r="B88" i="245" s="1"/>
  <c r="D88" i="245" s="1"/>
  <c r="F88" i="245" s="1"/>
  <c r="E87" i="231"/>
  <c r="C88" i="245" s="1"/>
  <c r="D88" i="231"/>
  <c r="B89" i="245" s="1"/>
  <c r="D89" i="245" s="1"/>
  <c r="F89" i="245" s="1"/>
  <c r="E88" i="231"/>
  <c r="C89" i="245" s="1"/>
  <c r="D89" i="231"/>
  <c r="B90" i="245" s="1"/>
  <c r="D90" i="245" s="1"/>
  <c r="F90" i="245" s="1"/>
  <c r="E89" i="231"/>
  <c r="C90" i="245" s="1"/>
  <c r="D90" i="231"/>
  <c r="B91" i="245" s="1"/>
  <c r="D91" i="245" s="1"/>
  <c r="F91" i="245" s="1"/>
  <c r="E90" i="231"/>
  <c r="C91" i="245" s="1"/>
  <c r="D91" i="231"/>
  <c r="B92" i="245" s="1"/>
  <c r="D92" i="245" s="1"/>
  <c r="F92" i="245" s="1"/>
  <c r="E91" i="231"/>
  <c r="C92" i="245" s="1"/>
  <c r="D92" i="231"/>
  <c r="B93" i="245" s="1"/>
  <c r="D93" i="245" s="1"/>
  <c r="F93" i="245" s="1"/>
  <c r="E92" i="231"/>
  <c r="C93" i="245" s="1"/>
  <c r="D93" i="231"/>
  <c r="B94" i="245" s="1"/>
  <c r="D94" i="245" s="1"/>
  <c r="F94" i="245" s="1"/>
  <c r="E93" i="231"/>
  <c r="C94" i="245" s="1"/>
  <c r="D94" i="231"/>
  <c r="B95" i="245" s="1"/>
  <c r="D95" i="245" s="1"/>
  <c r="F95" i="245" s="1"/>
  <c r="E94" i="231"/>
  <c r="C95" i="245" s="1"/>
  <c r="D95" i="231"/>
  <c r="B96" i="245" s="1"/>
  <c r="D96" i="245" s="1"/>
  <c r="F96" i="245" s="1"/>
  <c r="E95" i="231"/>
  <c r="C96" i="245" s="1"/>
  <c r="D96" i="231"/>
  <c r="B97" i="245" s="1"/>
  <c r="D97" i="245" s="1"/>
  <c r="F97" i="245" s="1"/>
  <c r="E96" i="231"/>
  <c r="C97" i="245" s="1"/>
  <c r="D97" i="231"/>
  <c r="B98" i="245" s="1"/>
  <c r="D98" i="245" s="1"/>
  <c r="F98" i="245" s="1"/>
  <c r="E97" i="231"/>
  <c r="C98" i="245" s="1"/>
  <c r="D98" i="231"/>
  <c r="B99" i="245" s="1"/>
  <c r="D99" i="245" s="1"/>
  <c r="F99" i="245" s="1"/>
  <c r="E98" i="231"/>
  <c r="C99" i="245" s="1"/>
  <c r="D99" i="231"/>
  <c r="B100" i="245" s="1"/>
  <c r="D100" i="245" s="1"/>
  <c r="F100" i="245" s="1"/>
  <c r="E99" i="231"/>
  <c r="C100" i="245" s="1"/>
  <c r="D100" i="231"/>
  <c r="B101" i="245" s="1"/>
  <c r="D101" i="245" s="1"/>
  <c r="F101" i="245" s="1"/>
  <c r="E100" i="231"/>
  <c r="C101" i="245" s="1"/>
  <c r="D101" i="231"/>
  <c r="B102" i="245" s="1"/>
  <c r="D102" i="245" s="1"/>
  <c r="F102" i="245" s="1"/>
  <c r="E101" i="231"/>
  <c r="C102" i="245" s="1"/>
  <c r="D102" i="231"/>
  <c r="B103" i="245" s="1"/>
  <c r="D103" i="245" s="1"/>
  <c r="F103" i="245" s="1"/>
  <c r="E102" i="231"/>
  <c r="C103" i="245" s="1"/>
  <c r="D103" i="231"/>
  <c r="B104" i="245" s="1"/>
  <c r="D104" i="245" s="1"/>
  <c r="F104" i="245" s="1"/>
  <c r="E103" i="231"/>
  <c r="C104" i="245" s="1"/>
  <c r="D104" i="231"/>
  <c r="B105" i="245" s="1"/>
  <c r="D105" i="245" s="1"/>
  <c r="F105" i="245" s="1"/>
  <c r="E104" i="231"/>
  <c r="C105" i="245" s="1"/>
  <c r="D105" i="231"/>
  <c r="B106" i="245" s="1"/>
  <c r="D106" i="245" s="1"/>
  <c r="F106" i="245" s="1"/>
  <c r="E105" i="231"/>
  <c r="C106" i="245" s="1"/>
  <c r="D106" i="231"/>
  <c r="B107" i="245" s="1"/>
  <c r="D107" i="245" s="1"/>
  <c r="F107" i="245" s="1"/>
  <c r="E106" i="231"/>
  <c r="C107" i="245" s="1"/>
  <c r="D107" i="231"/>
  <c r="B108" i="245" s="1"/>
  <c r="D108" i="245" s="1"/>
  <c r="F108" i="245" s="1"/>
  <c r="E107" i="231"/>
  <c r="C108" i="245" s="1"/>
  <c r="E76" i="231"/>
  <c r="C77" i="245" s="1"/>
  <c r="E77" i="231"/>
  <c r="C78" i="245" s="1"/>
  <c r="E78" i="231"/>
  <c r="C79" i="245" s="1"/>
  <c r="E79" i="231"/>
  <c r="C80" i="245" s="1"/>
  <c r="E80" i="231"/>
  <c r="C81" i="245" s="1"/>
  <c r="E81" i="231"/>
  <c r="C82" i="245" s="1"/>
  <c r="E82" i="231"/>
  <c r="C83" i="245" s="1"/>
  <c r="E83" i="231"/>
  <c r="C84" i="245" s="1"/>
  <c r="E75" i="231"/>
  <c r="C76" i="245" s="1"/>
  <c r="D75" i="231"/>
  <c r="B76" i="245" s="1"/>
  <c r="D76" i="231"/>
  <c r="B77" i="245" s="1"/>
  <c r="D77" i="231"/>
  <c r="B78" i="245" s="1"/>
  <c r="D78" i="231"/>
  <c r="B79" i="245" s="1"/>
  <c r="D79" i="231"/>
  <c r="B80" i="245" s="1"/>
  <c r="D80" i="231"/>
  <c r="B81" i="245" s="1"/>
  <c r="D81" i="231"/>
  <c r="B82" i="245" s="1"/>
  <c r="D82" i="231"/>
  <c r="B83" i="245" s="1"/>
  <c r="D83" i="231"/>
  <c r="B84" i="245" s="1"/>
  <c r="D57" i="231"/>
  <c r="B58" i="245" s="1"/>
  <c r="E58" i="245" s="1"/>
  <c r="F58" i="245" s="1"/>
  <c r="D58" i="231"/>
  <c r="B59" i="245" s="1"/>
  <c r="E59" i="245" s="1"/>
  <c r="F59" i="245" s="1"/>
  <c r="D59" i="231"/>
  <c r="B60" i="245" s="1"/>
  <c r="E60" i="245" s="1"/>
  <c r="F60" i="245" s="1"/>
  <c r="D60" i="231"/>
  <c r="B61" i="245" s="1"/>
  <c r="E61" i="245" s="1"/>
  <c r="F61" i="245" s="1"/>
  <c r="D61" i="231"/>
  <c r="B62" i="245" s="1"/>
  <c r="E62" i="245" s="1"/>
  <c r="F62" i="245" s="1"/>
  <c r="D62" i="231"/>
  <c r="B63" i="245" s="1"/>
  <c r="E63" i="245" s="1"/>
  <c r="F63" i="245" s="1"/>
  <c r="D63" i="231"/>
  <c r="B64" i="245" s="1"/>
  <c r="E64" i="245" s="1"/>
  <c r="F64" i="245" s="1"/>
  <c r="D64" i="231"/>
  <c r="B65" i="245" s="1"/>
  <c r="E65" i="245" s="1"/>
  <c r="F65" i="245" s="1"/>
  <c r="D65" i="231"/>
  <c r="B66" i="245" s="1"/>
  <c r="E66" i="245" s="1"/>
  <c r="F66" i="245" s="1"/>
  <c r="D66" i="231"/>
  <c r="B67" i="245" s="1"/>
  <c r="E67" i="245" s="1"/>
  <c r="F67" i="245" s="1"/>
  <c r="B68" i="245"/>
  <c r="B69" i="245"/>
  <c r="D69" i="231"/>
  <c r="B70" i="245" s="1"/>
  <c r="E70" i="245" s="1"/>
  <c r="F70" i="245" s="1"/>
  <c r="D70" i="231"/>
  <c r="B71" i="245" s="1"/>
  <c r="E71" i="245" s="1"/>
  <c r="F71" i="245" s="1"/>
  <c r="D71" i="231"/>
  <c r="B72" i="245" s="1"/>
  <c r="E72" i="245" s="1"/>
  <c r="F72" i="245" s="1"/>
  <c r="D72" i="231"/>
  <c r="B73" i="245" s="1"/>
  <c r="E73" i="245" s="1"/>
  <c r="D73" i="231"/>
  <c r="B74" i="245" s="1"/>
  <c r="E74" i="245" s="1"/>
  <c r="D74" i="231"/>
  <c r="B75" i="245" s="1"/>
  <c r="E75" i="245" s="1"/>
  <c r="D40" i="231"/>
  <c r="B41" i="245" s="1"/>
  <c r="E41" i="245" s="1"/>
  <c r="F41" i="245" s="1"/>
  <c r="E40" i="231"/>
  <c r="C41" i="245" s="1"/>
  <c r="D41" i="231"/>
  <c r="B42" i="245" s="1"/>
  <c r="E42" i="245" s="1"/>
  <c r="E41" i="231"/>
  <c r="C42" i="245" s="1"/>
  <c r="D42" i="231"/>
  <c r="B43" i="245" s="1"/>
  <c r="E43" i="245" s="1"/>
  <c r="F43" i="245" s="1"/>
  <c r="E42" i="231"/>
  <c r="C43" i="245" s="1"/>
  <c r="D43" i="231"/>
  <c r="B44" i="245" s="1"/>
  <c r="E44" i="245" s="1"/>
  <c r="F44" i="245" s="1"/>
  <c r="E43" i="231"/>
  <c r="C44" i="245" s="1"/>
  <c r="D44" i="231"/>
  <c r="B45" i="245" s="1"/>
  <c r="E45" i="245" s="1"/>
  <c r="F45" i="245" s="1"/>
  <c r="E44" i="231"/>
  <c r="C45" i="245" s="1"/>
  <c r="D45" i="231"/>
  <c r="B46" i="245" s="1"/>
  <c r="E45" i="231"/>
  <c r="C46" i="245" s="1"/>
  <c r="D46" i="231"/>
  <c r="B47" i="245" s="1"/>
  <c r="E47" i="245" s="1"/>
  <c r="F47" i="245" s="1"/>
  <c r="E46" i="231"/>
  <c r="C47" i="245" s="1"/>
  <c r="D47" i="231"/>
  <c r="B48" i="245" s="1"/>
  <c r="E48" i="245" s="1"/>
  <c r="E47" i="231"/>
  <c r="C48" i="245" s="1"/>
  <c r="D48" i="231"/>
  <c r="B49" i="245" s="1"/>
  <c r="E49" i="245" s="1"/>
  <c r="F49" i="245" s="1"/>
  <c r="E48" i="231"/>
  <c r="C49" i="245" s="1"/>
  <c r="D49" i="231"/>
  <c r="B50" i="245" s="1"/>
  <c r="E50" i="245" s="1"/>
  <c r="E49" i="231"/>
  <c r="C50" i="245" s="1"/>
  <c r="D50" i="231"/>
  <c r="B51" i="245" s="1"/>
  <c r="E51" i="245" s="1"/>
  <c r="F51" i="245" s="1"/>
  <c r="E50" i="231"/>
  <c r="C51" i="245" s="1"/>
  <c r="D51" i="231"/>
  <c r="B52" i="245" s="1"/>
  <c r="E52" i="245" s="1"/>
  <c r="F52" i="245" s="1"/>
  <c r="E51" i="231"/>
  <c r="C52" i="245" s="1"/>
  <c r="D52" i="231"/>
  <c r="B53" i="245" s="1"/>
  <c r="E53" i="245" s="1"/>
  <c r="F53" i="245" s="1"/>
  <c r="E52" i="231"/>
  <c r="C53" i="245" s="1"/>
  <c r="D53" i="231"/>
  <c r="B54" i="245" s="1"/>
  <c r="E54" i="245" s="1"/>
  <c r="F54" i="245" s="1"/>
  <c r="E53" i="231"/>
  <c r="C54" i="245" s="1"/>
  <c r="D54" i="231"/>
  <c r="B55" i="245" s="1"/>
  <c r="E55" i="245" s="1"/>
  <c r="E54" i="231"/>
  <c r="C55" i="245" s="1"/>
  <c r="D55" i="231"/>
  <c r="B56" i="245" s="1"/>
  <c r="E56" i="245" s="1"/>
  <c r="F56" i="245" s="1"/>
  <c r="E55" i="231"/>
  <c r="C56" i="245" s="1"/>
  <c r="D7" i="231"/>
  <c r="B8" i="245" s="1"/>
  <c r="E8" i="245" s="1"/>
  <c r="G8" i="245" s="1"/>
  <c r="E7" i="231"/>
  <c r="C8" i="245" s="1"/>
  <c r="D8" i="231"/>
  <c r="B9" i="245" s="1"/>
  <c r="E9" i="245" s="1"/>
  <c r="K9" i="245" s="1"/>
  <c r="E8" i="231"/>
  <c r="C9" i="245" s="1"/>
  <c r="D9" i="231"/>
  <c r="B10" i="245" s="1"/>
  <c r="E10" i="245" s="1"/>
  <c r="K10" i="245" s="1"/>
  <c r="E9" i="231"/>
  <c r="C10" i="245" s="1"/>
  <c r="D10" i="231"/>
  <c r="B11" i="245" s="1"/>
  <c r="E10" i="231"/>
  <c r="C11" i="245" s="1"/>
  <c r="D11" i="231"/>
  <c r="B12" i="245" s="1"/>
  <c r="E12" i="245" s="1"/>
  <c r="AS12" i="245" s="1"/>
  <c r="E11" i="231"/>
  <c r="C12" i="245" s="1"/>
  <c r="D12" i="231"/>
  <c r="B13" i="245" s="1"/>
  <c r="E13" i="245" s="1"/>
  <c r="E12" i="231"/>
  <c r="C13" i="245" s="1"/>
  <c r="D13" i="231"/>
  <c r="B14" i="245" s="1"/>
  <c r="E14" i="245" s="1"/>
  <c r="E13" i="231"/>
  <c r="C14" i="245" s="1"/>
  <c r="D14" i="231"/>
  <c r="B15" i="245" s="1"/>
  <c r="E14" i="231"/>
  <c r="C15" i="245" s="1"/>
  <c r="D15" i="231"/>
  <c r="B16" i="245" s="1"/>
  <c r="E15" i="231"/>
  <c r="C16" i="245" s="1"/>
  <c r="D16" i="231"/>
  <c r="B17" i="245" s="1"/>
  <c r="E16" i="231"/>
  <c r="C17" i="245" s="1"/>
  <c r="D17" i="231"/>
  <c r="B18" i="245" s="1"/>
  <c r="E17" i="231"/>
  <c r="C18" i="245" s="1"/>
  <c r="D18" i="231"/>
  <c r="B19" i="245" s="1"/>
  <c r="E18" i="231"/>
  <c r="C19" i="245" s="1"/>
  <c r="D19" i="231"/>
  <c r="B20" i="245" s="1"/>
  <c r="E19" i="231"/>
  <c r="C20" i="245" s="1"/>
  <c r="D20" i="231"/>
  <c r="B21" i="245" s="1"/>
  <c r="E20" i="231"/>
  <c r="C21" i="245" s="1"/>
  <c r="D21" i="231"/>
  <c r="B22" i="245" s="1"/>
  <c r="E22" i="245" s="1"/>
  <c r="E21" i="231"/>
  <c r="C22" i="245" s="1"/>
  <c r="D22" i="231"/>
  <c r="B23" i="245" s="1"/>
  <c r="E23" i="245" s="1"/>
  <c r="E22" i="231"/>
  <c r="C23" i="245" s="1"/>
  <c r="D23" i="231"/>
  <c r="B24" i="245" s="1"/>
  <c r="E24" i="245" s="1"/>
  <c r="E23" i="231"/>
  <c r="C24" i="245" s="1"/>
  <c r="D24" i="231"/>
  <c r="B25" i="245" s="1"/>
  <c r="E25" i="245" s="1"/>
  <c r="E24" i="231"/>
  <c r="C25" i="245" s="1"/>
  <c r="D25" i="231"/>
  <c r="B26" i="245" s="1"/>
  <c r="E26" i="245" s="1"/>
  <c r="F26" i="245" s="1"/>
  <c r="E25" i="231"/>
  <c r="C26" i="245" s="1"/>
  <c r="D26" i="231"/>
  <c r="B27" i="245" s="1"/>
  <c r="E26" i="231"/>
  <c r="C27" i="245" s="1"/>
  <c r="D27" i="231"/>
  <c r="B28" i="245" s="1"/>
  <c r="E28" i="245" s="1"/>
  <c r="E27" i="231"/>
  <c r="C28" i="245" s="1"/>
  <c r="D28" i="231"/>
  <c r="B29" i="245" s="1"/>
  <c r="E29" i="245" s="1"/>
  <c r="E28" i="231"/>
  <c r="C29" i="245" s="1"/>
  <c r="D29" i="231"/>
  <c r="B30" i="245" s="1"/>
  <c r="E30" i="245" s="1"/>
  <c r="E29" i="231"/>
  <c r="C30" i="245" s="1"/>
  <c r="D30" i="231"/>
  <c r="B31" i="245" s="1"/>
  <c r="E31" i="245" s="1"/>
  <c r="E30" i="231"/>
  <c r="C31" i="245" s="1"/>
  <c r="D31" i="231"/>
  <c r="B32" i="245" s="1"/>
  <c r="E32" i="245" s="1"/>
  <c r="E31" i="231"/>
  <c r="C32" i="245" s="1"/>
  <c r="D32" i="231"/>
  <c r="B33" i="245" s="1"/>
  <c r="E33" i="245" s="1"/>
  <c r="E32" i="231"/>
  <c r="C33" i="245" s="1"/>
  <c r="D33" i="231"/>
  <c r="B34" i="245" s="1"/>
  <c r="E34" i="245" s="1"/>
  <c r="E33" i="231"/>
  <c r="C34" i="245" s="1"/>
  <c r="D34" i="231"/>
  <c r="B35" i="245" s="1"/>
  <c r="E35" i="245" s="1"/>
  <c r="E34" i="231"/>
  <c r="C35" i="245" s="1"/>
  <c r="D35" i="231"/>
  <c r="B36" i="245" s="1"/>
  <c r="E36" i="245" s="1"/>
  <c r="E35" i="231"/>
  <c r="C36" i="245" s="1"/>
  <c r="D36" i="231"/>
  <c r="B37" i="245" s="1"/>
  <c r="E37" i="245" s="1"/>
  <c r="E36" i="231"/>
  <c r="C37" i="245" s="1"/>
  <c r="D37" i="231"/>
  <c r="B38" i="245" s="1"/>
  <c r="E38" i="245" s="1"/>
  <c r="E37" i="231"/>
  <c r="C38" i="245" s="1"/>
  <c r="D38" i="231"/>
  <c r="B39" i="245" s="1"/>
  <c r="E39" i="245" s="1"/>
  <c r="E38" i="231"/>
  <c r="C39" i="245" s="1"/>
  <c r="D39" i="231"/>
  <c r="B40" i="245" s="1"/>
  <c r="E40" i="245" s="1"/>
  <c r="F40" i="245" s="1"/>
  <c r="E39" i="231"/>
  <c r="C40" i="245" s="1"/>
  <c r="E6" i="231"/>
  <c r="C7" i="245" s="1"/>
  <c r="D6" i="231"/>
  <c r="B7" i="245" s="1"/>
  <c r="AS28" i="245" l="1"/>
  <c r="F28" i="245"/>
  <c r="H13" i="245"/>
  <c r="F13" i="245"/>
  <c r="G13" i="245"/>
  <c r="J39" i="245"/>
  <c r="F39" i="245"/>
  <c r="H24" i="245"/>
  <c r="F24" i="245"/>
  <c r="AC25" i="245"/>
  <c r="F25" i="245"/>
  <c r="K38" i="245"/>
  <c r="F38" i="245"/>
  <c r="AJ14" i="245"/>
  <c r="F14" i="245"/>
  <c r="AN23" i="245"/>
  <c r="F23" i="245"/>
  <c r="AC36" i="245"/>
  <c r="F36" i="245"/>
  <c r="N22" i="245"/>
  <c r="F22" i="245"/>
  <c r="K35" i="245"/>
  <c r="F35" i="245"/>
  <c r="AA42" i="245"/>
  <c r="F42" i="245"/>
  <c r="J34" i="245"/>
  <c r="F34" i="245"/>
  <c r="AL55" i="245"/>
  <c r="F55" i="245"/>
  <c r="AH37" i="245"/>
  <c r="F37" i="245"/>
  <c r="AM75" i="245"/>
  <c r="F75" i="245"/>
  <c r="Z74" i="245"/>
  <c r="F74" i="245"/>
  <c r="K73" i="245"/>
  <c r="F73" i="245"/>
  <c r="AL33" i="245"/>
  <c r="F33" i="245"/>
  <c r="AI32" i="245"/>
  <c r="F32" i="245"/>
  <c r="AB31" i="245"/>
  <c r="F31" i="245"/>
  <c r="AS48" i="245"/>
  <c r="F48" i="245"/>
  <c r="AH30" i="245"/>
  <c r="F30" i="245"/>
  <c r="U50" i="245"/>
  <c r="U51" i="245" s="1"/>
  <c r="F50" i="245"/>
  <c r="X29" i="245"/>
  <c r="F29" i="245"/>
  <c r="D81" i="245"/>
  <c r="F81" i="245" s="1"/>
  <c r="BK81" i="245" a="1"/>
  <c r="BK81" i="245" s="1"/>
  <c r="AZ81" i="245" a="1"/>
  <c r="AZ81" i="245" s="1"/>
  <c r="BL81" i="245" a="1"/>
  <c r="BL81" i="245" s="1"/>
  <c r="BJ81" i="245" a="1"/>
  <c r="BJ81" i="245" s="1"/>
  <c r="BI81" i="245" a="1"/>
  <c r="BI81" i="245" s="1"/>
  <c r="BH81" i="245" a="1"/>
  <c r="BH81" i="245" s="1"/>
  <c r="BG81" i="245" a="1"/>
  <c r="BG81" i="245" s="1"/>
  <c r="BF81" i="245" a="1"/>
  <c r="BF81" i="245" s="1"/>
  <c r="BA81" i="245" a="1"/>
  <c r="BA81" i="245" s="1"/>
  <c r="BE81" i="245" a="1"/>
  <c r="BE81" i="245" s="1"/>
  <c r="BD81" i="245" a="1"/>
  <c r="BD81" i="245" s="1"/>
  <c r="BC81" i="245" a="1"/>
  <c r="BC81" i="245" s="1"/>
  <c r="BB81" i="245" a="1"/>
  <c r="BB81" i="245" s="1"/>
  <c r="AY81" i="245" a="1"/>
  <c r="AY81" i="245" s="1"/>
  <c r="AX81" i="245" a="1"/>
  <c r="AX81" i="245" s="1"/>
  <c r="AW81" i="245" a="1"/>
  <c r="AW81" i="245" s="1"/>
  <c r="D80" i="245"/>
  <c r="F80" i="245" s="1"/>
  <c r="BG80" i="245" a="1"/>
  <c r="BG80" i="245" s="1"/>
  <c r="BF80" i="245" a="1"/>
  <c r="BF80" i="245" s="1"/>
  <c r="BE80" i="245" a="1"/>
  <c r="BE80" i="245" s="1"/>
  <c r="BD80" i="245" a="1"/>
  <c r="BD80" i="245" s="1"/>
  <c r="BC80" i="245" a="1"/>
  <c r="BC80" i="245" s="1"/>
  <c r="BB80" i="245" a="1"/>
  <c r="BB80" i="245" s="1"/>
  <c r="AZ80" i="245" a="1"/>
  <c r="AZ80" i="245" s="1"/>
  <c r="BA80" i="245" a="1"/>
  <c r="BA80" i="245" s="1"/>
  <c r="AY80" i="245" a="1"/>
  <c r="AY80" i="245" s="1"/>
  <c r="AX80" i="245" a="1"/>
  <c r="AX80" i="245" s="1"/>
  <c r="AW80" i="245" a="1"/>
  <c r="AW80" i="245" s="1"/>
  <c r="BH80" i="245" a="1"/>
  <c r="BH80" i="245" s="1"/>
  <c r="BI80" i="245" a="1"/>
  <c r="BI80" i="245" s="1"/>
  <c r="BL80" i="245" a="1"/>
  <c r="BL80" i="245" s="1"/>
  <c r="BJ80" i="245" a="1"/>
  <c r="BJ80" i="245" s="1"/>
  <c r="BK80" i="245" a="1"/>
  <c r="BK80" i="245" s="1"/>
  <c r="D79" i="245"/>
  <c r="F79" i="245" s="1"/>
  <c r="AW79" i="245" a="1"/>
  <c r="AW79" i="245" s="1"/>
  <c r="AX79" i="245" a="1"/>
  <c r="AX79" i="245" s="1"/>
  <c r="BH79" i="245" a="1"/>
  <c r="BH79" i="245" s="1"/>
  <c r="BF79" i="245" a="1"/>
  <c r="BF79" i="245" s="1"/>
  <c r="AY79" i="245" a="1"/>
  <c r="AY79" i="245" s="1"/>
  <c r="BL79" i="245" a="1"/>
  <c r="BL79" i="245" s="1"/>
  <c r="BK79" i="245" a="1"/>
  <c r="BK79" i="245" s="1"/>
  <c r="BG79" i="245" a="1"/>
  <c r="BG79" i="245" s="1"/>
  <c r="BI79" i="245" a="1"/>
  <c r="BI79" i="245" s="1"/>
  <c r="AZ79" i="245" a="1"/>
  <c r="AZ79" i="245" s="1"/>
  <c r="BJ79" i="245" a="1"/>
  <c r="BJ79" i="245" s="1"/>
  <c r="BE79" i="245" a="1"/>
  <c r="BE79" i="245" s="1"/>
  <c r="BD79" i="245" a="1"/>
  <c r="BD79" i="245" s="1"/>
  <c r="BC79" i="245" a="1"/>
  <c r="BC79" i="245" s="1"/>
  <c r="BB79" i="245" a="1"/>
  <c r="BB79" i="245" s="1"/>
  <c r="BA79" i="245" a="1"/>
  <c r="BA79" i="245" s="1"/>
  <c r="D87" i="245"/>
  <c r="F87" i="245" s="1"/>
  <c r="BL87" i="245" a="1"/>
  <c r="BL87" i="245" s="1"/>
  <c r="BK87" i="245" a="1"/>
  <c r="BK87" i="245" s="1"/>
  <c r="BJ87" i="245" a="1"/>
  <c r="BJ87" i="245" s="1"/>
  <c r="BI87" i="245" a="1"/>
  <c r="BI87" i="245" s="1"/>
  <c r="BH87" i="245" a="1"/>
  <c r="BH87" i="245" s="1"/>
  <c r="BG87" i="245" a="1"/>
  <c r="BG87" i="245" s="1"/>
  <c r="BF87" i="245" a="1"/>
  <c r="BF87" i="245" s="1"/>
  <c r="BE87" i="245" a="1"/>
  <c r="BE87" i="245" s="1"/>
  <c r="BD87" i="245" a="1"/>
  <c r="BD87" i="245" s="1"/>
  <c r="BC87" i="245" a="1"/>
  <c r="BC87" i="245" s="1"/>
  <c r="BB87" i="245" a="1"/>
  <c r="BB87" i="245" s="1"/>
  <c r="BA87" i="245" a="1"/>
  <c r="BA87" i="245" s="1"/>
  <c r="AZ87" i="245" a="1"/>
  <c r="AZ87" i="245" s="1"/>
  <c r="AY87" i="245" a="1"/>
  <c r="AY87" i="245" s="1"/>
  <c r="AX87" i="245" a="1"/>
  <c r="AX87" i="245" s="1"/>
  <c r="AW87" i="245" a="1"/>
  <c r="AW87" i="245" s="1"/>
  <c r="D78" i="245"/>
  <c r="F78" i="245" s="1"/>
  <c r="BL78" i="245" a="1"/>
  <c r="BL78" i="245" s="1"/>
  <c r="BK78" i="245" a="1"/>
  <c r="BK78" i="245" s="1"/>
  <c r="BJ78" i="245" a="1"/>
  <c r="BJ78" i="245" s="1"/>
  <c r="BI78" i="245" a="1"/>
  <c r="BI78" i="245" s="1"/>
  <c r="BH78" i="245" a="1"/>
  <c r="BH78" i="245" s="1"/>
  <c r="BE78" i="245" a="1"/>
  <c r="BE78" i="245" s="1"/>
  <c r="BG78" i="245" a="1"/>
  <c r="BG78" i="245" s="1"/>
  <c r="BF78" i="245" a="1"/>
  <c r="BF78" i="245" s="1"/>
  <c r="AW78" i="245" a="1"/>
  <c r="AW78" i="245" s="1"/>
  <c r="BD78" i="245" a="1"/>
  <c r="BD78" i="245" s="1"/>
  <c r="BC78" i="245" a="1"/>
  <c r="BC78" i="245" s="1"/>
  <c r="BB78" i="245" a="1"/>
  <c r="BB78" i="245" s="1"/>
  <c r="BA78" i="245" a="1"/>
  <c r="BA78" i="245" s="1"/>
  <c r="AZ78" i="245" a="1"/>
  <c r="AZ78" i="245" s="1"/>
  <c r="AY78" i="245" a="1"/>
  <c r="AY78" i="245" s="1"/>
  <c r="AX78" i="245" a="1"/>
  <c r="AX78" i="245" s="1"/>
  <c r="D76" i="245"/>
  <c r="F76" i="245" s="1"/>
  <c r="BL76" i="245" a="1"/>
  <c r="BL76" i="245" s="1"/>
  <c r="BA76" i="245" a="1"/>
  <c r="BA76" i="245" s="1"/>
  <c r="AZ76" i="245" a="1"/>
  <c r="AZ76" i="245" s="1"/>
  <c r="BK76" i="245" a="1"/>
  <c r="BK76" i="245" s="1"/>
  <c r="BJ76" i="245" a="1"/>
  <c r="BJ76" i="245" s="1"/>
  <c r="BI76" i="245" a="1"/>
  <c r="BI76" i="245" s="1"/>
  <c r="BH76" i="245" a="1"/>
  <c r="BH76" i="245" s="1"/>
  <c r="BG76" i="245" a="1"/>
  <c r="BG76" i="245" s="1"/>
  <c r="BF76" i="245" a="1"/>
  <c r="BF76" i="245" s="1"/>
  <c r="BE76" i="245" a="1"/>
  <c r="BE76" i="245" s="1"/>
  <c r="BD76" i="245" a="1"/>
  <c r="BD76" i="245" s="1"/>
  <c r="AX76" i="245" a="1"/>
  <c r="AX76" i="245" s="1"/>
  <c r="BC76" i="245" a="1"/>
  <c r="BC76" i="245" s="1"/>
  <c r="BB76" i="245" a="1"/>
  <c r="BB76" i="245" s="1"/>
  <c r="AY76" i="245" a="1"/>
  <c r="AY76" i="245" s="1"/>
  <c r="AW76" i="245" a="1"/>
  <c r="AW76" i="245" s="1"/>
  <c r="E18" i="245"/>
  <c r="F18" i="245" s="1"/>
  <c r="BF18" i="245" a="1"/>
  <c r="BF18" i="245" s="1"/>
  <c r="BE18" i="245" a="1"/>
  <c r="BE18" i="245" s="1"/>
  <c r="BL18" i="245" a="1"/>
  <c r="BL18" i="245" s="1"/>
  <c r="BK18" i="245" a="1"/>
  <c r="BK18" i="245" s="1"/>
  <c r="BJ18" i="245" a="1"/>
  <c r="BJ18" i="245" s="1"/>
  <c r="BI18" i="245" a="1"/>
  <c r="BI18" i="245" s="1"/>
  <c r="BD18" i="245" a="1"/>
  <c r="BD18" i="245" s="1"/>
  <c r="BC18" i="245" a="1"/>
  <c r="BC18" i="245" s="1"/>
  <c r="BH18" i="245" a="1"/>
  <c r="BH18" i="245" s="1"/>
  <c r="BG18" i="245" a="1"/>
  <c r="BG18" i="245" s="1"/>
  <c r="AW18" i="245" a="1"/>
  <c r="AW18" i="245" s="1"/>
  <c r="BB18" i="245" a="1"/>
  <c r="BB18" i="245" s="1"/>
  <c r="BA18" i="245" a="1"/>
  <c r="BA18" i="245" s="1"/>
  <c r="AZ18" i="245" a="1"/>
  <c r="AZ18" i="245" s="1"/>
  <c r="AY18" i="245" a="1"/>
  <c r="AY18" i="245" s="1"/>
  <c r="AX18" i="245" a="1"/>
  <c r="AX18" i="245" s="1"/>
  <c r="E17" i="245"/>
  <c r="BJ17" i="245" a="1"/>
  <c r="BJ17" i="245" s="1"/>
  <c r="BI17" i="245" a="1"/>
  <c r="BI17" i="245" s="1"/>
  <c r="BH17" i="245" a="1"/>
  <c r="BH17" i="245" s="1"/>
  <c r="BG17" i="245" a="1"/>
  <c r="BG17" i="245" s="1"/>
  <c r="BF17" i="245" a="1"/>
  <c r="BF17" i="245" s="1"/>
  <c r="BE17" i="245" a="1"/>
  <c r="BE17" i="245" s="1"/>
  <c r="BD17" i="245" a="1"/>
  <c r="BD17" i="245" s="1"/>
  <c r="BC17" i="245" a="1"/>
  <c r="BC17" i="245" s="1"/>
  <c r="BB17" i="245" a="1"/>
  <c r="BB17" i="245" s="1"/>
  <c r="BA17" i="245" a="1"/>
  <c r="BA17" i="245" s="1"/>
  <c r="AZ17" i="245" a="1"/>
  <c r="AZ17" i="245" s="1"/>
  <c r="AY17" i="245" a="1"/>
  <c r="AY17" i="245" s="1"/>
  <c r="AX17" i="245" a="1"/>
  <c r="AX17" i="245" s="1"/>
  <c r="AW17" i="245" a="1"/>
  <c r="AW17" i="245" s="1"/>
  <c r="BL17" i="245" a="1"/>
  <c r="BL17" i="245" s="1"/>
  <c r="BK17" i="245" a="1"/>
  <c r="BK17" i="245" s="1"/>
  <c r="BE69" i="245" a="1"/>
  <c r="BE69" i="245" s="1"/>
  <c r="BD69" i="245" a="1"/>
  <c r="BD69" i="245" s="1"/>
  <c r="BC69" i="245" a="1"/>
  <c r="BC69" i="245" s="1"/>
  <c r="BB69" i="245" a="1"/>
  <c r="BB69" i="245" s="1"/>
  <c r="BA69" i="245" a="1"/>
  <c r="BA69" i="245" s="1"/>
  <c r="AZ69" i="245" a="1"/>
  <c r="AZ69" i="245" s="1"/>
  <c r="AY69" i="245" a="1"/>
  <c r="AY69" i="245" s="1"/>
  <c r="AW69" i="245" a="1"/>
  <c r="AW69" i="245" s="1"/>
  <c r="BG69" i="245" a="1"/>
  <c r="BG69" i="245" s="1"/>
  <c r="AX69" i="245" a="1"/>
  <c r="AX69" i="245" s="1"/>
  <c r="BH69" i="245" a="1"/>
  <c r="BH69" i="245" s="1"/>
  <c r="BL69" i="245" a="1"/>
  <c r="BL69" i="245" s="1"/>
  <c r="BF69" i="245" a="1"/>
  <c r="BF69" i="245" s="1"/>
  <c r="BK69" i="245" a="1"/>
  <c r="BK69" i="245" s="1"/>
  <c r="BJ69" i="245" a="1"/>
  <c r="BJ69" i="245" s="1"/>
  <c r="BI69" i="245" a="1"/>
  <c r="BI69" i="245" s="1"/>
  <c r="E21" i="245"/>
  <c r="F21" i="245" s="1"/>
  <c r="AY21" i="245" a="1"/>
  <c r="AY21" i="245" s="1"/>
  <c r="AX21" i="245" a="1"/>
  <c r="AX21" i="245" s="1"/>
  <c r="AW21" i="245" a="1"/>
  <c r="AW21" i="245" s="1"/>
  <c r="BB21" i="245" a="1"/>
  <c r="BB21" i="245" s="1"/>
  <c r="BJ21" i="245" a="1"/>
  <c r="BJ21" i="245" s="1"/>
  <c r="BA21" i="245" a="1"/>
  <c r="BA21" i="245" s="1"/>
  <c r="BK21" i="245" a="1"/>
  <c r="BK21" i="245" s="1"/>
  <c r="BH21" i="245" a="1"/>
  <c r="BH21" i="245" s="1"/>
  <c r="AZ21" i="245" a="1"/>
  <c r="AZ21" i="245" s="1"/>
  <c r="BL21" i="245" a="1"/>
  <c r="BL21" i="245" s="1"/>
  <c r="BI21" i="245" a="1"/>
  <c r="BI21" i="245" s="1"/>
  <c r="BG21" i="245" a="1"/>
  <c r="BG21" i="245" s="1"/>
  <c r="BF21" i="245" a="1"/>
  <c r="BF21" i="245" s="1"/>
  <c r="BD21" i="245" a="1"/>
  <c r="BD21" i="245" s="1"/>
  <c r="BE21" i="245" a="1"/>
  <c r="BE21" i="245" s="1"/>
  <c r="BC21" i="245" a="1"/>
  <c r="BC21" i="245" s="1"/>
  <c r="D77" i="245"/>
  <c r="F77" i="245" s="1"/>
  <c r="BA77" i="245" a="1"/>
  <c r="BA77" i="245" s="1"/>
  <c r="AZ77" i="245" a="1"/>
  <c r="AZ77" i="245" s="1"/>
  <c r="AY77" i="245" a="1"/>
  <c r="AY77" i="245" s="1"/>
  <c r="AX77" i="245" a="1"/>
  <c r="AX77" i="245" s="1"/>
  <c r="AW77" i="245" a="1"/>
  <c r="AW77" i="245" s="1"/>
  <c r="BL77" i="245" a="1"/>
  <c r="BL77" i="245" s="1"/>
  <c r="BK77" i="245" a="1"/>
  <c r="BK77" i="245" s="1"/>
  <c r="BJ77" i="245" a="1"/>
  <c r="BJ77" i="245" s="1"/>
  <c r="BD77" i="245" a="1"/>
  <c r="BD77" i="245" s="1"/>
  <c r="BB77" i="245" a="1"/>
  <c r="BB77" i="245" s="1"/>
  <c r="BI77" i="245" a="1"/>
  <c r="BI77" i="245" s="1"/>
  <c r="BH77" i="245" a="1"/>
  <c r="BH77" i="245" s="1"/>
  <c r="BE77" i="245" a="1"/>
  <c r="BE77" i="245" s="1"/>
  <c r="BG77" i="245" a="1"/>
  <c r="BG77" i="245" s="1"/>
  <c r="BF77" i="245" a="1"/>
  <c r="BF77" i="245" s="1"/>
  <c r="BC77" i="245" a="1"/>
  <c r="BC77" i="245" s="1"/>
  <c r="E20" i="245"/>
  <c r="BL20" i="245" a="1"/>
  <c r="BL20" i="245" s="1"/>
  <c r="AY20" i="245" a="1"/>
  <c r="AY20" i="245" s="1"/>
  <c r="BK20" i="245" a="1"/>
  <c r="BK20" i="245" s="1"/>
  <c r="BJ20" i="245" a="1"/>
  <c r="BJ20" i="245" s="1"/>
  <c r="BH20" i="245" a="1"/>
  <c r="BH20" i="245" s="1"/>
  <c r="AX20" i="245" a="1"/>
  <c r="AX20" i="245" s="1"/>
  <c r="BI20" i="245" a="1"/>
  <c r="BI20" i="245" s="1"/>
  <c r="BG20" i="245" a="1"/>
  <c r="BG20" i="245" s="1"/>
  <c r="BF20" i="245" a="1"/>
  <c r="BF20" i="245" s="1"/>
  <c r="BE20" i="245" a="1"/>
  <c r="BE20" i="245" s="1"/>
  <c r="BD20" i="245" a="1"/>
  <c r="BD20" i="245" s="1"/>
  <c r="BC20" i="245" a="1"/>
  <c r="BC20" i="245" s="1"/>
  <c r="AZ20" i="245" a="1"/>
  <c r="AZ20" i="245" s="1"/>
  <c r="BB20" i="245" a="1"/>
  <c r="BB20" i="245" s="1"/>
  <c r="BA20" i="245" a="1"/>
  <c r="BA20" i="245" s="1"/>
  <c r="AW20" i="245" a="1"/>
  <c r="AW20" i="245" s="1"/>
  <c r="E7" i="245"/>
  <c r="AT7" i="245" s="1"/>
  <c r="BL7" i="245" a="1"/>
  <c r="BL7" i="245" s="1"/>
  <c r="BK7" i="245" a="1"/>
  <c r="BK7" i="245" s="1"/>
  <c r="BJ7" i="245" a="1"/>
  <c r="BJ7" i="245" s="1"/>
  <c r="BF7" i="245" a="1"/>
  <c r="BF7" i="245" s="1"/>
  <c r="BI7" i="245" a="1"/>
  <c r="BI7" i="245" s="1"/>
  <c r="BH7" i="245" a="1"/>
  <c r="BH7" i="245" s="1"/>
  <c r="BG7" i="245" a="1"/>
  <c r="BG7" i="245" s="1"/>
  <c r="BE7" i="245" a="1"/>
  <c r="BE7" i="245" s="1"/>
  <c r="BD7" i="245" a="1"/>
  <c r="BD7" i="245" s="1"/>
  <c r="BC7" i="245" a="1"/>
  <c r="BC7" i="245" s="1"/>
  <c r="BB7" i="245" a="1"/>
  <c r="BB7" i="245" s="1"/>
  <c r="BA7" i="245" a="1"/>
  <c r="BA7" i="245" s="1"/>
  <c r="AW7" i="245" a="1"/>
  <c r="AW7" i="245" s="1"/>
  <c r="AZ7" i="245" a="1"/>
  <c r="AZ7" i="245" s="1"/>
  <c r="AY7" i="245" a="1"/>
  <c r="AY7" i="245" s="1"/>
  <c r="AX7" i="245" a="1"/>
  <c r="AX7" i="245" s="1"/>
  <c r="E19" i="245"/>
  <c r="BE19" i="245" a="1"/>
  <c r="BE19" i="245" s="1"/>
  <c r="BD19" i="245" a="1"/>
  <c r="BD19" i="245" s="1"/>
  <c r="BC19" i="245" a="1"/>
  <c r="BC19" i="245" s="1"/>
  <c r="BB19" i="245" a="1"/>
  <c r="BB19" i="245" s="1"/>
  <c r="BA19" i="245" a="1"/>
  <c r="BA19" i="245" s="1"/>
  <c r="AX19" i="245" a="1"/>
  <c r="AX19" i="245" s="1"/>
  <c r="BG19" i="245" a="1"/>
  <c r="BG19" i="245" s="1"/>
  <c r="AZ19" i="245" a="1"/>
  <c r="AZ19" i="245" s="1"/>
  <c r="AY19" i="245" a="1"/>
  <c r="AY19" i="245" s="1"/>
  <c r="AW19" i="245" a="1"/>
  <c r="AW19" i="245" s="1"/>
  <c r="BL19" i="245" a="1"/>
  <c r="BL19" i="245" s="1"/>
  <c r="BI19" i="245" a="1"/>
  <c r="BI19" i="245" s="1"/>
  <c r="BK19" i="245" a="1"/>
  <c r="BK19" i="245" s="1"/>
  <c r="BJ19" i="245" a="1"/>
  <c r="BJ19" i="245" s="1"/>
  <c r="BH19" i="245" a="1"/>
  <c r="BH19" i="245" s="1"/>
  <c r="BF19" i="245" a="1"/>
  <c r="BF19" i="245" s="1"/>
  <c r="E16" i="245"/>
  <c r="Z16" i="245" s="1"/>
  <c r="AY16" i="245" a="1"/>
  <c r="AY16" i="245" s="1"/>
  <c r="AX16" i="245" a="1"/>
  <c r="AX16" i="245" s="1"/>
  <c r="AW16" i="245" a="1"/>
  <c r="AW16" i="245" s="1"/>
  <c r="BH16" i="245" a="1"/>
  <c r="BH16" i="245" s="1"/>
  <c r="AZ16" i="245" a="1"/>
  <c r="AZ16" i="245" s="1"/>
  <c r="BB16" i="245" a="1"/>
  <c r="BB16" i="245" s="1"/>
  <c r="BL16" i="245" a="1"/>
  <c r="BL16" i="245" s="1"/>
  <c r="BJ16" i="245" a="1"/>
  <c r="BJ16" i="245" s="1"/>
  <c r="BK16" i="245" a="1"/>
  <c r="BK16" i="245" s="1"/>
  <c r="BI16" i="245" a="1"/>
  <c r="BI16" i="245" s="1"/>
  <c r="BG16" i="245" a="1"/>
  <c r="BG16" i="245" s="1"/>
  <c r="BF16" i="245" a="1"/>
  <c r="BF16" i="245" s="1"/>
  <c r="BE16" i="245" a="1"/>
  <c r="BE16" i="245" s="1"/>
  <c r="BD16" i="245" a="1"/>
  <c r="BD16" i="245" s="1"/>
  <c r="BC16" i="245" a="1"/>
  <c r="BC16" i="245" s="1"/>
  <c r="BA16" i="245" a="1"/>
  <c r="BA16" i="245" s="1"/>
  <c r="BF68" i="245" a="1"/>
  <c r="BF68" i="245" s="1"/>
  <c r="BD68" i="245" a="1"/>
  <c r="BD68" i="245" s="1"/>
  <c r="BC68" i="245" a="1"/>
  <c r="BC68" i="245" s="1"/>
  <c r="BL68" i="245" a="1"/>
  <c r="BL68" i="245" s="1"/>
  <c r="BK68" i="245" a="1"/>
  <c r="BK68" i="245" s="1"/>
  <c r="BJ68" i="245" a="1"/>
  <c r="BJ68" i="245" s="1"/>
  <c r="BE68" i="245" a="1"/>
  <c r="BE68" i="245" s="1"/>
  <c r="AW68" i="245" a="1"/>
  <c r="AW68" i="245" s="1"/>
  <c r="BI68" i="245" a="1"/>
  <c r="BI68" i="245" s="1"/>
  <c r="BH68" i="245" a="1"/>
  <c r="BH68" i="245" s="1"/>
  <c r="BG68" i="245" a="1"/>
  <c r="BG68" i="245" s="1"/>
  <c r="BB68" i="245" a="1"/>
  <c r="BB68" i="245" s="1"/>
  <c r="BA68" i="245" a="1"/>
  <c r="BA68" i="245" s="1"/>
  <c r="AZ68" i="245" a="1"/>
  <c r="AZ68" i="245" s="1"/>
  <c r="AY68" i="245" a="1"/>
  <c r="AY68" i="245" s="1"/>
  <c r="AX68" i="245" a="1"/>
  <c r="AX68" i="245" s="1"/>
  <c r="BI15" i="245" a="1"/>
  <c r="BI15" i="245" s="1"/>
  <c r="BJ15" i="245" a="1"/>
  <c r="BJ15" i="245" s="1"/>
  <c r="BK15" i="245" a="1"/>
  <c r="BK15" i="245" s="1"/>
  <c r="BL15" i="245" a="1"/>
  <c r="BL15" i="245" s="1"/>
  <c r="BF15" i="245" a="1"/>
  <c r="BF15" i="245" s="1"/>
  <c r="AZ15" i="245" a="1"/>
  <c r="AZ15" i="245" s="1"/>
  <c r="AW15" i="245" a="1"/>
  <c r="AW15" i="245" s="1"/>
  <c r="AX15" i="245" a="1"/>
  <c r="AX15" i="245" s="1"/>
  <c r="AY15" i="245" a="1"/>
  <c r="AY15" i="245" s="1"/>
  <c r="BG15" i="245" a="1"/>
  <c r="BG15" i="245" s="1"/>
  <c r="BH15" i="245" a="1"/>
  <c r="BH15" i="245" s="1"/>
  <c r="BA15" i="245" a="1"/>
  <c r="BA15" i="245" s="1"/>
  <c r="BB15" i="245" a="1"/>
  <c r="BB15" i="245" s="1"/>
  <c r="BC15" i="245" a="1"/>
  <c r="BC15" i="245" s="1"/>
  <c r="BD15" i="245" a="1"/>
  <c r="BD15" i="245" s="1"/>
  <c r="BE15" i="245" a="1"/>
  <c r="BE15" i="245" s="1"/>
  <c r="E11" i="245"/>
  <c r="G11" i="245" s="1"/>
  <c r="E46" i="245"/>
  <c r="Q46" i="245" s="1"/>
  <c r="AX46" i="245" a="1"/>
  <c r="AX46" i="245" s="1"/>
  <c r="AW46" i="245" a="1"/>
  <c r="AW46" i="245" s="1"/>
  <c r="BA46" i="245" a="1"/>
  <c r="BA46" i="245" s="1"/>
  <c r="AZ46" i="245" a="1"/>
  <c r="AZ46" i="245" s="1"/>
  <c r="BJ46" i="245" a="1"/>
  <c r="BJ46" i="245" s="1"/>
  <c r="BH46" i="245" a="1"/>
  <c r="BH46" i="245" s="1"/>
  <c r="AY46" i="245" a="1"/>
  <c r="AY46" i="245" s="1"/>
  <c r="BI46" i="245" a="1"/>
  <c r="BI46" i="245" s="1"/>
  <c r="BL46" i="245" a="1"/>
  <c r="BL46" i="245" s="1"/>
  <c r="BK46" i="245" a="1"/>
  <c r="BK46" i="245" s="1"/>
  <c r="BG46" i="245" a="1"/>
  <c r="BG46" i="245" s="1"/>
  <c r="BF46" i="245" a="1"/>
  <c r="BF46" i="245" s="1"/>
  <c r="BE46" i="245" a="1"/>
  <c r="BE46" i="245" s="1"/>
  <c r="BB46" i="245" a="1"/>
  <c r="BB46" i="245" s="1"/>
  <c r="BD46" i="245" a="1"/>
  <c r="BD46" i="245" s="1"/>
  <c r="BC46" i="245" a="1"/>
  <c r="BC46" i="245" s="1"/>
  <c r="D84" i="245"/>
  <c r="F84" i="245" s="1"/>
  <c r="AY84" i="245" a="1"/>
  <c r="AY84" i="245" s="1"/>
  <c r="AX84" i="245" a="1"/>
  <c r="AX84" i="245" s="1"/>
  <c r="AW84" i="245" a="1"/>
  <c r="AW84" i="245" s="1"/>
  <c r="AZ84" i="245" a="1"/>
  <c r="AZ84" i="245" s="1"/>
  <c r="BL84" i="245" a="1"/>
  <c r="BL84" i="245" s="1"/>
  <c r="BK84" i="245" a="1"/>
  <c r="BK84" i="245" s="1"/>
  <c r="BJ84" i="245" a="1"/>
  <c r="BJ84" i="245" s="1"/>
  <c r="BI84" i="245" a="1"/>
  <c r="BI84" i="245" s="1"/>
  <c r="BH84" i="245" a="1"/>
  <c r="BH84" i="245" s="1"/>
  <c r="BG84" i="245" a="1"/>
  <c r="BG84" i="245" s="1"/>
  <c r="BF84" i="245" a="1"/>
  <c r="BF84" i="245" s="1"/>
  <c r="BE84" i="245" a="1"/>
  <c r="BE84" i="245" s="1"/>
  <c r="BD84" i="245" a="1"/>
  <c r="BD84" i="245" s="1"/>
  <c r="BC84" i="245" a="1"/>
  <c r="BC84" i="245" s="1"/>
  <c r="BB84" i="245" a="1"/>
  <c r="BB84" i="245" s="1"/>
  <c r="BA84" i="245" a="1"/>
  <c r="BA84" i="245" s="1"/>
  <c r="E57" i="245"/>
  <c r="AH57" i="245" s="1"/>
  <c r="BJ57" i="245" a="1"/>
  <c r="BJ57" i="245" s="1"/>
  <c r="BI57" i="245" a="1"/>
  <c r="BI57" i="245" s="1"/>
  <c r="BH57" i="245" a="1"/>
  <c r="BH57" i="245" s="1"/>
  <c r="BG57" i="245" a="1"/>
  <c r="BG57" i="245" s="1"/>
  <c r="BF57" i="245" a="1"/>
  <c r="BF57" i="245" s="1"/>
  <c r="BE57" i="245" a="1"/>
  <c r="BE57" i="245" s="1"/>
  <c r="BB57" i="245" a="1"/>
  <c r="BB57" i="245" s="1"/>
  <c r="BD57" i="245" a="1"/>
  <c r="BD57" i="245" s="1"/>
  <c r="BK57" i="245" a="1"/>
  <c r="BK57" i="245" s="1"/>
  <c r="BC57" i="245" a="1"/>
  <c r="BC57" i="245" s="1"/>
  <c r="BA57" i="245" a="1"/>
  <c r="BA57" i="245" s="1"/>
  <c r="AZ57" i="245" a="1"/>
  <c r="AZ57" i="245" s="1"/>
  <c r="AY57" i="245" a="1"/>
  <c r="AY57" i="245" s="1"/>
  <c r="AX57" i="245" a="1"/>
  <c r="AX57" i="245" s="1"/>
  <c r="AW57" i="245" a="1"/>
  <c r="AW57" i="245" s="1"/>
  <c r="BL57" i="245" a="1"/>
  <c r="BL57" i="245" s="1"/>
  <c r="D83" i="245"/>
  <c r="BL83" i="245" a="1"/>
  <c r="BL83" i="245" s="1"/>
  <c r="BK83" i="245" a="1"/>
  <c r="BK83" i="245" s="1"/>
  <c r="BJ83" i="245" a="1"/>
  <c r="BJ83" i="245" s="1"/>
  <c r="BI83" i="245" a="1"/>
  <c r="BI83" i="245" s="1"/>
  <c r="AX83" i="245" a="1"/>
  <c r="AX83" i="245" s="1"/>
  <c r="BH83" i="245" a="1"/>
  <c r="BH83" i="245" s="1"/>
  <c r="BG83" i="245" a="1"/>
  <c r="BG83" i="245" s="1"/>
  <c r="BF83" i="245" a="1"/>
  <c r="BF83" i="245" s="1"/>
  <c r="BE83" i="245" a="1"/>
  <c r="BE83" i="245" s="1"/>
  <c r="BD83" i="245" a="1"/>
  <c r="BD83" i="245" s="1"/>
  <c r="BC83" i="245" a="1"/>
  <c r="BC83" i="245" s="1"/>
  <c r="BB83" i="245" a="1"/>
  <c r="BB83" i="245" s="1"/>
  <c r="AY83" i="245" a="1"/>
  <c r="AY83" i="245" s="1"/>
  <c r="BA83" i="245" a="1"/>
  <c r="BA83" i="245" s="1"/>
  <c r="AZ83" i="245" a="1"/>
  <c r="AZ83" i="245" s="1"/>
  <c r="AW83" i="245" a="1"/>
  <c r="AW83" i="245" s="1"/>
  <c r="D82" i="245"/>
  <c r="BC82" i="245" a="1"/>
  <c r="BC82" i="245" s="1"/>
  <c r="BB82" i="245" a="1"/>
  <c r="BB82" i="245" s="1"/>
  <c r="BA82" i="245" a="1"/>
  <c r="BA82" i="245" s="1"/>
  <c r="AZ82" i="245" a="1"/>
  <c r="AZ82" i="245" s="1"/>
  <c r="AY82" i="245" a="1"/>
  <c r="AY82" i="245" s="1"/>
  <c r="AX82" i="245" a="1"/>
  <c r="AX82" i="245" s="1"/>
  <c r="BE82" i="245" a="1"/>
  <c r="BE82" i="245" s="1"/>
  <c r="AW82" i="245" a="1"/>
  <c r="AW82" i="245" s="1"/>
  <c r="BL82" i="245" a="1"/>
  <c r="BL82" i="245" s="1"/>
  <c r="BD82" i="245" a="1"/>
  <c r="BD82" i="245" s="1"/>
  <c r="BK82" i="245" a="1"/>
  <c r="BK82" i="245" s="1"/>
  <c r="BJ82" i="245" a="1"/>
  <c r="BJ82" i="245" s="1"/>
  <c r="BG82" i="245" a="1"/>
  <c r="BG82" i="245" s="1"/>
  <c r="BI82" i="245" a="1"/>
  <c r="BI82" i="245" s="1"/>
  <c r="BH82" i="245" a="1"/>
  <c r="BH82" i="245" s="1"/>
  <c r="BF82" i="245" a="1"/>
  <c r="BF82" i="245" s="1"/>
  <c r="E15" i="245"/>
  <c r="AF15" i="245" s="1"/>
  <c r="AH18" i="245"/>
  <c r="L59" i="245"/>
  <c r="AT47" i="245"/>
  <c r="P40" i="245"/>
  <c r="T7" i="245"/>
  <c r="R62" i="245"/>
  <c r="M7" i="245"/>
  <c r="AS7" i="245"/>
  <c r="AR7" i="245"/>
  <c r="AM7" i="245"/>
  <c r="X62" i="245"/>
  <c r="V62" i="245"/>
  <c r="S41" i="245"/>
  <c r="G80" i="245"/>
  <c r="B112" i="245"/>
  <c r="D112" i="245" s="1"/>
  <c r="K112" i="245" s="1"/>
  <c r="G78" i="245"/>
  <c r="G77" i="245"/>
  <c r="G76" i="245"/>
  <c r="G81" i="245"/>
  <c r="G79" i="245"/>
  <c r="G109" i="245" s="1"/>
  <c r="AF112" i="245"/>
  <c r="AG112" i="245"/>
  <c r="AJ112" i="245"/>
  <c r="AH112" i="245"/>
  <c r="I112" i="245"/>
  <c r="AS112" i="245"/>
  <c r="R112" i="245"/>
  <c r="L112" i="245"/>
  <c r="T112" i="245"/>
  <c r="Y112" i="245"/>
  <c r="AE112" i="245"/>
  <c r="AQ112" i="245"/>
  <c r="U112" i="245"/>
  <c r="AD112" i="245"/>
  <c r="AO112" i="245"/>
  <c r="M112" i="245"/>
  <c r="N112" i="245"/>
  <c r="AL112" i="245"/>
  <c r="AB112" i="245"/>
  <c r="P111" i="245"/>
  <c r="AR111" i="245"/>
  <c r="Q111" i="245"/>
  <c r="AS111" i="245"/>
  <c r="AT111" i="245"/>
  <c r="R111" i="245"/>
  <c r="S111" i="245"/>
  <c r="AU111" i="245"/>
  <c r="T111" i="245"/>
  <c r="U111" i="245"/>
  <c r="AA111" i="245"/>
  <c r="AB111" i="245"/>
  <c r="AC111" i="245"/>
  <c r="Z111" i="245"/>
  <c r="AD111" i="245"/>
  <c r="AE111" i="245"/>
  <c r="AF111" i="245"/>
  <c r="J111" i="245"/>
  <c r="AL111" i="245"/>
  <c r="O111" i="245"/>
  <c r="V111" i="245"/>
  <c r="Y111" i="245"/>
  <c r="AG111" i="245"/>
  <c r="AO111" i="245"/>
  <c r="N111" i="245"/>
  <c r="X111" i="245"/>
  <c r="AH111" i="245"/>
  <c r="AI111" i="245"/>
  <c r="AK111" i="245"/>
  <c r="AP111" i="245"/>
  <c r="H111" i="245"/>
  <c r="AJ111" i="245"/>
  <c r="W111" i="245"/>
  <c r="I111" i="245"/>
  <c r="K111" i="245"/>
  <c r="AM111" i="245"/>
  <c r="AN111" i="245"/>
  <c r="M111" i="245"/>
  <c r="AQ111" i="245"/>
  <c r="G111" i="245"/>
  <c r="L111" i="245"/>
  <c r="AB110" i="245"/>
  <c r="AC110" i="245"/>
  <c r="AD110" i="245"/>
  <c r="AG110" i="245"/>
  <c r="I110" i="245"/>
  <c r="J110" i="245"/>
  <c r="AE110" i="245"/>
  <c r="AF110" i="245"/>
  <c r="AL110" i="245"/>
  <c r="AK110" i="245"/>
  <c r="L110" i="245"/>
  <c r="AN110" i="245"/>
  <c r="M110" i="245"/>
  <c r="AO110" i="245"/>
  <c r="N110" i="245"/>
  <c r="AP110" i="245"/>
  <c r="O110" i="245"/>
  <c r="AQ110" i="245"/>
  <c r="AM110" i="245"/>
  <c r="P110" i="245"/>
  <c r="AR110" i="245"/>
  <c r="AU110" i="245"/>
  <c r="V110" i="245"/>
  <c r="Y110" i="245"/>
  <c r="AI110" i="245"/>
  <c r="AJ110" i="245"/>
  <c r="Q110" i="245"/>
  <c r="AS110" i="245"/>
  <c r="S110" i="245"/>
  <c r="R110" i="245"/>
  <c r="AT110" i="245"/>
  <c r="AH110" i="245"/>
  <c r="K110" i="245"/>
  <c r="T110" i="245"/>
  <c r="U110" i="245"/>
  <c r="W110" i="245"/>
  <c r="X110" i="245"/>
  <c r="Z110" i="245"/>
  <c r="AA110" i="245"/>
  <c r="H110" i="245"/>
  <c r="G85" i="245"/>
  <c r="G84" i="245"/>
  <c r="G88" i="245" s="1"/>
  <c r="G45" i="245"/>
  <c r="G68" i="245"/>
  <c r="G34" i="245"/>
  <c r="AP60" i="245"/>
  <c r="H26" i="245"/>
  <c r="H58" i="245"/>
  <c r="H53" i="245"/>
  <c r="H21" i="245"/>
  <c r="L49" i="245"/>
  <c r="AT55" i="245"/>
  <c r="I55" i="245"/>
  <c r="AU29" i="245"/>
  <c r="AN29" i="245"/>
  <c r="AM29" i="245"/>
  <c r="AF29" i="245"/>
  <c r="I29" i="245"/>
  <c r="AD49" i="245"/>
  <c r="AC15" i="245"/>
  <c r="V49" i="245"/>
  <c r="X15" i="245"/>
  <c r="U49" i="245"/>
  <c r="N49" i="245"/>
  <c r="M49" i="245"/>
  <c r="S46" i="245"/>
  <c r="L50" i="245"/>
  <c r="L51" i="245" s="1"/>
  <c r="AP36" i="245"/>
  <c r="AJ36" i="245"/>
  <c r="AI36" i="245"/>
  <c r="J58" i="245"/>
  <c r="X45" i="245"/>
  <c r="AA36" i="245"/>
  <c r="AM43" i="245"/>
  <c r="Y36" i="245"/>
  <c r="AG43" i="245"/>
  <c r="U36" i="245"/>
  <c r="AN22" i="245"/>
  <c r="AR34" i="245"/>
  <c r="V17" i="245"/>
  <c r="J43" i="245"/>
  <c r="AQ34" i="245"/>
  <c r="AB8" i="245"/>
  <c r="AH34" i="245"/>
  <c r="S58" i="245"/>
  <c r="AR54" i="245"/>
  <c r="AC34" i="245"/>
  <c r="U54" i="245"/>
  <c r="S34" i="245"/>
  <c r="S54" i="245"/>
  <c r="O34" i="245"/>
  <c r="AT69" i="245"/>
  <c r="R69" i="245"/>
  <c r="K65" i="245"/>
  <c r="I34" i="245"/>
  <c r="S64" i="245"/>
  <c r="U30" i="245"/>
  <c r="P69" i="245"/>
  <c r="R64" i="245"/>
  <c r="R30" i="245"/>
  <c r="H30" i="245"/>
  <c r="AP69" i="245"/>
  <c r="AT26" i="245"/>
  <c r="AO12" i="245"/>
  <c r="AK15" i="245"/>
  <c r="M40" i="245"/>
  <c r="T36" i="245"/>
  <c r="H34" i="245"/>
  <c r="AE29" i="245"/>
  <c r="AS26" i="245"/>
  <c r="AL22" i="245"/>
  <c r="AN12" i="245"/>
  <c r="Y8" i="245"/>
  <c r="I58" i="245"/>
  <c r="G30" i="245"/>
  <c r="AP41" i="245"/>
  <c r="L40" i="245"/>
  <c r="S36" i="245"/>
  <c r="AQ31" i="245"/>
  <c r="AC29" i="245"/>
  <c r="AR26" i="245"/>
  <c r="AK22" i="245"/>
  <c r="AK12" i="245"/>
  <c r="X8" i="245"/>
  <c r="AU40" i="245"/>
  <c r="K40" i="245"/>
  <c r="R36" i="245"/>
  <c r="AU30" i="245"/>
  <c r="AB29" i="245"/>
  <c r="AQ26" i="245"/>
  <c r="AG22" i="245"/>
  <c r="AJ12" i="245"/>
  <c r="V8" i="245"/>
  <c r="G40" i="245"/>
  <c r="O40" i="245"/>
  <c r="G26" i="245"/>
  <c r="AT40" i="245"/>
  <c r="J40" i="245"/>
  <c r="Q36" i="245"/>
  <c r="AR30" i="245"/>
  <c r="AA29" i="245"/>
  <c r="AN26" i="245"/>
  <c r="AF22" i="245"/>
  <c r="AF12" i="245"/>
  <c r="U8" i="245"/>
  <c r="G20" i="245"/>
  <c r="AS40" i="245"/>
  <c r="I40" i="245"/>
  <c r="P36" i="245"/>
  <c r="AM30" i="245"/>
  <c r="W29" i="245"/>
  <c r="AF26" i="245"/>
  <c r="AC22" i="245"/>
  <c r="AE12" i="245"/>
  <c r="T8" i="245"/>
  <c r="AQ43" i="245"/>
  <c r="G16" i="245"/>
  <c r="AR40" i="245"/>
  <c r="H40" i="245"/>
  <c r="O36" i="245"/>
  <c r="AK30" i="245"/>
  <c r="V29" i="245"/>
  <c r="AE26" i="245"/>
  <c r="AB22" i="245"/>
  <c r="AD12" i="245"/>
  <c r="S8" i="245"/>
  <c r="AQ40" i="245"/>
  <c r="AO39" i="245"/>
  <c r="N36" i="245"/>
  <c r="AJ30" i="245"/>
  <c r="T29" i="245"/>
  <c r="AB26" i="245"/>
  <c r="X22" i="245"/>
  <c r="AB12" i="245"/>
  <c r="R8" i="245"/>
  <c r="W22" i="245"/>
  <c r="P8" i="245"/>
  <c r="AA26" i="245"/>
  <c r="AN55" i="245"/>
  <c r="AN40" i="245"/>
  <c r="AC37" i="245"/>
  <c r="K36" i="245"/>
  <c r="AC30" i="245"/>
  <c r="R29" i="245"/>
  <c r="Z26" i="245"/>
  <c r="V22" i="245"/>
  <c r="W12" i="245"/>
  <c r="I8" i="245"/>
  <c r="AO40" i="245"/>
  <c r="AH38" i="245"/>
  <c r="L36" i="245"/>
  <c r="AD30" i="245"/>
  <c r="S29" i="245"/>
  <c r="X12" i="245"/>
  <c r="J49" i="245"/>
  <c r="Z43" i="245"/>
  <c r="AM55" i="245"/>
  <c r="AM40" i="245"/>
  <c r="AU36" i="245"/>
  <c r="J36" i="245"/>
  <c r="Z30" i="245"/>
  <c r="Q29" i="245"/>
  <c r="Y26" i="245"/>
  <c r="T22" i="245"/>
  <c r="T12" i="245"/>
  <c r="H8" i="245"/>
  <c r="U43" i="245"/>
  <c r="AL40" i="245"/>
  <c r="AT36" i="245"/>
  <c r="I36" i="245"/>
  <c r="Y30" i="245"/>
  <c r="P29" i="245"/>
  <c r="X26" i="245"/>
  <c r="P22" i="245"/>
  <c r="R12" i="245"/>
  <c r="G59" i="245"/>
  <c r="AK40" i="245"/>
  <c r="AS36" i="245"/>
  <c r="H36" i="245"/>
  <c r="X30" i="245"/>
  <c r="N29" i="245"/>
  <c r="V26" i="245"/>
  <c r="O22" i="245"/>
  <c r="Q12" i="245"/>
  <c r="G58" i="245"/>
  <c r="L43" i="245"/>
  <c r="AJ40" i="245"/>
  <c r="AR36" i="245"/>
  <c r="AT34" i="245"/>
  <c r="W30" i="245"/>
  <c r="J29" i="245"/>
  <c r="U26" i="245"/>
  <c r="L22" i="245"/>
  <c r="P12" i="245"/>
  <c r="AT59" i="245"/>
  <c r="AI40" i="245"/>
  <c r="T26" i="245"/>
  <c r="J22" i="245"/>
  <c r="O12" i="245"/>
  <c r="AN59" i="245"/>
  <c r="AF40" i="245"/>
  <c r="AO36" i="245"/>
  <c r="V28" i="245"/>
  <c r="P26" i="245"/>
  <c r="I22" i="245"/>
  <c r="L12" i="245"/>
  <c r="AK59" i="245"/>
  <c r="O50" i="245"/>
  <c r="O51" i="245" s="1"/>
  <c r="AE40" i="245"/>
  <c r="AN36" i="245"/>
  <c r="AN34" i="245"/>
  <c r="Q30" i="245"/>
  <c r="O26" i="245"/>
  <c r="H22" i="245"/>
  <c r="K12" i="245"/>
  <c r="AJ59" i="245"/>
  <c r="AQ65" i="245"/>
  <c r="AM49" i="245"/>
  <c r="AD40" i="245"/>
  <c r="AM36" i="245"/>
  <c r="AM34" i="245"/>
  <c r="L30" i="245"/>
  <c r="L26" i="245"/>
  <c r="AK20" i="245"/>
  <c r="I12" i="245"/>
  <c r="AI59" i="245"/>
  <c r="AM65" i="245"/>
  <c r="AJ49" i="245"/>
  <c r="AC40" i="245"/>
  <c r="AL36" i="245"/>
  <c r="AI34" i="245"/>
  <c r="J30" i="245"/>
  <c r="K26" i="245"/>
  <c r="V9" i="245"/>
  <c r="Z59" i="245"/>
  <c r="AB40" i="245"/>
  <c r="I26" i="245"/>
  <c r="AT8" i="245"/>
  <c r="Y59" i="245"/>
  <c r="Z40" i="245"/>
  <c r="AS8" i="245"/>
  <c r="AU58" i="245"/>
  <c r="AM45" i="245"/>
  <c r="Y40" i="245"/>
  <c r="AE36" i="245"/>
  <c r="AB34" i="245"/>
  <c r="AT29" i="245"/>
  <c r="K25" i="245"/>
  <c r="AI15" i="245"/>
  <c r="AO8" i="245"/>
  <c r="AK58" i="245"/>
  <c r="AJ53" i="245"/>
  <c r="X40" i="245"/>
  <c r="AD36" i="245"/>
  <c r="AA34" i="245"/>
  <c r="AR29" i="245"/>
  <c r="AH23" i="245"/>
  <c r="AN8" i="245"/>
  <c r="AI58" i="245"/>
  <c r="V40" i="245"/>
  <c r="AT22" i="245"/>
  <c r="AM8" i="245"/>
  <c r="AG58" i="245"/>
  <c r="AS22" i="245"/>
  <c r="AK8" i="245"/>
  <c r="AD58" i="245"/>
  <c r="U40" i="245"/>
  <c r="AA45" i="245"/>
  <c r="K53" i="245"/>
  <c r="V48" i="245"/>
  <c r="R40" i="245"/>
  <c r="X36" i="245"/>
  <c r="N34" i="245"/>
  <c r="AJ29" i="245"/>
  <c r="AR22" i="245"/>
  <c r="AJ13" i="245"/>
  <c r="AJ8" i="245"/>
  <c r="X58" i="245"/>
  <c r="G46" i="245"/>
  <c r="W47" i="245"/>
  <c r="Q40" i="245"/>
  <c r="W36" i="245"/>
  <c r="L34" i="245"/>
  <c r="AI29" i="245"/>
  <c r="AQ22" i="245"/>
  <c r="AT12" i="245"/>
  <c r="AG8" i="245"/>
  <c r="U58" i="245"/>
  <c r="G43" i="245"/>
  <c r="G42" i="245"/>
  <c r="R47" i="245"/>
  <c r="V36" i="245"/>
  <c r="AG29" i="245"/>
  <c r="AP22" i="245"/>
  <c r="AF8" i="245"/>
  <c r="T58" i="245"/>
  <c r="U56" i="245"/>
  <c r="V56" i="245"/>
  <c r="W56" i="245"/>
  <c r="X56" i="245"/>
  <c r="Y56" i="245"/>
  <c r="AI56" i="245"/>
  <c r="H56" i="245"/>
  <c r="AJ56" i="245"/>
  <c r="I56" i="245"/>
  <c r="AK56" i="245"/>
  <c r="J56" i="245"/>
  <c r="AL56" i="245"/>
  <c r="K56" i="245"/>
  <c r="AM56" i="245"/>
  <c r="L56" i="245"/>
  <c r="AN56" i="245"/>
  <c r="M56" i="245"/>
  <c r="AO56" i="245"/>
  <c r="N56" i="245"/>
  <c r="AP56" i="245"/>
  <c r="R56" i="245"/>
  <c r="AT56" i="245"/>
  <c r="AQ56" i="245"/>
  <c r="AR56" i="245"/>
  <c r="AS56" i="245"/>
  <c r="AU56" i="245"/>
  <c r="O56" i="245"/>
  <c r="P56" i="245"/>
  <c r="Q56" i="245"/>
  <c r="S56" i="245"/>
  <c r="G56" i="245"/>
  <c r="T56" i="245"/>
  <c r="Z56" i="245"/>
  <c r="AA56" i="245"/>
  <c r="AB56" i="245"/>
  <c r="AC56" i="245"/>
  <c r="AD56" i="245"/>
  <c r="AE56" i="245"/>
  <c r="AF56" i="245"/>
  <c r="AG56" i="245"/>
  <c r="AC7" i="245"/>
  <c r="M55" i="245"/>
  <c r="AO55" i="245"/>
  <c r="P55" i="245"/>
  <c r="AR55" i="245"/>
  <c r="AA55" i="245"/>
  <c r="AB55" i="245"/>
  <c r="AE55" i="245"/>
  <c r="AF55" i="245"/>
  <c r="AI55" i="245"/>
  <c r="AI64" i="245"/>
  <c r="AS55" i="245"/>
  <c r="H55" i="245"/>
  <c r="S50" i="245"/>
  <c r="S51" i="245" s="1"/>
  <c r="T48" i="245"/>
  <c r="V47" i="245"/>
  <c r="AO41" i="245"/>
  <c r="AN39" i="245"/>
  <c r="AG38" i="245"/>
  <c r="AB37" i="245"/>
  <c r="V35" i="245"/>
  <c r="I33" i="245"/>
  <c r="AP31" i="245"/>
  <c r="Q28" i="245"/>
  <c r="J25" i="245"/>
  <c r="AG23" i="245"/>
  <c r="AR18" i="245"/>
  <c r="S17" i="245"/>
  <c r="AG13" i="245"/>
  <c r="T9" i="245"/>
  <c r="U7" i="245"/>
  <c r="V34" i="245"/>
  <c r="AD34" i="245"/>
  <c r="AG34" i="245"/>
  <c r="AJ34" i="245"/>
  <c r="AK34" i="245"/>
  <c r="K34" i="245"/>
  <c r="AO34" i="245"/>
  <c r="Q34" i="245"/>
  <c r="AU34" i="245"/>
  <c r="R34" i="245"/>
  <c r="U34" i="245"/>
  <c r="W34" i="245"/>
  <c r="X34" i="245"/>
  <c r="Z34" i="245"/>
  <c r="AI20" i="245"/>
  <c r="U20" i="245"/>
  <c r="V20" i="245"/>
  <c r="W20" i="245"/>
  <c r="Z20" i="245"/>
  <c r="AD20" i="245"/>
  <c r="AM20" i="245"/>
  <c r="H20" i="245"/>
  <c r="AP20" i="245"/>
  <c r="I20" i="245"/>
  <c r="AQ20" i="245"/>
  <c r="K20" i="245"/>
  <c r="M20" i="245"/>
  <c r="AU20" i="245"/>
  <c r="O20" i="245"/>
  <c r="S20" i="245"/>
  <c r="X20" i="245"/>
  <c r="T20" i="245"/>
  <c r="AA20" i="245"/>
  <c r="AB20" i="245"/>
  <c r="AC20" i="245"/>
  <c r="AF20" i="245"/>
  <c r="AU65" i="245"/>
  <c r="AF53" i="245"/>
  <c r="AQ55" i="245"/>
  <c r="R50" i="245"/>
  <c r="R51" i="245" s="1"/>
  <c r="R49" i="245"/>
  <c r="S48" i="245"/>
  <c r="U47" i="245"/>
  <c r="P46" i="245"/>
  <c r="AU42" i="245"/>
  <c r="AL41" i="245"/>
  <c r="AM39" i="245"/>
  <c r="AE38" i="245"/>
  <c r="Z37" i="245"/>
  <c r="U35" i="245"/>
  <c r="M34" i="245"/>
  <c r="H33" i="245"/>
  <c r="AN31" i="245"/>
  <c r="P28" i="245"/>
  <c r="H25" i="245"/>
  <c r="AF23" i="245"/>
  <c r="AH20" i="245"/>
  <c r="AQ18" i="245"/>
  <c r="R17" i="245"/>
  <c r="AF13" i="245"/>
  <c r="AR11" i="245"/>
  <c r="O9" i="245"/>
  <c r="AT54" i="245"/>
  <c r="W53" i="245"/>
  <c r="AP55" i="245"/>
  <c r="P50" i="245"/>
  <c r="P51" i="245" s="1"/>
  <c r="Q49" i="245"/>
  <c r="R48" i="245"/>
  <c r="T47" i="245"/>
  <c r="O46" i="245"/>
  <c r="AS42" i="245"/>
  <c r="AK41" i="245"/>
  <c r="AL39" i="245"/>
  <c r="AC38" i="245"/>
  <c r="U37" i="245"/>
  <c r="T35" i="245"/>
  <c r="AU32" i="245"/>
  <c r="AM31" i="245"/>
  <c r="M28" i="245"/>
  <c r="AR24" i="245"/>
  <c r="AC23" i="245"/>
  <c r="AP18" i="245"/>
  <c r="P17" i="245"/>
  <c r="AE13" i="245"/>
  <c r="AQ11" i="245"/>
  <c r="N9" i="245"/>
  <c r="Q48" i="245"/>
  <c r="N46" i="245"/>
  <c r="AQ42" i="245"/>
  <c r="AJ41" i="245"/>
  <c r="AJ39" i="245"/>
  <c r="AB38" i="245"/>
  <c r="T37" i="245"/>
  <c r="S35" i="245"/>
  <c r="AR32" i="245"/>
  <c r="AK31" i="245"/>
  <c r="L28" i="245"/>
  <c r="AP24" i="245"/>
  <c r="AB23" i="245"/>
  <c r="AE20" i="245"/>
  <c r="AO18" i="245"/>
  <c r="N17" i="245"/>
  <c r="AC13" i="245"/>
  <c r="AO11" i="245"/>
  <c r="M9" i="245"/>
  <c r="G41" i="245"/>
  <c r="N50" i="245"/>
  <c r="N51" i="245" s="1"/>
  <c r="O48" i="245"/>
  <c r="Q47" i="245"/>
  <c r="L46" i="245"/>
  <c r="AP42" i="245"/>
  <c r="AI41" i="245"/>
  <c r="AF39" i="245"/>
  <c r="Y38" i="245"/>
  <c r="Q37" i="245"/>
  <c r="Q35" i="245"/>
  <c r="AN32" i="245"/>
  <c r="AH31" i="245"/>
  <c r="H28" i="245"/>
  <c r="AM24" i="245"/>
  <c r="Y23" i="245"/>
  <c r="Y20" i="245"/>
  <c r="AN18" i="245"/>
  <c r="M17" i="245"/>
  <c r="AB13" i="245"/>
  <c r="AN11" i="245"/>
  <c r="L9" i="245"/>
  <c r="AN75" i="245"/>
  <c r="M50" i="245"/>
  <c r="M51" i="245" s="1"/>
  <c r="N48" i="245"/>
  <c r="M47" i="245"/>
  <c r="K46" i="245"/>
  <c r="AO42" i="245"/>
  <c r="AH41" i="245"/>
  <c r="AE39" i="245"/>
  <c r="X38" i="245"/>
  <c r="P37" i="245"/>
  <c r="O35" i="245"/>
  <c r="AM32" i="245"/>
  <c r="AG31" i="245"/>
  <c r="AK24" i="245"/>
  <c r="X23" i="245"/>
  <c r="R20" i="245"/>
  <c r="AL18" i="245"/>
  <c r="L17" i="245"/>
  <c r="R13" i="245"/>
  <c r="AM11" i="245"/>
  <c r="AL54" i="245"/>
  <c r="J53" i="245"/>
  <c r="G39" i="245"/>
  <c r="AK55" i="245"/>
  <c r="K49" i="245"/>
  <c r="L48" i="245"/>
  <c r="L47" i="245"/>
  <c r="J46" i="245"/>
  <c r="AN42" i="245"/>
  <c r="AF41" i="245"/>
  <c r="AB39" i="245"/>
  <c r="V38" i="245"/>
  <c r="O37" i="245"/>
  <c r="AS33" i="245"/>
  <c r="AJ32" i="245"/>
  <c r="AE31" i="245"/>
  <c r="AJ24" i="245"/>
  <c r="W23" i="245"/>
  <c r="AU21" i="245"/>
  <c r="Q20" i="245"/>
  <c r="K17" i="245"/>
  <c r="L13" i="245"/>
  <c r="AL11" i="245"/>
  <c r="AA74" i="245"/>
  <c r="J35" i="245"/>
  <c r="AL35" i="245"/>
  <c r="R35" i="245"/>
  <c r="AT35" i="245"/>
  <c r="W35" i="245"/>
  <c r="Z35" i="245"/>
  <c r="AA35" i="245"/>
  <c r="AE35" i="245"/>
  <c r="AK35" i="245"/>
  <c r="H35" i="245"/>
  <c r="AM35" i="245"/>
  <c r="L35" i="245"/>
  <c r="AP35" i="245"/>
  <c r="M35" i="245"/>
  <c r="AQ35" i="245"/>
  <c r="N35" i="245"/>
  <c r="AR35" i="245"/>
  <c r="P35" i="245"/>
  <c r="AU35" i="245"/>
  <c r="AE18" i="245"/>
  <c r="Q18" i="245"/>
  <c r="AS18" i="245"/>
  <c r="R18" i="245"/>
  <c r="AT18" i="245"/>
  <c r="S18" i="245"/>
  <c r="AU18" i="245"/>
  <c r="V18" i="245"/>
  <c r="Z18" i="245"/>
  <c r="K18" i="245"/>
  <c r="N18" i="245"/>
  <c r="O18" i="245"/>
  <c r="T18" i="245"/>
  <c r="W18" i="245"/>
  <c r="Y18" i="245"/>
  <c r="AD18" i="245"/>
  <c r="AG18" i="245"/>
  <c r="AF18" i="245"/>
  <c r="AI18" i="245"/>
  <c r="AJ18" i="245"/>
  <c r="AK18" i="245"/>
  <c r="AM18" i="245"/>
  <c r="Q50" i="245"/>
  <c r="Q51" i="245" s="1"/>
  <c r="AS50" i="245"/>
  <c r="AS51" i="245" s="1"/>
  <c r="T50" i="245"/>
  <c r="T51" i="245" s="1"/>
  <c r="Y50" i="245"/>
  <c r="Y51" i="245" s="1"/>
  <c r="AE50" i="245"/>
  <c r="AE51" i="245" s="1"/>
  <c r="AF50" i="245"/>
  <c r="AF51" i="245" s="1"/>
  <c r="G50" i="245"/>
  <c r="G51" i="245" s="1"/>
  <c r="AI50" i="245"/>
  <c r="AI51" i="245" s="1"/>
  <c r="H50" i="245"/>
  <c r="H51" i="245" s="1"/>
  <c r="AJ50" i="245"/>
  <c r="AJ51" i="245" s="1"/>
  <c r="K50" i="245"/>
  <c r="K51" i="245" s="1"/>
  <c r="AM50" i="245"/>
  <c r="AM51" i="245" s="1"/>
  <c r="AP43" i="245"/>
  <c r="I53" i="245"/>
  <c r="G37" i="245"/>
  <c r="AJ55" i="245"/>
  <c r="J50" i="245"/>
  <c r="J51" i="245" s="1"/>
  <c r="K48" i="245"/>
  <c r="I47" i="245"/>
  <c r="I46" i="245"/>
  <c r="AM42" i="245"/>
  <c r="AE41" i="245"/>
  <c r="AA39" i="245"/>
  <c r="U38" i="245"/>
  <c r="M37" i="245"/>
  <c r="I35" i="245"/>
  <c r="AR33" i="245"/>
  <c r="AC31" i="245"/>
  <c r="AI24" i="245"/>
  <c r="U23" i="245"/>
  <c r="AR21" i="245"/>
  <c r="P20" i="245"/>
  <c r="AC18" i="245"/>
  <c r="J13" i="245"/>
  <c r="R32" i="245"/>
  <c r="AT32" i="245"/>
  <c r="Z32" i="245"/>
  <c r="V32" i="245"/>
  <c r="Y32" i="245"/>
  <c r="AA32" i="245"/>
  <c r="AE32" i="245"/>
  <c r="AK32" i="245"/>
  <c r="H32" i="245"/>
  <c r="AL32" i="245"/>
  <c r="K32" i="245"/>
  <c r="AO32" i="245"/>
  <c r="L32" i="245"/>
  <c r="AP32" i="245"/>
  <c r="M32" i="245"/>
  <c r="AQ32" i="245"/>
  <c r="O32" i="245"/>
  <c r="AS32" i="245"/>
  <c r="J65" i="245"/>
  <c r="AA54" i="245"/>
  <c r="AB54" i="245"/>
  <c r="AI54" i="245"/>
  <c r="AJ54" i="245"/>
  <c r="AP54" i="245"/>
  <c r="J72" i="245"/>
  <c r="AL72" i="245"/>
  <c r="K72" i="245"/>
  <c r="AM72" i="245"/>
  <c r="L72" i="245"/>
  <c r="AN72" i="245"/>
  <c r="M72" i="245"/>
  <c r="AO72" i="245"/>
  <c r="N72" i="245"/>
  <c r="AP72" i="245"/>
  <c r="X72" i="245"/>
  <c r="Y72" i="245"/>
  <c r="Z72" i="245"/>
  <c r="AA72" i="245"/>
  <c r="AB72" i="245"/>
  <c r="AC72" i="245"/>
  <c r="AD72" i="245"/>
  <c r="AE72" i="245"/>
  <c r="AI72" i="245"/>
  <c r="H72" i="245"/>
  <c r="I72" i="245"/>
  <c r="O72" i="245"/>
  <c r="P72" i="245"/>
  <c r="Q72" i="245"/>
  <c r="R72" i="245"/>
  <c r="S72" i="245"/>
  <c r="T72" i="245"/>
  <c r="U72" i="245"/>
  <c r="V72" i="245"/>
  <c r="W72" i="245"/>
  <c r="G72" i="245"/>
  <c r="AF72" i="245"/>
  <c r="AG72" i="245"/>
  <c r="AH72" i="245"/>
  <c r="AJ72" i="245"/>
  <c r="AK72" i="245"/>
  <c r="AQ72" i="245"/>
  <c r="AR72" i="245"/>
  <c r="AS72" i="245"/>
  <c r="AT72" i="245"/>
  <c r="AU72" i="245"/>
  <c r="AC49" i="245"/>
  <c r="AF49" i="245"/>
  <c r="I49" i="245"/>
  <c r="AK49" i="245"/>
  <c r="O49" i="245"/>
  <c r="AQ49" i="245"/>
  <c r="G49" i="245"/>
  <c r="P49" i="245"/>
  <c r="AR49" i="245"/>
  <c r="S49" i="245"/>
  <c r="AU49" i="245"/>
  <c r="T49" i="245"/>
  <c r="W49" i="245"/>
  <c r="AH55" i="245"/>
  <c r="H49" i="245"/>
  <c r="Y39" i="245"/>
  <c r="T38" i="245"/>
  <c r="L37" i="245"/>
  <c r="AO33" i="245"/>
  <c r="AH32" i="245"/>
  <c r="AG24" i="245"/>
  <c r="T23" i="245"/>
  <c r="AO21" i="245"/>
  <c r="N20" i="245"/>
  <c r="AB18" i="245"/>
  <c r="Q11" i="245"/>
  <c r="J33" i="245"/>
  <c r="W52" i="245"/>
  <c r="P52" i="245"/>
  <c r="N74" i="245"/>
  <c r="AP74" i="245"/>
  <c r="O74" i="245"/>
  <c r="AQ74" i="245"/>
  <c r="P74" i="245"/>
  <c r="AR74" i="245"/>
  <c r="Q74" i="245"/>
  <c r="AS74" i="245"/>
  <c r="R74" i="245"/>
  <c r="AT74" i="245"/>
  <c r="AB74" i="245"/>
  <c r="AC74" i="245"/>
  <c r="AD74" i="245"/>
  <c r="AE74" i="245"/>
  <c r="AF74" i="245"/>
  <c r="AG74" i="245"/>
  <c r="AH74" i="245"/>
  <c r="AI74" i="245"/>
  <c r="K74" i="245"/>
  <c r="AM74" i="245"/>
  <c r="AJ74" i="245"/>
  <c r="AK74" i="245"/>
  <c r="AL74" i="245"/>
  <c r="AN74" i="245"/>
  <c r="AO74" i="245"/>
  <c r="AU74" i="245"/>
  <c r="H74" i="245"/>
  <c r="I74" i="245"/>
  <c r="G74" i="245"/>
  <c r="J74" i="245"/>
  <c r="L74" i="245"/>
  <c r="M74" i="245"/>
  <c r="S74" i="245"/>
  <c r="T74" i="245"/>
  <c r="U74" i="245"/>
  <c r="V74" i="245"/>
  <c r="W74" i="245"/>
  <c r="X74" i="245"/>
  <c r="Y74" i="245"/>
  <c r="T53" i="245"/>
  <c r="V53" i="245"/>
  <c r="AG64" i="245"/>
  <c r="AH64" i="245"/>
  <c r="AK53" i="245"/>
  <c r="Z73" i="245"/>
  <c r="AA73" i="245"/>
  <c r="AB73" i="245"/>
  <c r="AC73" i="245"/>
  <c r="AD73" i="245"/>
  <c r="L73" i="245"/>
  <c r="AN73" i="245"/>
  <c r="M73" i="245"/>
  <c r="AO73" i="245"/>
  <c r="N73" i="245"/>
  <c r="AP73" i="245"/>
  <c r="O73" i="245"/>
  <c r="AQ73" i="245"/>
  <c r="P73" i="245"/>
  <c r="AR73" i="245"/>
  <c r="Q73" i="245"/>
  <c r="AS73" i="245"/>
  <c r="R73" i="245"/>
  <c r="AT73" i="245"/>
  <c r="S73" i="245"/>
  <c r="AU73" i="245"/>
  <c r="W73" i="245"/>
  <c r="T73" i="245"/>
  <c r="U73" i="245"/>
  <c r="V73" i="245"/>
  <c r="X73" i="245"/>
  <c r="Y73" i="245"/>
  <c r="AE73" i="245"/>
  <c r="AF73" i="245"/>
  <c r="AG73" i="245"/>
  <c r="AH73" i="245"/>
  <c r="AI73" i="245"/>
  <c r="AJ73" i="245"/>
  <c r="AK73" i="245"/>
  <c r="AL73" i="245"/>
  <c r="AM73" i="245"/>
  <c r="G73" i="245"/>
  <c r="H73" i="245"/>
  <c r="I73" i="245"/>
  <c r="AD31" i="245"/>
  <c r="J31" i="245"/>
  <c r="AL31" i="245"/>
  <c r="AF31" i="245"/>
  <c r="AI31" i="245"/>
  <c r="AJ31" i="245"/>
  <c r="K31" i="245"/>
  <c r="AO31" i="245"/>
  <c r="Q31" i="245"/>
  <c r="AU31" i="245"/>
  <c r="R31" i="245"/>
  <c r="U31" i="245"/>
  <c r="V31" i="245"/>
  <c r="W31" i="245"/>
  <c r="Y31" i="245"/>
  <c r="O17" i="245"/>
  <c r="AQ17" i="245"/>
  <c r="AC17" i="245"/>
  <c r="AD17" i="245"/>
  <c r="AE17" i="245"/>
  <c r="AH17" i="245"/>
  <c r="J17" i="245"/>
  <c r="AL17" i="245"/>
  <c r="Q17" i="245"/>
  <c r="T17" i="245"/>
  <c r="U17" i="245"/>
  <c r="W17" i="245"/>
  <c r="Y17" i="245"/>
  <c r="AA17" i="245"/>
  <c r="AI17" i="245"/>
  <c r="AK17" i="245"/>
  <c r="AJ17" i="245"/>
  <c r="AN17" i="245"/>
  <c r="AO17" i="245"/>
  <c r="AP17" i="245"/>
  <c r="I17" i="245"/>
  <c r="AS17" i="245"/>
  <c r="I43" i="245"/>
  <c r="AR43" i="245"/>
  <c r="AD43" i="245"/>
  <c r="AE43" i="245"/>
  <c r="AH43" i="245"/>
  <c r="AI43" i="245"/>
  <c r="AL43" i="245"/>
  <c r="V71" i="245"/>
  <c r="W71" i="245"/>
  <c r="X71" i="245"/>
  <c r="Y71" i="245"/>
  <c r="Z71" i="245"/>
  <c r="H71" i="245"/>
  <c r="AJ71" i="245"/>
  <c r="I71" i="245"/>
  <c r="AK71" i="245"/>
  <c r="J71" i="245"/>
  <c r="AL71" i="245"/>
  <c r="K71" i="245"/>
  <c r="AM71" i="245"/>
  <c r="L71" i="245"/>
  <c r="AN71" i="245"/>
  <c r="M71" i="245"/>
  <c r="AO71" i="245"/>
  <c r="N71" i="245"/>
  <c r="AP71" i="245"/>
  <c r="O71" i="245"/>
  <c r="AQ71" i="245"/>
  <c r="S71" i="245"/>
  <c r="AU71" i="245"/>
  <c r="AR71" i="245"/>
  <c r="AS71" i="245"/>
  <c r="AT71" i="245"/>
  <c r="G71" i="245"/>
  <c r="P71" i="245"/>
  <c r="Q71" i="245"/>
  <c r="R71" i="245"/>
  <c r="T71" i="245"/>
  <c r="U71" i="245"/>
  <c r="AA71" i="245"/>
  <c r="AB71" i="245"/>
  <c r="AC71" i="245"/>
  <c r="AD71" i="245"/>
  <c r="AE71" i="245"/>
  <c r="AF71" i="245"/>
  <c r="AG71" i="245"/>
  <c r="AG54" i="245"/>
  <c r="AU50" i="245"/>
  <c r="AU51" i="245" s="1"/>
  <c r="I50" i="245"/>
  <c r="I51" i="245" s="1"/>
  <c r="J48" i="245"/>
  <c r="H47" i="245"/>
  <c r="AJ42" i="245"/>
  <c r="AC41" i="245"/>
  <c r="AL45" i="245"/>
  <c r="N30" i="245"/>
  <c r="AP30" i="245"/>
  <c r="V30" i="245"/>
  <c r="K30" i="245"/>
  <c r="AO30" i="245"/>
  <c r="O30" i="245"/>
  <c r="AS30" i="245"/>
  <c r="P30" i="245"/>
  <c r="AT30" i="245"/>
  <c r="T30" i="245"/>
  <c r="AA30" i="245"/>
  <c r="AB30" i="245"/>
  <c r="AE30" i="245"/>
  <c r="AF30" i="245"/>
  <c r="AG30" i="245"/>
  <c r="AI30" i="245"/>
  <c r="AA16" i="245"/>
  <c r="M16" i="245"/>
  <c r="AO16" i="245"/>
  <c r="N16" i="245"/>
  <c r="AP16" i="245"/>
  <c r="O16" i="245"/>
  <c r="AQ16" i="245"/>
  <c r="R16" i="245"/>
  <c r="AT16" i="245"/>
  <c r="V16" i="245"/>
  <c r="U16" i="245"/>
  <c r="Y16" i="245"/>
  <c r="AC16" i="245"/>
  <c r="AE16" i="245"/>
  <c r="AG16" i="245"/>
  <c r="AK16" i="245"/>
  <c r="AM16" i="245"/>
  <c r="AL16" i="245"/>
  <c r="AR16" i="245"/>
  <c r="H16" i="245"/>
  <c r="AS16" i="245"/>
  <c r="I16" i="245"/>
  <c r="AU16" i="245"/>
  <c r="K16" i="245"/>
  <c r="AH70" i="245"/>
  <c r="AI70" i="245"/>
  <c r="H70" i="245"/>
  <c r="AJ70" i="245"/>
  <c r="G70" i="245"/>
  <c r="I70" i="245"/>
  <c r="AK70" i="245"/>
  <c r="J70" i="245"/>
  <c r="AL70" i="245"/>
  <c r="T70" i="245"/>
  <c r="U70" i="245"/>
  <c r="V70" i="245"/>
  <c r="W70" i="245"/>
  <c r="X70" i="245"/>
  <c r="Y70" i="245"/>
  <c r="Z70" i="245"/>
  <c r="AA70" i="245"/>
  <c r="AE70" i="245"/>
  <c r="AB70" i="245"/>
  <c r="AC70" i="245"/>
  <c r="AD70" i="245"/>
  <c r="AF70" i="245"/>
  <c r="AG70" i="245"/>
  <c r="AM70" i="245"/>
  <c r="AN70" i="245"/>
  <c r="AO70" i="245"/>
  <c r="AP70" i="245"/>
  <c r="AQ70" i="245"/>
  <c r="AR70" i="245"/>
  <c r="AS70" i="245"/>
  <c r="AT70" i="245"/>
  <c r="AU70" i="245"/>
  <c r="K70" i="245"/>
  <c r="L70" i="245"/>
  <c r="M70" i="245"/>
  <c r="N70" i="245"/>
  <c r="O70" i="245"/>
  <c r="P70" i="245"/>
  <c r="Q70" i="245"/>
  <c r="AN43" i="245"/>
  <c r="Z65" i="245"/>
  <c r="AT52" i="245"/>
  <c r="AG55" i="245"/>
  <c r="AH54" i="245"/>
  <c r="AT50" i="245"/>
  <c r="AT51" i="245" s="1"/>
  <c r="AT49" i="245"/>
  <c r="AU48" i="245"/>
  <c r="I48" i="245"/>
  <c r="AU46" i="245"/>
  <c r="AO43" i="245"/>
  <c r="AF42" i="245"/>
  <c r="Z41" i="245"/>
  <c r="X39" i="245"/>
  <c r="S38" i="245"/>
  <c r="J37" i="245"/>
  <c r="AS34" i="245"/>
  <c r="AN33" i="245"/>
  <c r="AG32" i="245"/>
  <c r="AA31" i="245"/>
  <c r="S30" i="245"/>
  <c r="AB24" i="245"/>
  <c r="Q23" i="245"/>
  <c r="AI21" i="245"/>
  <c r="L20" i="245"/>
  <c r="AA18" i="245"/>
  <c r="AJ16" i="245"/>
  <c r="M11" i="245"/>
  <c r="J73" i="245"/>
  <c r="AF69" i="245"/>
  <c r="AU69" i="245"/>
  <c r="G69" i="245"/>
  <c r="V69" i="245"/>
  <c r="W69" i="245"/>
  <c r="X69" i="245"/>
  <c r="Y69" i="245"/>
  <c r="Z69" i="245"/>
  <c r="AA69" i="245"/>
  <c r="AB69" i="245"/>
  <c r="AC69" i="245"/>
  <c r="AH69" i="245"/>
  <c r="H69" i="245"/>
  <c r="M69" i="245"/>
  <c r="S69" i="245"/>
  <c r="U69" i="245"/>
  <c r="AD69" i="245"/>
  <c r="AE69" i="245"/>
  <c r="AG69" i="245"/>
  <c r="AJ69" i="245"/>
  <c r="AO69" i="245"/>
  <c r="Y65" i="245"/>
  <c r="AS52" i="245"/>
  <c r="G33" i="245"/>
  <c r="AD55" i="245"/>
  <c r="AR50" i="245"/>
  <c r="AR51" i="245" s="1"/>
  <c r="AS49" i="245"/>
  <c r="AT48" i="245"/>
  <c r="H48" i="245"/>
  <c r="AS46" i="245"/>
  <c r="AE42" i="245"/>
  <c r="Y41" i="245"/>
  <c r="W39" i="245"/>
  <c r="R38" i="245"/>
  <c r="I37" i="245"/>
  <c r="AM33" i="245"/>
  <c r="AF32" i="245"/>
  <c r="Z31" i="245"/>
  <c r="AR25" i="245"/>
  <c r="AA24" i="245"/>
  <c r="J23" i="245"/>
  <c r="AH21" i="245"/>
  <c r="J20" i="245"/>
  <c r="X18" i="245"/>
  <c r="AI16" i="245"/>
  <c r="AR14" i="245"/>
  <c r="J11" i="245"/>
  <c r="AI71" i="245"/>
  <c r="X35" i="245"/>
  <c r="AE75" i="245"/>
  <c r="AF75" i="245"/>
  <c r="P75" i="245"/>
  <c r="Q75" i="245"/>
  <c r="AS75" i="245"/>
  <c r="R75" i="245"/>
  <c r="AT75" i="245"/>
  <c r="S75" i="245"/>
  <c r="AU75" i="245"/>
  <c r="T75" i="245"/>
  <c r="U75" i="245"/>
  <c r="V75" i="245"/>
  <c r="W75" i="245"/>
  <c r="AA75" i="245"/>
  <c r="AO75" i="245"/>
  <c r="AP75" i="245"/>
  <c r="AQ75" i="245"/>
  <c r="AR75" i="245"/>
  <c r="H75" i="245"/>
  <c r="I75" i="245"/>
  <c r="J75" i="245"/>
  <c r="K75" i="245"/>
  <c r="L75" i="245"/>
  <c r="M75" i="245"/>
  <c r="N75" i="245"/>
  <c r="O75" i="245"/>
  <c r="X75" i="245"/>
  <c r="Y75" i="245"/>
  <c r="Z75" i="245"/>
  <c r="G75" i="245"/>
  <c r="AB75" i="245"/>
  <c r="AC75" i="245"/>
  <c r="AD75" i="245"/>
  <c r="AG75" i="245"/>
  <c r="AH75" i="245"/>
  <c r="AI75" i="245"/>
  <c r="AJ75" i="245"/>
  <c r="AK75" i="245"/>
  <c r="AL75" i="245"/>
  <c r="AL68" i="245"/>
  <c r="AF68" i="245"/>
  <c r="AH68" i="245"/>
  <c r="AI68" i="245"/>
  <c r="AJ68" i="245"/>
  <c r="AK68" i="245"/>
  <c r="H68" i="245"/>
  <c r="I68" i="245"/>
  <c r="J68" i="245"/>
  <c r="Y68" i="245"/>
  <c r="K68" i="245"/>
  <c r="L68" i="245"/>
  <c r="M68" i="245"/>
  <c r="Z68" i="245"/>
  <c r="AD68" i="245"/>
  <c r="AN68" i="245"/>
  <c r="AO68" i="245"/>
  <c r="AP68" i="245"/>
  <c r="AT68" i="245"/>
  <c r="AK43" i="245"/>
  <c r="X65" i="245"/>
  <c r="AR52" i="245"/>
  <c r="G32" i="245"/>
  <c r="AC55" i="245"/>
  <c r="AQ50" i="245"/>
  <c r="AQ51" i="245" s="1"/>
  <c r="AP49" i="245"/>
  <c r="AR46" i="245"/>
  <c r="AB42" i="245"/>
  <c r="W41" i="245"/>
  <c r="U39" i="245"/>
  <c r="P38" i="245"/>
  <c r="H37" i="245"/>
  <c r="AD32" i="245"/>
  <c r="X31" i="245"/>
  <c r="AP25" i="245"/>
  <c r="Z24" i="245"/>
  <c r="I23" i="245"/>
  <c r="AF21" i="245"/>
  <c r="U18" i="245"/>
  <c r="AH16" i="245"/>
  <c r="AO14" i="245"/>
  <c r="AH71" i="245"/>
  <c r="AH33" i="245"/>
  <c r="N33" i="245"/>
  <c r="AP33" i="245"/>
  <c r="L33" i="245"/>
  <c r="AQ33" i="245"/>
  <c r="P33" i="245"/>
  <c r="AT33" i="245"/>
  <c r="Q33" i="245"/>
  <c r="AU33" i="245"/>
  <c r="U33" i="245"/>
  <c r="AA33" i="245"/>
  <c r="AB33" i="245"/>
  <c r="AE33" i="245"/>
  <c r="AF33" i="245"/>
  <c r="AG33" i="245"/>
  <c r="AJ33" i="245"/>
  <c r="AA7" i="245"/>
  <c r="AB7" i="245"/>
  <c r="AO7" i="245"/>
  <c r="N7" i="245"/>
  <c r="AP7" i="245"/>
  <c r="O7" i="245"/>
  <c r="AQ7" i="245"/>
  <c r="P7" i="245"/>
  <c r="S7" i="245"/>
  <c r="AU7" i="245"/>
  <c r="W7" i="245"/>
  <c r="V7" i="245"/>
  <c r="X7" i="245"/>
  <c r="Y7" i="245"/>
  <c r="Z7" i="245"/>
  <c r="AE7" i="245"/>
  <c r="AF7" i="245"/>
  <c r="AG7" i="245"/>
  <c r="AH7" i="245"/>
  <c r="AI7" i="245"/>
  <c r="AJ7" i="245"/>
  <c r="AK7" i="245"/>
  <c r="AL7" i="245"/>
  <c r="AN7" i="245"/>
  <c r="G7" i="245"/>
  <c r="H7" i="245"/>
  <c r="I7" i="245"/>
  <c r="J7" i="245"/>
  <c r="K7" i="245"/>
  <c r="L7" i="245"/>
  <c r="Q7" i="245"/>
  <c r="R7" i="245"/>
  <c r="M48" i="245"/>
  <c r="AO48" i="245"/>
  <c r="P48" i="245"/>
  <c r="AR48" i="245"/>
  <c r="U48" i="245"/>
  <c r="AA48" i="245"/>
  <c r="AB48" i="245"/>
  <c r="AE48" i="245"/>
  <c r="AF48" i="245"/>
  <c r="AI48" i="245"/>
  <c r="N47" i="245"/>
  <c r="Y47" i="245"/>
  <c r="AB47" i="245"/>
  <c r="AG47" i="245"/>
  <c r="J47" i="245"/>
  <c r="AM47" i="245"/>
  <c r="K47" i="245"/>
  <c r="AN47" i="245"/>
  <c r="O47" i="245"/>
  <c r="AQ47" i="245"/>
  <c r="P47" i="245"/>
  <c r="AR47" i="245"/>
  <c r="S47" i="245"/>
  <c r="AU47" i="245"/>
  <c r="AC67" i="245"/>
  <c r="AD67" i="245"/>
  <c r="AE67" i="245"/>
  <c r="AF67" i="245"/>
  <c r="AG67" i="245"/>
  <c r="O67" i="245"/>
  <c r="AQ67" i="245"/>
  <c r="P67" i="245"/>
  <c r="AR67" i="245"/>
  <c r="Q67" i="245"/>
  <c r="AS67" i="245"/>
  <c r="R67" i="245"/>
  <c r="AT67" i="245"/>
  <c r="S67" i="245"/>
  <c r="AU67" i="245"/>
  <c r="T67" i="245"/>
  <c r="U67" i="245"/>
  <c r="V67" i="245"/>
  <c r="Z67" i="245"/>
  <c r="H67" i="245"/>
  <c r="I67" i="245"/>
  <c r="J67" i="245"/>
  <c r="K67" i="245"/>
  <c r="L67" i="245"/>
  <c r="G67" i="245"/>
  <c r="M67" i="245"/>
  <c r="N67" i="245"/>
  <c r="W67" i="245"/>
  <c r="X67" i="245"/>
  <c r="Y67" i="245"/>
  <c r="AA67" i="245"/>
  <c r="AB67" i="245"/>
  <c r="AH67" i="245"/>
  <c r="AI67" i="245"/>
  <c r="AJ67" i="245"/>
  <c r="AK67" i="245"/>
  <c r="AL67" i="245"/>
  <c r="AM67" i="245"/>
  <c r="AN67" i="245"/>
  <c r="AJ43" i="245"/>
  <c r="W65" i="245"/>
  <c r="AI52" i="245"/>
  <c r="G31" i="245"/>
  <c r="Z55" i="245"/>
  <c r="AP50" i="245"/>
  <c r="AP51" i="245" s="1"/>
  <c r="AO49" i="245"/>
  <c r="AQ48" i="245"/>
  <c r="AS47" i="245"/>
  <c r="AP46" i="245"/>
  <c r="U41" i="245"/>
  <c r="T39" i="245"/>
  <c r="L38" i="245"/>
  <c r="AP34" i="245"/>
  <c r="AK33" i="245"/>
  <c r="AC32" i="245"/>
  <c r="T31" i="245"/>
  <c r="M30" i="245"/>
  <c r="AL25" i="245"/>
  <c r="W24" i="245"/>
  <c r="AE21" i="245"/>
  <c r="AS19" i="245"/>
  <c r="P18" i="245"/>
  <c r="AF16" i="245"/>
  <c r="S70" i="245"/>
  <c r="J42" i="245"/>
  <c r="AL42" i="245"/>
  <c r="R42" i="245"/>
  <c r="AT42" i="245"/>
  <c r="N42" i="245"/>
  <c r="AR42" i="245"/>
  <c r="Q42" i="245"/>
  <c r="S42" i="245"/>
  <c r="W42" i="245"/>
  <c r="AC42" i="245"/>
  <c r="AD42" i="245"/>
  <c r="AG42" i="245"/>
  <c r="AH42" i="245"/>
  <c r="AI42" i="245"/>
  <c r="AK42" i="245"/>
  <c r="W28" i="245"/>
  <c r="I28" i="245"/>
  <c r="J28" i="245"/>
  <c r="AL28" i="245"/>
  <c r="K28" i="245"/>
  <c r="AM28" i="245"/>
  <c r="R28" i="245"/>
  <c r="AT28" i="245"/>
  <c r="AD28" i="245"/>
  <c r="AG28" i="245"/>
  <c r="AH28" i="245"/>
  <c r="AN28" i="245"/>
  <c r="N28" i="245"/>
  <c r="AU28" i="245"/>
  <c r="O28" i="245"/>
  <c r="S28" i="245"/>
  <c r="T28" i="245"/>
  <c r="U28" i="245"/>
  <c r="X28" i="245"/>
  <c r="W14" i="245"/>
  <c r="I14" i="245"/>
  <c r="AK14" i="245"/>
  <c r="J14" i="245"/>
  <c r="AL14" i="245"/>
  <c r="K14" i="245"/>
  <c r="AM14" i="245"/>
  <c r="N14" i="245"/>
  <c r="AP14" i="245"/>
  <c r="R14" i="245"/>
  <c r="AT14" i="245"/>
  <c r="AC14" i="245"/>
  <c r="AF14" i="245"/>
  <c r="AG14" i="245"/>
  <c r="AI14" i="245"/>
  <c r="AN14" i="245"/>
  <c r="AQ14" i="245"/>
  <c r="AS14" i="245"/>
  <c r="H14" i="245"/>
  <c r="AU14" i="245"/>
  <c r="L14" i="245"/>
  <c r="O14" i="245"/>
  <c r="M14" i="245"/>
  <c r="Q14" i="245"/>
  <c r="S14" i="245"/>
  <c r="T14" i="245"/>
  <c r="U14" i="245"/>
  <c r="V14" i="245"/>
  <c r="M66" i="245"/>
  <c r="AO66" i="245"/>
  <c r="N66" i="245"/>
  <c r="AP66" i="245"/>
  <c r="O66" i="245"/>
  <c r="AQ66" i="245"/>
  <c r="P66" i="245"/>
  <c r="AR66" i="245"/>
  <c r="Q66" i="245"/>
  <c r="AS66" i="245"/>
  <c r="AA66" i="245"/>
  <c r="AB66" i="245"/>
  <c r="AC66" i="245"/>
  <c r="AD66" i="245"/>
  <c r="AE66" i="245"/>
  <c r="AF66" i="245"/>
  <c r="AG66" i="245"/>
  <c r="AH66" i="245"/>
  <c r="J66" i="245"/>
  <c r="AL66" i="245"/>
  <c r="AI66" i="245"/>
  <c r="AJ66" i="245"/>
  <c r="AK66" i="245"/>
  <c r="AM66" i="245"/>
  <c r="AN66" i="245"/>
  <c r="AT66" i="245"/>
  <c r="AU66" i="245"/>
  <c r="G66" i="245"/>
  <c r="H66" i="245"/>
  <c r="I66" i="245"/>
  <c r="K66" i="245"/>
  <c r="L66" i="245"/>
  <c r="R66" i="245"/>
  <c r="S66" i="245"/>
  <c r="T66" i="245"/>
  <c r="U66" i="245"/>
  <c r="V66" i="245"/>
  <c r="W66" i="245"/>
  <c r="X66" i="245"/>
  <c r="V65" i="245"/>
  <c r="AH52" i="245"/>
  <c r="Y55" i="245"/>
  <c r="AO50" i="245"/>
  <c r="AO51" i="245" s="1"/>
  <c r="AN49" i="245"/>
  <c r="AP48" i="245"/>
  <c r="AP47" i="245"/>
  <c r="AO46" i="245"/>
  <c r="Z42" i="245"/>
  <c r="T41" i="245"/>
  <c r="S39" i="245"/>
  <c r="AI33" i="245"/>
  <c r="AB32" i="245"/>
  <c r="S31" i="245"/>
  <c r="AR28" i="245"/>
  <c r="AK25" i="245"/>
  <c r="V24" i="245"/>
  <c r="AD21" i="245"/>
  <c r="AQ19" i="245"/>
  <c r="M18" i="245"/>
  <c r="AD16" i="245"/>
  <c r="AH14" i="245"/>
  <c r="AU10" i="245"/>
  <c r="R70" i="245"/>
  <c r="AH56" i="245"/>
  <c r="AR65" i="245"/>
  <c r="AH65" i="245"/>
  <c r="AI65" i="245"/>
  <c r="AJ65" i="245"/>
  <c r="AF52" i="245"/>
  <c r="X55" i="245"/>
  <c r="AN50" i="245"/>
  <c r="AN51" i="245" s="1"/>
  <c r="AN48" i="245"/>
  <c r="AO47" i="245"/>
  <c r="AF43" i="245"/>
  <c r="Y42" i="245"/>
  <c r="O39" i="245"/>
  <c r="AU37" i="245"/>
  <c r="AD33" i="245"/>
  <c r="X32" i="245"/>
  <c r="P31" i="245"/>
  <c r="AQ28" i="245"/>
  <c r="AH25" i="245"/>
  <c r="T24" i="245"/>
  <c r="AC21" i="245"/>
  <c r="AO19" i="245"/>
  <c r="L18" i="245"/>
  <c r="AB16" i="245"/>
  <c r="AE14" i="245"/>
  <c r="AT10" i="245"/>
  <c r="AP67" i="245"/>
  <c r="R46" i="245"/>
  <c r="AT46" i="245"/>
  <c r="Z46" i="245"/>
  <c r="AI46" i="245"/>
  <c r="H46" i="245"/>
  <c r="AL46" i="245"/>
  <c r="M46" i="245"/>
  <c r="AQ46" i="245"/>
  <c r="T46" i="245"/>
  <c r="U46" i="245"/>
  <c r="X46" i="245"/>
  <c r="Y46" i="245"/>
  <c r="AC46" i="245"/>
  <c r="V41" i="245"/>
  <c r="AD41" i="245"/>
  <c r="X41" i="245"/>
  <c r="AA41" i="245"/>
  <c r="AB41" i="245"/>
  <c r="AG41" i="245"/>
  <c r="I41" i="245"/>
  <c r="AM41" i="245"/>
  <c r="J41" i="245"/>
  <c r="AN41" i="245"/>
  <c r="M41" i="245"/>
  <c r="AQ41" i="245"/>
  <c r="N41" i="245"/>
  <c r="AR41" i="245"/>
  <c r="O41" i="245"/>
  <c r="AS41" i="245"/>
  <c r="Q41" i="245"/>
  <c r="AU41" i="245"/>
  <c r="AI13" i="245"/>
  <c r="U13" i="245"/>
  <c r="V13" i="245"/>
  <c r="W13" i="245"/>
  <c r="Z13" i="245"/>
  <c r="AD13" i="245"/>
  <c r="AH13" i="245"/>
  <c r="AL13" i="245"/>
  <c r="AM13" i="245"/>
  <c r="AO13" i="245"/>
  <c r="I13" i="245"/>
  <c r="AQ13" i="245"/>
  <c r="K13" i="245"/>
  <c r="AS13" i="245"/>
  <c r="M13" i="245"/>
  <c r="AU13" i="245"/>
  <c r="N13" i="245"/>
  <c r="O13" i="245"/>
  <c r="Q13" i="245"/>
  <c r="P13" i="245"/>
  <c r="S13" i="245"/>
  <c r="T13" i="245"/>
  <c r="X13" i="245"/>
  <c r="Y13" i="245"/>
  <c r="AA13" i="245"/>
  <c r="H64" i="245"/>
  <c r="AA43" i="245"/>
  <c r="T65" i="245"/>
  <c r="AE52" i="245"/>
  <c r="W55" i="245"/>
  <c r="AL50" i="245"/>
  <c r="AL51" i="245" s="1"/>
  <c r="AL49" i="245"/>
  <c r="AM48" i="245"/>
  <c r="AL47" i="245"/>
  <c r="AM46" i="245"/>
  <c r="X42" i="245"/>
  <c r="R41" i="245"/>
  <c r="N39" i="245"/>
  <c r="AT37" i="245"/>
  <c r="AS35" i="245"/>
  <c r="AL34" i="245"/>
  <c r="AC33" i="245"/>
  <c r="W32" i="245"/>
  <c r="O31" i="245"/>
  <c r="I30" i="245"/>
  <c r="AP28" i="245"/>
  <c r="AG25" i="245"/>
  <c r="S24" i="245"/>
  <c r="AB21" i="245"/>
  <c r="AN19" i="245"/>
  <c r="J18" i="245"/>
  <c r="X16" i="245"/>
  <c r="AD14" i="245"/>
  <c r="AR10" i="245"/>
  <c r="AO67" i="245"/>
  <c r="V52" i="245"/>
  <c r="V55" i="245"/>
  <c r="AL48" i="245"/>
  <c r="AK47" i="245"/>
  <c r="AK46" i="245"/>
  <c r="V42" i="245"/>
  <c r="P41" i="245"/>
  <c r="L39" i="245"/>
  <c r="AS37" i="245"/>
  <c r="AO35" i="245"/>
  <c r="Z33" i="245"/>
  <c r="U32" i="245"/>
  <c r="N31" i="245"/>
  <c r="AO28" i="245"/>
  <c r="AF25" i="245"/>
  <c r="R24" i="245"/>
  <c r="AM19" i="245"/>
  <c r="I18" i="245"/>
  <c r="W16" i="245"/>
  <c r="AB14" i="245"/>
  <c r="AQ10" i="245"/>
  <c r="Z66" i="245"/>
  <c r="AD45" i="245"/>
  <c r="O45" i="245"/>
  <c r="W45" i="245"/>
  <c r="AK50" i="245"/>
  <c r="AK51" i="245" s="1"/>
  <c r="X43" i="245"/>
  <c r="R65" i="245"/>
  <c r="U63" i="245"/>
  <c r="U55" i="245"/>
  <c r="AH50" i="245"/>
  <c r="AH51" i="245" s="1"/>
  <c r="AI49" i="245"/>
  <c r="AK48" i="245"/>
  <c r="AJ47" i="245"/>
  <c r="AJ46" i="245"/>
  <c r="U42" i="245"/>
  <c r="L41" i="245"/>
  <c r="K39" i="245"/>
  <c r="AR37" i="245"/>
  <c r="AN35" i="245"/>
  <c r="Y33" i="245"/>
  <c r="T32" i="245"/>
  <c r="M31" i="245"/>
  <c r="AK28" i="245"/>
  <c r="AD25" i="245"/>
  <c r="Q24" i="245"/>
  <c r="U21" i="245"/>
  <c r="AK19" i="245"/>
  <c r="H18" i="245"/>
  <c r="T16" i="245"/>
  <c r="AA14" i="245"/>
  <c r="X10" i="245"/>
  <c r="Y66" i="245"/>
  <c r="AM44" i="245"/>
  <c r="O44" i="245"/>
  <c r="W43" i="245"/>
  <c r="P65" i="245"/>
  <c r="T52" i="245"/>
  <c r="G23" i="245"/>
  <c r="T55" i="245"/>
  <c r="AG50" i="245"/>
  <c r="AG51" i="245" s="1"/>
  <c r="AH49" i="245"/>
  <c r="AJ48" i="245"/>
  <c r="AI47" i="245"/>
  <c r="AH46" i="245"/>
  <c r="T42" i="245"/>
  <c r="K41" i="245"/>
  <c r="AQ37" i="245"/>
  <c r="AJ35" i="245"/>
  <c r="AF34" i="245"/>
  <c r="X33" i="245"/>
  <c r="S32" i="245"/>
  <c r="L31" i="245"/>
  <c r="AJ28" i="245"/>
  <c r="P24" i="245"/>
  <c r="P21" i="245"/>
  <c r="AF19" i="245"/>
  <c r="AU17" i="245"/>
  <c r="S16" i="245"/>
  <c r="Z14" i="245"/>
  <c r="T10" i="245"/>
  <c r="R39" i="245"/>
  <c r="AT39" i="245"/>
  <c r="Z39" i="245"/>
  <c r="M39" i="245"/>
  <c r="AQ39" i="245"/>
  <c r="P39" i="245"/>
  <c r="AU39" i="245"/>
  <c r="Q39" i="245"/>
  <c r="V39" i="245"/>
  <c r="AC39" i="245"/>
  <c r="AD39" i="245"/>
  <c r="AG39" i="245"/>
  <c r="AH39" i="245"/>
  <c r="AI39" i="245"/>
  <c r="AK39" i="245"/>
  <c r="AE25" i="245"/>
  <c r="Q25" i="245"/>
  <c r="AS25" i="245"/>
  <c r="R25" i="245"/>
  <c r="AT25" i="245"/>
  <c r="S25" i="245"/>
  <c r="AU25" i="245"/>
  <c r="V25" i="245"/>
  <c r="Z25" i="245"/>
  <c r="O25" i="245"/>
  <c r="U25" i="245"/>
  <c r="W25" i="245"/>
  <c r="AB25" i="245"/>
  <c r="AI25" i="245"/>
  <c r="AJ25" i="245"/>
  <c r="AM25" i="245"/>
  <c r="G25" i="245"/>
  <c r="AN25" i="245"/>
  <c r="AO25" i="245"/>
  <c r="I25" i="245"/>
  <c r="AQ25" i="245"/>
  <c r="AF11" i="245"/>
  <c r="R11" i="245"/>
  <c r="AT11" i="245"/>
  <c r="S11" i="245"/>
  <c r="AU11" i="245"/>
  <c r="T11" i="245"/>
  <c r="W11" i="245"/>
  <c r="AA11" i="245"/>
  <c r="H11" i="245"/>
  <c r="AP11" i="245"/>
  <c r="AS11" i="245"/>
  <c r="L11" i="245"/>
  <c r="N11" i="245"/>
  <c r="O11" i="245"/>
  <c r="P11" i="245"/>
  <c r="U11" i="245"/>
  <c r="V11" i="245"/>
  <c r="X11" i="245"/>
  <c r="Y11" i="245"/>
  <c r="Z11" i="245"/>
  <c r="AB11" i="245"/>
  <c r="AC11" i="245"/>
  <c r="AD11" i="245"/>
  <c r="AG11" i="245"/>
  <c r="AH11" i="245"/>
  <c r="AI11" i="245"/>
  <c r="AJ11" i="245"/>
  <c r="V43" i="245"/>
  <c r="O65" i="245"/>
  <c r="R63" i="245"/>
  <c r="S55" i="245"/>
  <c r="AD50" i="245"/>
  <c r="AD51" i="245" s="1"/>
  <c r="AG49" i="245"/>
  <c r="AH48" i="245"/>
  <c r="AH47" i="245"/>
  <c r="AG46" i="245"/>
  <c r="P42" i="245"/>
  <c r="H41" i="245"/>
  <c r="I39" i="245"/>
  <c r="AN37" i="245"/>
  <c r="AI35" i="245"/>
  <c r="AE34" i="245"/>
  <c r="W33" i="245"/>
  <c r="Q32" i="245"/>
  <c r="I31" i="245"/>
  <c r="AI28" i="245"/>
  <c r="AA25" i="245"/>
  <c r="M24" i="245"/>
  <c r="O21" i="245"/>
  <c r="AT17" i="245"/>
  <c r="Q16" i="245"/>
  <c r="Y14" i="245"/>
  <c r="P10" i="245"/>
  <c r="S19" i="245"/>
  <c r="AU19" i="245"/>
  <c r="AG19" i="245"/>
  <c r="AH19" i="245"/>
  <c r="J19" i="245"/>
  <c r="AL19" i="245"/>
  <c r="N19" i="245"/>
  <c r="AP19" i="245"/>
  <c r="H19" i="245"/>
  <c r="AR19" i="245"/>
  <c r="L19" i="245"/>
  <c r="M19" i="245"/>
  <c r="P19" i="245"/>
  <c r="R19" i="245"/>
  <c r="U19" i="245"/>
  <c r="Y19" i="245"/>
  <c r="AA19" i="245"/>
  <c r="AC19" i="245"/>
  <c r="AD19" i="245"/>
  <c r="AE19" i="245"/>
  <c r="AJ19" i="245"/>
  <c r="N65" i="245"/>
  <c r="Q52" i="245"/>
  <c r="G19" i="245"/>
  <c r="R55" i="245"/>
  <c r="AC50" i="245"/>
  <c r="AC51" i="245" s="1"/>
  <c r="AE49" i="245"/>
  <c r="AG48" i="245"/>
  <c r="AF47" i="245"/>
  <c r="AF46" i="245"/>
  <c r="O42" i="245"/>
  <c r="H39" i="245"/>
  <c r="AM37" i="245"/>
  <c r="AH35" i="245"/>
  <c r="V33" i="245"/>
  <c r="P32" i="245"/>
  <c r="H31" i="245"/>
  <c r="AF28" i="245"/>
  <c r="Y25" i="245"/>
  <c r="X19" i="245"/>
  <c r="AR17" i="245"/>
  <c r="P16" i="245"/>
  <c r="X14" i="245"/>
  <c r="O10" i="245"/>
  <c r="AD38" i="245"/>
  <c r="J38" i="245"/>
  <c r="AL38" i="245"/>
  <c r="W38" i="245"/>
  <c r="Z38" i="245"/>
  <c r="G38" i="245"/>
  <c r="AA38" i="245"/>
  <c r="AF38" i="245"/>
  <c r="H38" i="245"/>
  <c r="AM38" i="245"/>
  <c r="I38" i="245"/>
  <c r="AN38" i="245"/>
  <c r="M38" i="245"/>
  <c r="AQ38" i="245"/>
  <c r="N38" i="245"/>
  <c r="AR38" i="245"/>
  <c r="O38" i="245"/>
  <c r="AS38" i="245"/>
  <c r="Q38" i="245"/>
  <c r="AU38" i="245"/>
  <c r="G18" i="245"/>
  <c r="Q55" i="245"/>
  <c r="AB50" i="245"/>
  <c r="AB51" i="245" s="1"/>
  <c r="AD48" i="245"/>
  <c r="AE47" i="245"/>
  <c r="AE46" i="245"/>
  <c r="M42" i="245"/>
  <c r="AT38" i="245"/>
  <c r="AL37" i="245"/>
  <c r="AG35" i="245"/>
  <c r="T33" i="245"/>
  <c r="N32" i="245"/>
  <c r="AE28" i="245"/>
  <c r="X25" i="245"/>
  <c r="AU23" i="245"/>
  <c r="W19" i="245"/>
  <c r="AM17" i="245"/>
  <c r="L16" i="245"/>
  <c r="P14" i="245"/>
  <c r="M10" i="245"/>
  <c r="O24" i="245"/>
  <c r="AQ24" i="245"/>
  <c r="AC24" i="245"/>
  <c r="AD24" i="245"/>
  <c r="AE24" i="245"/>
  <c r="AH24" i="245"/>
  <c r="J24" i="245"/>
  <c r="AL24" i="245"/>
  <c r="U24" i="245"/>
  <c r="X24" i="245"/>
  <c r="Y24" i="245"/>
  <c r="AF24" i="245"/>
  <c r="AN24" i="245"/>
  <c r="AO24" i="245"/>
  <c r="I24" i="245"/>
  <c r="AS24" i="245"/>
  <c r="K24" i="245"/>
  <c r="AT24" i="245"/>
  <c r="L24" i="245"/>
  <c r="AU24" i="245"/>
  <c r="N24" i="245"/>
  <c r="O43" i="245"/>
  <c r="H65" i="245"/>
  <c r="G55" i="245"/>
  <c r="G17" i="245"/>
  <c r="O55" i="245"/>
  <c r="AA50" i="245"/>
  <c r="AA51" i="245" s="1"/>
  <c r="AB49" i="245"/>
  <c r="AC48" i="245"/>
  <c r="AD47" i="245"/>
  <c r="AD46" i="245"/>
  <c r="L42" i="245"/>
  <c r="AP38" i="245"/>
  <c r="AI37" i="245"/>
  <c r="AF35" i="245"/>
  <c r="S33" i="245"/>
  <c r="J32" i="245"/>
  <c r="AC28" i="245"/>
  <c r="T25" i="245"/>
  <c r="AT20" i="245"/>
  <c r="V19" i="245"/>
  <c r="AG17" i="245"/>
  <c r="J16" i="245"/>
  <c r="AT13" i="245"/>
  <c r="W21" i="245"/>
  <c r="I21" i="245"/>
  <c r="AK21" i="245"/>
  <c r="J21" i="245"/>
  <c r="AL21" i="245"/>
  <c r="K21" i="245"/>
  <c r="AM21" i="245"/>
  <c r="N21" i="245"/>
  <c r="R21" i="245"/>
  <c r="AT21" i="245"/>
  <c r="AG21" i="245"/>
  <c r="AJ21" i="245"/>
  <c r="AN21" i="245"/>
  <c r="AQ21" i="245"/>
  <c r="AS21" i="245"/>
  <c r="L21" i="245"/>
  <c r="Q21" i="245"/>
  <c r="G21" i="245"/>
  <c r="T21" i="245"/>
  <c r="S21" i="245"/>
  <c r="V21" i="245"/>
  <c r="Y21" i="245"/>
  <c r="AA21" i="245"/>
  <c r="Q10" i="245"/>
  <c r="AS10" i="245"/>
  <c r="AE10" i="245"/>
  <c r="AF10" i="245"/>
  <c r="AG10" i="245"/>
  <c r="H10" i="245"/>
  <c r="AJ10" i="245"/>
  <c r="L10" i="245"/>
  <c r="AN10" i="245"/>
  <c r="N10" i="245"/>
  <c r="R10" i="245"/>
  <c r="S10" i="245"/>
  <c r="U10" i="245"/>
  <c r="V10" i="245"/>
  <c r="W10" i="245"/>
  <c r="Y10" i="245"/>
  <c r="Z10" i="245"/>
  <c r="AA10" i="245"/>
  <c r="AB10" i="245"/>
  <c r="AC10" i="245"/>
  <c r="AD10" i="245"/>
  <c r="AH10" i="245"/>
  <c r="AI10" i="245"/>
  <c r="AK10" i="245"/>
  <c r="AL10" i="245"/>
  <c r="AM10" i="245"/>
  <c r="AO10" i="245"/>
  <c r="AP10" i="245"/>
  <c r="Q61" i="245"/>
  <c r="AS61" i="245"/>
  <c r="R61" i="245"/>
  <c r="AT61" i="245"/>
  <c r="S61" i="245"/>
  <c r="AU61" i="245"/>
  <c r="T61" i="245"/>
  <c r="U61" i="245"/>
  <c r="AE61" i="245"/>
  <c r="AF61" i="245"/>
  <c r="AG61" i="245"/>
  <c r="AH61" i="245"/>
  <c r="AI61" i="245"/>
  <c r="H61" i="245"/>
  <c r="AJ61" i="245"/>
  <c r="I61" i="245"/>
  <c r="AK61" i="245"/>
  <c r="J61" i="245"/>
  <c r="AL61" i="245"/>
  <c r="N61" i="245"/>
  <c r="AP61" i="245"/>
  <c r="K61" i="245"/>
  <c r="L61" i="245"/>
  <c r="M61" i="245"/>
  <c r="O61" i="245"/>
  <c r="P61" i="245"/>
  <c r="V61" i="245"/>
  <c r="W61" i="245"/>
  <c r="G61" i="245"/>
  <c r="X61" i="245"/>
  <c r="Y61" i="245"/>
  <c r="Z61" i="245"/>
  <c r="AA61" i="245"/>
  <c r="AB61" i="245"/>
  <c r="AC61" i="245"/>
  <c r="AD61" i="245"/>
  <c r="AM61" i="245"/>
  <c r="AN61" i="245"/>
  <c r="AO61" i="245"/>
  <c r="AQ61" i="245"/>
  <c r="AR61" i="245"/>
  <c r="AA23" i="245"/>
  <c r="M23" i="245"/>
  <c r="AO23" i="245"/>
  <c r="N23" i="245"/>
  <c r="AP23" i="245"/>
  <c r="O23" i="245"/>
  <c r="AQ23" i="245"/>
  <c r="R23" i="245"/>
  <c r="AT23" i="245"/>
  <c r="V23" i="245"/>
  <c r="Z23" i="245"/>
  <c r="AD23" i="245"/>
  <c r="AE23" i="245"/>
  <c r="AI23" i="245"/>
  <c r="AR23" i="245"/>
  <c r="H23" i="245"/>
  <c r="AS23" i="245"/>
  <c r="K23" i="245"/>
  <c r="L23" i="245"/>
  <c r="P23" i="245"/>
  <c r="S23" i="245"/>
  <c r="AD9" i="245"/>
  <c r="P9" i="245"/>
  <c r="AR9" i="245"/>
  <c r="Q9" i="245"/>
  <c r="AS9" i="245"/>
  <c r="R9" i="245"/>
  <c r="AT9" i="245"/>
  <c r="U9" i="245"/>
  <c r="Y9" i="245"/>
  <c r="S9" i="245"/>
  <c r="W9" i="245"/>
  <c r="X9" i="245"/>
  <c r="Z9" i="245"/>
  <c r="AA9" i="245"/>
  <c r="AB9" i="245"/>
  <c r="AC9" i="245"/>
  <c r="AE9" i="245"/>
  <c r="AF9" i="245"/>
  <c r="AG9" i="245"/>
  <c r="AH9" i="245"/>
  <c r="AI9" i="245"/>
  <c r="AJ9" i="245"/>
  <c r="AK9" i="245"/>
  <c r="AM9" i="245"/>
  <c r="AN9" i="245"/>
  <c r="G9" i="245"/>
  <c r="AO9" i="245"/>
  <c r="H9" i="245"/>
  <c r="AP9" i="245"/>
  <c r="I9" i="245"/>
  <c r="AQ9" i="245"/>
  <c r="J9" i="245"/>
  <c r="AU9" i="245"/>
  <c r="AC60" i="245"/>
  <c r="AD60" i="245"/>
  <c r="AE60" i="245"/>
  <c r="AF60" i="245"/>
  <c r="AG60" i="245"/>
  <c r="O60" i="245"/>
  <c r="AQ60" i="245"/>
  <c r="P60" i="245"/>
  <c r="AR60" i="245"/>
  <c r="Q60" i="245"/>
  <c r="AS60" i="245"/>
  <c r="R60" i="245"/>
  <c r="AT60" i="245"/>
  <c r="S60" i="245"/>
  <c r="AU60" i="245"/>
  <c r="T60" i="245"/>
  <c r="U60" i="245"/>
  <c r="V60" i="245"/>
  <c r="G60" i="245"/>
  <c r="Z60" i="245"/>
  <c r="H60" i="245"/>
  <c r="I60" i="245"/>
  <c r="J60" i="245"/>
  <c r="K60" i="245"/>
  <c r="L60" i="245"/>
  <c r="M60" i="245"/>
  <c r="N60" i="245"/>
  <c r="W60" i="245"/>
  <c r="X60" i="245"/>
  <c r="Y60" i="245"/>
  <c r="AA60" i="245"/>
  <c r="AB60" i="245"/>
  <c r="AH60" i="245"/>
  <c r="AI60" i="245"/>
  <c r="AJ60" i="245"/>
  <c r="AK60" i="245"/>
  <c r="AL60" i="245"/>
  <c r="AM60" i="245"/>
  <c r="AN60" i="245"/>
  <c r="AO60" i="245"/>
  <c r="N43" i="245"/>
  <c r="AU53" i="245"/>
  <c r="N55" i="245"/>
  <c r="Z50" i="245"/>
  <c r="Z51" i="245" s="1"/>
  <c r="AA49" i="245"/>
  <c r="Z48" i="245"/>
  <c r="AC47" i="245"/>
  <c r="AB46" i="245"/>
  <c r="P43" i="245"/>
  <c r="K42" i="245"/>
  <c r="AO38" i="245"/>
  <c r="AD35" i="245"/>
  <c r="Y34" i="245"/>
  <c r="R33" i="245"/>
  <c r="I32" i="245"/>
  <c r="AQ30" i="245"/>
  <c r="AB28" i="245"/>
  <c r="P25" i="245"/>
  <c r="AM23" i="245"/>
  <c r="AR20" i="245"/>
  <c r="AF17" i="245"/>
  <c r="AR13" i="245"/>
  <c r="J10" i="245"/>
  <c r="AG62" i="245"/>
  <c r="AH62" i="245"/>
  <c r="AI62" i="245"/>
  <c r="H62" i="245"/>
  <c r="I62" i="245"/>
  <c r="S62" i="245"/>
  <c r="AU62" i="245"/>
  <c r="T62" i="245"/>
  <c r="U62" i="245"/>
  <c r="W62" i="245"/>
  <c r="Z62" i="245"/>
  <c r="AD62" i="245"/>
  <c r="AA62" i="245"/>
  <c r="AB62" i="245"/>
  <c r="AC62" i="245"/>
  <c r="AE62" i="245"/>
  <c r="AF62" i="245"/>
  <c r="AL62" i="245"/>
  <c r="AM62" i="245"/>
  <c r="AN62" i="245"/>
  <c r="G62" i="245"/>
  <c r="AO62" i="245"/>
  <c r="AP62" i="245"/>
  <c r="AQ62" i="245"/>
  <c r="AR62" i="245"/>
  <c r="AS62" i="245"/>
  <c r="AT62" i="245"/>
  <c r="J62" i="245"/>
  <c r="K62" i="245"/>
  <c r="L62" i="245"/>
  <c r="M62" i="245"/>
  <c r="N62" i="245"/>
  <c r="O62" i="245"/>
  <c r="P62" i="245"/>
  <c r="Q62" i="245"/>
  <c r="N37" i="245"/>
  <c r="AP37" i="245"/>
  <c r="V37" i="245"/>
  <c r="AG37" i="245"/>
  <c r="AJ37" i="245"/>
  <c r="AK37" i="245"/>
  <c r="K37" i="245"/>
  <c r="AO37" i="245"/>
  <c r="R37" i="245"/>
  <c r="S37" i="245"/>
  <c r="W37" i="245"/>
  <c r="X37" i="245"/>
  <c r="Y37" i="245"/>
  <c r="AA37" i="245"/>
  <c r="M43" i="245"/>
  <c r="AT53" i="245"/>
  <c r="L55" i="245"/>
  <c r="X50" i="245"/>
  <c r="X51" i="245" s="1"/>
  <c r="Z49" i="245"/>
  <c r="Y48" i="245"/>
  <c r="AA47" i="245"/>
  <c r="AA46" i="245"/>
  <c r="I42" i="245"/>
  <c r="AS39" i="245"/>
  <c r="AK38" i="245"/>
  <c r="AF37" i="245"/>
  <c r="AC35" i="245"/>
  <c r="T34" i="245"/>
  <c r="O33" i="245"/>
  <c r="AT31" i="245"/>
  <c r="AN30" i="245"/>
  <c r="AA28" i="245"/>
  <c r="N25" i="245"/>
  <c r="AL23" i="245"/>
  <c r="AO20" i="245"/>
  <c r="Q19" i="245"/>
  <c r="AB17" i="245"/>
  <c r="AP13" i="245"/>
  <c r="I10" i="245"/>
  <c r="AM64" i="245"/>
  <c r="G48" i="245"/>
  <c r="G14" i="245"/>
  <c r="K55" i="245"/>
  <c r="W50" i="245"/>
  <c r="W51" i="245" s="1"/>
  <c r="Y49" i="245"/>
  <c r="X48" i="245"/>
  <c r="Z47" i="245"/>
  <c r="W46" i="245"/>
  <c r="H42" i="245"/>
  <c r="AR39" i="245"/>
  <c r="AJ38" i="245"/>
  <c r="AE37" i="245"/>
  <c r="AB35" i="245"/>
  <c r="M33" i="245"/>
  <c r="AS31" i="245"/>
  <c r="Z28" i="245"/>
  <c r="M25" i="245"/>
  <c r="AK23" i="245"/>
  <c r="AN20" i="245"/>
  <c r="Z17" i="245"/>
  <c r="AN13" i="245"/>
  <c r="G10" i="245"/>
  <c r="H43" i="245"/>
  <c r="K54" i="245"/>
  <c r="AM54" i="245"/>
  <c r="AU54" i="245"/>
  <c r="I57" i="245"/>
  <c r="AK57" i="245"/>
  <c r="J57" i="245"/>
  <c r="AL57" i="245"/>
  <c r="AM57" i="245"/>
  <c r="L57" i="245"/>
  <c r="AN57" i="245"/>
  <c r="M57" i="245"/>
  <c r="AO57" i="245"/>
  <c r="W57" i="245"/>
  <c r="X57" i="245"/>
  <c r="Y57" i="245"/>
  <c r="Z57" i="245"/>
  <c r="AA57" i="245"/>
  <c r="AB57" i="245"/>
  <c r="AC57" i="245"/>
  <c r="AD57" i="245"/>
  <c r="H57" i="245"/>
  <c r="N57" i="245"/>
  <c r="O57" i="245"/>
  <c r="P57" i="245"/>
  <c r="Q57" i="245"/>
  <c r="R57" i="245"/>
  <c r="S57" i="245"/>
  <c r="T57" i="245"/>
  <c r="U57" i="245"/>
  <c r="V57" i="245"/>
  <c r="AE57" i="245"/>
  <c r="AF57" i="245"/>
  <c r="AG57" i="245"/>
  <c r="AJ57" i="245"/>
  <c r="AP57" i="245"/>
  <c r="AQ57" i="245"/>
  <c r="AR57" i="245"/>
  <c r="AS57" i="245"/>
  <c r="AT57" i="245"/>
  <c r="AU57" i="245"/>
  <c r="G64" i="245"/>
  <c r="K43" i="245"/>
  <c r="AL53" i="245"/>
  <c r="G47" i="245"/>
  <c r="AU55" i="245"/>
  <c r="J55" i="245"/>
  <c r="V50" i="245"/>
  <c r="V51" i="245" s="1"/>
  <c r="X49" i="245"/>
  <c r="W48" i="245"/>
  <c r="X47" i="245"/>
  <c r="V46" i="245"/>
  <c r="AT41" i="245"/>
  <c r="AP39" i="245"/>
  <c r="AI38" i="245"/>
  <c r="AD37" i="245"/>
  <c r="Y35" i="245"/>
  <c r="P34" i="245"/>
  <c r="K33" i="245"/>
  <c r="AR31" i="245"/>
  <c r="AL30" i="245"/>
  <c r="Y28" i="245"/>
  <c r="L25" i="245"/>
  <c r="AJ23" i="245"/>
  <c r="AL20" i="245"/>
  <c r="K19" i="245"/>
  <c r="X17" i="245"/>
  <c r="AK13" i="245"/>
  <c r="AL9" i="245"/>
  <c r="AD7" i="245"/>
  <c r="AH40" i="245"/>
  <c r="N40" i="245"/>
  <c r="AP40" i="245"/>
  <c r="S26" i="245"/>
  <c r="AU26" i="245"/>
  <c r="AG26" i="245"/>
  <c r="AH26" i="245"/>
  <c r="AI26" i="245"/>
  <c r="J26" i="245"/>
  <c r="AL26" i="245"/>
  <c r="N26" i="245"/>
  <c r="AP26" i="245"/>
  <c r="S12" i="245"/>
  <c r="AU12" i="245"/>
  <c r="AG12" i="245"/>
  <c r="AH12" i="245"/>
  <c r="G12" i="245"/>
  <c r="AI12" i="245"/>
  <c r="J12" i="245"/>
  <c r="AL12" i="245"/>
  <c r="N12" i="245"/>
  <c r="AP12" i="245"/>
  <c r="G29" i="245"/>
  <c r="AA40" i="245"/>
  <c r="AK36" i="245"/>
  <c r="AS29" i="245"/>
  <c r="O29" i="245"/>
  <c r="AO26" i="245"/>
  <c r="U22" i="245"/>
  <c r="Q15" i="245"/>
  <c r="AC12" i="245"/>
  <c r="Q8" i="245"/>
  <c r="X59" i="245"/>
  <c r="W59" i="245"/>
  <c r="AQ29" i="245"/>
  <c r="M29" i="245"/>
  <c r="AM26" i="245"/>
  <c r="S22" i="245"/>
  <c r="O15" i="245"/>
  <c r="AA12" i="245"/>
  <c r="M8" i="245"/>
  <c r="V59" i="245"/>
  <c r="AG36" i="245"/>
  <c r="AP29" i="245"/>
  <c r="L29" i="245"/>
  <c r="AK26" i="245"/>
  <c r="R22" i="245"/>
  <c r="Z12" i="245"/>
  <c r="L8" i="245"/>
  <c r="U59" i="245"/>
  <c r="W40" i="245"/>
  <c r="AF36" i="245"/>
  <c r="AO29" i="245"/>
  <c r="K29" i="245"/>
  <c r="AJ26" i="245"/>
  <c r="Q22" i="245"/>
  <c r="AU15" i="245"/>
  <c r="M15" i="245"/>
  <c r="Y12" i="245"/>
  <c r="AU8" i="245"/>
  <c r="K8" i="245"/>
  <c r="T59" i="245"/>
  <c r="S59" i="245"/>
  <c r="R59" i="245"/>
  <c r="G22" i="245"/>
  <c r="T40" i="245"/>
  <c r="AL29" i="245"/>
  <c r="H29" i="245"/>
  <c r="AD26" i="245"/>
  <c r="AR15" i="245"/>
  <c r="I15" i="245"/>
  <c r="V12" i="245"/>
  <c r="AR8" i="245"/>
  <c r="M59" i="245"/>
  <c r="AO59" i="245"/>
  <c r="N59" i="245"/>
  <c r="AP59" i="245"/>
  <c r="O59" i="245"/>
  <c r="AQ59" i="245"/>
  <c r="P59" i="245"/>
  <c r="AR59" i="245"/>
  <c r="Q59" i="245"/>
  <c r="AS59" i="245"/>
  <c r="AA59" i="245"/>
  <c r="AB59" i="245"/>
  <c r="AC59" i="245"/>
  <c r="AD59" i="245"/>
  <c r="AE59" i="245"/>
  <c r="AF59" i="245"/>
  <c r="AG59" i="245"/>
  <c r="AH59" i="245"/>
  <c r="J59" i="245"/>
  <c r="AL59" i="245"/>
  <c r="Z36" i="245"/>
  <c r="AH36" i="245"/>
  <c r="K22" i="245"/>
  <c r="AM22" i="245"/>
  <c r="Y22" i="245"/>
  <c r="Z22" i="245"/>
  <c r="AA22" i="245"/>
  <c r="AD22" i="245"/>
  <c r="AH22" i="245"/>
  <c r="N8" i="245"/>
  <c r="O8" i="245"/>
  <c r="AQ8" i="245"/>
  <c r="AC8" i="245"/>
  <c r="AD8" i="245"/>
  <c r="AE8" i="245"/>
  <c r="AH8" i="245"/>
  <c r="J8" i="245"/>
  <c r="AL8" i="245"/>
  <c r="Y58" i="245"/>
  <c r="Z58" i="245"/>
  <c r="AA58" i="245"/>
  <c r="AB58" i="245"/>
  <c r="AC58" i="245"/>
  <c r="K58" i="245"/>
  <c r="AM58" i="245"/>
  <c r="L58" i="245"/>
  <c r="AN58" i="245"/>
  <c r="M58" i="245"/>
  <c r="AO58" i="245"/>
  <c r="N58" i="245"/>
  <c r="AP58" i="245"/>
  <c r="O58" i="245"/>
  <c r="AQ58" i="245"/>
  <c r="P58" i="245"/>
  <c r="AR58" i="245"/>
  <c r="Q58" i="245"/>
  <c r="AS58" i="245"/>
  <c r="R58" i="245"/>
  <c r="AT58" i="245"/>
  <c r="V58" i="245"/>
  <c r="S40" i="245"/>
  <c r="AB36" i="245"/>
  <c r="AK29" i="245"/>
  <c r="AC26" i="245"/>
  <c r="AU22" i="245"/>
  <c r="M22" i="245"/>
  <c r="AQ15" i="245"/>
  <c r="H15" i="245"/>
  <c r="U12" i="245"/>
  <c r="AP8" i="245"/>
  <c r="K59" i="245"/>
  <c r="I59" i="245"/>
  <c r="H59" i="245"/>
  <c r="AL58" i="245"/>
  <c r="AD29" i="245"/>
  <c r="W26" i="245"/>
  <c r="AO22" i="245"/>
  <c r="AJ15" i="245"/>
  <c r="M12" i="245"/>
  <c r="AI8" i="245"/>
  <c r="AJ58" i="245"/>
  <c r="AG15" i="245"/>
  <c r="AH58" i="245"/>
  <c r="Y29" i="245"/>
  <c r="R26" i="245"/>
  <c r="AJ22" i="245"/>
  <c r="AR12" i="245"/>
  <c r="H12" i="245"/>
  <c r="AA8" i="245"/>
  <c r="AF58" i="245"/>
  <c r="Q26" i="245"/>
  <c r="AI22" i="245"/>
  <c r="AQ12" i="245"/>
  <c r="Z8" i="245"/>
  <c r="AU59" i="245"/>
  <c r="AE58" i="245"/>
  <c r="Z29" i="245"/>
  <c r="AH29" i="245"/>
  <c r="K15" i="245"/>
  <c r="Z15" i="245"/>
  <c r="AA15" i="245"/>
  <c r="AD15" i="245"/>
  <c r="AH15" i="245"/>
  <c r="AG40" i="245"/>
  <c r="AQ36" i="245"/>
  <c r="M36" i="245"/>
  <c r="U29" i="245"/>
  <c r="M26" i="245"/>
  <c r="AE22" i="245"/>
  <c r="W15" i="245"/>
  <c r="AM12" i="245"/>
  <c r="W8" i="245"/>
  <c r="AM59" i="245"/>
  <c r="W58" i="245"/>
  <c r="AG68" i="245"/>
  <c r="AC68" i="245"/>
  <c r="X68" i="245"/>
  <c r="V68" i="245"/>
  <c r="U68" i="245"/>
  <c r="T68" i="245"/>
  <c r="R68" i="245"/>
  <c r="N68" i="245"/>
  <c r="AM68" i="245"/>
  <c r="T69" i="245"/>
  <c r="AS69" i="245"/>
  <c r="Q69" i="245"/>
  <c r="AR69" i="245"/>
  <c r="AQ69" i="245"/>
  <c r="O69" i="245"/>
  <c r="N69" i="245"/>
  <c r="AN69" i="245"/>
  <c r="L69" i="245"/>
  <c r="AM69" i="245"/>
  <c r="K69" i="245"/>
  <c r="AL69" i="245"/>
  <c r="J69" i="245"/>
  <c r="AK69" i="245"/>
  <c r="I69" i="245"/>
  <c r="AI69" i="245"/>
  <c r="AB68" i="245"/>
  <c r="AA68" i="245"/>
  <c r="W68" i="245"/>
  <c r="AU68" i="245"/>
  <c r="S68" i="245"/>
  <c r="AS68" i="245"/>
  <c r="Q68" i="245"/>
  <c r="AR68" i="245"/>
  <c r="P68" i="245"/>
  <c r="AQ68" i="245"/>
  <c r="O68" i="245"/>
  <c r="AE68" i="245"/>
  <c r="AU63" i="245"/>
  <c r="S63" i="245"/>
  <c r="AE64" i="245"/>
  <c r="AQ52" i="245"/>
  <c r="O63" i="245"/>
  <c r="AD64" i="245"/>
  <c r="AP52" i="245"/>
  <c r="N52" i="245"/>
  <c r="AS54" i="245"/>
  <c r="Q54" i="245"/>
  <c r="AC64" i="245"/>
  <c r="AO52" i="245"/>
  <c r="M52" i="245"/>
  <c r="G63" i="245"/>
  <c r="AB53" i="245"/>
  <c r="AN52" i="245"/>
  <c r="L52" i="245"/>
  <c r="AA53" i="245"/>
  <c r="AM52" i="245"/>
  <c r="K52" i="245"/>
  <c r="Z53" i="245"/>
  <c r="AL52" i="245"/>
  <c r="J52" i="245"/>
  <c r="AC43" i="245"/>
  <c r="AO54" i="245"/>
  <c r="M54" i="245"/>
  <c r="Y53" i="245"/>
  <c r="AK63" i="245"/>
  <c r="I52" i="245"/>
  <c r="AB43" i="245"/>
  <c r="AN65" i="245"/>
  <c r="L65" i="245"/>
  <c r="X53" i="245"/>
  <c r="AJ52" i="245"/>
  <c r="H52" i="245"/>
  <c r="G54" i="245"/>
  <c r="Y43" i="245"/>
  <c r="AK65" i="245"/>
  <c r="I54" i="245"/>
  <c r="U64" i="245"/>
  <c r="AG52" i="245"/>
  <c r="AD63" i="245"/>
  <c r="T43" i="245"/>
  <c r="AF65" i="245"/>
  <c r="AR53" i="245"/>
  <c r="P53" i="245"/>
  <c r="AB52" i="245"/>
  <c r="AS53" i="245"/>
  <c r="Q53" i="245"/>
  <c r="AC52" i="245"/>
  <c r="AU43" i="245"/>
  <c r="S43" i="245"/>
  <c r="AE54" i="245"/>
  <c r="AQ53" i="245"/>
  <c r="O64" i="245"/>
  <c r="AA63" i="245"/>
  <c r="AT43" i="245"/>
  <c r="R43" i="245"/>
  <c r="AD65" i="245"/>
  <c r="AP53" i="245"/>
  <c r="N53" i="245"/>
  <c r="Z63" i="245"/>
  <c r="AS43" i="245"/>
  <c r="Q43" i="245"/>
  <c r="AC65" i="245"/>
  <c r="AO53" i="245"/>
  <c r="M53" i="245"/>
  <c r="Y63" i="245"/>
  <c r="AN64" i="245"/>
  <c r="L64" i="245"/>
  <c r="X63" i="245"/>
  <c r="G105" i="245" l="1"/>
  <c r="G104" i="245"/>
  <c r="G103" i="245"/>
  <c r="G99" i="245"/>
  <c r="G98" i="245"/>
  <c r="G97" i="245"/>
  <c r="G90" i="245"/>
  <c r="G87" i="245"/>
  <c r="G91" i="245"/>
  <c r="F83" i="245"/>
  <c r="G82" i="245"/>
  <c r="N15" i="245"/>
  <c r="AI57" i="245"/>
  <c r="K57" i="245"/>
  <c r="AP21" i="245"/>
  <c r="AE11" i="245"/>
  <c r="AT112" i="245"/>
  <c r="F112" i="245"/>
  <c r="AB19" i="245"/>
  <c r="F19" i="245"/>
  <c r="F82" i="245"/>
  <c r="AJ20" i="245"/>
  <c r="F20" i="245"/>
  <c r="Z112" i="245"/>
  <c r="Y15" i="245"/>
  <c r="X21" i="245"/>
  <c r="M21" i="245"/>
  <c r="K11" i="245"/>
  <c r="Z21" i="245"/>
  <c r="I11" i="245"/>
  <c r="AG20" i="245"/>
  <c r="AS20" i="245"/>
  <c r="G83" i="245"/>
  <c r="S112" i="245"/>
  <c r="G57" i="245"/>
  <c r="F57" i="245"/>
  <c r="AN16" i="245"/>
  <c r="F16" i="245"/>
  <c r="T15" i="245"/>
  <c r="F15" i="245"/>
  <c r="G112" i="245"/>
  <c r="AN46" i="245"/>
  <c r="F46" i="245"/>
  <c r="H17" i="245"/>
  <c r="F17" i="245"/>
  <c r="AM15" i="245"/>
  <c r="AL15" i="245"/>
  <c r="O19" i="245"/>
  <c r="Z19" i="245"/>
  <c r="AK112" i="245"/>
  <c r="AO15" i="245"/>
  <c r="AS15" i="245"/>
  <c r="AP15" i="245"/>
  <c r="U15" i="245"/>
  <c r="J15" i="245"/>
  <c r="G15" i="245"/>
  <c r="AN15" i="245"/>
  <c r="AT19" i="245"/>
  <c r="L15" i="245"/>
  <c r="X112" i="245"/>
  <c r="AB15" i="245"/>
  <c r="AE15" i="245"/>
  <c r="T19" i="245"/>
  <c r="AI19" i="245"/>
  <c r="AK11" i="245"/>
  <c r="O112" i="245"/>
  <c r="I19" i="245"/>
  <c r="R15" i="245"/>
  <c r="S15" i="245"/>
  <c r="V15" i="245"/>
  <c r="AT15" i="245"/>
  <c r="P15" i="245"/>
  <c r="AU112" i="245"/>
  <c r="AR112" i="245"/>
  <c r="W64" i="245"/>
  <c r="AF64" i="245"/>
  <c r="AQ54" i="245"/>
  <c r="AD44" i="245"/>
  <c r="G44" i="245"/>
  <c r="W44" i="245"/>
  <c r="Y62" i="245"/>
  <c r="AW8" i="245"/>
  <c r="BE8" i="245"/>
  <c r="BA8" i="245"/>
  <c r="BI8" i="245"/>
  <c r="AL44" i="245"/>
  <c r="AK62" i="245"/>
  <c r="AJ62" i="245"/>
  <c r="U65" i="245"/>
  <c r="X44" i="245"/>
  <c r="J64" i="245"/>
  <c r="Q112" i="245"/>
  <c r="AM112" i="245"/>
  <c r="AC112" i="245"/>
  <c r="AI112" i="245"/>
  <c r="AA112" i="245"/>
  <c r="H112" i="245"/>
  <c r="V112" i="245"/>
  <c r="W112" i="245"/>
  <c r="AN112" i="245"/>
  <c r="K64" i="245"/>
  <c r="AP112" i="245"/>
  <c r="AA44" i="245"/>
  <c r="J112" i="245"/>
  <c r="P112" i="245"/>
  <c r="AI53" i="245"/>
  <c r="T64" i="245"/>
  <c r="AG53" i="245"/>
  <c r="AB65" i="245"/>
  <c r="J44" i="245"/>
  <c r="J45" i="245"/>
  <c r="M44" i="245"/>
  <c r="M45" i="245"/>
  <c r="AU44" i="245"/>
  <c r="AU45" i="245"/>
  <c r="AO44" i="245"/>
  <c r="AO45" i="245"/>
  <c r="AH44" i="245"/>
  <c r="AH45" i="245"/>
  <c r="S44" i="245"/>
  <c r="S45" i="245"/>
  <c r="AB44" i="245"/>
  <c r="AB45" i="245"/>
  <c r="N44" i="245"/>
  <c r="N45" i="245"/>
  <c r="AC44" i="245"/>
  <c r="AC45" i="245"/>
  <c r="Y44" i="245"/>
  <c r="Y45" i="245"/>
  <c r="T44" i="245"/>
  <c r="T45" i="245"/>
  <c r="Z44" i="245"/>
  <c r="Z45" i="245"/>
  <c r="AN44" i="245"/>
  <c r="AN45" i="245"/>
  <c r="U44" i="245"/>
  <c r="U45" i="245"/>
  <c r="K44" i="245"/>
  <c r="K45" i="245"/>
  <c r="I44" i="245"/>
  <c r="I45" i="245"/>
  <c r="AI44" i="245"/>
  <c r="AI45" i="245"/>
  <c r="AR44" i="245"/>
  <c r="AR45" i="245"/>
  <c r="AK44" i="245"/>
  <c r="AK45" i="245"/>
  <c r="V44" i="245"/>
  <c r="V45" i="245"/>
  <c r="P44" i="245"/>
  <c r="P45" i="245"/>
  <c r="AS44" i="245"/>
  <c r="AS45" i="245"/>
  <c r="AQ44" i="245"/>
  <c r="AQ45" i="245"/>
  <c r="AP44" i="245"/>
  <c r="AP45" i="245"/>
  <c r="AF44" i="245"/>
  <c r="AF45" i="245"/>
  <c r="Q44" i="245"/>
  <c r="Q45" i="245"/>
  <c r="H44" i="245"/>
  <c r="H45" i="245"/>
  <c r="AJ44" i="245"/>
  <c r="AJ45" i="245"/>
  <c r="R44" i="245"/>
  <c r="R45" i="245"/>
  <c r="AG44" i="245"/>
  <c r="AG45" i="245"/>
  <c r="AT44" i="245"/>
  <c r="AT45" i="245"/>
  <c r="AE44" i="245"/>
  <c r="AE45" i="245"/>
  <c r="L44" i="245"/>
  <c r="L45" i="245"/>
  <c r="X54" i="245"/>
  <c r="AA65" i="245"/>
  <c r="AJ64" i="245"/>
  <c r="W54" i="245"/>
  <c r="V64" i="245"/>
  <c r="G24" i="245"/>
  <c r="Y54" i="245"/>
  <c r="R53" i="245"/>
  <c r="J54" i="245"/>
  <c r="G107" i="245"/>
  <c r="G108" i="245"/>
  <c r="G106" i="245"/>
  <c r="AG65" i="245"/>
  <c r="AH53" i="245"/>
  <c r="AT65" i="245"/>
  <c r="AS63" i="245"/>
  <c r="AI63" i="245"/>
  <c r="R54" i="245"/>
  <c r="AK64" i="245"/>
  <c r="W63" i="245"/>
  <c r="Z54" i="245"/>
  <c r="S65" i="245"/>
  <c r="T54" i="245"/>
  <c r="P54" i="245"/>
  <c r="R52" i="245"/>
  <c r="AF63" i="245"/>
  <c r="AP65" i="245"/>
  <c r="O54" i="245"/>
  <c r="AR63" i="245"/>
  <c r="V54" i="245"/>
  <c r="S53" i="245"/>
  <c r="P63" i="245"/>
  <c r="AT63" i="245"/>
  <c r="V63" i="245"/>
  <c r="AN54" i="245"/>
  <c r="O53" i="245"/>
  <c r="L54" i="245"/>
  <c r="AD54" i="245"/>
  <c r="AB64" i="245"/>
  <c r="X64" i="245"/>
  <c r="AQ63" i="245"/>
  <c r="AL64" i="245"/>
  <c r="AO63" i="245"/>
  <c r="M63" i="245"/>
  <c r="I64" i="245"/>
  <c r="AL65" i="245"/>
  <c r="N54" i="245"/>
  <c r="AU64" i="245"/>
  <c r="AT64" i="245"/>
  <c r="AH63" i="245"/>
  <c r="AE53" i="245"/>
  <c r="G52" i="245"/>
  <c r="AA64" i="245"/>
  <c r="X52" i="245"/>
  <c r="Z64" i="245"/>
  <c r="U52" i="245"/>
  <c r="G53" i="245"/>
  <c r="AP63" i="245"/>
  <c r="Y64" i="245"/>
  <c r="N63" i="245"/>
  <c r="AS64" i="245"/>
  <c r="AK52" i="245"/>
  <c r="AD52" i="245"/>
  <c r="AR64" i="245"/>
  <c r="AO64" i="245"/>
  <c r="AM53" i="245"/>
  <c r="AN53" i="245"/>
  <c r="AC53" i="245"/>
  <c r="AN63" i="245"/>
  <c r="AQ64" i="245"/>
  <c r="M64" i="245"/>
  <c r="AF54" i="245"/>
  <c r="L53" i="245"/>
  <c r="AP64" i="245"/>
  <c r="AM63" i="245"/>
  <c r="Z52" i="245"/>
  <c r="L63" i="245"/>
  <c r="U53" i="245"/>
  <c r="AA52" i="245"/>
  <c r="AS65" i="245"/>
  <c r="I65" i="245"/>
  <c r="K63" i="245"/>
  <c r="Q65" i="245"/>
  <c r="AG63" i="245"/>
  <c r="AL63" i="245"/>
  <c r="J63" i="245"/>
  <c r="Y52" i="245"/>
  <c r="AE63" i="245"/>
  <c r="AC54" i="245"/>
  <c r="I63" i="245"/>
  <c r="H54" i="245"/>
  <c r="AC63" i="245"/>
  <c r="AJ63" i="245"/>
  <c r="AB63" i="245"/>
  <c r="H63" i="245"/>
  <c r="AO65" i="245"/>
  <c r="AK54" i="245"/>
  <c r="M65" i="245"/>
  <c r="AU52" i="245"/>
  <c r="T63" i="245"/>
  <c r="Q64" i="245"/>
  <c r="S52" i="245"/>
  <c r="P64" i="245"/>
  <c r="Q63" i="245"/>
  <c r="O52" i="245"/>
  <c r="N64" i="245"/>
  <c r="G65" i="245"/>
  <c r="AD53" i="245"/>
  <c r="AE65" i="245"/>
  <c r="G86" i="245" l="1"/>
  <c r="G96" i="245"/>
  <c r="G95" i="245"/>
  <c r="G94" i="245"/>
  <c r="G102" i="245"/>
  <c r="G101" i="245"/>
  <c r="G100" i="245"/>
  <c r="G93" i="245"/>
  <c r="G92" i="245"/>
  <c r="G35" i="245"/>
  <c r="E94" i="216"/>
  <c r="F94" i="216"/>
  <c r="E129" i="231" s="1"/>
  <c r="E95" i="216"/>
  <c r="F95" i="216"/>
  <c r="E130" i="231" s="1"/>
  <c r="E96" i="216"/>
  <c r="F96" i="216"/>
  <c r="E131" i="231" s="1"/>
  <c r="E97" i="216"/>
  <c r="F97" i="216"/>
  <c r="E132" i="231" s="1"/>
  <c r="E98" i="216"/>
  <c r="F98" i="216"/>
  <c r="E133" i="231" s="1"/>
  <c r="E99" i="216"/>
  <c r="F99" i="216"/>
  <c r="E134" i="231" s="1"/>
  <c r="E100" i="216"/>
  <c r="F100" i="216"/>
  <c r="E135" i="231" s="1"/>
  <c r="E101" i="216"/>
  <c r="F101" i="216"/>
  <c r="E136" i="231" s="1"/>
  <c r="E102" i="216"/>
  <c r="F102" i="216"/>
  <c r="E137" i="231" s="1"/>
  <c r="E103" i="216"/>
  <c r="F103" i="216"/>
  <c r="E138" i="231" s="1"/>
  <c r="E104" i="216"/>
  <c r="F104" i="216"/>
  <c r="E139" i="231" s="1"/>
  <c r="E105" i="216"/>
  <c r="F105" i="216"/>
  <c r="E140" i="231" s="1"/>
  <c r="E106" i="216"/>
  <c r="F106" i="216"/>
  <c r="E141" i="231" s="1"/>
  <c r="E107" i="216"/>
  <c r="F107" i="216"/>
  <c r="E142" i="231" s="1"/>
  <c r="E108" i="216"/>
  <c r="F108" i="216"/>
  <c r="E143" i="231" s="1"/>
  <c r="E144" i="231"/>
  <c r="E145" i="231"/>
  <c r="E146" i="231"/>
  <c r="E147" i="231"/>
  <c r="E148" i="231"/>
  <c r="E81" i="216"/>
  <c r="F81" i="216"/>
  <c r="E116" i="231" s="1"/>
  <c r="E82" i="216"/>
  <c r="F82" i="216"/>
  <c r="E117" i="231" s="1"/>
  <c r="E83" i="216"/>
  <c r="F83" i="216"/>
  <c r="E118" i="231" s="1"/>
  <c r="E84" i="216"/>
  <c r="F84" i="216"/>
  <c r="E119" i="231" s="1"/>
  <c r="E85" i="216"/>
  <c r="F85" i="216"/>
  <c r="E120" i="231" s="1"/>
  <c r="E86" i="216"/>
  <c r="F86" i="216"/>
  <c r="E121" i="231" s="1"/>
  <c r="E87" i="216"/>
  <c r="F87" i="216"/>
  <c r="E122" i="231" s="1"/>
  <c r="E88" i="216"/>
  <c r="F88" i="216"/>
  <c r="E123" i="231" s="1"/>
  <c r="E89" i="216"/>
  <c r="F89" i="216"/>
  <c r="E124" i="231" s="1"/>
  <c r="E90" i="216"/>
  <c r="F90" i="216"/>
  <c r="E125" i="231" s="1"/>
  <c r="E91" i="216"/>
  <c r="F91" i="216"/>
  <c r="E126" i="231" s="1"/>
  <c r="E92" i="216"/>
  <c r="F92" i="216"/>
  <c r="E127" i="231" s="1"/>
  <c r="E93" i="216"/>
  <c r="F93" i="216"/>
  <c r="E128" i="231" s="1"/>
  <c r="F80" i="216"/>
  <c r="E115" i="231" s="1"/>
  <c r="E80" i="216"/>
  <c r="D119" i="231" l="1"/>
  <c r="B13" i="237" s="1"/>
  <c r="E13" i="237"/>
  <c r="D13" i="237" s="1"/>
  <c r="D121" i="231"/>
  <c r="B15" i="237" s="1"/>
  <c r="E15" i="237"/>
  <c r="D15" i="237" s="1"/>
  <c r="D120" i="231"/>
  <c r="B14" i="237" s="1"/>
  <c r="E14" i="237"/>
  <c r="D14" i="237" s="1"/>
  <c r="D132" i="231"/>
  <c r="B26" i="237" s="1"/>
  <c r="E26" i="237"/>
  <c r="D26" i="237" s="1"/>
  <c r="D131" i="231"/>
  <c r="B25" i="237" s="1"/>
  <c r="E25" i="237"/>
  <c r="D25" i="237" s="1"/>
  <c r="D117" i="231"/>
  <c r="B11" i="237" s="1"/>
  <c r="E11" i="237"/>
  <c r="D11" i="237" s="1"/>
  <c r="D141" i="231"/>
  <c r="B35" i="237" s="1"/>
  <c r="E35" i="237"/>
  <c r="D35" i="237" s="1"/>
  <c r="D140" i="231"/>
  <c r="B34" i="237" s="1"/>
  <c r="E34" i="237"/>
  <c r="D135" i="231"/>
  <c r="B29" i="237" s="1"/>
  <c r="E29" i="237"/>
  <c r="D29" i="237" s="1"/>
  <c r="D134" i="231"/>
  <c r="B28" i="237" s="1"/>
  <c r="E28" i="237"/>
  <c r="D28" i="237" s="1"/>
  <c r="D129" i="231"/>
  <c r="B23" i="237" s="1"/>
  <c r="E23" i="237"/>
  <c r="D23" i="237" s="1"/>
  <c r="D133" i="231"/>
  <c r="B27" i="237" s="1"/>
  <c r="E27" i="237"/>
  <c r="D27" i="237" s="1"/>
  <c r="D118" i="231"/>
  <c r="B12" i="237" s="1"/>
  <c r="E12" i="237"/>
  <c r="D12" i="237" s="1"/>
  <c r="D130" i="231"/>
  <c r="B24" i="237" s="1"/>
  <c r="E24" i="237"/>
  <c r="D24" i="237" s="1"/>
  <c r="D142" i="231"/>
  <c r="B36" i="237" s="1"/>
  <c r="E36" i="237"/>
  <c r="D36" i="237" s="1"/>
  <c r="D122" i="231"/>
  <c r="B16" i="237" s="1"/>
  <c r="E16" i="237"/>
  <c r="D16" i="237" s="1"/>
  <c r="D144" i="231"/>
  <c r="B38" i="237" s="1"/>
  <c r="E38" i="237"/>
  <c r="D126" i="231"/>
  <c r="B20" i="237" s="1"/>
  <c r="E20" i="237"/>
  <c r="D20" i="237" s="1"/>
  <c r="D139" i="231"/>
  <c r="B33" i="237" s="1"/>
  <c r="E33" i="237"/>
  <c r="D33" i="237" s="1"/>
  <c r="D145" i="231"/>
  <c r="B41" i="237" s="1"/>
  <c r="E41" i="237"/>
  <c r="D148" i="231"/>
  <c r="B50" i="237" s="1"/>
  <c r="E50" i="237"/>
  <c r="D138" i="231"/>
  <c r="B32" i="237" s="1"/>
  <c r="E32" i="237"/>
  <c r="D32" i="237" s="1"/>
  <c r="D124" i="231"/>
  <c r="B18" i="237" s="1"/>
  <c r="E18" i="237"/>
  <c r="D18" i="237" s="1"/>
  <c r="D137" i="231"/>
  <c r="B31" i="237" s="1"/>
  <c r="E31" i="237"/>
  <c r="D31" i="237" s="1"/>
  <c r="D143" i="231"/>
  <c r="B37" i="237" s="1"/>
  <c r="E37" i="237"/>
  <c r="D37" i="237" s="1"/>
  <c r="D116" i="231"/>
  <c r="B10" i="237" s="1"/>
  <c r="E10" i="237"/>
  <c r="D10" i="237" s="1"/>
  <c r="D115" i="231"/>
  <c r="B9" i="237" s="1"/>
  <c r="E9" i="237"/>
  <c r="D9" i="237" s="1"/>
  <c r="D128" i="231"/>
  <c r="B22" i="237" s="1"/>
  <c r="E22" i="237"/>
  <c r="D22" i="237" s="1"/>
  <c r="D127" i="231"/>
  <c r="B21" i="237" s="1"/>
  <c r="E21" i="237"/>
  <c r="D21" i="237" s="1"/>
  <c r="D147" i="231"/>
  <c r="B47" i="237" s="1"/>
  <c r="E47" i="237"/>
  <c r="D125" i="231"/>
  <c r="B19" i="237" s="1"/>
  <c r="E19" i="237"/>
  <c r="D19" i="237" s="1"/>
  <c r="D123" i="231"/>
  <c r="B17" i="237" s="1"/>
  <c r="E17" i="237"/>
  <c r="D17" i="237" s="1"/>
  <c r="D146" i="231"/>
  <c r="B44" i="237" s="1"/>
  <c r="E44" i="237"/>
  <c r="D136" i="231"/>
  <c r="B30" i="237" s="1"/>
  <c r="E30" i="237"/>
  <c r="D30" i="237" s="1"/>
  <c r="G36" i="245"/>
  <c r="G107" i="216"/>
  <c r="G108" i="216"/>
  <c r="G80" i="216"/>
  <c r="G81" i="216"/>
  <c r="G82" i="216"/>
  <c r="G83" i="216"/>
  <c r="G84" i="216"/>
  <c r="G85" i="216"/>
  <c r="G86" i="216"/>
  <c r="G87" i="216"/>
  <c r="G88" i="216"/>
  <c r="G89" i="216"/>
  <c r="G90" i="216"/>
  <c r="G91" i="216"/>
  <c r="G92" i="216"/>
  <c r="G93" i="216"/>
  <c r="G94" i="216"/>
  <c r="G95" i="216"/>
  <c r="G96" i="216"/>
  <c r="G97" i="216"/>
  <c r="G98" i="216"/>
  <c r="G99" i="216"/>
  <c r="G100" i="216"/>
  <c r="G101" i="216"/>
  <c r="G102" i="216"/>
  <c r="G103" i="216"/>
  <c r="G104" i="216"/>
  <c r="G105" i="216"/>
  <c r="G106" i="216"/>
  <c r="G28" i="245" l="1"/>
  <c r="G27" i="245"/>
  <c r="K24" i="242"/>
  <c r="L24" i="242" s="1"/>
  <c r="AI32" i="242"/>
  <c r="AI6" i="242" s="1"/>
  <c r="AH32" i="242"/>
  <c r="AH6" i="242" s="1"/>
  <c r="AG32" i="242"/>
  <c r="AG6" i="242" s="1"/>
  <c r="AF32" i="242"/>
  <c r="AF6" i="242" s="1"/>
  <c r="AE32" i="242"/>
  <c r="AD32" i="242"/>
  <c r="AD6" i="242" s="1"/>
  <c r="AC32" i="242"/>
  <c r="AC6" i="242" s="1"/>
  <c r="AB32" i="242"/>
  <c r="AB6" i="242" s="1"/>
  <c r="AA32" i="242"/>
  <c r="Z32" i="242"/>
  <c r="Z6" i="242" s="1"/>
  <c r="Y32" i="242"/>
  <c r="Y6" i="242" s="1"/>
  <c r="X32" i="242"/>
  <c r="X6" i="242" s="1"/>
  <c r="W32" i="242"/>
  <c r="W6" i="242" s="1"/>
  <c r="V32" i="242"/>
  <c r="V6" i="242" s="1"/>
  <c r="U32" i="242"/>
  <c r="U6" i="242" s="1"/>
  <c r="T32" i="242"/>
  <c r="S32" i="242"/>
  <c r="S6" i="242" s="1"/>
  <c r="R32" i="242"/>
  <c r="R6" i="242" s="1"/>
  <c r="Q32" i="242"/>
  <c r="Q6" i="242" s="1"/>
  <c r="P32" i="242"/>
  <c r="P6" i="242" s="1"/>
  <c r="O32" i="242"/>
  <c r="O6" i="242" s="1"/>
  <c r="N32" i="242"/>
  <c r="N6" i="242" s="1"/>
  <c r="M32" i="242"/>
  <c r="M11" i="242" s="1"/>
  <c r="M6" i="242" s="1"/>
  <c r="L32" i="242"/>
  <c r="L11" i="242" s="1"/>
  <c r="L6" i="242" s="1"/>
  <c r="D15" i="236"/>
  <c r="AE6" i="242"/>
  <c r="AA6" i="242"/>
  <c r="T6" i="242"/>
  <c r="K6" i="242"/>
  <c r="J6" i="242"/>
  <c r="I6" i="242"/>
  <c r="H6" i="242"/>
  <c r="G6" i="242"/>
  <c r="F6" i="242"/>
  <c r="E6" i="242"/>
  <c r="D16" i="236"/>
  <c r="D17" i="236"/>
  <c r="J7" i="242"/>
  <c r="I7" i="242"/>
  <c r="H7" i="242"/>
  <c r="G7" i="242"/>
  <c r="F7" i="242"/>
  <c r="E7" i="242"/>
  <c r="D18" i="236"/>
  <c r="D21" i="236"/>
  <c r="D22" i="236"/>
  <c r="D23" i="236"/>
  <c r="D24" i="236"/>
  <c r="D25" i="236"/>
  <c r="D26" i="236"/>
  <c r="D27" i="236"/>
  <c r="D28" i="236"/>
  <c r="D29" i="236"/>
  <c r="D31" i="236"/>
  <c r="D32" i="236"/>
  <c r="D34" i="236"/>
  <c r="D33" i="236"/>
  <c r="K7" i="242" l="1"/>
  <c r="AQ6" i="242"/>
  <c r="AL6" i="242"/>
  <c r="AK6" i="242"/>
  <c r="AR6" i="242"/>
  <c r="AM6" i="242"/>
  <c r="AN6" i="242"/>
  <c r="AS6" i="242"/>
  <c r="AP6" i="242"/>
  <c r="AJ6" i="242"/>
  <c r="AO6" i="242"/>
  <c r="L7" i="242"/>
  <c r="M24" i="242"/>
  <c r="M7" i="242" l="1"/>
  <c r="N7" i="242" l="1"/>
  <c r="O7" i="242" l="1"/>
  <c r="P7" i="242" l="1"/>
  <c r="Q7" i="242" l="1"/>
  <c r="R7" i="242" l="1"/>
  <c r="S7" i="242" l="1"/>
  <c r="T7" i="242" l="1"/>
  <c r="U7" i="242" l="1"/>
  <c r="V7" i="242" l="1"/>
  <c r="W7" i="242" l="1"/>
  <c r="X7" i="242" l="1"/>
  <c r="Y7" i="242" l="1"/>
  <c r="Z7" i="242" l="1"/>
  <c r="AA7" i="242" l="1"/>
  <c r="AB7" i="242" l="1"/>
  <c r="AC7" i="242" l="1"/>
  <c r="AD7" i="242" l="1"/>
  <c r="AE7" i="242" l="1"/>
  <c r="AF7" i="242" l="1"/>
  <c r="AG7" i="242" l="1"/>
  <c r="AH7" i="242" l="1"/>
  <c r="AI7" i="242" l="1"/>
  <c r="AJ7" i="242" l="1"/>
  <c r="AK7" i="242" l="1"/>
  <c r="AL7" i="242" l="1"/>
  <c r="AM7" i="242" l="1"/>
  <c r="AN7" i="242" l="1"/>
  <c r="AO7" i="242" l="1"/>
  <c r="AP7" i="242" l="1"/>
  <c r="AQ7" i="242" l="1"/>
  <c r="AR7" i="242" l="1"/>
  <c r="AS7" i="242"/>
  <c r="N21" i="246" l="1"/>
  <c r="O21" i="246"/>
  <c r="P21" i="246"/>
  <c r="Q21" i="246" l="1"/>
  <c r="R21" i="246"/>
  <c r="N20" i="246" l="1"/>
  <c r="O20" i="246"/>
  <c r="P20" i="246"/>
  <c r="AC8" i="246" l="1"/>
  <c r="AD8" i="246" s="1"/>
  <c r="AE8" i="246" s="1"/>
  <c r="Q20" i="246"/>
  <c r="R20" i="24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Rikke Næraa</author>
    <author>Olexandr Balyk</author>
    <author>Kristoffer Steen Andersen</author>
    <author>Martin Hagberg</author>
    <author>Jacopo Tattini</author>
    <author>Christian Bang</author>
    <author>János Hethey</author>
  </authors>
  <commentList>
    <comment ref="G5" authorId="0" shapeId="0" xr:uid="{4AC57C30-79A0-42D5-98DC-7168080D7989}">
      <text>
        <r>
          <rPr>
            <b/>
            <sz val="9"/>
            <color indexed="81"/>
            <rFont val="Tahoma"/>
            <family val="2"/>
          </rPr>
          <t>Rikke Næraa:</t>
        </r>
        <r>
          <rPr>
            <sz val="9"/>
            <color indexed="81"/>
            <rFont val="Tahoma"/>
            <family val="2"/>
          </rPr>
          <t xml:space="preserve">
RAMSES data for 2010 ( from BF2012)
</t>
        </r>
      </text>
    </comment>
    <comment ref="G9" authorId="1" shapeId="0" xr:uid="{78DBA69C-E655-463A-933B-8D5B43B26B5B}">
      <text>
        <r>
          <rPr>
            <b/>
            <sz val="9"/>
            <color indexed="81"/>
            <rFont val="Tahoma"/>
            <family val="2"/>
          </rPr>
          <t>Olexandr Balyk:</t>
        </r>
        <r>
          <rPr>
            <sz val="9"/>
            <color indexed="81"/>
            <rFont val="Tahoma"/>
            <family val="2"/>
          </rPr>
          <t xml:space="preserve">
Same as in Ramses</t>
        </r>
      </text>
    </comment>
    <comment ref="H9" authorId="1" shapeId="0" xr:uid="{89AC9438-C987-4F5A-AFDF-7549EBB8C752}">
      <text>
        <r>
          <rPr>
            <b/>
            <sz val="9"/>
            <color indexed="81"/>
            <rFont val="Tahoma"/>
            <family val="2"/>
          </rPr>
          <t>Olexandr Balyk:</t>
        </r>
        <r>
          <rPr>
            <sz val="9"/>
            <color indexed="81"/>
            <rFont val="Tahoma"/>
            <family val="2"/>
          </rPr>
          <t xml:space="preserve">
Same as in Ramses</t>
        </r>
      </text>
    </comment>
    <comment ref="I9" authorId="1" shapeId="0" xr:uid="{65E384C6-F9A1-477C-B0F3-FFFE404DAE73}">
      <text>
        <r>
          <rPr>
            <b/>
            <sz val="9"/>
            <color indexed="81"/>
            <rFont val="Tahoma"/>
            <family val="2"/>
          </rPr>
          <t>Olexandr Balyk:</t>
        </r>
        <r>
          <rPr>
            <sz val="9"/>
            <color indexed="81"/>
            <rFont val="Tahoma"/>
            <family val="2"/>
          </rPr>
          <t xml:space="preserve">
Same as in Ramses</t>
        </r>
      </text>
    </comment>
    <comment ref="J9" authorId="1" shapeId="0" xr:uid="{81B80CA0-46B2-4B63-82A2-BBA99D5653DA}">
      <text>
        <r>
          <rPr>
            <b/>
            <sz val="9"/>
            <color indexed="81"/>
            <rFont val="Tahoma"/>
            <family val="2"/>
          </rPr>
          <t>Olexandr Balyk:</t>
        </r>
        <r>
          <rPr>
            <sz val="9"/>
            <color indexed="81"/>
            <rFont val="Tahoma"/>
            <family val="2"/>
          </rPr>
          <t xml:space="preserve">
Same as in Ramses</t>
        </r>
      </text>
    </comment>
    <comment ref="K9" authorId="1" shapeId="0" xr:uid="{74C74677-0A86-49EB-AD78-0B3E3637538B}">
      <text>
        <r>
          <rPr>
            <b/>
            <sz val="9"/>
            <color indexed="81"/>
            <rFont val="Tahoma"/>
            <family val="2"/>
          </rPr>
          <t>Olexandr Balyk:</t>
        </r>
        <r>
          <rPr>
            <sz val="9"/>
            <color indexed="81"/>
            <rFont val="Tahoma"/>
            <family val="2"/>
          </rPr>
          <t xml:space="preserve">
Same as in Ramses</t>
        </r>
      </text>
    </comment>
    <comment ref="L9" authorId="1" shapeId="0" xr:uid="{00203CC1-ECB7-4903-80B0-ED91CD347093}">
      <text>
        <r>
          <rPr>
            <b/>
            <sz val="9"/>
            <color indexed="81"/>
            <rFont val="Tahoma"/>
            <family val="2"/>
          </rPr>
          <t>Olexandr Balyk:</t>
        </r>
        <r>
          <rPr>
            <sz val="9"/>
            <color indexed="81"/>
            <rFont val="Tahoma"/>
            <family val="2"/>
          </rPr>
          <t xml:space="preserve">
Same as in Ramses</t>
        </r>
      </text>
    </comment>
    <comment ref="M9" authorId="1" shapeId="0" xr:uid="{D75A8B21-A1AF-40FE-99E4-B7D67EF948F1}">
      <text>
        <r>
          <rPr>
            <b/>
            <sz val="9"/>
            <color indexed="81"/>
            <rFont val="Tahoma"/>
            <family val="2"/>
          </rPr>
          <t>Olexandr Balyk:</t>
        </r>
        <r>
          <rPr>
            <sz val="9"/>
            <color indexed="81"/>
            <rFont val="Tahoma"/>
            <family val="2"/>
          </rPr>
          <t xml:space="preserve">
Same as in Ramses</t>
        </r>
      </text>
    </comment>
    <comment ref="N9" authorId="1" shapeId="0" xr:uid="{0CF4BCFB-4B81-4948-8B56-93F98F84BC35}">
      <text>
        <r>
          <rPr>
            <b/>
            <sz val="9"/>
            <color indexed="81"/>
            <rFont val="Tahoma"/>
            <family val="2"/>
          </rPr>
          <t>Olexandr Balyk:</t>
        </r>
        <r>
          <rPr>
            <sz val="9"/>
            <color indexed="81"/>
            <rFont val="Tahoma"/>
            <family val="2"/>
          </rPr>
          <t xml:space="preserve">
Same as in Ramses</t>
        </r>
      </text>
    </comment>
    <comment ref="O9" authorId="1" shapeId="0" xr:uid="{9FB291F2-9B92-4156-8A29-1EE5412A0DCD}">
      <text>
        <r>
          <rPr>
            <b/>
            <sz val="9"/>
            <color indexed="81"/>
            <rFont val="Tahoma"/>
            <family val="2"/>
          </rPr>
          <t>Olexandr Balyk:</t>
        </r>
        <r>
          <rPr>
            <sz val="9"/>
            <color indexed="81"/>
            <rFont val="Tahoma"/>
            <family val="2"/>
          </rPr>
          <t xml:space="preserve">
Same as in Ramses</t>
        </r>
      </text>
    </comment>
    <comment ref="G13" authorId="2" shapeId="0" xr:uid="{D9379C19-2DEB-4550-B611-BFFD37E2C752}">
      <text>
        <r>
          <rPr>
            <b/>
            <sz val="9"/>
            <color indexed="81"/>
            <rFont val="Tahoma"/>
            <family val="2"/>
          </rPr>
          <t>Kristoffer Steen Andersen:</t>
        </r>
        <r>
          <rPr>
            <sz val="9"/>
            <color indexed="81"/>
            <rFont val="Tahoma"/>
            <family val="2"/>
          </rPr>
          <t xml:space="preserve">
It is assumed that biogas is prices triple of natural gas!!</t>
        </r>
      </text>
    </comment>
    <comment ref="H13" authorId="2" shapeId="0" xr:uid="{6D49BC5F-8F94-4E1B-8DBF-9242EEBFBFEE}">
      <text>
        <r>
          <rPr>
            <b/>
            <sz val="9"/>
            <color indexed="81"/>
            <rFont val="Tahoma"/>
            <family val="2"/>
          </rPr>
          <t>Kristoffer Steen Andersen:</t>
        </r>
        <r>
          <rPr>
            <sz val="9"/>
            <color indexed="81"/>
            <rFont val="Tahoma"/>
            <family val="2"/>
          </rPr>
          <t xml:space="preserve">
It is assumed that biogas is prices double of natural gas!!</t>
        </r>
      </text>
    </comment>
    <comment ref="I13" authorId="2" shapeId="0" xr:uid="{14667FD6-100E-4D96-8E7A-7686D9490FD2}">
      <text>
        <r>
          <rPr>
            <b/>
            <sz val="9"/>
            <color indexed="81"/>
            <rFont val="Tahoma"/>
            <family val="2"/>
          </rPr>
          <t>Kristoffer Steen Andersen:</t>
        </r>
        <r>
          <rPr>
            <sz val="9"/>
            <color indexed="81"/>
            <rFont val="Tahoma"/>
            <family val="2"/>
          </rPr>
          <t xml:space="preserve">
It is assumed that biogas is prices double of natural gas!!</t>
        </r>
      </text>
    </comment>
    <comment ref="J13" authorId="2" shapeId="0" xr:uid="{49884D01-16EB-4AAB-9202-15D27A41E149}">
      <text>
        <r>
          <rPr>
            <b/>
            <sz val="9"/>
            <color indexed="81"/>
            <rFont val="Tahoma"/>
            <family val="2"/>
          </rPr>
          <t>Kristoffer Steen Andersen:</t>
        </r>
        <r>
          <rPr>
            <sz val="9"/>
            <color indexed="81"/>
            <rFont val="Tahoma"/>
            <family val="2"/>
          </rPr>
          <t xml:space="preserve">
It is assumed that biogas is prices double of natural gas!!</t>
        </r>
      </text>
    </comment>
    <comment ref="K13" authorId="2" shapeId="0" xr:uid="{A1754490-F015-459E-B400-838EB934ACBC}">
      <text>
        <r>
          <rPr>
            <b/>
            <sz val="9"/>
            <color indexed="81"/>
            <rFont val="Tahoma"/>
            <family val="2"/>
          </rPr>
          <t>Kristoffer Steen Andersen:</t>
        </r>
        <r>
          <rPr>
            <sz val="9"/>
            <color indexed="81"/>
            <rFont val="Tahoma"/>
            <family val="2"/>
          </rPr>
          <t xml:space="preserve">
It is assumed that biogas is prices double of natural gas!!</t>
        </r>
      </text>
    </comment>
    <comment ref="L13" authorId="2" shapeId="0" xr:uid="{AA27EAAC-D356-497A-8D37-61E69D86B57E}">
      <text>
        <r>
          <rPr>
            <b/>
            <sz val="9"/>
            <color indexed="81"/>
            <rFont val="Tahoma"/>
            <family val="2"/>
          </rPr>
          <t>Kristoffer Steen Andersen:</t>
        </r>
        <r>
          <rPr>
            <sz val="9"/>
            <color indexed="81"/>
            <rFont val="Tahoma"/>
            <family val="2"/>
          </rPr>
          <t xml:space="preserve">
It is assumed that biogas is prices double of natural gas!!</t>
        </r>
      </text>
    </comment>
    <comment ref="M13" authorId="2" shapeId="0" xr:uid="{9996B9F7-CE20-4788-8556-5CFC7CC6E863}">
      <text>
        <r>
          <rPr>
            <b/>
            <sz val="9"/>
            <color indexed="81"/>
            <rFont val="Tahoma"/>
            <family val="2"/>
          </rPr>
          <t>Kristoffer Steen Andersen:</t>
        </r>
        <r>
          <rPr>
            <sz val="9"/>
            <color indexed="81"/>
            <rFont val="Tahoma"/>
            <family val="2"/>
          </rPr>
          <t xml:space="preserve">
It is assumed that biogas is prices double of natural gas!!</t>
        </r>
      </text>
    </comment>
    <comment ref="N13" authorId="2" shapeId="0" xr:uid="{D5BEA34C-97BD-48FD-B766-9CFAEAC73CA8}">
      <text>
        <r>
          <rPr>
            <b/>
            <sz val="9"/>
            <color indexed="81"/>
            <rFont val="Tahoma"/>
            <family val="2"/>
          </rPr>
          <t>Kristoffer Steen Andersen:</t>
        </r>
        <r>
          <rPr>
            <sz val="9"/>
            <color indexed="81"/>
            <rFont val="Tahoma"/>
            <family val="2"/>
          </rPr>
          <t xml:space="preserve">
It is assumed that biogas is prices double of natural gas!!</t>
        </r>
      </text>
    </comment>
    <comment ref="O13" authorId="2" shapeId="0" xr:uid="{6B48086E-E0D4-445F-A222-3A074177759A}">
      <text>
        <r>
          <rPr>
            <b/>
            <sz val="9"/>
            <color indexed="81"/>
            <rFont val="Tahoma"/>
            <family val="2"/>
          </rPr>
          <t>Kristoffer Steen Andersen:</t>
        </r>
        <r>
          <rPr>
            <sz val="9"/>
            <color indexed="81"/>
            <rFont val="Tahoma"/>
            <family val="2"/>
          </rPr>
          <t xml:space="preserve">
It is assumed that biogas is prices double of natural gas!!</t>
        </r>
      </text>
    </comment>
    <comment ref="BK19" authorId="3" shapeId="0" xr:uid="{00000000-0006-0000-0400-000010000000}">
      <text>
        <r>
          <rPr>
            <b/>
            <sz val="9"/>
            <color indexed="81"/>
            <rFont val="Tahoma"/>
            <family val="2"/>
          </rPr>
          <t>Martin Hagberg:</t>
        </r>
        <r>
          <rPr>
            <sz val="9"/>
            <color indexed="81"/>
            <rFont val="Tahoma"/>
            <family val="2"/>
          </rPr>
          <t xml:space="preserve">
relaxation to avoid dummy import
</t>
        </r>
      </text>
    </comment>
    <comment ref="G24" authorId="2" shapeId="0" xr:uid="{00F33F2B-3180-4EC6-81ED-B98BB2CBA729}">
      <text>
        <r>
          <rPr>
            <b/>
            <sz val="9"/>
            <color indexed="81"/>
            <rFont val="Tahoma"/>
            <family val="2"/>
          </rPr>
          <t>Kristoffer Steen Andersen:</t>
        </r>
        <r>
          <rPr>
            <sz val="9"/>
            <color indexed="81"/>
            <rFont val="Tahoma"/>
            <family val="2"/>
          </rPr>
          <t xml:space="preserve">
It is assumed that LPG is prices double of natural gas!!</t>
        </r>
      </text>
    </comment>
    <comment ref="G66" authorId="4" shapeId="0" xr:uid="{EF0CA724-8DD5-4BAD-9BFA-3D5FBFED7A8E}">
      <text>
        <r>
          <rPr>
            <b/>
            <sz val="9"/>
            <color indexed="81"/>
            <rFont val="Tahoma"/>
            <family val="2"/>
          </rPr>
          <t>Jacopo Tattini:</t>
        </r>
        <r>
          <rPr>
            <sz val="9"/>
            <color indexed="81"/>
            <rFont val="Tahoma"/>
            <family val="2"/>
          </rPr>
          <t xml:space="preserve">
Calculated with respect to gasoline price normalizing with ratio between aviation and normal gasoline (1.7)</t>
        </r>
      </text>
    </comment>
    <comment ref="G120" authorId="0" shapeId="0" xr:uid="{75388E61-446D-4B8A-8003-5A179DC866F6}">
      <text>
        <r>
          <rPr>
            <b/>
            <sz val="9"/>
            <color indexed="81"/>
            <rFont val="Tahoma"/>
            <family val="2"/>
          </rPr>
          <t>Rikke Næraa:</t>
        </r>
        <r>
          <rPr>
            <sz val="9"/>
            <color indexed="81"/>
            <rFont val="Tahoma"/>
            <family val="2"/>
          </rPr>
          <t xml:space="preserve">
RAMSES data for 2010 ( from BF2012)
</t>
        </r>
      </text>
    </comment>
    <comment ref="J234" authorId="5" shapeId="0" xr:uid="{54CFEA3A-574D-47B2-8445-6C9CF5A90993}">
      <text>
        <r>
          <rPr>
            <b/>
            <sz val="9"/>
            <color indexed="81"/>
            <rFont val="Tahoma"/>
            <family val="2"/>
          </rPr>
          <t>Christian Bang:</t>
        </r>
        <r>
          <rPr>
            <sz val="9"/>
            <color indexed="81"/>
            <rFont val="Tahoma"/>
            <family val="2"/>
          </rPr>
          <t xml:space="preserve">
DDHA in 2013 DKK: 48.0</t>
        </r>
      </text>
    </comment>
    <comment ref="J238" authorId="5" shapeId="0" xr:uid="{E70AB2AE-ADDF-4AC4-AA66-1C50117A0512}">
      <text>
        <r>
          <rPr>
            <b/>
            <sz val="9"/>
            <color indexed="81"/>
            <rFont val="Tahoma"/>
            <family val="2"/>
          </rPr>
          <t>Christian Bang:</t>
        </r>
        <r>
          <rPr>
            <sz val="9"/>
            <color indexed="81"/>
            <rFont val="Tahoma"/>
            <family val="2"/>
          </rPr>
          <t xml:space="preserve">
DDHA in 2013 DKK: 
Average - 72,
Weigted average a deal lower.</t>
        </r>
      </text>
    </comment>
    <comment ref="D241" authorId="5" shapeId="0" xr:uid="{76F7FBDE-1F99-40E0-A2E5-7F873E02A388}">
      <text>
        <r>
          <rPr>
            <b/>
            <sz val="9"/>
            <color indexed="81"/>
            <rFont val="Tahoma"/>
            <family val="2"/>
          </rPr>
          <t>Christian Bang:</t>
        </r>
        <r>
          <rPr>
            <sz val="9"/>
            <color indexed="81"/>
            <rFont val="Tahoma"/>
            <family val="2"/>
          </rPr>
          <t xml:space="preserve">
Has not been investigated thouroughly in this study.</t>
        </r>
      </text>
    </comment>
    <comment ref="J244" authorId="5" shapeId="0" xr:uid="{B839D6C7-651A-4532-8837-94CFDBA9A947}">
      <text>
        <r>
          <rPr>
            <b/>
            <sz val="9"/>
            <color indexed="81"/>
            <rFont val="Tahoma"/>
            <family val="2"/>
          </rPr>
          <t>Christian Bang:</t>
        </r>
        <r>
          <rPr>
            <sz val="9"/>
            <color indexed="81"/>
            <rFont val="Tahoma"/>
            <family val="2"/>
          </rPr>
          <t xml:space="preserve">
DDHA in 2013 DKK: 
41.9</t>
        </r>
      </text>
    </comment>
    <comment ref="J283" authorId="6" shapeId="0" xr:uid="{14798DF9-7634-4F50-A36D-A8384FF60193}">
      <text>
        <r>
          <rPr>
            <b/>
            <sz val="9"/>
            <color indexed="81"/>
            <rFont val="Tahoma"/>
            <family val="2"/>
          </rPr>
          <t>János Hethey:</t>
        </r>
        <r>
          <rPr>
            <sz val="9"/>
            <color indexed="81"/>
            <rFont val="Tahoma"/>
            <family val="2"/>
          </rPr>
          <t xml:space="preserve">
Forskel jf. ENS forudsætninger
</t>
        </r>
      </text>
    </comment>
    <comment ref="K283" authorId="6" shapeId="0" xr:uid="{5B4C3AC6-E4E3-4FF1-B358-131CC4100534}">
      <text>
        <r>
          <rPr>
            <b/>
            <sz val="9"/>
            <color indexed="81"/>
            <rFont val="Tahoma"/>
            <family val="2"/>
          </rPr>
          <t>János Hethey:</t>
        </r>
        <r>
          <rPr>
            <sz val="9"/>
            <color indexed="81"/>
            <rFont val="Tahoma"/>
            <family val="2"/>
          </rPr>
          <t xml:space="preserve">
Forskel jf. ENS forudsætninger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Rikke Næraa</author>
    <author>Jannick Hauschildt Buhl</author>
  </authors>
  <commentList>
    <comment ref="F4" authorId="0" shapeId="0" xr:uid="{00000000-0006-0000-0500-000001000000}">
      <text>
        <r>
          <rPr>
            <b/>
            <sz val="9"/>
            <color indexed="81"/>
            <rFont val="Tahoma"/>
            <family val="2"/>
          </rPr>
          <t>Rikke Næraa:</t>
        </r>
        <r>
          <rPr>
            <sz val="9"/>
            <color indexed="81"/>
            <rFont val="Tahoma"/>
            <family val="2"/>
          </rPr>
          <t xml:space="preserve">
RAMSES data for 2010 ( from BF2012)
</t>
        </r>
      </text>
    </comment>
    <comment ref="G4" authorId="0" shapeId="0" xr:uid="{00000000-0006-0000-0500-000002000000}">
      <text>
        <r>
          <rPr>
            <b/>
            <sz val="9"/>
            <color indexed="81"/>
            <rFont val="Tahoma"/>
            <family val="2"/>
          </rPr>
          <t>Rikke Næraa:</t>
        </r>
        <r>
          <rPr>
            <sz val="9"/>
            <color indexed="81"/>
            <rFont val="Tahoma"/>
            <family val="2"/>
          </rPr>
          <t xml:space="preserve">
RAMSES data for 2010 ( from BF2012)
</t>
        </r>
      </text>
    </comment>
    <comment ref="H4" authorId="0" shapeId="0" xr:uid="{00000000-0006-0000-0500-000003000000}">
      <text>
        <r>
          <rPr>
            <b/>
            <sz val="9"/>
            <color indexed="81"/>
            <rFont val="Tahoma"/>
            <family val="2"/>
          </rPr>
          <t>Rikke Næraa:</t>
        </r>
        <r>
          <rPr>
            <sz val="9"/>
            <color indexed="81"/>
            <rFont val="Tahoma"/>
            <family val="2"/>
          </rPr>
          <t xml:space="preserve">
RAMSES data for 2010 ( from BF2012)
</t>
        </r>
      </text>
    </comment>
    <comment ref="I4" authorId="0" shapeId="0" xr:uid="{00000000-0006-0000-0500-000004000000}">
      <text>
        <r>
          <rPr>
            <b/>
            <sz val="9"/>
            <color indexed="81"/>
            <rFont val="Tahoma"/>
            <family val="2"/>
          </rPr>
          <t>Rikke Næraa:</t>
        </r>
        <r>
          <rPr>
            <sz val="9"/>
            <color indexed="81"/>
            <rFont val="Tahoma"/>
            <family val="2"/>
          </rPr>
          <t xml:space="preserve">
RAMSES data for 2010 ( from BF2012)
</t>
        </r>
      </text>
    </comment>
    <comment ref="J4" authorId="0" shapeId="0" xr:uid="{00000000-0006-0000-0500-000005000000}">
      <text>
        <r>
          <rPr>
            <b/>
            <sz val="9"/>
            <color indexed="81"/>
            <rFont val="Tahoma"/>
            <family val="2"/>
          </rPr>
          <t>Rikke Næraa:</t>
        </r>
        <r>
          <rPr>
            <sz val="9"/>
            <color indexed="81"/>
            <rFont val="Tahoma"/>
            <family val="2"/>
          </rPr>
          <t xml:space="preserve">
RAMSES data for 2010 ( from BF2012)
</t>
        </r>
      </text>
    </comment>
    <comment ref="K4" authorId="0" shapeId="0" xr:uid="{00000000-0006-0000-0500-000006000000}">
      <text>
        <r>
          <rPr>
            <b/>
            <sz val="9"/>
            <color indexed="81"/>
            <rFont val="Tahoma"/>
            <family val="2"/>
          </rPr>
          <t>Rikke Næraa:</t>
        </r>
        <r>
          <rPr>
            <sz val="9"/>
            <color indexed="81"/>
            <rFont val="Tahoma"/>
            <family val="2"/>
          </rPr>
          <t xml:space="preserve">
RAMSES data for 2010 ( from BF2012)
</t>
        </r>
      </text>
    </comment>
    <comment ref="L4" authorId="0" shapeId="0" xr:uid="{00000000-0006-0000-0500-000007000000}">
      <text>
        <r>
          <rPr>
            <b/>
            <sz val="9"/>
            <color indexed="81"/>
            <rFont val="Tahoma"/>
            <family val="2"/>
          </rPr>
          <t>Rikke Næraa:</t>
        </r>
        <r>
          <rPr>
            <sz val="9"/>
            <color indexed="81"/>
            <rFont val="Tahoma"/>
            <family val="2"/>
          </rPr>
          <t xml:space="preserve">
RAMSES data for 2010 ( from BF2012)
</t>
        </r>
      </text>
    </comment>
    <comment ref="M4" authorId="0" shapeId="0" xr:uid="{00000000-0006-0000-0500-000008000000}">
      <text>
        <r>
          <rPr>
            <b/>
            <sz val="9"/>
            <color indexed="81"/>
            <rFont val="Tahoma"/>
            <family val="2"/>
          </rPr>
          <t>Rikke Næraa:</t>
        </r>
        <r>
          <rPr>
            <sz val="9"/>
            <color indexed="81"/>
            <rFont val="Tahoma"/>
            <family val="2"/>
          </rPr>
          <t xml:space="preserve">
RAMSES data for 2010 ( from BF2012)
</t>
        </r>
      </text>
    </comment>
    <comment ref="N4" authorId="0" shapeId="0" xr:uid="{00000000-0006-0000-0500-000009000000}">
      <text>
        <r>
          <rPr>
            <b/>
            <sz val="9"/>
            <color indexed="81"/>
            <rFont val="Tahoma"/>
            <family val="2"/>
          </rPr>
          <t>Rikke Næraa:</t>
        </r>
        <r>
          <rPr>
            <sz val="9"/>
            <color indexed="81"/>
            <rFont val="Tahoma"/>
            <family val="2"/>
          </rPr>
          <t xml:space="preserve">
RAMSES data for 2010 ( from BF2012)
</t>
        </r>
      </text>
    </comment>
    <comment ref="O4" authorId="0" shapeId="0" xr:uid="{00000000-0006-0000-0500-00000A000000}">
      <text>
        <r>
          <rPr>
            <b/>
            <sz val="9"/>
            <color indexed="81"/>
            <rFont val="Tahoma"/>
            <family val="2"/>
          </rPr>
          <t>Rikke Næraa:</t>
        </r>
        <r>
          <rPr>
            <sz val="9"/>
            <color indexed="81"/>
            <rFont val="Tahoma"/>
            <family val="2"/>
          </rPr>
          <t xml:space="preserve">
RAMSES data for 2010 ( from BF2012)
</t>
        </r>
      </text>
    </comment>
    <comment ref="P4" authorId="0" shapeId="0" xr:uid="{00000000-0006-0000-0500-00000B000000}">
      <text>
        <r>
          <rPr>
            <b/>
            <sz val="9"/>
            <color indexed="81"/>
            <rFont val="Tahoma"/>
            <family val="2"/>
          </rPr>
          <t>Rikke Næraa:</t>
        </r>
        <r>
          <rPr>
            <sz val="9"/>
            <color indexed="81"/>
            <rFont val="Tahoma"/>
            <family val="2"/>
          </rPr>
          <t xml:space="preserve">
RAMSES data for 2010 ( from BF2012)
</t>
        </r>
      </text>
    </comment>
    <comment ref="Q4" authorId="0" shapeId="0" xr:uid="{00000000-0006-0000-0500-00000C000000}">
      <text>
        <r>
          <rPr>
            <b/>
            <sz val="9"/>
            <color indexed="81"/>
            <rFont val="Tahoma"/>
            <family val="2"/>
          </rPr>
          <t>Rikke Næraa:</t>
        </r>
        <r>
          <rPr>
            <sz val="9"/>
            <color indexed="81"/>
            <rFont val="Tahoma"/>
            <family val="2"/>
          </rPr>
          <t xml:space="preserve">
RAMSES data for 2010 ( from BF2012)
</t>
        </r>
      </text>
    </comment>
    <comment ref="R4" authorId="0" shapeId="0" xr:uid="{00000000-0006-0000-0500-00000D000000}">
      <text>
        <r>
          <rPr>
            <b/>
            <sz val="9"/>
            <color indexed="81"/>
            <rFont val="Tahoma"/>
            <family val="2"/>
          </rPr>
          <t>Rikke Næraa:</t>
        </r>
        <r>
          <rPr>
            <sz val="9"/>
            <color indexed="81"/>
            <rFont val="Tahoma"/>
            <family val="2"/>
          </rPr>
          <t xml:space="preserve">
RAMSES data for 2010 ( from BF2012)
</t>
        </r>
      </text>
    </comment>
    <comment ref="S4" authorId="0" shapeId="0" xr:uid="{00000000-0006-0000-0500-00000E000000}">
      <text>
        <r>
          <rPr>
            <b/>
            <sz val="9"/>
            <color indexed="81"/>
            <rFont val="Tahoma"/>
            <family val="2"/>
          </rPr>
          <t>Rikke Næraa:</t>
        </r>
        <r>
          <rPr>
            <sz val="9"/>
            <color indexed="81"/>
            <rFont val="Tahoma"/>
            <family val="2"/>
          </rPr>
          <t xml:space="preserve">
RAMSES data for 2010 ( from BF2012)
</t>
        </r>
      </text>
    </comment>
    <comment ref="T4" authorId="0" shapeId="0" xr:uid="{00000000-0006-0000-0500-00000F000000}">
      <text>
        <r>
          <rPr>
            <b/>
            <sz val="9"/>
            <color indexed="81"/>
            <rFont val="Tahoma"/>
            <family val="2"/>
          </rPr>
          <t>Rikke Næraa:</t>
        </r>
        <r>
          <rPr>
            <sz val="9"/>
            <color indexed="81"/>
            <rFont val="Tahoma"/>
            <family val="2"/>
          </rPr>
          <t xml:space="preserve">
RAMSES data for 2010 ( from BF2012)
</t>
        </r>
      </text>
    </comment>
    <comment ref="U4" authorId="0" shapeId="0" xr:uid="{00000000-0006-0000-0500-000010000000}">
      <text>
        <r>
          <rPr>
            <b/>
            <sz val="9"/>
            <color indexed="81"/>
            <rFont val="Tahoma"/>
            <family val="2"/>
          </rPr>
          <t>Rikke Næraa:</t>
        </r>
        <r>
          <rPr>
            <sz val="9"/>
            <color indexed="81"/>
            <rFont val="Tahoma"/>
            <family val="2"/>
          </rPr>
          <t xml:space="preserve">
RAMSES data for 2010 ( from BF2012)
</t>
        </r>
      </text>
    </comment>
    <comment ref="V4" authorId="0" shapeId="0" xr:uid="{00000000-0006-0000-0500-000011000000}">
      <text>
        <r>
          <rPr>
            <b/>
            <sz val="9"/>
            <color indexed="81"/>
            <rFont val="Tahoma"/>
            <family val="2"/>
          </rPr>
          <t>Rikke Næraa:</t>
        </r>
        <r>
          <rPr>
            <sz val="9"/>
            <color indexed="81"/>
            <rFont val="Tahoma"/>
            <family val="2"/>
          </rPr>
          <t xml:space="preserve">
RAMSES data for 2010 ( from BF2012)
</t>
        </r>
      </text>
    </comment>
    <comment ref="W4" authorId="0" shapeId="0" xr:uid="{00000000-0006-0000-0500-000012000000}">
      <text>
        <r>
          <rPr>
            <b/>
            <sz val="9"/>
            <color indexed="81"/>
            <rFont val="Tahoma"/>
            <family val="2"/>
          </rPr>
          <t>Rikke Næraa:</t>
        </r>
        <r>
          <rPr>
            <sz val="9"/>
            <color indexed="81"/>
            <rFont val="Tahoma"/>
            <family val="2"/>
          </rPr>
          <t xml:space="preserve">
RAMSES data for 2010 ( from BF2012)
</t>
        </r>
      </text>
    </comment>
    <comment ref="X4" authorId="0" shapeId="0" xr:uid="{00000000-0006-0000-0500-000013000000}">
      <text>
        <r>
          <rPr>
            <b/>
            <sz val="9"/>
            <color indexed="81"/>
            <rFont val="Tahoma"/>
            <family val="2"/>
          </rPr>
          <t>Rikke Næraa:</t>
        </r>
        <r>
          <rPr>
            <sz val="9"/>
            <color indexed="81"/>
            <rFont val="Tahoma"/>
            <family val="2"/>
          </rPr>
          <t xml:space="preserve">
RAMSES data for 2010 ( from BF2012)
</t>
        </r>
      </text>
    </comment>
    <comment ref="Y4" authorId="0" shapeId="0" xr:uid="{00000000-0006-0000-0500-000014000000}">
      <text>
        <r>
          <rPr>
            <b/>
            <sz val="9"/>
            <color indexed="81"/>
            <rFont val="Tahoma"/>
            <family val="2"/>
          </rPr>
          <t>Rikke Næraa:</t>
        </r>
        <r>
          <rPr>
            <sz val="9"/>
            <color indexed="81"/>
            <rFont val="Tahoma"/>
            <family val="2"/>
          </rPr>
          <t xml:space="preserve">
RAMSES data for 2010 ( from BF2012)
</t>
        </r>
      </text>
    </comment>
    <comment ref="Z4" authorId="0" shapeId="0" xr:uid="{00000000-0006-0000-0500-000015000000}">
      <text>
        <r>
          <rPr>
            <b/>
            <sz val="9"/>
            <color indexed="81"/>
            <rFont val="Tahoma"/>
            <family val="2"/>
          </rPr>
          <t>Rikke Næraa:</t>
        </r>
        <r>
          <rPr>
            <sz val="9"/>
            <color indexed="81"/>
            <rFont val="Tahoma"/>
            <family val="2"/>
          </rPr>
          <t xml:space="preserve">
RAMSES data for 2010 ( from BF2012)
</t>
        </r>
      </text>
    </comment>
    <comment ref="AA4" authorId="0" shapeId="0" xr:uid="{00000000-0006-0000-0500-000016000000}">
      <text>
        <r>
          <rPr>
            <b/>
            <sz val="9"/>
            <color indexed="81"/>
            <rFont val="Tahoma"/>
            <family val="2"/>
          </rPr>
          <t>Rikke Næraa:</t>
        </r>
        <r>
          <rPr>
            <sz val="9"/>
            <color indexed="81"/>
            <rFont val="Tahoma"/>
            <family val="2"/>
          </rPr>
          <t xml:space="preserve">
RAMSES data for 2010 ( from BF2012)
</t>
        </r>
      </text>
    </comment>
    <comment ref="AB4" authorId="0" shapeId="0" xr:uid="{00000000-0006-0000-0500-000017000000}">
      <text>
        <r>
          <rPr>
            <b/>
            <sz val="9"/>
            <color indexed="81"/>
            <rFont val="Tahoma"/>
            <family val="2"/>
          </rPr>
          <t>Rikke Næraa:</t>
        </r>
        <r>
          <rPr>
            <sz val="9"/>
            <color indexed="81"/>
            <rFont val="Tahoma"/>
            <family val="2"/>
          </rPr>
          <t xml:space="preserve">
RAMSES data for 2010 ( from BF2012)
</t>
        </r>
      </text>
    </comment>
    <comment ref="AC4" authorId="0" shapeId="0" xr:uid="{00000000-0006-0000-0500-000018000000}">
      <text>
        <r>
          <rPr>
            <b/>
            <sz val="9"/>
            <color indexed="81"/>
            <rFont val="Tahoma"/>
            <family val="2"/>
          </rPr>
          <t>Rikke Næraa:</t>
        </r>
        <r>
          <rPr>
            <sz val="9"/>
            <color indexed="81"/>
            <rFont val="Tahoma"/>
            <family val="2"/>
          </rPr>
          <t xml:space="preserve">
RAMSES data for 2010 ( from BF2012)
</t>
        </r>
      </text>
    </comment>
    <comment ref="AD4" authorId="0" shapeId="0" xr:uid="{00000000-0006-0000-0500-000019000000}">
      <text>
        <r>
          <rPr>
            <b/>
            <sz val="9"/>
            <color indexed="81"/>
            <rFont val="Tahoma"/>
            <family val="2"/>
          </rPr>
          <t>Rikke Næraa:</t>
        </r>
        <r>
          <rPr>
            <sz val="9"/>
            <color indexed="81"/>
            <rFont val="Tahoma"/>
            <family val="2"/>
          </rPr>
          <t xml:space="preserve">
RAMSES data for 2010 ( from BF2012)
</t>
        </r>
      </text>
    </comment>
    <comment ref="AE4" authorId="0" shapeId="0" xr:uid="{00000000-0006-0000-0500-00001A000000}">
      <text>
        <r>
          <rPr>
            <b/>
            <sz val="9"/>
            <color indexed="81"/>
            <rFont val="Tahoma"/>
            <family val="2"/>
          </rPr>
          <t>Rikke Næraa:</t>
        </r>
        <r>
          <rPr>
            <sz val="9"/>
            <color indexed="81"/>
            <rFont val="Tahoma"/>
            <family val="2"/>
          </rPr>
          <t xml:space="preserve">
RAMSES data for 2010 ( from BF2012)
</t>
        </r>
      </text>
    </comment>
    <comment ref="AF4" authorId="0" shapeId="0" xr:uid="{00000000-0006-0000-0500-00001B000000}">
      <text>
        <r>
          <rPr>
            <b/>
            <sz val="9"/>
            <color indexed="81"/>
            <rFont val="Tahoma"/>
            <family val="2"/>
          </rPr>
          <t>Rikke Næraa:</t>
        </r>
        <r>
          <rPr>
            <sz val="9"/>
            <color indexed="81"/>
            <rFont val="Tahoma"/>
            <family val="2"/>
          </rPr>
          <t xml:space="preserve">
RAMSES data for 2010 ( from BF2012)
</t>
        </r>
      </text>
    </comment>
    <comment ref="AG4" authorId="0" shapeId="0" xr:uid="{00000000-0006-0000-0500-00001C000000}">
      <text>
        <r>
          <rPr>
            <b/>
            <sz val="9"/>
            <color indexed="81"/>
            <rFont val="Tahoma"/>
            <family val="2"/>
          </rPr>
          <t>Rikke Næraa:</t>
        </r>
        <r>
          <rPr>
            <sz val="9"/>
            <color indexed="81"/>
            <rFont val="Tahoma"/>
            <family val="2"/>
          </rPr>
          <t xml:space="preserve">
RAMSES data for 2010 ( from BF2012)
</t>
        </r>
      </text>
    </comment>
    <comment ref="AH4" authorId="0" shapeId="0" xr:uid="{00000000-0006-0000-0500-00001D000000}">
      <text>
        <r>
          <rPr>
            <b/>
            <sz val="9"/>
            <color indexed="81"/>
            <rFont val="Tahoma"/>
            <family val="2"/>
          </rPr>
          <t>Rikke Næraa:</t>
        </r>
        <r>
          <rPr>
            <sz val="9"/>
            <color indexed="81"/>
            <rFont val="Tahoma"/>
            <family val="2"/>
          </rPr>
          <t xml:space="preserve">
RAMSES data for 2010 ( from BF2012)
</t>
        </r>
      </text>
    </comment>
    <comment ref="AI4" authorId="0" shapeId="0" xr:uid="{00000000-0006-0000-0500-00001E000000}">
      <text>
        <r>
          <rPr>
            <b/>
            <sz val="9"/>
            <color indexed="81"/>
            <rFont val="Tahoma"/>
            <family val="2"/>
          </rPr>
          <t>Rikke Næraa:</t>
        </r>
        <r>
          <rPr>
            <sz val="9"/>
            <color indexed="81"/>
            <rFont val="Tahoma"/>
            <family val="2"/>
          </rPr>
          <t xml:space="preserve">
RAMSES data for 2010 ( from BF2012)
</t>
        </r>
      </text>
    </comment>
    <comment ref="AJ4" authorId="0" shapeId="0" xr:uid="{00000000-0006-0000-0500-00001F000000}">
      <text>
        <r>
          <rPr>
            <b/>
            <sz val="9"/>
            <color indexed="81"/>
            <rFont val="Tahoma"/>
            <family val="2"/>
          </rPr>
          <t>Rikke Næraa:</t>
        </r>
        <r>
          <rPr>
            <sz val="9"/>
            <color indexed="81"/>
            <rFont val="Tahoma"/>
            <family val="2"/>
          </rPr>
          <t xml:space="preserve">
RAMSES data for 2010 ( from BF2012)
</t>
        </r>
      </text>
    </comment>
    <comment ref="AK4" authorId="0" shapeId="0" xr:uid="{00000000-0006-0000-0500-000020000000}">
      <text>
        <r>
          <rPr>
            <b/>
            <sz val="9"/>
            <color indexed="81"/>
            <rFont val="Tahoma"/>
            <family val="2"/>
          </rPr>
          <t>Rikke Næraa:</t>
        </r>
        <r>
          <rPr>
            <sz val="9"/>
            <color indexed="81"/>
            <rFont val="Tahoma"/>
            <family val="2"/>
          </rPr>
          <t xml:space="preserve">
RAMSES data for 2010 ( from BF2012)
</t>
        </r>
      </text>
    </comment>
    <comment ref="AL4" authorId="0" shapeId="0" xr:uid="{00000000-0006-0000-0500-000021000000}">
      <text>
        <r>
          <rPr>
            <b/>
            <sz val="9"/>
            <color indexed="81"/>
            <rFont val="Tahoma"/>
            <family val="2"/>
          </rPr>
          <t>Rikke Næraa:</t>
        </r>
        <r>
          <rPr>
            <sz val="9"/>
            <color indexed="81"/>
            <rFont val="Tahoma"/>
            <family val="2"/>
          </rPr>
          <t xml:space="preserve">
RAMSES data for 2010 ( from BF2012)
</t>
        </r>
      </text>
    </comment>
    <comment ref="AM4" authorId="0" shapeId="0" xr:uid="{00000000-0006-0000-0500-000022000000}">
      <text>
        <r>
          <rPr>
            <b/>
            <sz val="9"/>
            <color indexed="81"/>
            <rFont val="Tahoma"/>
            <family val="2"/>
          </rPr>
          <t>Rikke Næraa:</t>
        </r>
        <r>
          <rPr>
            <sz val="9"/>
            <color indexed="81"/>
            <rFont val="Tahoma"/>
            <family val="2"/>
          </rPr>
          <t xml:space="preserve">
RAMSES data for 2010 ( from BF2012)
</t>
        </r>
      </text>
    </comment>
    <comment ref="AN4" authorId="0" shapeId="0" xr:uid="{00000000-0006-0000-0500-000023000000}">
      <text>
        <r>
          <rPr>
            <b/>
            <sz val="9"/>
            <color indexed="81"/>
            <rFont val="Tahoma"/>
            <family val="2"/>
          </rPr>
          <t>Rikke Næraa:</t>
        </r>
        <r>
          <rPr>
            <sz val="9"/>
            <color indexed="81"/>
            <rFont val="Tahoma"/>
            <family val="2"/>
          </rPr>
          <t xml:space="preserve">
RAMSES data for 2010 ( from BF2012)
</t>
        </r>
      </text>
    </comment>
    <comment ref="AO4" authorId="0" shapeId="0" xr:uid="{00000000-0006-0000-0500-000024000000}">
      <text>
        <r>
          <rPr>
            <b/>
            <sz val="9"/>
            <color indexed="81"/>
            <rFont val="Tahoma"/>
            <family val="2"/>
          </rPr>
          <t>Rikke Næraa:</t>
        </r>
        <r>
          <rPr>
            <sz val="9"/>
            <color indexed="81"/>
            <rFont val="Tahoma"/>
            <family val="2"/>
          </rPr>
          <t xml:space="preserve">
RAMSES data for 2010 ( from BF2012)
</t>
        </r>
      </text>
    </comment>
    <comment ref="AP4" authorId="0" shapeId="0" xr:uid="{00000000-0006-0000-0500-000025000000}">
      <text>
        <r>
          <rPr>
            <b/>
            <sz val="9"/>
            <color indexed="81"/>
            <rFont val="Tahoma"/>
            <family val="2"/>
          </rPr>
          <t>Rikke Næraa:</t>
        </r>
        <r>
          <rPr>
            <sz val="9"/>
            <color indexed="81"/>
            <rFont val="Tahoma"/>
            <family val="2"/>
          </rPr>
          <t xml:space="preserve">
RAMSES data for 2010 ( from BF2012)
</t>
        </r>
      </text>
    </comment>
    <comment ref="AQ4" authorId="0" shapeId="0" xr:uid="{00000000-0006-0000-0500-000026000000}">
      <text>
        <r>
          <rPr>
            <b/>
            <sz val="9"/>
            <color indexed="81"/>
            <rFont val="Tahoma"/>
            <family val="2"/>
          </rPr>
          <t>Rikke Næraa:</t>
        </r>
        <r>
          <rPr>
            <sz val="9"/>
            <color indexed="81"/>
            <rFont val="Tahoma"/>
            <family val="2"/>
          </rPr>
          <t xml:space="preserve">
RAMSES data for 2010 ( from BF2012)
</t>
        </r>
      </text>
    </comment>
    <comment ref="AR4" authorId="0" shapeId="0" xr:uid="{00000000-0006-0000-0500-000027000000}">
      <text>
        <r>
          <rPr>
            <b/>
            <sz val="9"/>
            <color indexed="81"/>
            <rFont val="Tahoma"/>
            <family val="2"/>
          </rPr>
          <t>Rikke Næraa:</t>
        </r>
        <r>
          <rPr>
            <sz val="9"/>
            <color indexed="81"/>
            <rFont val="Tahoma"/>
            <family val="2"/>
          </rPr>
          <t xml:space="preserve">
RAMSES data for 2010 ( from BF2012)
</t>
        </r>
      </text>
    </comment>
    <comment ref="AS4" authorId="0" shapeId="0" xr:uid="{00000000-0006-0000-0500-000028000000}">
      <text>
        <r>
          <rPr>
            <b/>
            <sz val="9"/>
            <color indexed="81"/>
            <rFont val="Tahoma"/>
            <family val="2"/>
          </rPr>
          <t>Rikke Næraa:</t>
        </r>
        <r>
          <rPr>
            <sz val="9"/>
            <color indexed="81"/>
            <rFont val="Tahoma"/>
            <family val="2"/>
          </rPr>
          <t xml:space="preserve">
RAMSES data for 2010 ( from BF2012)
</t>
        </r>
      </text>
    </comment>
    <comment ref="K24" authorId="1" shapeId="0" xr:uid="{00000000-0006-0000-0500-000029000000}">
      <text>
        <r>
          <rPr>
            <b/>
            <sz val="9"/>
            <color indexed="81"/>
            <rFont val="Tahoma"/>
            <family val="2"/>
          </rPr>
          <t>Jannick Hauschildt Buhl:</t>
        </r>
        <r>
          <rPr>
            <sz val="9"/>
            <color indexed="81"/>
            <rFont val="Tahoma"/>
            <family val="2"/>
          </rPr>
          <t xml:space="preserve">
SKM analysis nr. 3 page 32.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Martin Hagberg</author>
  </authors>
  <commentList>
    <comment ref="M40" authorId="0" shapeId="0" xr:uid="{B93F504C-8074-4F21-A17A-7A00C95EABC0}">
      <text>
        <r>
          <rPr>
            <b/>
            <sz val="9"/>
            <color indexed="81"/>
            <rFont val="Tahoma"/>
            <family val="2"/>
          </rPr>
          <t>Martin Hagberg:</t>
        </r>
        <r>
          <rPr>
            <sz val="9"/>
            <color indexed="81"/>
            <rFont val="Tahoma"/>
            <family val="2"/>
          </rPr>
          <t xml:space="preserve">
Energy use is captured in Chemical industry sector. Here only feedstock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F22" authorId="0" shapeId="0" xr:uid="{00000000-0006-0000-0900-000001000000}">
      <text>
        <r>
          <rPr>
            <b/>
            <sz val="9"/>
            <color indexed="81"/>
            <rFont val="Tahoma"/>
            <family val="2"/>
          </rPr>
          <t>Rikke Næraa:</t>
        </r>
        <r>
          <rPr>
            <sz val="9"/>
            <color indexed="81"/>
            <rFont val="Tahoma"/>
            <family val="2"/>
          </rPr>
          <t xml:space="preserve">
RAMSES data for 2010 ( from BF2012)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tc={13C8AAA0-6E86-4EA1-8914-94D2CB36AEC4}</author>
  </authors>
  <commentList>
    <comment ref="AD5" authorId="0" shapeId="0" xr:uid="{13C8AAA0-6E86-4EA1-8914-94D2CB36AEC4}">
      <text>
        <t>[Threaded comment]
Your version of Excel allows you to read this threaded comment; however, any edits to it will get removed if the file is opened in a newer version of Excel. Learn more: https://go.microsoft.com/fwlink/?linkid=870924
Comment:
    Needs to verified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<sst xmlns="http://schemas.openxmlformats.org/spreadsheetml/2006/main" count="2488" uniqueCount="865">
  <si>
    <t>Region</t>
  </si>
  <si>
    <t>TechName</t>
  </si>
  <si>
    <t>TechDesc</t>
  </si>
  <si>
    <t>CommName</t>
  </si>
  <si>
    <t>CommDesc</t>
  </si>
  <si>
    <t>CSet</t>
  </si>
  <si>
    <t>Unit</t>
  </si>
  <si>
    <t>~FI_T</t>
  </si>
  <si>
    <t>~FI_Comm</t>
  </si>
  <si>
    <t>LimType</t>
  </si>
  <si>
    <t>CTSLvl</t>
  </si>
  <si>
    <t>PeakTS</t>
  </si>
  <si>
    <t>Ctype</t>
  </si>
  <si>
    <t>Comm-OUT</t>
  </si>
  <si>
    <t>~FI_Process</t>
  </si>
  <si>
    <t>Sets</t>
  </si>
  <si>
    <t>Tact</t>
  </si>
  <si>
    <t>Tcap</t>
  </si>
  <si>
    <t>Tslvl</t>
  </si>
  <si>
    <t>PrimaryCG</t>
  </si>
  <si>
    <t>Vintage</t>
  </si>
  <si>
    <t>*TechDesc</t>
  </si>
  <si>
    <t>*Unit</t>
  </si>
  <si>
    <t>*Process Set Membership</t>
  </si>
  <si>
    <t>Region Name</t>
  </si>
  <si>
    <t>Technology Name</t>
  </si>
  <si>
    <t>Technology Description</t>
  </si>
  <si>
    <t>Activity Unit</t>
  </si>
  <si>
    <t>Capacity Unit</t>
  </si>
  <si>
    <t>TimeSlice level of Process Activity</t>
  </si>
  <si>
    <t>Primary Commodity Group</t>
  </si>
  <si>
    <t>Vintage Tracking</t>
  </si>
  <si>
    <t>*Commodity Set Membership</t>
  </si>
  <si>
    <t>Commodity Name</t>
  </si>
  <si>
    <t>Commodity Description</t>
  </si>
  <si>
    <t>Sense of the Balance EQN.</t>
  </si>
  <si>
    <t>Timeslice Level</t>
  </si>
  <si>
    <t>Peak Monitoring</t>
  </si>
  <si>
    <t>Electricity Indicator</t>
  </si>
  <si>
    <t>NRG</t>
  </si>
  <si>
    <t>COA</t>
  </si>
  <si>
    <t>NGA</t>
  </si>
  <si>
    <t>WST</t>
  </si>
  <si>
    <t>STR</t>
  </si>
  <si>
    <t>HFO</t>
  </si>
  <si>
    <t>DSL</t>
  </si>
  <si>
    <t>WIN</t>
  </si>
  <si>
    <t>HYD</t>
  </si>
  <si>
    <t>SOL</t>
  </si>
  <si>
    <t>Coal</t>
  </si>
  <si>
    <t>Heavy Fuel Oil</t>
  </si>
  <si>
    <t>Diesel</t>
  </si>
  <si>
    <t>Hydro</t>
  </si>
  <si>
    <t>Wind</t>
  </si>
  <si>
    <t>Solar</t>
  </si>
  <si>
    <t>Biogas</t>
  </si>
  <si>
    <t>Waste</t>
  </si>
  <si>
    <t>Straw</t>
  </si>
  <si>
    <t>GEO</t>
  </si>
  <si>
    <t>Geothermal</t>
  </si>
  <si>
    <t>Natural Gas</t>
  </si>
  <si>
    <t>IMP</t>
  </si>
  <si>
    <t>PJ</t>
  </si>
  <si>
    <t>COST</t>
  </si>
  <si>
    <t>COST~2020</t>
  </si>
  <si>
    <t>COST~2050</t>
  </si>
  <si>
    <t>COST~2040</t>
  </si>
  <si>
    <t>COST~2030</t>
  </si>
  <si>
    <t>Metanol</t>
  </si>
  <si>
    <t>Wood pellets</t>
  </si>
  <si>
    <t>WPE</t>
  </si>
  <si>
    <t>WCH</t>
  </si>
  <si>
    <t>Wood chips and wood waste</t>
  </si>
  <si>
    <t>LPG</t>
  </si>
  <si>
    <t>GSL</t>
  </si>
  <si>
    <t>Gasoline</t>
  </si>
  <si>
    <t>Kerosene</t>
  </si>
  <si>
    <t>KER</t>
  </si>
  <si>
    <t>Comm-IN-A</t>
  </si>
  <si>
    <t>Comm-IN</t>
  </si>
  <si>
    <t>EFF</t>
  </si>
  <si>
    <t>VAROM</t>
  </si>
  <si>
    <t>Auxilary input fuels</t>
  </si>
  <si>
    <t>Primary input fuels</t>
  </si>
  <si>
    <t>Fuel Produced</t>
  </si>
  <si>
    <t>Fuel input level</t>
  </si>
  <si>
    <t>Efficiency</t>
  </si>
  <si>
    <t>Interpolation Rule</t>
  </si>
  <si>
    <t>*Refinery Name</t>
  </si>
  <si>
    <t>Input</t>
  </si>
  <si>
    <t>CRD</t>
  </si>
  <si>
    <t>Crude Oil</t>
  </si>
  <si>
    <t>Fuel oil</t>
  </si>
  <si>
    <t>LVN</t>
  </si>
  <si>
    <t>Enhed</t>
  </si>
  <si>
    <t>Crude oil</t>
  </si>
  <si>
    <t>PRE</t>
  </si>
  <si>
    <t>EFF~2012</t>
  </si>
  <si>
    <t>EFF~2015</t>
  </si>
  <si>
    <t>Emission Coefficient (kt/PJ)</t>
  </si>
  <si>
    <t>Share~UP~2015</t>
  </si>
  <si>
    <t>ENV</t>
  </si>
  <si>
    <t>kt</t>
  </si>
  <si>
    <t>%</t>
  </si>
  <si>
    <t>BNDACT~UP~0</t>
  </si>
  <si>
    <t>Efficiency (INPUT/OUTPUT)</t>
  </si>
  <si>
    <t>MIN</t>
  </si>
  <si>
    <t>Date</t>
  </si>
  <si>
    <t>Name</t>
  </si>
  <si>
    <t>Sheet Name</t>
  </si>
  <si>
    <t xml:space="preserve">Cell no </t>
  </si>
  <si>
    <t>Explanation</t>
  </si>
  <si>
    <t>Olexandr Balyk</t>
  </si>
  <si>
    <t>Liquid petrol gas</t>
  </si>
  <si>
    <t>COMM</t>
  </si>
  <si>
    <t>Added new fuels to avoid errors in the transport sector</t>
  </si>
  <si>
    <t>$D$28:$F$29</t>
  </si>
  <si>
    <t>$E$25</t>
  </si>
  <si>
    <t>Updated fuel description as discussed</t>
  </si>
  <si>
    <t>$D$30:$D$31</t>
  </si>
  <si>
    <t>Changed fuel names, as discussed</t>
  </si>
  <si>
    <t>PROC</t>
  </si>
  <si>
    <t>Added fuel import processes for SNG and KRB</t>
  </si>
  <si>
    <t>Fuel_MIN-IMP</t>
  </si>
  <si>
    <t>$B$29:$N$30</t>
  </si>
  <si>
    <t>Added dummy prices for import processes of SNG and KRB</t>
  </si>
  <si>
    <t>BGA</t>
  </si>
  <si>
    <t>Naphtha (Petroleoum)</t>
  </si>
  <si>
    <t>DKK2014/GJ</t>
  </si>
  <si>
    <t>JP1</t>
  </si>
  <si>
    <t>Heating oil</t>
  </si>
  <si>
    <t>Gas oil</t>
  </si>
  <si>
    <t>COST~2012</t>
  </si>
  <si>
    <t>COST~2013</t>
  </si>
  <si>
    <t>COST~2014</t>
  </si>
  <si>
    <t>Kristoffer and Mauri</t>
  </si>
  <si>
    <r>
      <t xml:space="preserve">New fuel price projection. All prices are in </t>
    </r>
    <r>
      <rPr>
        <b/>
        <sz val="10"/>
        <rFont val="Arial"/>
        <family val="2"/>
      </rPr>
      <t>DKK2014</t>
    </r>
  </si>
  <si>
    <t>F7:F33;AS7:AS33</t>
  </si>
  <si>
    <t xml:space="preserve">~FI_T: </t>
  </si>
  <si>
    <t>CURR</t>
  </si>
  <si>
    <t>MKr14</t>
  </si>
  <si>
    <t>Currency unit</t>
  </si>
  <si>
    <t>Mauri</t>
  </si>
  <si>
    <t>new column CURR to specify currency. Deflactors in the SysSetting file</t>
  </si>
  <si>
    <t>column F</t>
  </si>
  <si>
    <t>SUPELC</t>
  </si>
  <si>
    <t>SUPCO2</t>
  </si>
  <si>
    <t>*Fuel Tech</t>
  </si>
  <si>
    <t>ELCC</t>
  </si>
  <si>
    <t>HETC</t>
  </si>
  <si>
    <t>HETD</t>
  </si>
  <si>
    <t>Fuel Tech</t>
  </si>
  <si>
    <t>new sheet</t>
  </si>
  <si>
    <t>New sheet to introduce in the model SUPELC and SUPHET for the refinery</t>
  </si>
  <si>
    <t>Variable O&amp;M (Mkr/PJ)</t>
  </si>
  <si>
    <t>Supply sector CO2</t>
  </si>
  <si>
    <t>ACTBND~0</t>
  </si>
  <si>
    <t>Interpolation</t>
  </si>
  <si>
    <t>FLO_EMIS~SUPCO2</t>
  </si>
  <si>
    <t>Resulting prices</t>
  </si>
  <si>
    <t>Wood chips</t>
  </si>
  <si>
    <t>Wood chips - CIF (imported)</t>
  </si>
  <si>
    <t>Wood chips - central powerplant</t>
  </si>
  <si>
    <t>Wood chips - decentral power plant</t>
  </si>
  <si>
    <t>Wood pellets (industrial)</t>
  </si>
  <si>
    <t>Wood pellets - CIF (imported)</t>
  </si>
  <si>
    <t>Wood pellets - central power plant</t>
  </si>
  <si>
    <t>Wood pellets - decentral power plant</t>
  </si>
  <si>
    <t>Wood pellets (residential)</t>
  </si>
  <si>
    <t>Wood pellets residential - end-user</t>
  </si>
  <si>
    <t>Staw</t>
  </si>
  <si>
    <t>Straw - central power plant</t>
  </si>
  <si>
    <t>Straw - decentral power plant</t>
  </si>
  <si>
    <t>Solid biomass prices</t>
  </si>
  <si>
    <t>Kristoffer</t>
  </si>
  <si>
    <t>MIN-IMP-EXP</t>
  </si>
  <si>
    <t>New solid biomass prices</t>
  </si>
  <si>
    <t>Data update</t>
  </si>
  <si>
    <t>FLO_COST</t>
  </si>
  <si>
    <t>Commodity Cost</t>
  </si>
  <si>
    <t>Welfare economic prices of coal, petroleum products and natural gas</t>
  </si>
  <si>
    <t>Ea Energy Analyses, 7/3-2014</t>
  </si>
  <si>
    <t>Refinary margin and refining costs are used as operating costs in TIMES-DK for refineries.</t>
  </si>
  <si>
    <t>Ref Currency</t>
  </si>
  <si>
    <t>MIN-IMP-EXP, Refineries,PROC</t>
  </si>
  <si>
    <t>Removed the commodity RFG</t>
  </si>
  <si>
    <t>Kenneth Karlsson</t>
  </si>
  <si>
    <t>Refineries</t>
  </si>
  <si>
    <t>J36:M43</t>
  </si>
  <si>
    <t>Calculating relative costs for output as a function of import prices of the products</t>
  </si>
  <si>
    <t>C32:H47</t>
  </si>
  <si>
    <t>Data used for the refinery production costs on output - DEA report, see reference in sheet</t>
  </si>
  <si>
    <t>P7:P12</t>
  </si>
  <si>
    <t>New production cost based on DEA report made by Ea Energy Analyses</t>
  </si>
  <si>
    <t>Share-O~UP</t>
  </si>
  <si>
    <t>Share-O~UP~2012</t>
  </si>
  <si>
    <t>EXP</t>
  </si>
  <si>
    <t>Maurizio Gargiulo</t>
  </si>
  <si>
    <t>Introduced a waste price to avoid negative marginal price in the solution - to be reviewed later</t>
  </si>
  <si>
    <t>Set waste price equal to 0.1 MKr./PJ =&gt; same as used in Ramses</t>
  </si>
  <si>
    <t xml:space="preserve">Coal </t>
  </si>
  <si>
    <t>CIF</t>
  </si>
  <si>
    <t xml:space="preserve">Gasoline </t>
  </si>
  <si>
    <t>Natural gas</t>
  </si>
  <si>
    <t>COST~2011</t>
  </si>
  <si>
    <t>Fossile fuel prices (CIF import price)</t>
  </si>
  <si>
    <t>Wood chips - at dometic producer</t>
  </si>
  <si>
    <t>Wood pellets residential - CIF (imported)</t>
  </si>
  <si>
    <t>Mining technology - Natural gas</t>
  </si>
  <si>
    <t xml:space="preserve">Source: </t>
  </si>
  <si>
    <t>Import technology - Bio Kerosene</t>
  </si>
  <si>
    <t>Import technology - Bio Synt. Nat. Gas</t>
  </si>
  <si>
    <t>Import technology - Biodiesel</t>
  </si>
  <si>
    <t>Import technology - Bioethanol</t>
  </si>
  <si>
    <t>Import technology - Naphtha (Petroleoum)</t>
  </si>
  <si>
    <t>Import technology - Biogas</t>
  </si>
  <si>
    <t>Assumption</t>
  </si>
  <si>
    <t>Source</t>
  </si>
  <si>
    <t>Guestimate</t>
  </si>
  <si>
    <t>Lisa Bjergbakke (LBJ@ENS.DK)</t>
  </si>
  <si>
    <t>kr/GJ</t>
  </si>
  <si>
    <t>factor</t>
  </si>
  <si>
    <t>Same price as LPG</t>
  </si>
  <si>
    <t>Technology</t>
  </si>
  <si>
    <t>Mining technology - Crude Oil</t>
  </si>
  <si>
    <t>Export technology (general)</t>
  </si>
  <si>
    <t>unit</t>
  </si>
  <si>
    <t>Import technology - Waste</t>
  </si>
  <si>
    <t>Same assumption as in RAMSES</t>
  </si>
  <si>
    <t>RAMSES</t>
  </si>
  <si>
    <t>Kristoffer Steen Andersen</t>
  </si>
  <si>
    <t>Table added that explicitly deals with a number of crude price assumptions</t>
  </si>
  <si>
    <t>New prices added based on World Energy Outlook 2014 and forward prices of january 2015</t>
  </si>
  <si>
    <t>Mining NGA&amp;CRD</t>
  </si>
  <si>
    <t>Official projection of North Sea oil and natural gas production added</t>
  </si>
  <si>
    <t>PROC MINNGA added and official projection of natural gas and crude oil added to the model</t>
  </si>
  <si>
    <t>NETSCO2</t>
  </si>
  <si>
    <t>Non ETS CO2</t>
  </si>
  <si>
    <t>ETSCO2</t>
  </si>
  <si>
    <t>ETS CO2</t>
  </si>
  <si>
    <t>SUPHETC</t>
  </si>
  <si>
    <t>SUPHETD</t>
  </si>
  <si>
    <t>Added ETS and NON ETS commodities</t>
  </si>
  <si>
    <t>Updated the Fule Techs for HETC and HETD</t>
  </si>
  <si>
    <t>Split the FUEL Tech in HETC and HETD</t>
  </si>
  <si>
    <t>CRN</t>
  </si>
  <si>
    <t>Corn</t>
  </si>
  <si>
    <t>RPS</t>
  </si>
  <si>
    <t>Rapeseed</t>
  </si>
  <si>
    <t>MOB1</t>
  </si>
  <si>
    <t>MOB2</t>
  </si>
  <si>
    <t>Bio Methanol G1</t>
  </si>
  <si>
    <t>Bio Methanol G2</t>
  </si>
  <si>
    <t>LNB</t>
  </si>
  <si>
    <t>Bio Naphtha (Petroleoum)</t>
  </si>
  <si>
    <t>DDGS</t>
  </si>
  <si>
    <t>Ethanol</t>
  </si>
  <si>
    <t>SGB</t>
  </si>
  <si>
    <t>Sugar Beet</t>
  </si>
  <si>
    <t>SGP</t>
  </si>
  <si>
    <t>Sugar Beet Pulp</t>
  </si>
  <si>
    <t>GLY</t>
  </si>
  <si>
    <t>Glycerol</t>
  </si>
  <si>
    <t>RPC</t>
  </si>
  <si>
    <t>Rape Cake</t>
  </si>
  <si>
    <t>Added new commodities for the biorefineries set up</t>
  </si>
  <si>
    <t>Added the new IMP and EXP processes neede to set up bioorefineries</t>
  </si>
  <si>
    <t>Description of the new IMP and EXP processes for the biorefineries</t>
  </si>
  <si>
    <t>Import technology - Corn</t>
  </si>
  <si>
    <t>Import technology - Rapeseed</t>
  </si>
  <si>
    <t>Import technology - Sugar Beet</t>
  </si>
  <si>
    <t>Import technology - Bio Methanol G1</t>
  </si>
  <si>
    <t>Import technology - Bio Methanol G2</t>
  </si>
  <si>
    <t>Feedstocks</t>
  </si>
  <si>
    <t>Summary of feedstocks</t>
  </si>
  <si>
    <t>fuels sheet rows</t>
  </si>
  <si>
    <t>Opstrøm råstof emissioner beregnet ud fra energiforbrug (men ikke LUC/iLUC)</t>
  </si>
  <si>
    <t>DKK/GJ</t>
  </si>
  <si>
    <t>kg/GJ</t>
  </si>
  <si>
    <t>Energiindh.</t>
  </si>
  <si>
    <t>SØK pris an værk</t>
  </si>
  <si>
    <t>Opstrøm energiforbr</t>
  </si>
  <si>
    <t>Opstrøm energi kilde (dvs. transport/motor form for råstoffet)</t>
  </si>
  <si>
    <t xml:space="preserve">Netto energifrembringelse </t>
  </si>
  <si>
    <t>Proces CO2 ækv.</t>
  </si>
  <si>
    <t>Proces SO2 ækv.</t>
  </si>
  <si>
    <t>Proces NOx ækv.</t>
  </si>
  <si>
    <t>Proces energi, type</t>
  </si>
  <si>
    <t>Netto virkningsgrad importerede</t>
  </si>
  <si>
    <t>LUC/iLUC CO2 ækv.</t>
  </si>
  <si>
    <t>Sensitivity LUC/iLUC</t>
  </si>
  <si>
    <t>Y</t>
  </si>
  <si>
    <t>C</t>
  </si>
  <si>
    <t>F</t>
  </si>
  <si>
    <t>G</t>
  </si>
  <si>
    <t>Drivmiddel</t>
  </si>
  <si>
    <t>GJ/unit</t>
  </si>
  <si>
    <t>DKK/unit</t>
  </si>
  <si>
    <t>Type</t>
  </si>
  <si>
    <t>Hvede</t>
  </si>
  <si>
    <t>Sugarbeets</t>
  </si>
  <si>
    <t>Halm</t>
  </si>
  <si>
    <t>Rapsfrø</t>
  </si>
  <si>
    <t>Naturgas</t>
  </si>
  <si>
    <t>Træ</t>
  </si>
  <si>
    <t>Træpiller</t>
  </si>
  <si>
    <t>Elektricitet</t>
  </si>
  <si>
    <t>Oplade-el-brændsel</t>
  </si>
  <si>
    <t>Kul</t>
  </si>
  <si>
    <t>Råolie</t>
  </si>
  <si>
    <t>Biomasse</t>
  </si>
  <si>
    <t>Ethanol på sukkerrør</t>
  </si>
  <si>
    <t>Biodiesel på palmeolie</t>
  </si>
  <si>
    <t>Total opstrøm CO? emis</t>
  </si>
  <si>
    <t>Data for Feedstocks</t>
  </si>
  <si>
    <t>Emissions from process energy use in production of feedstock</t>
  </si>
  <si>
    <t>Unit emissions from upstream process, g/GJ</t>
  </si>
  <si>
    <t>Feedstock</t>
  </si>
  <si>
    <t>NOx</t>
  </si>
  <si>
    <t>Process</t>
  </si>
  <si>
    <t>g SO2/GJ</t>
  </si>
  <si>
    <t>g NOx/g</t>
  </si>
  <si>
    <t>Lastbil, by</t>
  </si>
  <si>
    <t>Skib</t>
  </si>
  <si>
    <t>Rapeseed cake</t>
  </si>
  <si>
    <t>Process energy use in production of feedstock</t>
  </si>
  <si>
    <t>Chosen year</t>
  </si>
  <si>
    <t>Note</t>
  </si>
  <si>
    <t>GJ/ton</t>
  </si>
  <si>
    <t>5, Concawe (2011): Well-to-wheels analysis of future automotive fuels and power-trains in the European Context. November 2011.</t>
  </si>
  <si>
    <t>Assumed same as whet</t>
  </si>
  <si>
    <t>No data</t>
  </si>
  <si>
    <t>WTT appendix 1, chapter 9 + 11, egne beregninger nederst</t>
  </si>
  <si>
    <t>GJ/1000 Nm³</t>
  </si>
  <si>
    <t>WTT appendix 1, chapter 9 + 11</t>
  </si>
  <si>
    <t>Antaget samme som træ</t>
  </si>
  <si>
    <t>GJ/GJ</t>
  </si>
  <si>
    <t>WTT appendix 2, chapter 3, excl. distribution</t>
  </si>
  <si>
    <t>WTT appendix 2, chapter 4, excl. distribution</t>
  </si>
  <si>
    <t>Assumed same as wood chips</t>
  </si>
  <si>
    <t>Assumed that process energy emission profile follows Danish marginal electricity profile</t>
  </si>
  <si>
    <t>Assumed weight of biomass is 1kg/l</t>
  </si>
  <si>
    <t>WTT appendix 2, chapter 3, excl. distribution, incl. low est. of ILUC at 18g (high is 71g)</t>
  </si>
  <si>
    <t>ILUC</t>
  </si>
  <si>
    <t>Old AD</t>
  </si>
  <si>
    <t>COWI/SDU</t>
  </si>
  <si>
    <t>IFPRI</t>
  </si>
  <si>
    <t>None</t>
  </si>
  <si>
    <t>low</t>
  </si>
  <si>
    <t>high</t>
  </si>
  <si>
    <t>kg CO2e/GJ</t>
  </si>
  <si>
    <t>19, Lorie Hamelin, 2011. Modeling land use changes in consequential LCA, presentation, meta study</t>
  </si>
  <si>
    <t xml:space="preserve">Assumed same as wheat for lack of other information for some ILUC emiossions in SDU ILUC. </t>
  </si>
  <si>
    <t>58, COWI/SDU 2013: Life Cycle Assessment of bioenergy pathways for the future Danish energy system</t>
  </si>
  <si>
    <t>N/A - no land use</t>
  </si>
  <si>
    <t>Assumed same as wood for lack of information</t>
  </si>
  <si>
    <t>Accounted for in technology sheet for Biomass</t>
  </si>
  <si>
    <t>Note: COWI/SDU emissions are also including process energy in harvesting. Hence, process energy from table in row 77 is subtracted</t>
  </si>
  <si>
    <t>Assumptions on by-products, both process energy and ILUC (if selected by modeller)</t>
  </si>
  <si>
    <t>Rape seed cake</t>
  </si>
  <si>
    <t>Assumed same as rapeseed</t>
  </si>
  <si>
    <t>Assumed same as wheat</t>
  </si>
  <si>
    <t>Chosen emission factors</t>
  </si>
  <si>
    <t>Level</t>
  </si>
  <si>
    <t>Woodchips</t>
  </si>
  <si>
    <t>Not corrected for energy use for torrefication</t>
  </si>
  <si>
    <t>Upstream emissions, world market wood</t>
  </si>
  <si>
    <t>**High bioenergy_Good governance**</t>
  </si>
  <si>
    <t>**High bioenergy_Bad governance**</t>
  </si>
  <si>
    <t>**Low bioenergy_Good governance**</t>
  </si>
  <si>
    <t>**Low bioenergy_Bad governance**</t>
  </si>
  <si>
    <t>Source: Biomass project, Copy of Database pathway heat test 051013-LG-08-10 2013.xlsm, sheet Globium</t>
  </si>
  <si>
    <t>Total emissions for system, prior to energy conversion and excluding pre-treatment (g/MJ)</t>
  </si>
  <si>
    <t>GWP100 (CO2 eq.)</t>
  </si>
  <si>
    <t>Nox</t>
  </si>
  <si>
    <t>SO2</t>
  </si>
  <si>
    <t>System consideration</t>
  </si>
  <si>
    <t>upper</t>
  </si>
  <si>
    <t>lower</t>
  </si>
  <si>
    <t>central</t>
  </si>
  <si>
    <t>spring barley, when straw is removed</t>
  </si>
  <si>
    <t>displacing spring barley (short-term marginal crop), which in turn generates ILUC</t>
  </si>
  <si>
    <t>spring barley, when straw is incorporated</t>
  </si>
  <si>
    <t>winter wheat, when straw is removed</t>
  </si>
  <si>
    <t>winter wheat, when straw is incorporated</t>
  </si>
  <si>
    <t>Silage maize</t>
  </si>
  <si>
    <t>Winter rape</t>
  </si>
  <si>
    <t>wheat straw, from Danish fields</t>
  </si>
  <si>
    <t>avoided incorporation of straw to soil (and related soil C changes)</t>
  </si>
  <si>
    <t>used in animal feed</t>
  </si>
  <si>
    <t>Assmed same as wheat</t>
  </si>
  <si>
    <t>rapeseed cake</t>
  </si>
  <si>
    <t>Assumed same as rape seed</t>
  </si>
  <si>
    <t>Source: Biomass project, Copy of Database pathway heat test 051013-LG-08-10 2013.xlsm, sheet Bottom-up</t>
  </si>
  <si>
    <t>BiomassCost</t>
  </si>
  <si>
    <t>Data for biomass prices added form the "Alternative Drivmiddel Katalog 2014"</t>
  </si>
  <si>
    <t>Equals the price of wheat from the "Alternative Drivmiddel Rapport"</t>
  </si>
  <si>
    <t>Equals the price of rapeseeds from the "Alternative Drivmiddel Rapport"</t>
  </si>
  <si>
    <t>Equals the price of sugarbeets from the "Alternative Drivmiddel Rapport"</t>
  </si>
  <si>
    <t>Equals the price of ehtanol from the "Alternative Drivmiddel Rapport"</t>
  </si>
  <si>
    <t>Price data</t>
  </si>
  <si>
    <t>Inflated to chosen price year, correction with sensitivity parameters</t>
  </si>
  <si>
    <t>Data</t>
  </si>
  <si>
    <t>Til model</t>
  </si>
  <si>
    <t>Pris</t>
  </si>
  <si>
    <t>pris år</t>
  </si>
  <si>
    <t>Dataår</t>
  </si>
  <si>
    <t>Prisår</t>
  </si>
  <si>
    <t>Inflator</t>
  </si>
  <si>
    <t>Sensitivity</t>
  </si>
  <si>
    <t>kommentar</t>
  </si>
  <si>
    <t>Kilde</t>
  </si>
  <si>
    <t>omkostning emisson CO2</t>
  </si>
  <si>
    <t>kr/ton</t>
  </si>
  <si>
    <t>El-pris vægtet Nordpool</t>
  </si>
  <si>
    <t>kr/MWh</t>
  </si>
  <si>
    <t>El-pris an virksomhed (brint)</t>
  </si>
  <si>
    <t>SØK brændselspris Naturgas an værk</t>
  </si>
  <si>
    <t>El-pris an husholdning (el-bil)</t>
  </si>
  <si>
    <t>Råolie pris CIF</t>
  </si>
  <si>
    <t>Kul pris</t>
  </si>
  <si>
    <t>Naturgas importpris</t>
  </si>
  <si>
    <t>Benzin pris CIF</t>
  </si>
  <si>
    <t>Diesel pris CIF</t>
  </si>
  <si>
    <t>JP1 pris CIF</t>
  </si>
  <si>
    <t>HFO pris CIF</t>
  </si>
  <si>
    <t>Benzin distribution</t>
  </si>
  <si>
    <t>Diesel distribution</t>
  </si>
  <si>
    <t>JP1 distribution</t>
  </si>
  <si>
    <t>Electricity distribution, EV</t>
  </si>
  <si>
    <t>Difference between power price ab plant and an consumer</t>
  </si>
  <si>
    <t>Electricity distribution, hydrogen</t>
  </si>
  <si>
    <t>Naturgas distribution an værk</t>
  </si>
  <si>
    <t>Naturgas distribution an forbruger</t>
  </si>
  <si>
    <t>Assumed 2,06 time world price on natural gas</t>
  </si>
  <si>
    <t>Fjernvarme</t>
  </si>
  <si>
    <t>Tabel 7</t>
  </si>
  <si>
    <t>DLG markedspris 2013-09-27, http://www.dlg.dk/da/vegetabilske-produkter/afgroeder/noteringer/boersnotering-moellehvede/</t>
  </si>
  <si>
    <t>http://www.sukkerroer.nu/irj/portal/nordzucker/da?NavigationTarget=navurl://13b776ae053328a67b3ed6386dd63317</t>
  </si>
  <si>
    <t>DLG markedspris 27-09-2013, http://www.dlg.dk/da/vegetabilske-produkter/afgroeder/noteringer/boersnotering-raps/</t>
  </si>
  <si>
    <t>Medium estimate</t>
  </si>
  <si>
    <t>Energy input to electricity production excl. conversion loss</t>
  </si>
  <si>
    <t>aflæst fra figur, gennemsnit af 4 aflæsninger i 2010, følger olieprisudviklingen i 2020 og 2035</t>
  </si>
  <si>
    <t>Benzin bil</t>
  </si>
  <si>
    <t>kr/km</t>
  </si>
  <si>
    <t>Diesel bil</t>
  </si>
  <si>
    <t>El bil</t>
  </si>
  <si>
    <t>Diesel lastbil</t>
  </si>
  <si>
    <t>Fly</t>
  </si>
  <si>
    <t>Tog Diesel</t>
  </si>
  <si>
    <t>Tog El</t>
  </si>
  <si>
    <t>Ingen</t>
  </si>
  <si>
    <t>Prisjusteringer</t>
  </si>
  <si>
    <t>Note: 2015 er antaget samme som 2012 i kilde. 2050 er antaget sammen som 2035 i kilde 1</t>
  </si>
  <si>
    <t>kilde: 3, Transportøkonomiske enhedspriser 2010, DTU , Institut for transport</t>
  </si>
  <si>
    <t>Export technology - Ethanol</t>
  </si>
  <si>
    <t>Export technology - Glycerol</t>
  </si>
  <si>
    <t>Export technology - Bio Naphtha (Petroleoum)</t>
  </si>
  <si>
    <t>Export technology - Rape Cake</t>
  </si>
  <si>
    <t>Export technology - Sugar Beet Pulp</t>
  </si>
  <si>
    <t>Export technology - Natural gas</t>
  </si>
  <si>
    <t>Export technology - Crude oil</t>
  </si>
  <si>
    <t>Mkr14/GJ</t>
  </si>
  <si>
    <t xml:space="preserve">Guestimate to avoid excessive export </t>
  </si>
  <si>
    <t>At some point we need to find better projection for these biomass related fuels…</t>
  </si>
  <si>
    <t>Add-on to the price of diesel</t>
  </si>
  <si>
    <t>Add-on to the price of gasoline</t>
  </si>
  <si>
    <t>Biomass feedstock and fuels</t>
  </si>
  <si>
    <t>COM_TAXNET</t>
  </si>
  <si>
    <t>*Commodity Name</t>
  </si>
  <si>
    <t>Attribute</t>
  </si>
  <si>
    <t>~FI_T: COST</t>
  </si>
  <si>
    <t>ETS_NETS_Prices</t>
  </si>
  <si>
    <t>CO2 qouta added for the ETS and non-ETS…</t>
  </si>
  <si>
    <t>D58:E67</t>
  </si>
  <si>
    <t>Error in Comm-IN and Comm-OUT corrected…</t>
  </si>
  <si>
    <t>KRB1</t>
  </si>
  <si>
    <t>Bio Kerosene G1</t>
  </si>
  <si>
    <t>KRB2</t>
  </si>
  <si>
    <t>Bio Kerosene G2</t>
  </si>
  <si>
    <t>SNG1</t>
  </si>
  <si>
    <t>Bio Synt. Nat. Gas G1</t>
  </si>
  <si>
    <t>SNG2</t>
  </si>
  <si>
    <t>Bio Synt. Nat. Gas G2</t>
  </si>
  <si>
    <t>DSB1</t>
  </si>
  <si>
    <t>Biodiesel G1</t>
  </si>
  <si>
    <t>DSB2</t>
  </si>
  <si>
    <t>Biodiesel G2</t>
  </si>
  <si>
    <t>GSB1</t>
  </si>
  <si>
    <t>Bioethanol G1</t>
  </si>
  <si>
    <t>GSB2</t>
  </si>
  <si>
    <t>Bioethanol G2</t>
  </si>
  <si>
    <t>Mkr14/Kton</t>
  </si>
  <si>
    <t>Refinery Margin</t>
  </si>
  <si>
    <t>Refining cost</t>
  </si>
  <si>
    <t>Product premium</t>
  </si>
  <si>
    <t>Total flow cost</t>
  </si>
  <si>
    <t>Link:</t>
  </si>
  <si>
    <t>http://www.ens.dk/info/tal-kort/fremskrivninger-analyser-modeller/samfundsokonomiske-beregnings-forudsaetninger</t>
  </si>
  <si>
    <t>DKK 2013 / GJ</t>
  </si>
  <si>
    <t>Welfare economic prices of coal, petroleum products and natural gas, EA Energianalyse 2014, p. 28</t>
  </si>
  <si>
    <t>MKr13</t>
  </si>
  <si>
    <t>Modelling assumption</t>
  </si>
  <si>
    <t>To make sure that extracted crude oil is extracted …</t>
  </si>
  <si>
    <t>To vary the cost between outputs from the plants, information on average annual product premium are used</t>
  </si>
  <si>
    <t>Adjusted flow cost information on refineries based on product premiums from EA energy analyse rapport…</t>
  </si>
  <si>
    <t>(DKK2014/ton)</t>
  </si>
  <si>
    <t xml:space="preserve">ETSCO2-price </t>
  </si>
  <si>
    <t xml:space="preserve">Tabel I: </t>
  </si>
  <si>
    <t>TIMES_DK: Generic level of CO2-duty on fuels not covered by ETS</t>
  </si>
  <si>
    <t xml:space="preserve">Scen-file: </t>
  </si>
  <si>
    <t>VT_DK_SUP_V1p10</t>
  </si>
  <si>
    <t>Source:</t>
  </si>
  <si>
    <t>Ministry of Taxasion [DEA tax spreadsheet]</t>
  </si>
  <si>
    <t>Note:</t>
  </si>
  <si>
    <t>Adjustment to 2014-kr has been done using Ministry of Finance 2015 Converge programme (March of 2015)</t>
  </si>
  <si>
    <t>Dato:</t>
  </si>
  <si>
    <t>Tax name:</t>
  </si>
  <si>
    <t>CO2-afgift</t>
  </si>
  <si>
    <t>CO2-duty (NETS CO2 price)</t>
  </si>
  <si>
    <t>Set crude oil and natural gas extraction from the north sea is set to zero … instead north sea oil and naturgas extraction is handled in the scenario file "NorthSeaMining"</t>
  </si>
  <si>
    <t xml:space="preserve">Added quotas for non-ets! </t>
  </si>
  <si>
    <t>Corrected error in ETS CO2-price (somehow data for all year had been replaced by 0.14…)</t>
  </si>
  <si>
    <t>Export technology - Biofuels 1&amp;2G</t>
  </si>
  <si>
    <t xml:space="preserve">Data of extractions: 01-03-2016 / sdo@ens.dk </t>
  </si>
  <si>
    <t>Steffen Dockweiler</t>
  </si>
  <si>
    <t>C91:AU101</t>
  </si>
  <si>
    <t>Updated Fossil fuel prices (CIF import price)</t>
  </si>
  <si>
    <t xml:space="preserve">Note2:  "f:\KEO\Modelgruppen\Brændselspriser\Brændselspriser 2015 - BF2015\BF2015 2015.12.01 FM skøn\2015_11_12_Fuel add-on DK - WEO2015_dagspris.xlsm" </t>
  </si>
  <si>
    <t xml:space="preserve">Note1: The prices reflect World Energy Outlook 2015; forwards prices as of march 2015; and histocal prices from Statistics Denmark… </t>
  </si>
  <si>
    <t>Data of extractions: 01-03-2016 / sdo@ens.dk</t>
  </si>
  <si>
    <t xml:space="preserve">Note1: "f:\KEO\Modelgruppen\Brændselspriser\Brændselspriser 2015 - BF2015\Biomassepriser\2015_10_26_Biomass price model.xlsx" </t>
  </si>
  <si>
    <t>Rapsolie</t>
  </si>
  <si>
    <t>Opdateret fra Alternative Drivmiddel modellen 3.02 - d. 01-03-2016 - SDO@ens.dk</t>
  </si>
  <si>
    <t>SO₂</t>
  </si>
  <si>
    <t>64, JEC WTW study Version 4a,  2014</t>
  </si>
  <si>
    <t>Fratrukket energi i cake</t>
  </si>
  <si>
    <t>EU-mix</t>
  </si>
  <si>
    <t>14, Energistyrelsen. Energistatistik 2011.</t>
  </si>
  <si>
    <t>13, Concawe (2006): Well-to-wheels analysis of future automotive fuels and power-trains in the European Context. May 2006.</t>
  </si>
  <si>
    <t>Process CO₂ emission excluding ILUC</t>
  </si>
  <si>
    <t>57, Forudsætninger for samfundsøkonomiske analyser på energiområdet, Energistyrelsen, 2014</t>
  </si>
  <si>
    <t>23, Forudsætninger for samfundsøkonomiske analyser på energiområdet. Energistyrelsen. April 2011, opdateret dataark oktober 2012</t>
  </si>
  <si>
    <t>4, http://www.agri-outlook.org/</t>
  </si>
  <si>
    <t xml:space="preserve">41, Ea Enerrgy Analyses (2013)  "Analysis of biomass prices, future Danish prices for straw, wood chips and wood pellets (draft 21-03-2013)", </t>
  </si>
  <si>
    <t>http://www.indexmundi.com/commodities/?commodity=rapeseed-oil&amp;months=120</t>
  </si>
  <si>
    <t>Source: 29, Biogas i Danmark - status, barrierer og perspektiver, Biogas Taskforce, November 2013, Kap 8, Biogasøkonomi. Ea-energianalyser har leveret den bagvedliggende data.</t>
  </si>
  <si>
    <t>17, www.eof.dk</t>
  </si>
  <si>
    <t>Hydrogen an værk</t>
  </si>
  <si>
    <t xml:space="preserve">AD dataark </t>
  </si>
  <si>
    <t>Source: 23, Forudsætninger for samfundsøkonomiske analyser på energiområdet. Energistyrelsen. April 2011, opdateret dataark oktober 2012</t>
  </si>
  <si>
    <t>Updated Solid biomass prices</t>
  </si>
  <si>
    <t>C106-AS122</t>
  </si>
  <si>
    <t>All data</t>
  </si>
  <si>
    <t>Updated all data to the new AD model 3.02</t>
  </si>
  <si>
    <t>B10:AS24</t>
  </si>
  <si>
    <t>Updated ETS and NETS prices</t>
  </si>
  <si>
    <t>Description</t>
  </si>
  <si>
    <t>Purpose:</t>
  </si>
  <si>
    <t>Description:</t>
  </si>
  <si>
    <t>The data is based on the VMAS survey of energy services as well as the energy matrices from Statistics Denmark</t>
  </si>
  <si>
    <t>Relevant sectors</t>
  </si>
  <si>
    <t>Description of different sheets</t>
  </si>
  <si>
    <t>Processes</t>
  </si>
  <si>
    <t>Commodities</t>
  </si>
  <si>
    <t>Defines the commodities used in the processes</t>
  </si>
  <si>
    <t>SUP</t>
  </si>
  <si>
    <t>This sheet defines processes, commodities and existing stocks for upstream fuels including imports and export interface</t>
  </si>
  <si>
    <t>Defines the processes for fuel conversions</t>
  </si>
  <si>
    <t>Topology of mining, import and exports of fuels - costs</t>
  </si>
  <si>
    <t>Topology of co2 certificates - costs</t>
  </si>
  <si>
    <t>Topology for fuels used in upstream sector</t>
  </si>
  <si>
    <t>MIN-IMP-EXP Data</t>
  </si>
  <si>
    <t>Refinery data</t>
  </si>
  <si>
    <t>Topology for processes in refining of fuels</t>
  </si>
  <si>
    <t>Data for costs on biomass and other feedstocks</t>
  </si>
  <si>
    <t>Data on imports and exports of fuels (GJ) from energy matrix from Statistics Denmark</t>
  </si>
  <si>
    <t>Data on refinery production from energy matrix from Statistics Denmark</t>
  </si>
  <si>
    <t>Lars B. Termansen</t>
  </si>
  <si>
    <t>Added intro sheet. Color coded tabs</t>
  </si>
  <si>
    <t>Added the IMPWAV technology from the SubRes_ELC-Techs</t>
  </si>
  <si>
    <t>Added the WAV commodity from the SubRes_ELC-Techs</t>
  </si>
  <si>
    <t>WAV</t>
  </si>
  <si>
    <t>Wave</t>
  </si>
  <si>
    <t>Added the technology IMPWAV in the list</t>
  </si>
  <si>
    <t>Row 33</t>
  </si>
  <si>
    <t>Import technology - all second generation BIO</t>
  </si>
  <si>
    <t>+10% on 1st generation</t>
  </si>
  <si>
    <t>Introduced a 10% increase in the price of all second generation bio, guessing that second generation is more expensive than first generation.</t>
  </si>
  <si>
    <t>DME</t>
  </si>
  <si>
    <t>Dimethyl ether</t>
  </si>
  <si>
    <t>MNR</t>
  </si>
  <si>
    <t>Manure (Gylle)</t>
  </si>
  <si>
    <t>Aviation gasoline</t>
  </si>
  <si>
    <t>BIOCO2</t>
  </si>
  <si>
    <t>Biogenic CO2 emissions</t>
  </si>
  <si>
    <t>Jacopo tattini</t>
  </si>
  <si>
    <t>Com, Proc, Min-Imp-Exp</t>
  </si>
  <si>
    <t>Merged with Giada and with Jacopo</t>
  </si>
  <si>
    <t>AGSL</t>
  </si>
  <si>
    <t>MOV</t>
  </si>
  <si>
    <t>Movement - Dummy commodity for bike and walk</t>
  </si>
  <si>
    <t>Source: Energistyrelsens samfundsøkonomiske beregningsforudsætninger 2017 (til høring)</t>
  </si>
  <si>
    <t>2017-priser (kr./ton)</t>
  </si>
  <si>
    <t>CO2 kvotepris 2017kr/ton</t>
  </si>
  <si>
    <t>PYF (BVT-Deflator)</t>
  </si>
  <si>
    <t>CO2 kvotepris 2014kr/ton</t>
  </si>
  <si>
    <t>DKK/Ton</t>
  </si>
  <si>
    <t xml:space="preserve">Source: "samfundsøkonomiske beregningsforudsætninger 2017" ENS  </t>
  </si>
  <si>
    <t>Extrapolated from 2040 up till 2050 with the estimated valuyes given by the DEA</t>
  </si>
  <si>
    <t>* Values associate with commodities</t>
  </si>
  <si>
    <t>Commodity Emissions</t>
  </si>
  <si>
    <t>kg/GJ = kt/PJ</t>
  </si>
  <si>
    <t>Nat. Gas</t>
  </si>
  <si>
    <t>*Units</t>
  </si>
  <si>
    <t>SUPCO2W</t>
  </si>
  <si>
    <t>Waste CO2 emissions SUP</t>
  </si>
  <si>
    <t>Mikkel Bosack Simonsen</t>
  </si>
  <si>
    <t xml:space="preserve">Applied regional actbnd on fossil fuels, applied from Giada´s Straw analysis </t>
  </si>
  <si>
    <t>FIW</t>
  </si>
  <si>
    <t>Firewood</t>
  </si>
  <si>
    <t>Share~UP~0</t>
  </si>
  <si>
    <t>GRS</t>
  </si>
  <si>
    <t>Grass</t>
  </si>
  <si>
    <t>~COMEMI</t>
  </si>
  <si>
    <t>SUPNGA</t>
  </si>
  <si>
    <t>SUPCOA</t>
  </si>
  <si>
    <t>SUPDSL</t>
  </si>
  <si>
    <t>SUPHFO</t>
  </si>
  <si>
    <t>SUPLPG</t>
  </si>
  <si>
    <t>SUPWST</t>
  </si>
  <si>
    <t>MCRD</t>
  </si>
  <si>
    <t>MNGA</t>
  </si>
  <si>
    <t>FT-MINNGA</t>
  </si>
  <si>
    <t>FT-MINCRD</t>
  </si>
  <si>
    <t>Mining Natural Gas</t>
  </si>
  <si>
    <t>Mining Crude Oil</t>
  </si>
  <si>
    <t>MINCO2</t>
  </si>
  <si>
    <t>Mining crude oil</t>
  </si>
  <si>
    <t>Mining Natural gas</t>
  </si>
  <si>
    <t>COST~0</t>
  </si>
  <si>
    <t>Deep Litter</t>
  </si>
  <si>
    <t>DLI</t>
  </si>
  <si>
    <t>HFB</t>
  </si>
  <si>
    <t>Heavy Fuel Bio Oil</t>
  </si>
  <si>
    <t>Fossil fuels</t>
  </si>
  <si>
    <t>Biomass</t>
  </si>
  <si>
    <t>Other renewables</t>
  </si>
  <si>
    <t>Renewable fuels</t>
  </si>
  <si>
    <t>Waste products</t>
  </si>
  <si>
    <t>Supply fuels</t>
  </si>
  <si>
    <t>H2</t>
  </si>
  <si>
    <t>Hydrogen</t>
  </si>
  <si>
    <t>H2G</t>
  </si>
  <si>
    <t>Hydrogen Gas</t>
  </si>
  <si>
    <t>MGO</t>
  </si>
  <si>
    <t>Marine Gas Oil</t>
  </si>
  <si>
    <t>AMM</t>
  </si>
  <si>
    <t>Ammonia (Liquid)</t>
  </si>
  <si>
    <t>Electro Kerosene</t>
  </si>
  <si>
    <t>KRE</t>
  </si>
  <si>
    <t>SNE</t>
  </si>
  <si>
    <t>Electro Synt. Nat. Gas</t>
  </si>
  <si>
    <t>DSE</t>
  </si>
  <si>
    <t>Electro Diesel</t>
  </si>
  <si>
    <t>GSE</t>
  </si>
  <si>
    <t>Electro Gasoline</t>
  </si>
  <si>
    <t>MOE</t>
  </si>
  <si>
    <t>Electro Methanol</t>
  </si>
  <si>
    <t>Other</t>
  </si>
  <si>
    <t>CO2SINK</t>
  </si>
  <si>
    <t>CO2 sink - non useable for fuels</t>
  </si>
  <si>
    <t>CCXCO2</t>
  </si>
  <si>
    <t>CO2 captured at plants</t>
  </si>
  <si>
    <t>Mining</t>
  </si>
  <si>
    <t>PEA</t>
  </si>
  <si>
    <t>Peat</t>
  </si>
  <si>
    <t>Added by MH for Sweden</t>
  </si>
  <si>
    <t>IWH</t>
  </si>
  <si>
    <t xml:space="preserve">Industrial waste heat </t>
  </si>
  <si>
    <t>BFG</t>
  </si>
  <si>
    <t>Blast furnace gas</t>
  </si>
  <si>
    <t>AMB</t>
  </si>
  <si>
    <t>Ambient Temperature for heat pump</t>
  </si>
  <si>
    <t>URN</t>
  </si>
  <si>
    <t>Nuclear fuel</t>
  </si>
  <si>
    <t>BLQ</t>
  </si>
  <si>
    <t>Black liquor</t>
  </si>
  <si>
    <t>Commodity</t>
  </si>
  <si>
    <t>Curr</t>
  </si>
  <si>
    <t>COST~2015</t>
  </si>
  <si>
    <t>COST~2016</t>
  </si>
  <si>
    <t>COST~2017</t>
  </si>
  <si>
    <t>COST~2018</t>
  </si>
  <si>
    <t>COST~2019</t>
  </si>
  <si>
    <t>COST~2021</t>
  </si>
  <si>
    <t>COST~2022</t>
  </si>
  <si>
    <t>COST~2023</t>
  </si>
  <si>
    <t>COST~2024</t>
  </si>
  <si>
    <t>COST~2025</t>
  </si>
  <si>
    <t>COST~2026</t>
  </si>
  <si>
    <t>COST~2027</t>
  </si>
  <si>
    <t>COST~2028</t>
  </si>
  <si>
    <t>COST~2029</t>
  </si>
  <si>
    <t>COST~2031</t>
  </si>
  <si>
    <t>COST~2032</t>
  </si>
  <si>
    <t>COST~2033</t>
  </si>
  <si>
    <t>COST~2034</t>
  </si>
  <si>
    <t>COST~2035</t>
  </si>
  <si>
    <t>COST~2036</t>
  </si>
  <si>
    <t>COST~2037</t>
  </si>
  <si>
    <t>COST~2038</t>
  </si>
  <si>
    <t>COST~2039</t>
  </si>
  <si>
    <t>COST~2041</t>
  </si>
  <si>
    <t>COST~2042</t>
  </si>
  <si>
    <t>COST~2043</t>
  </si>
  <si>
    <t>COST~2044</t>
  </si>
  <si>
    <t>COST~2045</t>
  </si>
  <si>
    <t>COST~2046</t>
  </si>
  <si>
    <t>COST~2047</t>
  </si>
  <si>
    <t>COST~2048</t>
  </si>
  <si>
    <t>COST~2049</t>
  </si>
  <si>
    <t>Tabel 4: CIF priser / priser ab producent</t>
  </si>
  <si>
    <t>2019-priser kr./GJ</t>
  </si>
  <si>
    <t>Importpriser (CIF-priser)</t>
  </si>
  <si>
    <t>ab DK producent</t>
  </si>
  <si>
    <t>Fuelolie</t>
  </si>
  <si>
    <t>Gasolie</t>
  </si>
  <si>
    <t>Benzin</t>
  </si>
  <si>
    <t>Træpiller (industri)</t>
  </si>
  <si>
    <t>Træpiller (konsum)</t>
  </si>
  <si>
    <t>Træflis</t>
  </si>
  <si>
    <t>Note: Der angives ikke en importpris for halm, da halm betragtes som en lokal ressource.</t>
  </si>
  <si>
    <t>From Danish "Samfundsøkonomiske analyseforudsætninger" made by energinet.dk and danish energy agency</t>
  </si>
  <si>
    <t>Data on fuel prices and their projections</t>
  </si>
  <si>
    <t>N/A</t>
  </si>
  <si>
    <t>similar to Export Price of fossil alternative</t>
  </si>
  <si>
    <t>Similar to Kerosene</t>
  </si>
  <si>
    <t>Double Natural Gas price</t>
  </si>
  <si>
    <t>Price from TIMES-DK (no source)</t>
  </si>
  <si>
    <t>similar to STR</t>
  </si>
  <si>
    <t>Similar to MNR</t>
  </si>
  <si>
    <t>25% of WCH</t>
  </si>
  <si>
    <t>Import technology - electro fuels</t>
  </si>
  <si>
    <t>Factor</t>
  </si>
  <si>
    <t>Semi dummy factor</t>
  </si>
  <si>
    <t>Similar factor as for bio dielsel</t>
  </si>
  <si>
    <r>
      <t>Tabel 14: Skøn for priser på CO</t>
    </r>
    <r>
      <rPr>
        <b/>
        <vertAlign val="subscript"/>
        <sz val="15"/>
        <rFont val="Calibri"/>
        <family val="2"/>
        <scheme val="minor"/>
      </rPr>
      <t>2</t>
    </r>
  </si>
  <si>
    <t>2019-priser kr./ton</t>
  </si>
  <si>
    <t>Skøn for CO2-kvotepris</t>
  </si>
  <si>
    <t>Skøn for pris på CO2-udledninger uden for kvotesektoren</t>
  </si>
  <si>
    <t xml:space="preserve">Kilder: </t>
  </si>
  <si>
    <t xml:space="preserve">Skøn for kvotepris: Finansministeriet, september 2019. </t>
  </si>
  <si>
    <r>
      <t>Skøn for omkostninger for CO</t>
    </r>
    <r>
      <rPr>
        <vertAlign val="subscript"/>
        <sz val="10"/>
        <color theme="1"/>
        <rFont val="Calibri"/>
        <family val="2"/>
        <scheme val="minor"/>
      </rPr>
      <t>2</t>
    </r>
    <r>
      <rPr>
        <sz val="10"/>
        <color theme="1"/>
        <rFont val="Calibri"/>
        <family val="2"/>
        <scheme val="minor"/>
      </rPr>
      <t>-udledning uden for kvotesektoren: EU’s Impact Assessment for 2030-pakken (http://eur-lex.europa.eu/legal-content/EN/TXT/PDF/?uri=CELEX:52014SC0015&amp;from=EN). Efter 2030 er omkostningen for CO</t>
    </r>
    <r>
      <rPr>
        <vertAlign val="subscript"/>
        <sz val="10"/>
        <color theme="1"/>
        <rFont val="Calibri"/>
        <family val="2"/>
        <scheme val="minor"/>
      </rPr>
      <t>2</t>
    </r>
    <r>
      <rPr>
        <sz val="10"/>
        <color theme="1"/>
        <rFont val="Calibri"/>
        <family val="2"/>
        <scheme val="minor"/>
      </rPr>
      <t>-udledning uden for kvotesektoren fastholdt på samme niveau, indtil kvoteprisen når dette niveau.</t>
    </r>
  </si>
  <si>
    <t>Note 1: Alle prisskøn i denne tabel er angivet i faktorpriser, og skal derfor ganges med nettoafgiftsfaktoren for at blive angivet i forbrugerpriser.</t>
  </si>
  <si>
    <t>Supply electricity</t>
  </si>
  <si>
    <t>Supply Decentral district heating</t>
  </si>
  <si>
    <t>Supply Central district heating</t>
  </si>
  <si>
    <t>Relating to wood waste</t>
  </si>
  <si>
    <t>Guestimate (based on stat)</t>
  </si>
  <si>
    <t>Same assumption as for waste</t>
  </si>
  <si>
    <t>Relating to coal price</t>
  </si>
  <si>
    <t>Free</t>
  </si>
  <si>
    <t>Elforsk, "El från nya och framtida anläggningar 2014"</t>
  </si>
  <si>
    <t>SEK14</t>
  </si>
  <si>
    <t>Related to Wood Waste</t>
  </si>
  <si>
    <t>Similar to waste</t>
  </si>
  <si>
    <t>BNDACT~UP~SE3</t>
  </si>
  <si>
    <t>BNDACT~UP~2012~SE3</t>
  </si>
  <si>
    <t>BNDACT~UP~2015~SE3</t>
  </si>
  <si>
    <t>Crude max. Flow level from 2015</t>
  </si>
  <si>
    <t xml:space="preserve">Data source on refinary costs for Denmark: TIMES-DK </t>
  </si>
  <si>
    <t>MSEK14</t>
  </si>
  <si>
    <t>Share~UP~2018</t>
  </si>
  <si>
    <t>Input~2012</t>
  </si>
  <si>
    <t>Input~2015</t>
  </si>
  <si>
    <t>Input~2018</t>
  </si>
  <si>
    <t>EFF~2018</t>
  </si>
  <si>
    <t>Input CRD share / Base year</t>
  </si>
  <si>
    <t>Input CRD share / 2012</t>
  </si>
  <si>
    <t>Input CRD share from 2015</t>
  </si>
  <si>
    <t>Crude level 2010 (PJ)</t>
  </si>
  <si>
    <t>Crude level 2012(PJ)</t>
  </si>
  <si>
    <t>SREFSE3</t>
  </si>
  <si>
    <t>Refinery Sweden 3</t>
  </si>
  <si>
    <t>OTH</t>
  </si>
  <si>
    <t>SUPLVN</t>
  </si>
  <si>
    <t>Documentation folder, Energy Balance Nordic</t>
  </si>
  <si>
    <t>Pja</t>
  </si>
  <si>
    <t>~FI_T: SE3</t>
  </si>
  <si>
    <t>Denmark</t>
  </si>
  <si>
    <t>Norway</t>
  </si>
  <si>
    <t>Finland</t>
  </si>
  <si>
    <t>Sweden</t>
  </si>
  <si>
    <t>Iceland</t>
  </si>
  <si>
    <t>Structure</t>
  </si>
  <si>
    <t>Fuel</t>
  </si>
  <si>
    <t>Primary production</t>
  </si>
  <si>
    <t>GSB</t>
  </si>
  <si>
    <t>DSB</t>
  </si>
  <si>
    <t>KRB</t>
  </si>
  <si>
    <t>BIO</t>
  </si>
  <si>
    <t>Imports</t>
  </si>
  <si>
    <t>Exports</t>
  </si>
  <si>
    <t>Change in stock</t>
  </si>
  <si>
    <t>International maritime bunkers</t>
  </si>
  <si>
    <t>International aviation</t>
  </si>
  <si>
    <t>Total energy supply</t>
  </si>
  <si>
    <t>Final consumption - energy use</t>
  </si>
  <si>
    <t>Final consumption - non-energy use</t>
  </si>
  <si>
    <t>EU statistics, EUROSTATS</t>
  </si>
  <si>
    <t>SE1</t>
  </si>
  <si>
    <t>SE2</t>
  </si>
  <si>
    <t>SE3</t>
  </si>
  <si>
    <t>SE4</t>
  </si>
  <si>
    <t>Imports, regulated with stock</t>
  </si>
  <si>
    <t>DKE</t>
  </si>
  <si>
    <t>Unit (TJ)</t>
  </si>
  <si>
    <t>DKW</t>
  </si>
  <si>
    <t>NO1</t>
  </si>
  <si>
    <t>NO2</t>
  </si>
  <si>
    <t>FIN</t>
  </si>
  <si>
    <t>FIM</t>
  </si>
  <si>
    <t>Shares for each region and fuel</t>
  </si>
  <si>
    <t>Population based</t>
  </si>
  <si>
    <t>Region based</t>
  </si>
  <si>
    <t>Land based</t>
  </si>
  <si>
    <t>IS</t>
  </si>
  <si>
    <t>https://www.sgu.se/en/mineral-resources/swedish-ore-mines/</t>
  </si>
  <si>
    <t>VT_SE_SUP, VT_NO_TRA, datainput to TIMES-DK</t>
  </si>
  <si>
    <t>Agriculture based</t>
  </si>
  <si>
    <t>Scen_Merge_RE_Potentials</t>
  </si>
  <si>
    <t>Region based/pupulation for sweden</t>
  </si>
  <si>
    <t>SUPKRB</t>
  </si>
  <si>
    <t>SUPSNG</t>
  </si>
  <si>
    <t>SUPDSB</t>
  </si>
  <si>
    <t>SUPMOB</t>
  </si>
  <si>
    <t>Supply Bio Kerosene</t>
  </si>
  <si>
    <t>Supply Bio Synt. Nat. Gas</t>
  </si>
  <si>
    <t>Supply Biodiesel</t>
  </si>
  <si>
    <t>Supply Bioethanol</t>
  </si>
  <si>
    <t>Supply Bio Methanol</t>
  </si>
  <si>
    <t>SUPGSB</t>
  </si>
  <si>
    <t>SUPCRD</t>
  </si>
  <si>
    <t>Old refinery strucutre</t>
  </si>
  <si>
    <t>New refinery structure based on EUROstats and danish refinary data to determine overall efficiency</t>
  </si>
  <si>
    <t>Input~2020</t>
  </si>
  <si>
    <t>DACT~FI_T: SE3</t>
  </si>
  <si>
    <t>\I:</t>
  </si>
  <si>
    <t>*</t>
  </si>
  <si>
    <t>Triple the price of kerosene</t>
  </si>
  <si>
    <t>Triple the price natural gas</t>
  </si>
  <si>
    <t>1.5 time the cost of biofuels</t>
  </si>
  <si>
    <t>MKr19</t>
  </si>
  <si>
    <t>Eas CIF værdier</t>
  </si>
  <si>
    <t>Inflation correction</t>
  </si>
  <si>
    <t>TOTCO2</t>
  </si>
  <si>
    <t>Total CO2 emissions</t>
  </si>
  <si>
    <t>BNDACT~LO~2025~SE3</t>
  </si>
  <si>
    <t>BNDACT~LO~2030~SE3</t>
  </si>
  <si>
    <t>BNDACT~LO~0</t>
  </si>
  <si>
    <t>BNDACT~FX~SE3</t>
  </si>
  <si>
    <t>BNDACT~FX~2012~SE3</t>
  </si>
  <si>
    <t>BNDACT~FX~2015~SE3</t>
  </si>
  <si>
    <t>BNDACT~FX~2020~SE3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</si>
</sst>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1" formatCode="_-* #,##0_-;\-* #,##0_-;_-* &quot;-&quot;_-;_-@_-"/>
    <numFmt numFmtId="43" formatCode="_-* #,##0.00_-;\-* #,##0.00_-;_-* &quot;-&quot;??_-;_-@_-"/>
    <numFmt numFmtId="164" formatCode="_(* #,##0.00_);_(* \(#,##0.00\);_(* &quot;-&quot;??_);_(@_)"/>
    <numFmt numFmtId="165" formatCode="_ * #,##0.00_ ;_ * \-#,##0.00_ ;_ * &quot;-&quot;??_ ;_ @_ "/>
    <numFmt numFmtId="166" formatCode="_-&quot;€&quot;\ * #,##0.00_-;\-&quot;€&quot;\ * #,##0.00_-;_-&quot;€&quot;\ * &quot;-&quot;??_-;_-@_-"/>
    <numFmt numFmtId="167" formatCode="#,##0;\-\ #,##0;_-\ &quot;- &quot;"/>
    <numFmt numFmtId="168" formatCode="_-[$€-2]\ * #,##0.00_-;\-[$€-2]\ * #,##0.00_-;_-[$€-2]\ * &quot;-&quot;??_-"/>
    <numFmt numFmtId="169" formatCode="0.000"/>
    <numFmt numFmtId="170" formatCode="0.0"/>
    <numFmt numFmtId="171" formatCode="\Te\x\t"/>
    <numFmt numFmtId="172" formatCode="_([$€]* #,##0.00_);_([$€]* \(#,##0.00\);_([$€]* &quot;-&quot;??_);_(@_)"/>
    <numFmt numFmtId="173" formatCode="#,##0.0"/>
    <numFmt numFmtId="174" formatCode="_ * #,##0.0_ ;_ * \-#,##0.0_ ;_ * &quot;-&quot;??_ ;_ @_ "/>
    <numFmt numFmtId="175" formatCode="0.0%"/>
    <numFmt numFmtId="176" formatCode="_-[$€-2]* #,##0.00_-;\-[$€-2]* #,##0.00_-;_-[$€-2]* &quot;-&quot;??_-"/>
    <numFmt numFmtId="177" formatCode="0_ ;\-0\ "/>
    <numFmt numFmtId="178" formatCode="0.0_ ;\-0.0\ "/>
    <numFmt numFmtId="179" formatCode="0.000_ ;\-0.000\ "/>
    <numFmt numFmtId="180" formatCode="0.00_ ;\-0.00\ "/>
    <numFmt numFmtId="181" formatCode="0.0000_ ;\-0.0000\ "/>
    <numFmt numFmtId="182" formatCode="0.00000_ ;\-0.00000\ "/>
    <numFmt numFmtId="183" formatCode="0.000000_ ;\-0.000000\ "/>
    <numFmt numFmtId="184" formatCode="#,##0;#\ ##0"/>
    <numFmt numFmtId="185" formatCode="0.0;\-0.0;0"/>
  </numFmts>
  <fonts count="14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0"/>
      <color indexed="12"/>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8"/>
      <name val="Arial"/>
      <family val="2"/>
    </font>
    <font>
      <sz val="10"/>
      <name val="Calibri"/>
      <family val="2"/>
    </font>
    <font>
      <sz val="8"/>
      <name val="Calibri"/>
      <family val="2"/>
    </font>
    <font>
      <sz val="9"/>
      <color indexed="81"/>
      <name val="Tahoma"/>
      <family val="2"/>
    </font>
    <font>
      <b/>
      <sz val="9"/>
      <color indexed="81"/>
      <name val="Tahoma"/>
      <family val="2"/>
    </font>
    <font>
      <sz val="10"/>
      <name val="Helv"/>
    </font>
    <font>
      <sz val="11"/>
      <name val="Calibri"/>
      <family val="2"/>
    </font>
    <font>
      <sz val="10"/>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b/>
      <sz val="10"/>
      <name val="Arial"/>
      <family val="2"/>
    </font>
    <font>
      <sz val="9"/>
      <name val="Calibri"/>
      <family val="2"/>
    </font>
    <font>
      <sz val="7"/>
      <name val="Calibri"/>
      <family val="2"/>
    </font>
    <font>
      <sz val="11"/>
      <color indexed="8"/>
      <name val="Calibri"/>
      <family val="2"/>
    </font>
    <font>
      <b/>
      <sz val="10"/>
      <color indexed="10"/>
      <name val="Arial"/>
      <family val="2"/>
    </font>
    <font>
      <sz val="9"/>
      <name val="Geneva"/>
      <family val="2"/>
    </font>
    <font>
      <sz val="10"/>
      <name val="Arial"/>
      <family val="2"/>
    </font>
    <font>
      <i/>
      <sz val="10"/>
      <name val="Calibri"/>
      <family val="2"/>
    </font>
    <font>
      <b/>
      <sz val="11"/>
      <name val="Calibri"/>
      <family val="2"/>
    </font>
    <font>
      <u/>
      <sz val="8"/>
      <color indexed="12"/>
      <name val="Arial"/>
      <family val="2"/>
    </font>
    <font>
      <sz val="10"/>
      <name val="Arial"/>
      <family val="2"/>
    </font>
    <font>
      <sz val="11"/>
      <color theme="1"/>
      <name val="Calibri"/>
      <family val="2"/>
      <scheme val="minor"/>
    </font>
    <font>
      <sz val="10"/>
      <color rgb="FF9C0006"/>
      <name val="Calibri"/>
      <family val="2"/>
    </font>
    <font>
      <sz val="10"/>
      <color rgb="FF0000FF"/>
      <name val="Calibri"/>
      <family val="2"/>
    </font>
    <font>
      <b/>
      <sz val="11"/>
      <color rgb="FFFA7D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u/>
      <sz val="11"/>
      <color theme="10"/>
      <name val="Calibri"/>
      <family val="2"/>
      <scheme val="minor"/>
    </font>
    <font>
      <sz val="10"/>
      <color rgb="FF00B050"/>
      <name val="Calibri"/>
      <family val="2"/>
    </font>
    <font>
      <sz val="11"/>
      <color theme="1"/>
      <name val="Calibri"/>
      <family val="2"/>
    </font>
    <font>
      <sz val="10"/>
      <color theme="1"/>
      <name val="Calibri"/>
      <family val="2"/>
    </font>
    <font>
      <b/>
      <sz val="11"/>
      <color rgb="FF3F3F3F"/>
      <name val="Calibri"/>
      <family val="2"/>
      <scheme val="minor"/>
    </font>
    <font>
      <b/>
      <sz val="16"/>
      <color theme="0"/>
      <name val="Calibri"/>
      <family val="2"/>
      <scheme val="minor"/>
    </font>
    <font>
      <b/>
      <sz val="13"/>
      <color theme="0"/>
      <name val="Calibri"/>
      <family val="2"/>
      <scheme val="minor"/>
    </font>
    <font>
      <b/>
      <sz val="12"/>
      <color theme="0"/>
      <name val="Calibri"/>
      <family val="2"/>
      <scheme val="minor"/>
    </font>
    <font>
      <b/>
      <sz val="11"/>
      <color theme="1"/>
      <name val="Calibri"/>
      <family val="2"/>
      <scheme val="minor"/>
    </font>
    <font>
      <sz val="10"/>
      <color rgb="FFFF0000"/>
      <name val="Calibri"/>
      <family val="2"/>
    </font>
    <font>
      <sz val="10"/>
      <name val="Calibri"/>
      <family val="2"/>
      <scheme val="minor"/>
    </font>
    <font>
      <b/>
      <sz val="16"/>
      <color theme="0"/>
      <name val="Calibri"/>
      <family val="2"/>
    </font>
    <font>
      <b/>
      <sz val="10"/>
      <name val="Calibri"/>
      <family val="2"/>
      <scheme val="minor"/>
    </font>
    <font>
      <sz val="8"/>
      <name val="Calibri"/>
      <family val="2"/>
      <scheme val="minor"/>
    </font>
    <font>
      <b/>
      <sz val="11"/>
      <name val="Calibri"/>
      <family val="2"/>
      <scheme val="minor"/>
    </font>
    <font>
      <sz val="10"/>
      <color rgb="FF0000FF"/>
      <name val="Calibri"/>
      <family val="2"/>
      <scheme val="minor"/>
    </font>
    <font>
      <sz val="10"/>
      <color indexed="17"/>
      <name val="Calibri"/>
      <family val="2"/>
      <scheme val="minor"/>
    </font>
    <font>
      <sz val="10"/>
      <color rgb="FF00B050"/>
      <name val="Calibri"/>
      <family val="2"/>
      <scheme val="minor"/>
    </font>
    <font>
      <sz val="10"/>
      <color rgb="FF9C0006"/>
      <name val="Calibri"/>
      <family val="2"/>
      <scheme val="minor"/>
    </font>
    <font>
      <sz val="10"/>
      <color rgb="FFFF0000"/>
      <name val="Calibri"/>
      <family val="2"/>
      <scheme val="minor"/>
    </font>
    <font>
      <sz val="11"/>
      <name val="Calibri"/>
      <family val="2"/>
      <scheme val="minor"/>
    </font>
    <font>
      <sz val="9"/>
      <name val="Geneva"/>
      <family val="2"/>
    </font>
    <font>
      <i/>
      <sz val="11"/>
      <color theme="1"/>
      <name val="Calibri"/>
      <family val="2"/>
      <scheme val="minor"/>
    </font>
    <font>
      <b/>
      <sz val="18"/>
      <color theme="3"/>
      <name val="Cambria"/>
      <family val="2"/>
      <scheme val="major"/>
    </font>
    <font>
      <sz val="11"/>
      <color rgb="FF9C0006"/>
      <name val="Calibri"/>
      <family val="2"/>
      <scheme val="minor"/>
    </font>
    <font>
      <sz val="11"/>
      <color rgb="FF9C65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name val="Arial"/>
      <family val="2"/>
    </font>
    <font>
      <sz val="8"/>
      <color indexed="8"/>
      <name val="Arial"/>
      <family val="2"/>
    </font>
    <font>
      <sz val="10"/>
      <name val="Times New Roman"/>
      <family val="1"/>
    </font>
    <font>
      <sz val="14"/>
      <color indexed="50"/>
      <name val="Arial"/>
      <family val="2"/>
    </font>
    <font>
      <sz val="6"/>
      <name val="Arial"/>
      <family val="2"/>
    </font>
    <font>
      <b/>
      <sz val="8.5"/>
      <color indexed="50"/>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u/>
      <sz val="10"/>
      <color indexed="12"/>
      <name val="Arial"/>
      <family val="2"/>
    </font>
    <font>
      <sz val="18"/>
      <color theme="3"/>
      <name val="Cambria"/>
      <family val="2"/>
      <scheme val="major"/>
    </font>
    <font>
      <b/>
      <sz val="7"/>
      <color indexed="45"/>
      <name val="Arial"/>
      <family val="2"/>
    </font>
    <font>
      <sz val="7"/>
      <color indexed="45"/>
      <name val="Arial"/>
      <family val="2"/>
    </font>
    <font>
      <u/>
      <sz val="10"/>
      <color theme="10"/>
      <name val="Arial"/>
      <family val="2"/>
    </font>
    <font>
      <b/>
      <sz val="14"/>
      <color rgb="FFFF0000"/>
      <name val="Calibri"/>
      <family val="2"/>
      <scheme val="minor"/>
    </font>
    <font>
      <sz val="9"/>
      <name val="Geneva"/>
    </font>
    <font>
      <sz val="10"/>
      <color theme="1"/>
      <name val="Calibri"/>
      <family val="2"/>
      <scheme val="minor"/>
    </font>
    <font>
      <sz val="10"/>
      <color indexed="9"/>
      <name val="Calibri"/>
      <family val="2"/>
      <scheme val="minor"/>
    </font>
    <font>
      <sz val="10"/>
      <color indexed="10"/>
      <name val="Calibri"/>
      <family val="2"/>
    </font>
    <font>
      <sz val="10"/>
      <color rgb="FFFF0000"/>
      <name val="Arial"/>
      <family val="2"/>
    </font>
    <font>
      <sz val="8"/>
      <name val="Arial"/>
    </font>
    <font>
      <b/>
      <sz val="11"/>
      <color rgb="FFFF0000"/>
      <name val="Calibri"/>
      <family val="2"/>
      <scheme val="minor"/>
    </font>
    <font>
      <b/>
      <sz val="15"/>
      <name val="Calibri"/>
      <family val="2"/>
      <scheme val="minor"/>
    </font>
    <font>
      <b/>
      <sz val="9"/>
      <color theme="1"/>
      <name val="Calibri"/>
      <family val="2"/>
      <scheme val="minor"/>
    </font>
    <font>
      <sz val="9"/>
      <color theme="1"/>
      <name val="Calibri"/>
      <family val="2"/>
      <scheme val="minor"/>
    </font>
    <font>
      <sz val="11"/>
      <color rgb="FF00B050"/>
      <name val="Calibri"/>
      <family val="2"/>
      <scheme val="minor"/>
    </font>
    <font>
      <sz val="10"/>
      <color rgb="FF00B050"/>
      <name val="Arial"/>
      <family val="2"/>
    </font>
    <font>
      <b/>
      <sz val="11"/>
      <color rgb="FF00B050"/>
      <name val="Calibri"/>
      <family val="2"/>
      <scheme val="minor"/>
    </font>
    <font>
      <sz val="11"/>
      <color rgb="FF0070C0"/>
      <name val="Calibri"/>
      <family val="2"/>
      <scheme val="minor"/>
    </font>
    <font>
      <sz val="16"/>
      <name val="Arial"/>
      <family val="2"/>
    </font>
    <font>
      <b/>
      <vertAlign val="subscript"/>
      <sz val="15"/>
      <name val="Calibri"/>
      <family val="2"/>
      <scheme val="minor"/>
    </font>
    <font>
      <vertAlign val="subscript"/>
      <sz val="10"/>
      <color theme="1"/>
      <name val="Calibri"/>
      <family val="2"/>
      <scheme val="minor"/>
    </font>
    <font>
      <sz val="10"/>
      <color rgb="FF0070C0"/>
      <name val="Arial"/>
      <family val="2"/>
    </font>
    <font>
      <b/>
      <sz val="11"/>
      <name val="Arial"/>
      <family val="2"/>
    </font>
    <font>
      <sz val="9"/>
      <name val="Helvetica"/>
      <family val="2"/>
    </font>
    <font>
      <sz val="11"/>
      <color theme="1"/>
      <name val="Calibri"/>
      <family val="2"/>
      <charset val="186"/>
      <scheme val="minor"/>
    </font>
    <font>
      <sz val="8"/>
      <color rgb="FFFF0000"/>
      <name val="Calibri"/>
      <family val="2"/>
    </font>
    <font>
      <sz val="11"/>
      <color rgb="FF000000"/>
      <name val="Calibri"/>
      <family val="2"/>
      <charset val="1"/>
    </font>
    <font>
      <sz val="11"/>
      <color rgb="FF000000"/>
      <name val="Calibri"/>
      <family val="2"/>
    </font>
    <font>
      <b/>
      <sz val="16"/>
      <color theme="1"/>
      <name val="Calibri"/>
      <family val="2"/>
      <scheme val="minor"/>
    </font>
    <font>
      <b/>
      <sz val="9"/>
      <color rgb="FF808080"/>
      <name val="Calibri"/>
      <family val="2"/>
    </font>
    <font>
      <sz val="9"/>
      <color rgb="FFC00000"/>
      <name val="Calibri"/>
      <family val="2"/>
    </font>
  </fonts>
  <fills count="89">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51"/>
        <bgColor indexed="64"/>
      </patternFill>
    </fill>
    <fill>
      <patternFill patternType="solid">
        <fgColor indexed="29"/>
        <bgColor indexed="64"/>
      </patternFill>
    </fill>
    <fill>
      <patternFill patternType="solid">
        <fgColor indexed="43"/>
        <bgColor indexed="64"/>
      </patternFill>
    </fill>
    <fill>
      <patternFill patternType="solid">
        <fgColor indexed="31"/>
        <bgColor indexed="64"/>
      </patternFill>
    </fill>
    <fill>
      <patternFill patternType="solid">
        <fgColor indexed="46"/>
        <bgColor indexed="64"/>
      </patternFill>
    </fill>
    <fill>
      <patternFill patternType="solid">
        <fgColor theme="0"/>
        <bgColor indexed="64"/>
      </patternFill>
    </fill>
    <fill>
      <patternFill patternType="solid">
        <fgColor rgb="FFFFC7CE"/>
      </patternFill>
    </fill>
    <fill>
      <patternFill patternType="solid">
        <fgColor rgb="FFBED6EE"/>
        <bgColor indexed="64"/>
      </patternFill>
    </fill>
    <fill>
      <patternFill patternType="solid">
        <fgColor rgb="FFF2F2F2"/>
      </patternFill>
    </fill>
    <fill>
      <patternFill patternType="solid">
        <fgColor rgb="FFC6EFCE"/>
      </patternFill>
    </fill>
    <fill>
      <patternFill patternType="solid">
        <fgColor rgb="FFFFCC99"/>
      </patternFill>
    </fill>
    <fill>
      <patternFill patternType="solid">
        <fgColor theme="6" tint="0.599963377788628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theme="5" tint="0.59999389629810485"/>
        <bgColor indexed="64"/>
      </patternFill>
    </fill>
    <fill>
      <patternFill patternType="solid">
        <fgColor rgb="FF9999FF"/>
        <bgColor indexed="64"/>
      </patternFill>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indexed="12"/>
        <bgColor indexed="64"/>
      </patternFill>
    </fill>
    <fill>
      <patternFill patternType="solid">
        <fgColor indexed="42"/>
        <bgColor indexed="64"/>
      </patternFill>
    </fill>
    <fill>
      <patternFill patternType="solid">
        <fgColor rgb="FF99CCFF"/>
        <bgColor indexed="64"/>
      </patternFill>
    </fill>
    <fill>
      <patternFill patternType="solid">
        <fgColor rgb="FFFFCC00"/>
        <bgColor indexed="64"/>
      </patternFill>
    </fill>
    <fill>
      <patternFill patternType="solid">
        <fgColor theme="6" tint="0.59999389629810485"/>
        <bgColor indexed="64"/>
      </patternFill>
    </fill>
    <fill>
      <patternFill patternType="solid">
        <fgColor rgb="FFCCFFCC"/>
        <bgColor indexed="64"/>
      </patternFill>
    </fill>
    <fill>
      <patternFill patternType="solid">
        <fgColor rgb="FFFFFF99"/>
        <bgColor indexed="64"/>
      </patternFill>
    </fill>
    <fill>
      <patternFill patternType="solid">
        <fgColor theme="6"/>
        <bgColor indexed="64"/>
      </patternFill>
    </fill>
    <fill>
      <patternFill patternType="solid">
        <fgColor rgb="FF00B0F0"/>
        <bgColor indexed="64"/>
      </patternFill>
    </fill>
    <fill>
      <patternFill patternType="solid">
        <fgColor theme="3" tint="0.59999389629810485"/>
        <bgColor indexed="64"/>
      </patternFill>
    </fill>
    <fill>
      <patternFill patternType="solid">
        <fgColor rgb="FFD8E4BC"/>
        <bgColor rgb="FF000000"/>
      </patternFill>
    </fill>
  </fills>
  <borders count="74">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50"/>
      </bottom>
      <diagonal/>
    </border>
    <border>
      <left/>
      <right/>
      <top style="thin">
        <color indexed="45"/>
      </top>
      <bottom style="thin">
        <color indexed="45"/>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right/>
      <top/>
      <bottom style="thin">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medium">
        <color indexed="64"/>
      </bottom>
      <diagonal/>
    </border>
  </borders>
  <cellStyleXfs count="10575">
    <xf numFmtId="0" fontId="0" fillId="0" borderId="0"/>
    <xf numFmtId="176" fontId="12" fillId="0" borderId="0"/>
    <xf numFmtId="3" fontId="12" fillId="32" borderId="40" applyFont="0" applyFill="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2" fillId="0" borderId="0" applyNumberFormat="0" applyFont="0" applyFill="0" applyBorder="0" applyProtection="0">
      <alignment horizontal="left" vertical="center" indent="5"/>
    </xf>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4" fontId="42" fillId="21" borderId="2">
      <alignment horizontal="right" vertical="center"/>
    </xf>
    <xf numFmtId="4" fontId="42" fillId="21" borderId="2">
      <alignment horizontal="right" vertical="center"/>
    </xf>
    <xf numFmtId="0" fontId="57" fillId="33" borderId="0" applyNumberFormat="0" applyBorder="0" applyAlignment="0" applyProtection="0"/>
    <xf numFmtId="3" fontId="58" fillId="34" borderId="40" applyNumberFormat="0" applyBorder="0" applyAlignment="0" applyProtection="0"/>
    <xf numFmtId="0" fontId="16" fillId="22" borderId="1" applyNumberFormat="0" applyAlignment="0" applyProtection="0"/>
    <xf numFmtId="0" fontId="59" fillId="35" borderId="40" applyNumberFormat="0" applyAlignment="0" applyProtection="0"/>
    <xf numFmtId="0" fontId="33" fillId="32" borderId="40" applyNumberFormat="0" applyBorder="0" applyAlignment="0" applyProtection="0"/>
    <xf numFmtId="0" fontId="17" fillId="0" borderId="3" applyNumberFormat="0" applyFill="0" applyAlignment="0" applyProtection="0"/>
    <xf numFmtId="0" fontId="18" fillId="23" borderId="4" applyNumberFormat="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12" fillId="0" borderId="0" applyFont="0" applyFill="0" applyBorder="0" applyAlignment="0" applyProtection="0"/>
    <xf numFmtId="165" fontId="39" fillId="0" borderId="0" applyFont="0" applyFill="0" applyBorder="0" applyAlignment="0" applyProtection="0"/>
    <xf numFmtId="165" fontId="40" fillId="0" borderId="0" applyFont="0" applyFill="0" applyBorder="0" applyAlignment="0" applyProtection="0"/>
    <xf numFmtId="165" fontId="12" fillId="0" borderId="0" applyFont="0" applyFill="0" applyBorder="0" applyAlignment="0" applyProtection="0"/>
    <xf numFmtId="165" fontId="40" fillId="0" borderId="0" applyFont="0" applyFill="0" applyBorder="0" applyAlignment="0" applyProtection="0"/>
    <xf numFmtId="165" fontId="50" fillId="0" borderId="0" applyFont="0" applyFill="0" applyBorder="0" applyAlignment="0" applyProtection="0"/>
    <xf numFmtId="43" fontId="48"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48" fillId="0" borderId="0" applyFont="0" applyFill="0" applyBorder="0" applyAlignment="0" applyProtection="0"/>
    <xf numFmtId="165" fontId="14" fillId="0" borderId="0" applyFont="0" applyFill="0" applyBorder="0" applyAlignment="0" applyProtection="0"/>
    <xf numFmtId="165" fontId="56" fillId="0" borderId="0" applyFont="0" applyFill="0" applyBorder="0" applyAlignment="0" applyProtection="0"/>
    <xf numFmtId="165" fontId="39" fillId="0" borderId="0" applyFont="0" applyFill="0" applyBorder="0" applyAlignment="0" applyProtection="0"/>
    <xf numFmtId="165" fontId="48" fillId="0" borderId="0" applyFont="0" applyFill="0" applyBorder="0" applyAlignment="0" applyProtection="0"/>
    <xf numFmtId="165" fontId="14" fillId="0" borderId="0" applyFont="0" applyFill="0" applyBorder="0" applyAlignment="0" applyProtection="0"/>
    <xf numFmtId="165" fontId="56"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37" fillId="0" borderId="0"/>
    <xf numFmtId="0" fontId="43" fillId="0" borderId="5">
      <alignment horizontal="left" vertical="center" wrapText="1" indent="2"/>
    </xf>
    <xf numFmtId="168" fontId="11"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72"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8" fontId="39" fillId="0" borderId="0" applyFont="0" applyFill="0" applyBorder="0" applyAlignment="0" applyProtection="0"/>
    <xf numFmtId="168" fontId="40" fillId="0" borderId="0" applyFont="0" applyFill="0" applyBorder="0" applyAlignment="0" applyProtection="0"/>
    <xf numFmtId="168" fontId="12" fillId="0" borderId="0" applyFont="0" applyFill="0" applyBorder="0" applyAlignment="0" applyProtection="0"/>
    <xf numFmtId="0" fontId="12" fillId="0" borderId="0" applyFont="0" applyFill="0" applyBorder="0" applyAlignment="0" applyProtection="0"/>
    <xf numFmtId="168" fontId="39" fillId="0" borderId="0" applyFont="0" applyFill="0" applyBorder="0" applyAlignment="0" applyProtection="0"/>
    <xf numFmtId="168" fontId="12"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8" fontId="40" fillId="0" borderId="0" applyFont="0" applyFill="0" applyBorder="0" applyAlignment="0" applyProtection="0"/>
    <xf numFmtId="176" fontId="12"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166" fontId="11"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40" fillId="0" borderId="0" applyFont="0" applyFill="0" applyBorder="0" applyAlignment="0" applyProtection="0"/>
    <xf numFmtId="166" fontId="12" fillId="0" borderId="0" applyFont="0" applyFill="0" applyBorder="0" applyAlignment="0" applyProtection="0"/>
    <xf numFmtId="166" fontId="39" fillId="0" borderId="0" applyFont="0" applyFill="0" applyBorder="0" applyAlignment="0" applyProtection="0"/>
    <xf numFmtId="166" fontId="12" fillId="0" borderId="0" applyFont="0" applyFill="0" applyBorder="0" applyAlignment="0" applyProtection="0"/>
    <xf numFmtId="166" fontId="40" fillId="0" borderId="0" applyFont="0" applyFill="0" applyBorder="0" applyAlignment="0" applyProtection="0"/>
    <xf numFmtId="0" fontId="37" fillId="0" borderId="0"/>
    <xf numFmtId="0" fontId="60" fillId="36" borderId="0" applyNumberFormat="0" applyBorder="0" applyAlignment="0" applyProtection="0"/>
    <xf numFmtId="0" fontId="61" fillId="0" borderId="41" applyNumberFormat="0" applyFill="0" applyAlignment="0" applyProtection="0"/>
    <xf numFmtId="0" fontId="62" fillId="0" borderId="42" applyNumberFormat="0" applyFill="0" applyAlignment="0" applyProtection="0"/>
    <xf numFmtId="0" fontId="63" fillId="0" borderId="0" applyNumberFormat="0" applyFill="0" applyBorder="0" applyAlignment="0" applyProtection="0"/>
    <xf numFmtId="176" fontId="54" fillId="0" borderId="0" applyNumberFormat="0" applyFill="0" applyBorder="0" applyAlignment="0" applyProtection="0">
      <alignment vertical="top"/>
      <protection locked="0"/>
    </xf>
    <xf numFmtId="0" fontId="19" fillId="8" borderId="1" applyNumberFormat="0" applyAlignment="0" applyProtection="0"/>
    <xf numFmtId="0" fontId="19" fillId="8" borderId="1" applyNumberFormat="0" applyAlignment="0" applyProtection="0"/>
    <xf numFmtId="0" fontId="64" fillId="37" borderId="40" applyNumberFormat="0" applyAlignment="0" applyProtection="0"/>
    <xf numFmtId="4" fontId="43" fillId="0" borderId="0" applyBorder="0">
      <alignment horizontal="right" vertical="center"/>
    </xf>
    <xf numFmtId="165" fontId="48" fillId="0" borderId="0" applyFont="0" applyFill="0" applyBorder="0" applyAlignment="0" applyProtection="0"/>
    <xf numFmtId="165" fontId="14" fillId="0" borderId="0" applyFont="0" applyFill="0" applyBorder="0" applyAlignment="0" applyProtection="0"/>
    <xf numFmtId="43" fontId="48" fillId="0" borderId="0" applyFont="0" applyFill="0" applyBorder="0" applyAlignment="0" applyProtection="0"/>
    <xf numFmtId="43" fontId="14" fillId="0" borderId="0" applyFont="0" applyFill="0" applyBorder="0" applyAlignment="0" applyProtection="0"/>
    <xf numFmtId="165" fontId="56" fillId="0" borderId="0" applyFont="0" applyFill="0" applyBorder="0" applyAlignment="0" applyProtection="0"/>
    <xf numFmtId="165" fontId="12" fillId="0" borderId="0" applyFont="0" applyFill="0" applyBorder="0" applyAlignment="0" applyProtection="0"/>
    <xf numFmtId="0" fontId="65" fillId="0" borderId="0" applyNumberFormat="0" applyFill="0" applyBorder="0" applyAlignment="0" applyProtection="0"/>
    <xf numFmtId="177" fontId="66" fillId="38" borderId="0" applyNumberFormat="0" applyBorder="0" applyAlignment="0" applyProtection="0">
      <alignment horizontal="center" vertical="top" wrapText="1"/>
    </xf>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165" fontId="12"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40" fillId="0" borderId="0" applyFont="0" applyFill="0" applyBorder="0" applyAlignment="0" applyProtection="0"/>
    <xf numFmtId="43" fontId="12" fillId="0" borderId="0" applyFont="0" applyFill="0" applyBorder="0" applyAlignment="0" applyProtection="0"/>
    <xf numFmtId="43" fontId="39" fillId="0" borderId="0" applyFont="0" applyFill="0" applyBorder="0" applyAlignment="0" applyProtection="0"/>
    <xf numFmtId="43" fontId="12" fillId="0" borderId="0" applyFont="0" applyFill="0" applyBorder="0" applyAlignment="0" applyProtection="0"/>
    <xf numFmtId="43" fontId="40" fillId="0" borderId="0" applyFont="0" applyFill="0" applyBorder="0" applyAlignment="0" applyProtection="0"/>
    <xf numFmtId="0" fontId="21" fillId="24" borderId="0" applyNumberFormat="0" applyBorder="0" applyAlignment="0" applyProtection="0"/>
    <xf numFmtId="0" fontId="12" fillId="0" borderId="0"/>
    <xf numFmtId="0" fontId="12" fillId="0" borderId="0"/>
    <xf numFmtId="0" fontId="37" fillId="0" borderId="0"/>
    <xf numFmtId="0" fontId="12" fillId="0" borderId="0"/>
    <xf numFmtId="0" fontId="37" fillId="0" borderId="0"/>
    <xf numFmtId="0" fontId="32" fillId="0" borderId="0" applyFill="0" applyBorder="0"/>
    <xf numFmtId="0" fontId="51" fillId="0" borderId="0"/>
    <xf numFmtId="0" fontId="37" fillId="0" borderId="0"/>
    <xf numFmtId="0" fontId="56" fillId="0" borderId="0"/>
    <xf numFmtId="0" fontId="12" fillId="0" borderId="0"/>
    <xf numFmtId="0" fontId="56" fillId="0" borderId="0"/>
    <xf numFmtId="0" fontId="67" fillId="0" borderId="0"/>
    <xf numFmtId="0" fontId="12" fillId="0" borderId="0"/>
    <xf numFmtId="0" fontId="68" fillId="0" borderId="0"/>
    <xf numFmtId="0" fontId="56" fillId="0" borderId="0"/>
    <xf numFmtId="0" fontId="12" fillId="0" borderId="0"/>
    <xf numFmtId="0" fontId="68" fillId="0" borderId="0"/>
    <xf numFmtId="0" fontId="40" fillId="0" borderId="0"/>
    <xf numFmtId="0" fontId="40" fillId="0" borderId="0"/>
    <xf numFmtId="0" fontId="56" fillId="0" borderId="0"/>
    <xf numFmtId="177" fontId="33" fillId="32" borderId="0" applyNumberFormat="0" applyBorder="0" applyAlignment="0"/>
    <xf numFmtId="4" fontId="43" fillId="0" borderId="2" applyFill="0" applyBorder="0" applyProtection="0">
      <alignment horizontal="right" vertical="center"/>
    </xf>
    <xf numFmtId="0" fontId="44" fillId="0" borderId="0" applyNumberFormat="0" applyFill="0" applyBorder="0" applyProtection="0">
      <alignment horizontal="left" vertical="center"/>
    </xf>
    <xf numFmtId="0" fontId="12" fillId="25" borderId="0" applyNumberFormat="0" applyFont="0" applyBorder="0" applyAlignment="0" applyProtection="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12" fillId="0" borderId="0"/>
    <xf numFmtId="0" fontId="12" fillId="0" borderId="0"/>
    <xf numFmtId="0" fontId="14" fillId="0" borderId="0"/>
    <xf numFmtId="0" fontId="14" fillId="0" borderId="0"/>
    <xf numFmtId="0" fontId="12" fillId="0" borderId="0"/>
    <xf numFmtId="0" fontId="12" fillId="0" borderId="0"/>
    <xf numFmtId="0" fontId="2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12" fillId="0" borderId="0"/>
    <xf numFmtId="0" fontId="12" fillId="0" borderId="0"/>
    <xf numFmtId="0" fontId="12" fillId="0" borderId="0"/>
    <xf numFmtId="0" fontId="20" fillId="0" borderId="0"/>
    <xf numFmtId="0" fontId="41" fillId="0" borderId="0"/>
    <xf numFmtId="0" fontId="11" fillId="26" borderId="9" applyNumberFormat="0" applyFont="0" applyAlignment="0" applyProtection="0"/>
    <xf numFmtId="0" fontId="12" fillId="26" borderId="9" applyNumberFormat="0" applyFont="0" applyAlignment="0" applyProtection="0"/>
    <xf numFmtId="0" fontId="39" fillId="26" borderId="9" applyNumberFormat="0" applyFont="0" applyAlignment="0" applyProtection="0"/>
    <xf numFmtId="0" fontId="40" fillId="26" borderId="9" applyNumberFormat="0" applyFont="0" applyAlignment="0" applyProtection="0"/>
    <xf numFmtId="0" fontId="12" fillId="26" borderId="9" applyNumberFormat="0" applyFont="0" applyAlignment="0" applyProtection="0"/>
    <xf numFmtId="0" fontId="39" fillId="26" borderId="9" applyNumberFormat="0" applyFont="0" applyAlignment="0" applyProtection="0"/>
    <xf numFmtId="0" fontId="12" fillId="26" borderId="9" applyNumberFormat="0" applyFont="0" applyAlignment="0" applyProtection="0"/>
    <xf numFmtId="0" fontId="40" fillId="26" borderId="9"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167" fontId="11"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40" fillId="0" borderId="0" applyFont="0" applyFill="0" applyBorder="0" applyAlignment="0" applyProtection="0"/>
    <xf numFmtId="167" fontId="12" fillId="0" borderId="0" applyFont="0" applyFill="0" applyBorder="0" applyAlignment="0" applyProtection="0"/>
    <xf numFmtId="167" fontId="39" fillId="0" borderId="0" applyFont="0" applyFill="0" applyBorder="0" applyAlignment="0" applyProtection="0"/>
    <xf numFmtId="167" fontId="12" fillId="0" borderId="0" applyFont="0" applyFill="0" applyBorder="0" applyAlignment="0" applyProtection="0"/>
    <xf numFmtId="167" fontId="40" fillId="0" borderId="0" applyFont="0" applyFill="0" applyBorder="0" applyAlignment="0" applyProtection="0"/>
    <xf numFmtId="0" fontId="22" fillId="22" borderId="10" applyNumberFormat="0" applyAlignment="0" applyProtection="0"/>
    <xf numFmtId="0" fontId="22" fillId="22" borderId="10" applyNumberFormat="0" applyAlignment="0" applyProtection="0"/>
    <xf numFmtId="0" fontId="69" fillId="35" borderId="43" applyNumberFormat="0" applyAlignment="0" applyProtection="0"/>
    <xf numFmtId="0" fontId="70" fillId="39" borderId="0" applyNumberFormat="0" applyAlignment="0" applyProtection="0"/>
    <xf numFmtId="0" fontId="71" fillId="40" borderId="0" applyNumberFormat="0" applyAlignment="0" applyProtection="0"/>
    <xf numFmtId="0" fontId="72" fillId="41" borderId="0" applyNumberFormat="0" applyAlignment="0" applyProtection="0"/>
    <xf numFmtId="177" fontId="53" fillId="2" borderId="0" applyNumberFormat="0" applyFill="0" applyBorder="0" applyAlignment="0">
      <alignment horizontal="center"/>
    </xf>
    <xf numFmtId="0" fontId="37" fillId="0" borderId="0"/>
    <xf numFmtId="9" fontId="11"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39" fillId="0" borderId="0" applyFont="0" applyFill="0" applyBorder="0" applyAlignment="0" applyProtection="0"/>
    <xf numFmtId="9" fontId="12" fillId="0" borderId="0" applyFont="0" applyFill="0" applyBorder="0" applyAlignment="0" applyProtection="0"/>
    <xf numFmtId="9" fontId="40" fillId="0" borderId="0" applyFont="0" applyFill="0" applyBorder="0" applyAlignment="0" applyProtection="0"/>
    <xf numFmtId="9" fontId="12" fillId="0" borderId="0" applyFont="0" applyFill="0" applyBorder="0" applyAlignment="0" applyProtection="0"/>
    <xf numFmtId="9" fontId="48" fillId="0" borderId="0" applyFont="0" applyFill="0" applyBorder="0" applyAlignment="0" applyProtection="0"/>
    <xf numFmtId="9" fontId="14" fillId="0" borderId="0" applyFont="0" applyFill="0" applyBorder="0" applyAlignment="0" applyProtection="0"/>
    <xf numFmtId="9" fontId="56" fillId="0" borderId="0" applyFont="0" applyFill="0" applyBorder="0" applyAlignment="0" applyProtection="0"/>
    <xf numFmtId="0" fontId="12" fillId="0" borderId="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6"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8" fillId="0" borderId="0" applyNumberFormat="0" applyFill="0" applyBorder="0" applyAlignment="0" applyProtection="0"/>
    <xf numFmtId="0" fontId="29" fillId="0" borderId="11" applyNumberFormat="0" applyFill="0" applyAlignment="0" applyProtection="0"/>
    <xf numFmtId="0" fontId="74" fillId="35" borderId="40" applyNumberFormat="0" applyFill="0" applyBorder="0" applyAlignment="0" applyProtection="0"/>
    <xf numFmtId="0" fontId="30" fillId="4" borderId="0" applyNumberFormat="0" applyBorder="0" applyAlignment="0" applyProtection="0"/>
    <xf numFmtId="0" fontId="31" fillId="5" borderId="0" applyNumberFormat="0" applyBorder="0" applyAlignment="0" applyProtection="0"/>
    <xf numFmtId="0" fontId="52" fillId="35" borderId="40" applyFill="0" applyBorder="0" applyAlignment="0" applyProtection="0"/>
    <xf numFmtId="4" fontId="43" fillId="0" borderId="0"/>
    <xf numFmtId="0" fontId="10" fillId="0" borderId="0"/>
    <xf numFmtId="165" fontId="10" fillId="0" borderId="0" applyFont="0" applyFill="0" applyBorder="0" applyAlignment="0" applyProtection="0"/>
    <xf numFmtId="0" fontId="11" fillId="0" borderId="0"/>
    <xf numFmtId="0" fontId="57" fillId="33" borderId="0" applyNumberFormat="0" applyBorder="0" applyAlignment="0" applyProtection="0"/>
    <xf numFmtId="0" fontId="59" fillId="35" borderId="40" applyNumberFormat="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8" fillId="0" borderId="0"/>
    <xf numFmtId="0" fontId="68" fillId="0" borderId="0"/>
    <xf numFmtId="0" fontId="68" fillId="0" borderId="0"/>
    <xf numFmtId="176" fontId="11" fillId="0" borderId="0"/>
    <xf numFmtId="3" fontId="11" fillId="32" borderId="40" applyFont="0" applyFill="0" applyBorder="0" applyAlignment="0" applyProtection="0"/>
    <xf numFmtId="0" fontId="11" fillId="0" borderId="0" applyNumberFormat="0" applyFont="0" applyFill="0" applyBorder="0" applyProtection="0">
      <alignment horizontal="left" vertical="center" indent="5"/>
    </xf>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72"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7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11" fillId="0" borderId="0"/>
    <xf numFmtId="0" fontId="9" fillId="0" borderId="0"/>
    <xf numFmtId="0" fontId="11" fillId="0" borderId="0"/>
    <xf numFmtId="0" fontId="9" fillId="0" borderId="0"/>
    <xf numFmtId="0" fontId="11" fillId="25"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6" borderId="9" applyNumberFormat="0" applyFont="0" applyAlignment="0" applyProtection="0"/>
    <xf numFmtId="0" fontId="11" fillId="26" borderId="9" applyNumberFormat="0" applyFont="0" applyAlignment="0" applyProtection="0"/>
    <xf numFmtId="0" fontId="11" fillId="26" borderId="9" applyNumberFormat="0" applyFont="0" applyAlignment="0" applyProtection="0"/>
    <xf numFmtId="0" fontId="11" fillId="26" borderId="9" applyNumberFormat="0" applyFont="0" applyAlignment="0" applyProtection="0"/>
    <xf numFmtId="0" fontId="11" fillId="26" borderId="9"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0" fontId="9" fillId="0" borderId="0"/>
    <xf numFmtId="165" fontId="9" fillId="0" borderId="0" applyFont="0" applyFill="0" applyBorder="0" applyAlignment="0" applyProtection="0"/>
    <xf numFmtId="165" fontId="40" fillId="0" borderId="0" applyFont="0" applyFill="0" applyBorder="0" applyAlignment="0" applyProtection="0"/>
    <xf numFmtId="165" fontId="40"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40" fillId="0" borderId="0" applyFont="0" applyFill="0" applyBorder="0" applyAlignment="0" applyProtection="0"/>
    <xf numFmtId="165" fontId="11" fillId="0" borderId="0" applyFont="0" applyFill="0" applyBorder="0" applyAlignment="0" applyProtection="0"/>
    <xf numFmtId="165" fontId="40" fillId="0" borderId="0" applyFont="0" applyFill="0" applyBorder="0" applyAlignment="0" applyProtection="0"/>
    <xf numFmtId="165" fontId="86" fillId="0" borderId="0" applyFont="0" applyFill="0" applyBorder="0" applyAlignment="0" applyProtection="0"/>
    <xf numFmtId="165" fontId="11"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8" fillId="0" borderId="0" applyFont="0" applyFill="0" applyBorder="0" applyAlignment="0" applyProtection="0"/>
    <xf numFmtId="165" fontId="11"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8"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165" fontId="8" fillId="0" borderId="0" applyFont="0" applyFill="0" applyBorder="0" applyAlignment="0" applyProtection="0"/>
    <xf numFmtId="165" fontId="11"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165" fontId="8"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8" fillId="0" borderId="0" applyFont="0" applyFill="0" applyBorder="0" applyAlignment="0" applyProtection="0"/>
    <xf numFmtId="165" fontId="11" fillId="0" borderId="0" applyFont="0" applyFill="0" applyBorder="0" applyAlignment="0" applyProtection="0"/>
    <xf numFmtId="165" fontId="8"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8" fillId="0" borderId="0" applyFont="0" applyFill="0" applyBorder="0" applyAlignment="0" applyProtection="0"/>
    <xf numFmtId="165" fontId="11"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0" fontId="68" fillId="0" borderId="0"/>
    <xf numFmtId="0" fontId="57" fillId="33" borderId="0" applyNumberFormat="0" applyBorder="0" applyAlignment="0" applyProtection="0"/>
    <xf numFmtId="0" fontId="8" fillId="0" borderId="0"/>
    <xf numFmtId="0" fontId="8" fillId="0" borderId="0"/>
    <xf numFmtId="0" fontId="8" fillId="0" borderId="0"/>
    <xf numFmtId="0" fontId="8" fillId="0" borderId="0"/>
    <xf numFmtId="0" fontId="68" fillId="0" borderId="0"/>
    <xf numFmtId="0" fontId="11" fillId="0" borderId="0"/>
    <xf numFmtId="0" fontId="68" fillId="0" borderId="0"/>
    <xf numFmtId="0" fontId="8" fillId="0" borderId="0"/>
    <xf numFmtId="0" fontId="8" fillId="0" borderId="0"/>
    <xf numFmtId="0" fontId="8" fillId="0" borderId="0"/>
    <xf numFmtId="0" fontId="8" fillId="0" borderId="0"/>
    <xf numFmtId="0" fontId="88" fillId="0" borderId="0" applyNumberFormat="0" applyFill="0" applyBorder="0" applyAlignment="0" applyProtection="0"/>
    <xf numFmtId="0" fontId="89" fillId="33" borderId="0" applyNumberFormat="0" applyBorder="0" applyAlignment="0" applyProtection="0"/>
    <xf numFmtId="0" fontId="90" fillId="50" borderId="0" applyNumberFormat="0" applyBorder="0" applyAlignment="0" applyProtection="0"/>
    <xf numFmtId="0" fontId="91" fillId="0" borderId="45" applyNumberFormat="0" applyFill="0" applyAlignment="0" applyProtection="0"/>
    <xf numFmtId="0" fontId="92" fillId="51" borderId="46" applyNumberFormat="0" applyAlignment="0" applyProtection="0"/>
    <xf numFmtId="0" fontId="93" fillId="0" borderId="0" applyNumberFormat="0" applyFill="0" applyBorder="0" applyAlignment="0" applyProtection="0"/>
    <xf numFmtId="0" fontId="94" fillId="0" borderId="0" applyNumberFormat="0" applyFill="0" applyBorder="0" applyAlignment="0" applyProtection="0"/>
    <xf numFmtId="0" fontId="73" fillId="0" borderId="48" applyNumberFormat="0" applyFill="0" applyAlignment="0" applyProtection="0"/>
    <xf numFmtId="0" fontId="95" fillId="53"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95" fillId="56" borderId="0" applyNumberFormat="0" applyBorder="0" applyAlignment="0" applyProtection="0"/>
    <xf numFmtId="0" fontId="95" fillId="57"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95" fillId="60" borderId="0" applyNumberFormat="0" applyBorder="0" applyAlignment="0" applyProtection="0"/>
    <xf numFmtId="0" fontId="95"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95" fillId="64" borderId="0" applyNumberFormat="0" applyBorder="0" applyAlignment="0" applyProtection="0"/>
    <xf numFmtId="0" fontId="95" fillId="65"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95" fillId="68" borderId="0" applyNumberFormat="0" applyBorder="0" applyAlignment="0" applyProtection="0"/>
    <xf numFmtId="0" fontId="95" fillId="69" borderId="0" applyNumberFormat="0" applyBorder="0" applyAlignment="0" applyProtection="0"/>
    <xf numFmtId="0" fontId="7" fillId="70" borderId="0" applyNumberFormat="0" applyBorder="0" applyAlignment="0" applyProtection="0"/>
    <xf numFmtId="0" fontId="7" fillId="71" borderId="0" applyNumberFormat="0" applyBorder="0" applyAlignment="0" applyProtection="0"/>
    <xf numFmtId="0" fontId="95" fillId="72" borderId="0" applyNumberFormat="0" applyBorder="0" applyAlignment="0" applyProtection="0"/>
    <xf numFmtId="0" fontId="95" fillId="73" borderId="0" applyNumberFormat="0" applyBorder="0" applyAlignment="0" applyProtection="0"/>
    <xf numFmtId="0" fontId="7" fillId="74" borderId="0" applyNumberFormat="0" applyBorder="0" applyAlignment="0" applyProtection="0"/>
    <xf numFmtId="0" fontId="7" fillId="75" borderId="0" applyNumberFormat="0" applyBorder="0" applyAlignment="0" applyProtection="0"/>
    <xf numFmtId="0" fontId="95" fillId="76" borderId="0" applyNumberFormat="0" applyBorder="0" applyAlignment="0" applyProtection="0"/>
    <xf numFmtId="0" fontId="7" fillId="0" borderId="0"/>
    <xf numFmtId="165" fontId="7" fillId="0" borderId="0" applyFont="0" applyFill="0" applyBorder="0" applyAlignment="0" applyProtection="0"/>
    <xf numFmtId="9" fontId="7" fillId="0" borderId="0" applyFont="0" applyFill="0" applyBorder="0" applyAlignment="0" applyProtection="0"/>
    <xf numFmtId="165" fontId="86"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77" fontId="33" fillId="32" borderId="0" applyNumberFormat="0" applyBorder="0" applyAlignment="0"/>
    <xf numFmtId="177" fontId="1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76" fontId="11" fillId="0" borderId="0"/>
    <xf numFmtId="176" fontId="11" fillId="0" borderId="0"/>
    <xf numFmtId="176" fontId="11" fillId="0" borderId="0"/>
    <xf numFmtId="176" fontId="98" fillId="0" borderId="0"/>
    <xf numFmtId="9" fontId="11" fillId="0" borderId="0" applyFont="0" applyFill="0" applyBorder="0" applyAlignment="0" applyProtection="0"/>
    <xf numFmtId="9" fontId="11" fillId="0" borderId="0" applyFont="0" applyFill="0" applyBorder="0" applyAlignment="0" applyProtection="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11" fillId="0" borderId="0" applyFont="0" applyFill="0" applyBorder="0" applyAlignment="0" applyProtection="0"/>
    <xf numFmtId="0" fontId="11"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30" fillId="4" borderId="0" applyNumberFormat="0" applyBorder="0" applyAlignment="0" applyProtection="0"/>
    <xf numFmtId="0" fontId="99" fillId="0" borderId="0"/>
    <xf numFmtId="0" fontId="100" fillId="0" borderId="0">
      <alignment horizontal="right"/>
    </xf>
    <xf numFmtId="0" fontId="101" fillId="0" borderId="0"/>
    <xf numFmtId="0" fontId="97" fillId="0" borderId="0"/>
    <xf numFmtId="0" fontId="102" fillId="0" borderId="0"/>
    <xf numFmtId="0" fontId="103" fillId="0" borderId="49" applyNumberFormat="0" applyAlignment="0"/>
    <xf numFmtId="0" fontId="104" fillId="0" borderId="0" applyAlignment="0">
      <alignment horizontal="left"/>
    </xf>
    <xf numFmtId="0" fontId="104" fillId="0" borderId="0">
      <alignment horizontal="right"/>
    </xf>
    <xf numFmtId="175" fontId="104" fillId="0" borderId="0">
      <alignment horizontal="right"/>
    </xf>
    <xf numFmtId="170" fontId="105" fillId="0" borderId="0">
      <alignment horizontal="right"/>
    </xf>
    <xf numFmtId="0" fontId="106" fillId="0" borderId="0"/>
    <xf numFmtId="0" fontId="16" fillId="22" borderId="1" applyNumberFormat="0" applyAlignment="0" applyProtection="0"/>
    <xf numFmtId="0" fontId="18" fillId="23" borderId="4" applyNumberFormat="0" applyAlignment="0" applyProtection="0"/>
    <xf numFmtId="165" fontId="11" fillId="0" borderId="0" applyFont="0" applyFill="0" applyBorder="0" applyAlignment="0" applyProtection="0"/>
    <xf numFmtId="165" fontId="86" fillId="0" borderId="0" applyFont="0" applyFill="0" applyBorder="0" applyAlignment="0" applyProtection="0"/>
    <xf numFmtId="165" fontId="86" fillId="0" borderId="0" applyFont="0" applyFill="0" applyBorder="0" applyAlignment="0" applyProtection="0"/>
    <xf numFmtId="165" fontId="86" fillId="0" borderId="0" applyFont="0" applyFill="0" applyBorder="0" applyAlignment="0" applyProtection="0"/>
    <xf numFmtId="43" fontId="14" fillId="0" borderId="0" applyFont="0" applyFill="0" applyBorder="0" applyAlignment="0" applyProtection="0"/>
    <xf numFmtId="165" fontId="86" fillId="0" borderId="0" applyFont="0" applyFill="0" applyBorder="0" applyAlignment="0" applyProtection="0"/>
    <xf numFmtId="165" fontId="86" fillId="0" borderId="0" applyFont="0" applyFill="0" applyBorder="0" applyAlignment="0" applyProtection="0"/>
    <xf numFmtId="165" fontId="86" fillId="0" borderId="0" applyFont="0" applyFill="0" applyBorder="0" applyAlignment="0" applyProtection="0"/>
    <xf numFmtId="165" fontId="7" fillId="0" borderId="0" applyFont="0" applyFill="0" applyBorder="0" applyAlignment="0" applyProtection="0"/>
    <xf numFmtId="0" fontId="24" fillId="0" borderId="0" applyNumberFormat="0" applyFill="0" applyBorder="0" applyAlignment="0" applyProtection="0"/>
    <xf numFmtId="0" fontId="31" fillId="5" borderId="0" applyNumberFormat="0" applyBorder="0" applyAlignment="0" applyProtection="0"/>
    <xf numFmtId="0" fontId="26" fillId="0" borderId="6"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8" fillId="0" borderId="0" applyNumberFormat="0" applyFill="0" applyBorder="0" applyAlignment="0" applyProtection="0"/>
    <xf numFmtId="0" fontId="54"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7" fillId="0" borderId="3" applyNumberFormat="0" applyFill="0" applyAlignment="0" applyProtection="0"/>
    <xf numFmtId="0" fontId="21" fillId="24" borderId="0" applyNumberFormat="0" applyBorder="0" applyAlignment="0" applyProtection="0"/>
    <xf numFmtId="0" fontId="7" fillId="0" borderId="0"/>
    <xf numFmtId="0" fontId="32" fillId="0" borderId="0" applyFill="0" applyBorder="0"/>
    <xf numFmtId="0" fontId="11" fillId="0" borderId="0"/>
    <xf numFmtId="0" fontId="11" fillId="26" borderId="9" applyNumberFormat="0" applyFont="0" applyAlignment="0" applyProtection="0"/>
    <xf numFmtId="175" fontId="86" fillId="0" borderId="0" applyFont="0" applyFill="0" applyBorder="0" applyAlignment="0" applyProtection="0"/>
    <xf numFmtId="9" fontId="7" fillId="0" borderId="0" applyFont="0" applyFill="0" applyBorder="0" applyAlignment="0" applyProtection="0"/>
    <xf numFmtId="0" fontId="108" fillId="0" borderId="0" applyNumberFormat="0" applyFill="0" applyBorder="0" applyAlignment="0" applyProtection="0"/>
    <xf numFmtId="0" fontId="25" fillId="0" borderId="0" applyNumberFormat="0" applyFill="0" applyBorder="0" applyAlignment="0" applyProtection="0"/>
    <xf numFmtId="0" fontId="29" fillId="0" borderId="11" applyNumberFormat="0" applyFill="0" applyAlignment="0" applyProtection="0"/>
    <xf numFmtId="0" fontId="23" fillId="0" borderId="0" applyNumberFormat="0" applyFill="0" applyBorder="0" applyAlignment="0" applyProtection="0"/>
    <xf numFmtId="0" fontId="109" fillId="0" borderId="50" applyNumberFormat="0">
      <alignment vertical="center"/>
    </xf>
    <xf numFmtId="184" fontId="110" fillId="0" borderId="50">
      <alignment horizontal="right" vertical="center"/>
    </xf>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37" fillId="0" borderId="0"/>
    <xf numFmtId="165" fontId="7" fillId="0" borderId="0" applyFont="0" applyFill="0" applyBorder="0" applyAlignment="0" applyProtection="0"/>
    <xf numFmtId="177" fontId="33" fillId="32" borderId="0" applyNumberFormat="0" applyBorder="0" applyAlignment="0"/>
    <xf numFmtId="0" fontId="54" fillId="0" borderId="0" applyNumberFormat="0" applyFill="0" applyBorder="0" applyAlignment="0" applyProtection="0">
      <alignment vertical="top"/>
      <protection locked="0"/>
    </xf>
    <xf numFmtId="165" fontId="11" fillId="0" borderId="0" applyFont="0" applyFill="0" applyBorder="0" applyAlignment="0" applyProtection="0"/>
    <xf numFmtId="176" fontId="98" fillId="0" borderId="0"/>
    <xf numFmtId="177" fontId="11" fillId="0" borderId="0"/>
    <xf numFmtId="165" fontId="11" fillId="0" borderId="0" applyFont="0" applyFill="0" applyBorder="0" applyAlignment="0" applyProtection="0"/>
    <xf numFmtId="9" fontId="11" fillId="0" borderId="0" applyFont="0" applyFill="0" applyBorder="0" applyAlignment="0" applyProtection="0"/>
    <xf numFmtId="0" fontId="65" fillId="0" borderId="0" applyNumberFormat="0" applyFill="0" applyBorder="0" applyAlignment="0" applyProtection="0"/>
    <xf numFmtId="0" fontId="11" fillId="0" borderId="0"/>
    <xf numFmtId="9" fontId="7" fillId="0" borderId="0" applyFont="0" applyFill="0" applyBorder="0" applyAlignment="0" applyProtection="0"/>
    <xf numFmtId="0" fontId="7" fillId="0" borderId="0"/>
    <xf numFmtId="165" fontId="7" fillId="0" borderId="0" applyFont="0" applyFill="0" applyBorder="0" applyAlignment="0" applyProtection="0"/>
    <xf numFmtId="9"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32" fillId="0" borderId="0" applyFill="0" applyBorder="0"/>
    <xf numFmtId="0" fontId="11" fillId="0" borderId="0"/>
    <xf numFmtId="0" fontId="16" fillId="22" borderId="1" applyNumberFormat="0" applyAlignment="0" applyProtection="0"/>
    <xf numFmtId="0" fontId="19" fillId="8" borderId="1" applyNumberFormat="0" applyAlignment="0" applyProtection="0"/>
    <xf numFmtId="0" fontId="11" fillId="26" borderId="9" applyNumberFormat="0" applyFont="0" applyAlignment="0" applyProtection="0"/>
    <xf numFmtId="0" fontId="22" fillId="22" borderId="10" applyNumberFormat="0" applyAlignment="0" applyProtection="0"/>
    <xf numFmtId="0" fontId="29" fillId="0" borderId="11" applyNumberFormat="0" applyFill="0" applyAlignment="0" applyProtection="0"/>
    <xf numFmtId="0" fontId="61" fillId="0" borderId="41" applyNumberFormat="0" applyFill="0" applyAlignment="0" applyProtection="0"/>
    <xf numFmtId="0" fontId="62" fillId="0" borderId="42" applyNumberFormat="0" applyFill="0" applyAlignment="0" applyProtection="0"/>
    <xf numFmtId="0" fontId="63" fillId="0" borderId="44" applyNumberFormat="0" applyFill="0" applyAlignment="0" applyProtection="0"/>
    <xf numFmtId="0" fontId="63" fillId="0" borderId="0" applyNumberFormat="0" applyFill="0" applyBorder="0" applyAlignment="0" applyProtection="0"/>
    <xf numFmtId="0" fontId="7" fillId="54"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11" fillId="52" borderId="47" applyNumberFormat="0" applyFont="0" applyAlignment="0" applyProtection="0"/>
    <xf numFmtId="0" fontId="7" fillId="52" borderId="47" applyNumberFormat="0" applyFont="0" applyAlignment="0" applyProtection="0"/>
    <xf numFmtId="0" fontId="11" fillId="52" borderId="47" applyNumberFormat="0" applyFont="0" applyAlignment="0" applyProtection="0"/>
    <xf numFmtId="0" fontId="11" fillId="52" borderId="47" applyNumberFormat="0" applyFont="0" applyAlignment="0" applyProtection="0"/>
    <xf numFmtId="0" fontId="7" fillId="52" borderId="47" applyNumberFormat="0" applyFont="0" applyAlignment="0" applyProtection="0"/>
    <xf numFmtId="0" fontId="11" fillId="52" borderId="47" applyNumberFormat="0" applyFont="0" applyAlignment="0" applyProtection="0"/>
    <xf numFmtId="0" fontId="7" fillId="52" borderId="47" applyNumberFormat="0" applyFont="0" applyAlignment="0" applyProtection="0"/>
    <xf numFmtId="165" fontId="1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11"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111" fillId="0" borderId="0" applyNumberFormat="0" applyFill="0" applyBorder="0" applyAlignment="0" applyProtection="0"/>
    <xf numFmtId="0" fontId="65" fillId="0" borderId="0" applyNumberFormat="0" applyFill="0" applyBorder="0" applyAlignment="0" applyProtection="0"/>
    <xf numFmtId="0" fontId="111" fillId="0" borderId="0" applyNumberFormat="0" applyFill="0" applyBorder="0" applyAlignment="0" applyProtection="0"/>
    <xf numFmtId="0" fontId="65" fillId="0" borderId="0" applyNumberFormat="0" applyFill="0" applyBorder="0" applyAlignment="0" applyProtection="0"/>
    <xf numFmtId="0" fontId="11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7" fillId="0" borderId="0"/>
    <xf numFmtId="0" fontId="1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7" fillId="0" borderId="0"/>
    <xf numFmtId="0" fontId="7" fillId="0" borderId="0"/>
    <xf numFmtId="0" fontId="1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7" fillId="0" borderId="0"/>
    <xf numFmtId="0" fontId="1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 fillId="0" borderId="0"/>
    <xf numFmtId="0" fontId="1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165" fontId="7" fillId="0" borderId="0" applyFont="0" applyFill="0" applyBorder="0" applyAlignment="0" applyProtection="0"/>
    <xf numFmtId="9" fontId="7" fillId="0" borderId="0" applyFont="0" applyFill="0" applyBorder="0" applyAlignment="0" applyProtection="0"/>
    <xf numFmtId="165"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165" fontId="7" fillId="0" borderId="0" applyFont="0" applyFill="0" applyBorder="0" applyAlignment="0" applyProtection="0"/>
    <xf numFmtId="9" fontId="7" fillId="0" borderId="0" applyFont="0" applyFill="0" applyBorder="0" applyAlignment="0" applyProtection="0"/>
    <xf numFmtId="0" fontId="7" fillId="0" borderId="0"/>
    <xf numFmtId="165" fontId="7" fillId="0" borderId="0" applyFont="0" applyFill="0" applyBorder="0" applyAlignment="0" applyProtection="0"/>
    <xf numFmtId="9"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6" borderId="0" applyNumberFormat="0" applyBorder="0" applyAlignment="0" applyProtection="0"/>
    <xf numFmtId="0" fontId="7" fillId="67" borderId="0" applyNumberFormat="0" applyBorder="0" applyAlignment="0" applyProtection="0"/>
    <xf numFmtId="0" fontId="7" fillId="70" borderId="0" applyNumberFormat="0" applyBorder="0" applyAlignment="0" applyProtection="0"/>
    <xf numFmtId="0" fontId="7" fillId="71" borderId="0" applyNumberFormat="0" applyBorder="0" applyAlignment="0" applyProtection="0"/>
    <xf numFmtId="0" fontId="7" fillId="74" borderId="0" applyNumberFormat="0" applyBorder="0" applyAlignment="0" applyProtection="0"/>
    <xf numFmtId="0" fontId="7" fillId="75" borderId="0" applyNumberFormat="0" applyBorder="0" applyAlignment="0" applyProtection="0"/>
    <xf numFmtId="0" fontId="7" fillId="54"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4"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70"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6"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54"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67"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1"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75" borderId="0" applyNumberFormat="0" applyBorder="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0" fontId="7" fillId="52" borderId="47" applyNumberFormat="0" applyFont="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96" fillId="0" borderId="0"/>
    <xf numFmtId="0" fontId="111" fillId="0" borderId="0" applyNumberFormat="0" applyFill="0" applyBorder="0" applyAlignment="0" applyProtection="0">
      <alignment vertical="top"/>
      <protection locked="0"/>
    </xf>
    <xf numFmtId="9" fontId="96" fillId="0" borderId="0" applyFont="0" applyFill="0" applyBorder="0" applyAlignment="0" applyProtection="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5" fillId="0" borderId="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165" fontId="3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9" fontId="11" fillId="0" borderId="0" applyFont="0" applyFill="0" applyBorder="0" applyAlignment="0" applyProtection="0"/>
    <xf numFmtId="0" fontId="11" fillId="0" borderId="0"/>
    <xf numFmtId="165" fontId="40" fillId="0" borderId="0" applyFont="0" applyFill="0" applyBorder="0" applyAlignment="0" applyProtection="0"/>
    <xf numFmtId="165" fontId="113"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2" fontId="11" fillId="0" borderId="0" applyFont="0" applyFill="0" applyBorder="0" applyAlignment="0" applyProtection="0"/>
    <xf numFmtId="165"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5"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0" fontId="37" fillId="0" borderId="0"/>
    <xf numFmtId="0" fontId="5" fillId="0" borderId="0"/>
    <xf numFmtId="0" fontId="5" fillId="0" borderId="0"/>
    <xf numFmtId="0" fontId="67" fillId="0" borderId="0"/>
    <xf numFmtId="0" fontId="5" fillId="0" borderId="0"/>
    <xf numFmtId="0" fontId="5" fillId="0" borderId="0"/>
    <xf numFmtId="9" fontId="40" fillId="0" borderId="0" applyFont="0" applyFill="0" applyBorder="0" applyAlignment="0" applyProtection="0"/>
    <xf numFmtId="9" fontId="40" fillId="0" borderId="0" applyFont="0" applyFill="0" applyBorder="0" applyAlignment="0" applyProtection="0"/>
    <xf numFmtId="9" fontId="5" fillId="0" borderId="0" applyFont="0" applyFill="0" applyBorder="0" applyAlignment="0" applyProtection="0"/>
    <xf numFmtId="0" fontId="5" fillId="0" borderId="0"/>
    <xf numFmtId="165" fontId="5"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165" fontId="5"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4"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40"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165" fontId="4"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1" fontId="2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165" fontId="4" fillId="0" borderId="0" applyFont="0" applyFill="0" applyBorder="0" applyAlignment="0" applyProtection="0"/>
    <xf numFmtId="165" fontId="5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0" applyNumberFormat="0" applyBorder="0" applyAlignment="0" applyProtection="0"/>
    <xf numFmtId="0" fontId="4" fillId="55" borderId="0" applyNumberFormat="0" applyBorder="0" applyAlignment="0" applyProtection="0"/>
    <xf numFmtId="0" fontId="4" fillId="58" borderId="0" applyNumberFormat="0" applyBorder="0" applyAlignment="0" applyProtection="0"/>
    <xf numFmtId="0" fontId="4" fillId="59" borderId="0" applyNumberFormat="0" applyBorder="0" applyAlignment="0" applyProtection="0"/>
    <xf numFmtId="0" fontId="4" fillId="62" borderId="0" applyNumberFormat="0" applyBorder="0" applyAlignment="0" applyProtection="0"/>
    <xf numFmtId="0" fontId="4" fillId="63" borderId="0" applyNumberFormat="0" applyBorder="0" applyAlignment="0" applyProtection="0"/>
    <xf numFmtId="0" fontId="4" fillId="66" borderId="0" applyNumberFormat="0" applyBorder="0" applyAlignment="0" applyProtection="0"/>
    <xf numFmtId="0" fontId="4" fillId="67" borderId="0" applyNumberFormat="0" applyBorder="0" applyAlignment="0" applyProtection="0"/>
    <xf numFmtId="0" fontId="4" fillId="70" borderId="0" applyNumberFormat="0" applyBorder="0" applyAlignment="0" applyProtection="0"/>
    <xf numFmtId="0" fontId="4" fillId="71" borderId="0" applyNumberFormat="0" applyBorder="0" applyAlignment="0" applyProtection="0"/>
    <xf numFmtId="0" fontId="4" fillId="74" borderId="0" applyNumberFormat="0" applyBorder="0" applyAlignment="0" applyProtection="0"/>
    <xf numFmtId="0" fontId="4" fillId="75" borderId="0" applyNumberFormat="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165" fontId="50"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43" fontId="14"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50" fillId="0" borderId="0" applyFont="0" applyFill="0" applyBorder="0" applyAlignment="0" applyProtection="0"/>
    <xf numFmtId="165" fontId="4" fillId="0" borderId="0" applyFont="0" applyFill="0" applyBorder="0" applyAlignment="0" applyProtection="0"/>
    <xf numFmtId="0" fontId="4" fillId="0" borderId="0"/>
    <xf numFmtId="175" fontId="50"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54" borderId="0" applyNumberFormat="0" applyBorder="0" applyAlignment="0" applyProtection="0"/>
    <xf numFmtId="0" fontId="4" fillId="58" borderId="0" applyNumberFormat="0" applyBorder="0" applyAlignment="0" applyProtection="0"/>
    <xf numFmtId="0" fontId="4" fillId="54" borderId="0" applyNumberFormat="0" applyBorder="0" applyAlignment="0" applyProtection="0"/>
    <xf numFmtId="0" fontId="4" fillId="58" borderId="0" applyNumberFormat="0" applyBorder="0" applyAlignment="0" applyProtection="0"/>
    <xf numFmtId="0" fontId="4" fillId="54"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0" fontId="4" fillId="0" borderId="0"/>
    <xf numFmtId="9" fontId="4"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54" borderId="0" applyNumberFormat="0" applyBorder="0" applyAlignment="0" applyProtection="0"/>
    <xf numFmtId="0" fontId="4" fillId="55" borderId="0" applyNumberFormat="0" applyBorder="0" applyAlignment="0" applyProtection="0"/>
    <xf numFmtId="0" fontId="4" fillId="58" borderId="0" applyNumberFormat="0" applyBorder="0" applyAlignment="0" applyProtection="0"/>
    <xf numFmtId="0" fontId="4" fillId="59" borderId="0" applyNumberFormat="0" applyBorder="0" applyAlignment="0" applyProtection="0"/>
    <xf numFmtId="0" fontId="4" fillId="62" borderId="0" applyNumberFormat="0" applyBorder="0" applyAlignment="0" applyProtection="0"/>
    <xf numFmtId="0" fontId="4" fillId="63" borderId="0" applyNumberFormat="0" applyBorder="0" applyAlignment="0" applyProtection="0"/>
    <xf numFmtId="0" fontId="4" fillId="66" borderId="0" applyNumberFormat="0" applyBorder="0" applyAlignment="0" applyProtection="0"/>
    <xf numFmtId="0" fontId="4" fillId="67" borderId="0" applyNumberFormat="0" applyBorder="0" applyAlignment="0" applyProtection="0"/>
    <xf numFmtId="0" fontId="4" fillId="70" borderId="0" applyNumberFormat="0" applyBorder="0" applyAlignment="0" applyProtection="0"/>
    <xf numFmtId="0" fontId="4" fillId="71" borderId="0" applyNumberFormat="0" applyBorder="0" applyAlignment="0" applyProtection="0"/>
    <xf numFmtId="0" fontId="4" fillId="74" borderId="0" applyNumberFormat="0" applyBorder="0" applyAlignment="0" applyProtection="0"/>
    <xf numFmtId="0" fontId="4" fillId="75" borderId="0" applyNumberFormat="0" applyBorder="0" applyAlignment="0" applyProtection="0"/>
    <xf numFmtId="0" fontId="4" fillId="54" borderId="0" applyNumberFormat="0" applyBorder="0" applyAlignment="0" applyProtection="0"/>
    <xf numFmtId="0" fontId="4" fillId="58" borderId="0" applyNumberFormat="0" applyBorder="0" applyAlignment="0" applyProtection="0"/>
    <xf numFmtId="0" fontId="4" fillId="54" borderId="0" applyNumberFormat="0" applyBorder="0" applyAlignment="0" applyProtection="0"/>
    <xf numFmtId="0" fontId="4" fillId="58" borderId="0" applyNumberFormat="0" applyBorder="0" applyAlignment="0" applyProtection="0"/>
    <xf numFmtId="0" fontId="4" fillId="54"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9"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55"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4"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70"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6"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62"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8"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54"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3"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67"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1"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75" borderId="0" applyNumberFormat="0" applyBorder="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0" fontId="4" fillId="52" borderId="47" applyNumberFormat="0" applyFon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6" fillId="22" borderId="61"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0" fontId="43" fillId="0" borderId="62">
      <alignment horizontal="left" vertical="center" wrapText="1" indent="2"/>
    </xf>
    <xf numFmtId="0" fontId="19" fillId="8" borderId="61" applyNumberFormat="0" applyAlignment="0" applyProtection="0"/>
    <xf numFmtId="0" fontId="19" fillId="8" borderId="61" applyNumberFormat="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4" fontId="43" fillId="0" borderId="59" applyFill="0" applyBorder="0" applyProtection="0">
      <alignment horizontal="right" vertical="center"/>
    </xf>
    <xf numFmtId="0" fontId="11" fillId="26" borderId="64" applyNumberFormat="0" applyFont="0" applyAlignment="0" applyProtection="0"/>
    <xf numFmtId="0" fontId="11" fillId="26" borderId="64" applyNumberFormat="0" applyFont="0" applyAlignment="0" applyProtection="0"/>
    <xf numFmtId="0" fontId="11" fillId="26" borderId="64" applyNumberFormat="0" applyFont="0" applyAlignment="0" applyProtection="0"/>
    <xf numFmtId="0" fontId="40" fillId="26" borderId="64" applyNumberFormat="0" applyFont="0" applyAlignment="0" applyProtection="0"/>
    <xf numFmtId="0" fontId="11" fillId="26" borderId="64" applyNumberFormat="0" applyFont="0" applyAlignment="0" applyProtection="0"/>
    <xf numFmtId="0" fontId="11" fillId="26" borderId="64" applyNumberFormat="0" applyFont="0" applyAlignment="0" applyProtection="0"/>
    <xf numFmtId="0" fontId="11" fillId="26" borderId="64" applyNumberFormat="0" applyFont="0" applyAlignment="0" applyProtection="0"/>
    <xf numFmtId="0" fontId="40" fillId="26" borderId="64" applyNumberFormat="0" applyFont="0" applyAlignment="0" applyProtection="0"/>
    <xf numFmtId="0" fontId="22" fillId="22" borderId="65" applyNumberFormat="0" applyAlignment="0" applyProtection="0"/>
    <xf numFmtId="0" fontId="22" fillId="22" borderId="65" applyNumberFormat="0" applyAlignment="0" applyProtection="0"/>
    <xf numFmtId="9" fontId="3" fillId="0" borderId="0" applyFont="0" applyFill="0" applyBorder="0" applyAlignment="0" applyProtection="0"/>
    <xf numFmtId="0" fontId="28" fillId="0" borderId="63" applyNumberFormat="0" applyFill="0" applyAlignment="0" applyProtection="0"/>
    <xf numFmtId="0" fontId="29" fillId="0" borderId="66" applyNumberFormat="0" applyFill="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11" fillId="26" borderId="64" applyNumberFormat="0" applyFont="0" applyAlignment="0" applyProtection="0"/>
    <xf numFmtId="0" fontId="11" fillId="26" borderId="64" applyNumberFormat="0" applyFont="0" applyAlignment="0" applyProtection="0"/>
    <xf numFmtId="0" fontId="11" fillId="26" borderId="64" applyNumberFormat="0" applyFont="0" applyAlignment="0" applyProtection="0"/>
    <xf numFmtId="0" fontId="11" fillId="26" borderId="64" applyNumberFormat="0" applyFont="0" applyAlignment="0" applyProtection="0"/>
    <xf numFmtId="0" fontId="11" fillId="26" borderId="64" applyNumberFormat="0" applyFont="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0" applyNumberFormat="0" applyBorder="0" applyAlignment="0" applyProtection="0"/>
    <xf numFmtId="0" fontId="3" fillId="55"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3" fillId="66" borderId="0" applyNumberFormat="0" applyBorder="0" applyAlignment="0" applyProtection="0"/>
    <xf numFmtId="0" fontId="3" fillId="67" borderId="0" applyNumberFormat="0" applyBorder="0" applyAlignment="0" applyProtection="0"/>
    <xf numFmtId="0" fontId="3" fillId="70" borderId="0" applyNumberFormat="0" applyBorder="0" applyAlignment="0" applyProtection="0"/>
    <xf numFmtId="0" fontId="3" fillId="71" borderId="0" applyNumberFormat="0" applyBorder="0" applyAlignment="0" applyProtection="0"/>
    <xf numFmtId="0" fontId="3" fillId="74" borderId="0" applyNumberFormat="0" applyBorder="0" applyAlignment="0" applyProtection="0"/>
    <xf numFmtId="0" fontId="3" fillId="75" borderId="0" applyNumberFormat="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0" fontId="16" fillId="22" borderId="61" applyNumberFormat="0" applyAlignment="0" applyProtection="0"/>
    <xf numFmtId="165" fontId="3" fillId="0" borderId="0" applyFont="0" applyFill="0" applyBorder="0" applyAlignment="0" applyProtection="0"/>
    <xf numFmtId="0" fontId="28" fillId="0" borderId="63" applyNumberFormat="0" applyFill="0" applyAlignment="0" applyProtection="0"/>
    <xf numFmtId="0" fontId="3" fillId="0" borderId="0"/>
    <xf numFmtId="0" fontId="11" fillId="26" borderId="64" applyNumberFormat="0" applyFont="0" applyAlignment="0" applyProtection="0"/>
    <xf numFmtId="9" fontId="3" fillId="0" borderId="0" applyFont="0" applyFill="0" applyBorder="0" applyAlignment="0" applyProtection="0"/>
    <xf numFmtId="0" fontId="29" fillId="0" borderId="66" applyNumberFormat="0" applyFill="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16" fillId="22" borderId="61" applyNumberFormat="0" applyAlignment="0" applyProtection="0"/>
    <xf numFmtId="0" fontId="19" fillId="8" borderId="61" applyNumberFormat="0" applyAlignment="0" applyProtection="0"/>
    <xf numFmtId="0" fontId="11" fillId="26" borderId="64" applyNumberFormat="0" applyFont="0" applyAlignment="0" applyProtection="0"/>
    <xf numFmtId="0" fontId="22" fillId="22" borderId="65" applyNumberFormat="0" applyAlignment="0" applyProtection="0"/>
    <xf numFmtId="0" fontId="29" fillId="0" borderId="66" applyNumberFormat="0" applyFill="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54" borderId="0" applyNumberFormat="0" applyBorder="0" applyAlignment="0" applyProtection="0"/>
    <xf numFmtId="0" fontId="3" fillId="55"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3" fillId="66" borderId="0" applyNumberFormat="0" applyBorder="0" applyAlignment="0" applyProtection="0"/>
    <xf numFmtId="0" fontId="3" fillId="67" borderId="0" applyNumberFormat="0" applyBorder="0" applyAlignment="0" applyProtection="0"/>
    <xf numFmtId="0" fontId="3" fillId="70" borderId="0" applyNumberFormat="0" applyBorder="0" applyAlignment="0" applyProtection="0"/>
    <xf numFmtId="0" fontId="3" fillId="71" borderId="0" applyNumberFormat="0" applyBorder="0" applyAlignment="0" applyProtection="0"/>
    <xf numFmtId="0" fontId="3" fillId="74" borderId="0" applyNumberFormat="0" applyBorder="0" applyAlignment="0" applyProtection="0"/>
    <xf numFmtId="0" fontId="3" fillId="75" borderId="0" applyNumberFormat="0" applyBorder="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0" applyNumberFormat="0" applyBorder="0" applyAlignment="0" applyProtection="0"/>
    <xf numFmtId="0" fontId="3" fillId="55"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3" fillId="66" borderId="0" applyNumberFormat="0" applyBorder="0" applyAlignment="0" applyProtection="0"/>
    <xf numFmtId="0" fontId="3" fillId="67" borderId="0" applyNumberFormat="0" applyBorder="0" applyAlignment="0" applyProtection="0"/>
    <xf numFmtId="0" fontId="3" fillId="70" borderId="0" applyNumberFormat="0" applyBorder="0" applyAlignment="0" applyProtection="0"/>
    <xf numFmtId="0" fontId="3" fillId="71" borderId="0" applyNumberFormat="0" applyBorder="0" applyAlignment="0" applyProtection="0"/>
    <xf numFmtId="0" fontId="3" fillId="74" borderId="0" applyNumberFormat="0" applyBorder="0" applyAlignment="0" applyProtection="0"/>
    <xf numFmtId="0" fontId="3" fillId="75" borderId="0" applyNumberFormat="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54" borderId="0" applyNumberFormat="0" applyBorder="0" applyAlignment="0" applyProtection="0"/>
    <xf numFmtId="0" fontId="3" fillId="55" borderId="0" applyNumberFormat="0" applyBorder="0" applyAlignment="0" applyProtection="0"/>
    <xf numFmtId="0" fontId="3" fillId="58" borderId="0" applyNumberFormat="0" applyBorder="0" applyAlignment="0" applyProtection="0"/>
    <xf numFmtId="0" fontId="3" fillId="59" borderId="0" applyNumberFormat="0" applyBorder="0" applyAlignment="0" applyProtection="0"/>
    <xf numFmtId="0" fontId="3" fillId="62" borderId="0" applyNumberFormat="0" applyBorder="0" applyAlignment="0" applyProtection="0"/>
    <xf numFmtId="0" fontId="3" fillId="63" borderId="0" applyNumberFormat="0" applyBorder="0" applyAlignment="0" applyProtection="0"/>
    <xf numFmtId="0" fontId="3" fillId="66" borderId="0" applyNumberFormat="0" applyBorder="0" applyAlignment="0" applyProtection="0"/>
    <xf numFmtId="0" fontId="3" fillId="67" borderId="0" applyNumberFormat="0" applyBorder="0" applyAlignment="0" applyProtection="0"/>
    <xf numFmtId="0" fontId="3" fillId="70" borderId="0" applyNumberFormat="0" applyBorder="0" applyAlignment="0" applyProtection="0"/>
    <xf numFmtId="0" fontId="3" fillId="71" borderId="0" applyNumberFormat="0" applyBorder="0" applyAlignment="0" applyProtection="0"/>
    <xf numFmtId="0" fontId="3" fillId="74" borderId="0" applyNumberFormat="0" applyBorder="0" applyAlignment="0" applyProtection="0"/>
    <xf numFmtId="0" fontId="3" fillId="75" borderId="0" applyNumberFormat="0" applyBorder="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9"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55"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4"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70"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6"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62"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8"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54"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3"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67"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1"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75" borderId="0" applyNumberFormat="0" applyBorder="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0" fontId="3" fillId="52" borderId="47" applyNumberFormat="0" applyFont="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 fillId="70" borderId="0" applyNumberFormat="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9" fontId="14" fillId="0" borderId="0" applyFont="0" applyFill="0" applyBorder="0" applyAlignment="0" applyProtection="0"/>
    <xf numFmtId="3" fontId="132" fillId="0" borderId="0"/>
    <xf numFmtId="164" fontId="11" fillId="0" borderId="0" applyFont="0" applyFill="0" applyBorder="0" applyAlignment="0" applyProtection="0"/>
    <xf numFmtId="0" fontId="2" fillId="0" borderId="0"/>
    <xf numFmtId="0" fontId="133" fillId="0" borderId="0"/>
    <xf numFmtId="0" fontId="135" fillId="0" borderId="0"/>
  </cellStyleXfs>
  <cellXfs count="573">
    <xf numFmtId="0" fontId="0" fillId="0" borderId="0" xfId="0"/>
    <xf numFmtId="0" fontId="0" fillId="0" borderId="0" xfId="0" applyBorder="1"/>
    <xf numFmtId="0" fontId="13" fillId="0" borderId="0" xfId="0" applyFont="1"/>
    <xf numFmtId="0" fontId="0" fillId="0" borderId="0" xfId="0" applyFill="1" applyBorder="1"/>
    <xf numFmtId="0" fontId="0" fillId="0" borderId="0" xfId="0" applyBorder="1" applyAlignment="1">
      <alignment horizontal="center"/>
    </xf>
    <xf numFmtId="0" fontId="13" fillId="0" borderId="0" xfId="0" applyFont="1" applyAlignment="1">
      <alignment horizontal="left"/>
    </xf>
    <xf numFmtId="0" fontId="0" fillId="0" borderId="0" xfId="0" applyBorder="1" applyAlignment="1">
      <alignment horizontal="left"/>
    </xf>
    <xf numFmtId="0" fontId="0" fillId="0" borderId="0" xfId="0" applyFill="1"/>
    <xf numFmtId="0" fontId="12" fillId="0" borderId="0" xfId="0" applyFont="1" applyFill="1" applyBorder="1" applyAlignment="1">
      <alignment horizontal="left"/>
    </xf>
    <xf numFmtId="0" fontId="0" fillId="0" borderId="0" xfId="0" applyFont="1"/>
    <xf numFmtId="0" fontId="0" fillId="28" borderId="0" xfId="0" applyFill="1"/>
    <xf numFmtId="0" fontId="33" fillId="29" borderId="12" xfId="0" applyFont="1" applyFill="1" applyBorder="1" applyAlignment="1">
      <alignment horizontal="left" vertical="center" wrapText="1"/>
    </xf>
    <xf numFmtId="0" fontId="34" fillId="27" borderId="13" xfId="0" applyFont="1" applyFill="1" applyBorder="1" applyAlignment="1">
      <alignment horizontal="left" vertical="center" wrapText="1"/>
    </xf>
    <xf numFmtId="171" fontId="0" fillId="28" borderId="0" xfId="0" applyNumberFormat="1" applyFill="1"/>
    <xf numFmtId="171" fontId="13" fillId="0" borderId="0" xfId="0" applyNumberFormat="1" applyFont="1"/>
    <xf numFmtId="171" fontId="0" fillId="0" borderId="0" xfId="0" applyNumberFormat="1"/>
    <xf numFmtId="171" fontId="33" fillId="29" borderId="12" xfId="0" applyNumberFormat="1" applyFont="1" applyFill="1" applyBorder="1" applyAlignment="1">
      <alignment horizontal="left" vertical="center" wrapText="1"/>
    </xf>
    <xf numFmtId="171" fontId="34" fillId="27" borderId="13" xfId="0" quotePrefix="1" applyNumberFormat="1" applyFont="1" applyFill="1" applyBorder="1" applyAlignment="1">
      <alignment horizontal="left" vertical="center" wrapText="1"/>
    </xf>
    <xf numFmtId="171" fontId="12" fillId="0" borderId="0" xfId="0" applyNumberFormat="1" applyFont="1" applyFill="1" applyBorder="1"/>
    <xf numFmtId="171" fontId="0" fillId="0" borderId="0" xfId="0" applyNumberFormat="1" applyBorder="1"/>
    <xf numFmtId="171" fontId="0" fillId="0" borderId="0" xfId="0" applyNumberFormat="1" applyFill="1" applyBorder="1"/>
    <xf numFmtId="171" fontId="0" fillId="0" borderId="0" xfId="0" applyNumberFormat="1" applyFont="1" applyFill="1" applyBorder="1"/>
    <xf numFmtId="171" fontId="0" fillId="0" borderId="0" xfId="0" applyNumberFormat="1" applyFill="1" applyBorder="1" applyAlignment="1">
      <alignment wrapText="1"/>
    </xf>
    <xf numFmtId="0" fontId="12" fillId="0" borderId="0" xfId="0" applyFont="1"/>
    <xf numFmtId="0" fontId="60" fillId="36" borderId="0" xfId="417"/>
    <xf numFmtId="171" fontId="12" fillId="0" borderId="0" xfId="0" applyNumberFormat="1" applyFont="1"/>
    <xf numFmtId="0" fontId="33" fillId="29" borderId="12" xfId="0" applyFont="1" applyFill="1" applyBorder="1" applyAlignment="1">
      <alignment horizontal="center" vertical="center" wrapText="1"/>
    </xf>
    <xf numFmtId="0" fontId="33" fillId="31" borderId="12" xfId="0" applyFont="1" applyFill="1" applyBorder="1" applyAlignment="1">
      <alignment horizontal="left" vertical="center" wrapText="1"/>
    </xf>
    <xf numFmtId="0" fontId="45" fillId="0" borderId="0" xfId="993" applyFont="1"/>
    <xf numFmtId="171" fontId="45" fillId="0" borderId="0" xfId="993" applyNumberFormat="1" applyFont="1" applyFill="1" applyBorder="1"/>
    <xf numFmtId="0" fontId="40" fillId="0" borderId="0" xfId="993"/>
    <xf numFmtId="14" fontId="40" fillId="0" borderId="0" xfId="993" applyNumberFormat="1" applyFont="1" applyAlignment="1">
      <alignment horizontal="left"/>
    </xf>
    <xf numFmtId="171" fontId="40" fillId="0" borderId="0" xfId="993" applyNumberFormat="1" applyFont="1" applyFill="1" applyBorder="1" applyAlignment="1">
      <alignment horizontal="left"/>
    </xf>
    <xf numFmtId="0" fontId="40" fillId="0" borderId="0" xfId="993" applyFont="1" applyAlignment="1">
      <alignment horizontal="left"/>
    </xf>
    <xf numFmtId="171" fontId="40" fillId="0" borderId="0" xfId="993" applyNumberFormat="1" applyFill="1" applyBorder="1" applyAlignment="1">
      <alignment horizontal="left"/>
    </xf>
    <xf numFmtId="0" fontId="12" fillId="0" borderId="0" xfId="993" applyFont="1" applyFill="1" applyBorder="1" applyAlignment="1">
      <alignment horizontal="left"/>
    </xf>
    <xf numFmtId="14" fontId="40" fillId="0" borderId="0" xfId="993" applyNumberFormat="1" applyFill="1" applyAlignment="1">
      <alignment horizontal="left"/>
    </xf>
    <xf numFmtId="0" fontId="12" fillId="0" borderId="0" xfId="993" applyFont="1"/>
    <xf numFmtId="0" fontId="49" fillId="0" borderId="0" xfId="0" applyFont="1" applyFill="1"/>
    <xf numFmtId="0" fontId="12" fillId="0" borderId="0" xfId="0" applyFont="1" applyFill="1" applyBorder="1" applyAlignment="1"/>
    <xf numFmtId="0" fontId="12" fillId="28" borderId="0" xfId="0" applyFont="1" applyFill="1"/>
    <xf numFmtId="0" fontId="33" fillId="0" borderId="0" xfId="0" applyFont="1" applyFill="1"/>
    <xf numFmtId="0" fontId="33" fillId="29" borderId="24" xfId="0" applyFont="1" applyFill="1" applyBorder="1" applyAlignment="1">
      <alignment horizontal="left" vertical="center" wrapText="1"/>
    </xf>
    <xf numFmtId="0" fontId="46" fillId="27" borderId="13" xfId="0" applyFont="1" applyFill="1" applyBorder="1" applyAlignment="1">
      <alignment horizontal="left" vertical="center" wrapText="1"/>
    </xf>
    <xf numFmtId="0" fontId="46" fillId="27" borderId="13" xfId="0" applyFont="1" applyFill="1" applyBorder="1" applyAlignment="1">
      <alignment horizontal="right" vertical="center" wrapText="1"/>
    </xf>
    <xf numFmtId="0" fontId="46" fillId="27" borderId="21" xfId="0" applyFont="1" applyFill="1" applyBorder="1" applyAlignment="1">
      <alignment horizontal="right" vertical="center" wrapText="1"/>
    </xf>
    <xf numFmtId="0" fontId="46" fillId="27" borderId="13" xfId="0" applyFont="1" applyFill="1" applyBorder="1" applyAlignment="1">
      <alignment horizontal="center" vertical="center" wrapText="1"/>
    </xf>
    <xf numFmtId="0" fontId="46" fillId="30" borderId="13" xfId="0" applyFont="1" applyFill="1" applyBorder="1" applyAlignment="1">
      <alignment horizontal="left"/>
    </xf>
    <xf numFmtId="0" fontId="46" fillId="30" borderId="13" xfId="0" applyFont="1" applyFill="1" applyBorder="1" applyAlignment="1">
      <alignment horizontal="right"/>
    </xf>
    <xf numFmtId="0" fontId="46" fillId="30" borderId="25" xfId="0" applyFont="1" applyFill="1" applyBorder="1" applyAlignment="1">
      <alignment horizontal="right"/>
    </xf>
    <xf numFmtId="0" fontId="0" fillId="0" borderId="26" xfId="0" applyBorder="1"/>
    <xf numFmtId="0" fontId="0" fillId="0" borderId="18" xfId="0" applyBorder="1"/>
    <xf numFmtId="0" fontId="62" fillId="0" borderId="42" xfId="419"/>
    <xf numFmtId="0" fontId="63" fillId="0" borderId="0" xfId="420"/>
    <xf numFmtId="0" fontId="63" fillId="0" borderId="0" xfId="420" applyAlignment="1">
      <alignment horizontal="center"/>
    </xf>
    <xf numFmtId="0" fontId="61" fillId="0" borderId="41" xfId="418"/>
    <xf numFmtId="0" fontId="59" fillId="35" borderId="40" xfId="27" applyAlignment="1">
      <alignment horizontal="center"/>
    </xf>
    <xf numFmtId="170" fontId="69" fillId="35" borderId="43" xfId="1467" applyNumberFormat="1" applyAlignment="1">
      <alignment horizontal="center"/>
    </xf>
    <xf numFmtId="14" fontId="12" fillId="0" borderId="0" xfId="993" applyNumberFormat="1" applyFont="1" applyAlignment="1">
      <alignment horizontal="left"/>
    </xf>
    <xf numFmtId="171" fontId="12" fillId="0" borderId="0" xfId="993" applyNumberFormat="1" applyFont="1" applyFill="1" applyBorder="1" applyAlignment="1">
      <alignment horizontal="left"/>
    </xf>
    <xf numFmtId="0" fontId="12" fillId="0" borderId="0" xfId="993" applyFont="1" applyAlignment="1">
      <alignment horizontal="left"/>
    </xf>
    <xf numFmtId="0" fontId="0" fillId="0" borderId="20" xfId="0" applyBorder="1"/>
    <xf numFmtId="171" fontId="0" fillId="0" borderId="12" xfId="0" applyNumberFormat="1" applyBorder="1"/>
    <xf numFmtId="171" fontId="12" fillId="0" borderId="12" xfId="0" applyNumberFormat="1" applyFont="1" applyFill="1" applyBorder="1"/>
    <xf numFmtId="171" fontId="0" fillId="0" borderId="12" xfId="0" applyNumberFormat="1" applyFill="1" applyBorder="1"/>
    <xf numFmtId="0" fontId="34" fillId="27" borderId="12" xfId="0" applyFont="1" applyFill="1" applyBorder="1" applyAlignment="1">
      <alignment horizontal="left" vertical="center" wrapText="1"/>
    </xf>
    <xf numFmtId="0" fontId="47" fillId="27" borderId="12" xfId="0" applyFont="1" applyFill="1" applyBorder="1" applyAlignment="1">
      <alignment horizontal="left" vertical="center" wrapText="1"/>
    </xf>
    <xf numFmtId="0" fontId="12" fillId="0" borderId="0" xfId="0" applyFont="1" applyFill="1" applyBorder="1" applyAlignment="1">
      <alignment horizontal="center" vertical="center"/>
    </xf>
    <xf numFmtId="171" fontId="12" fillId="0" borderId="12" xfId="0" applyNumberFormat="1" applyFont="1" applyFill="1" applyBorder="1" applyAlignment="1">
      <alignment horizontal="left"/>
    </xf>
    <xf numFmtId="171" fontId="13" fillId="0" borderId="12" xfId="0" applyNumberFormat="1" applyFont="1" applyFill="1" applyBorder="1" applyAlignment="1">
      <alignment horizontal="left" wrapText="1"/>
    </xf>
    <xf numFmtId="0" fontId="0" fillId="0" borderId="16" xfId="0" applyBorder="1"/>
    <xf numFmtId="0" fontId="13" fillId="0" borderId="30" xfId="0" applyFont="1" applyBorder="1" applyAlignment="1">
      <alignment horizontal="left"/>
    </xf>
    <xf numFmtId="0" fontId="13" fillId="0" borderId="31" xfId="0" applyFont="1" applyBorder="1" applyAlignment="1">
      <alignment horizontal="left"/>
    </xf>
    <xf numFmtId="0" fontId="13" fillId="0" borderId="32" xfId="0" applyFont="1" applyBorder="1" applyAlignment="1">
      <alignment horizontal="left"/>
    </xf>
    <xf numFmtId="9" fontId="0" fillId="0" borderId="0" xfId="1473" applyFont="1" applyBorder="1"/>
    <xf numFmtId="0" fontId="12" fillId="45" borderId="33" xfId="0" applyFont="1" applyFill="1" applyBorder="1"/>
    <xf numFmtId="179" fontId="0" fillId="32" borderId="31" xfId="0" applyNumberFormat="1" applyFill="1" applyBorder="1"/>
    <xf numFmtId="0" fontId="0" fillId="32" borderId="31" xfId="0" applyFill="1" applyBorder="1"/>
    <xf numFmtId="0" fontId="0" fillId="32" borderId="30" xfId="0" applyFill="1" applyBorder="1"/>
    <xf numFmtId="0" fontId="0" fillId="32" borderId="29" xfId="0" applyFill="1" applyBorder="1"/>
    <xf numFmtId="178" fontId="0" fillId="32" borderId="28" xfId="0" applyNumberFormat="1" applyFill="1" applyBorder="1"/>
    <xf numFmtId="9" fontId="55" fillId="44" borderId="28" xfId="1987" applyFont="1" applyFill="1" applyBorder="1"/>
    <xf numFmtId="179" fontId="0" fillId="32" borderId="28" xfId="0" applyNumberFormat="1" applyFill="1" applyBorder="1"/>
    <xf numFmtId="177" fontId="0" fillId="32" borderId="28" xfId="0" applyNumberFormat="1" applyFill="1" applyBorder="1"/>
    <xf numFmtId="0" fontId="0" fillId="32" borderId="28" xfId="0" applyFill="1" applyBorder="1"/>
    <xf numFmtId="0" fontId="0" fillId="32" borderId="27" xfId="0" applyFill="1" applyBorder="1"/>
    <xf numFmtId="177" fontId="0" fillId="32" borderId="0" xfId="0" applyNumberFormat="1" applyFill="1" applyBorder="1"/>
    <xf numFmtId="0" fontId="0" fillId="32" borderId="20" xfId="0" applyFill="1" applyBorder="1"/>
    <xf numFmtId="0" fontId="75" fillId="32" borderId="0" xfId="0" applyFont="1" applyFill="1" applyBorder="1"/>
    <xf numFmtId="0" fontId="0" fillId="44" borderId="16" xfId="0" applyFill="1" applyBorder="1"/>
    <xf numFmtId="0" fontId="0" fillId="44" borderId="0" xfId="0" applyFill="1" applyBorder="1"/>
    <xf numFmtId="173" fontId="0" fillId="44" borderId="0" xfId="0" applyNumberFormat="1" applyFill="1" applyBorder="1"/>
    <xf numFmtId="178" fontId="0" fillId="32" borderId="0" xfId="0" applyNumberFormat="1" applyFill="1" applyBorder="1"/>
    <xf numFmtId="9" fontId="55" fillId="44" borderId="0" xfId="1987" applyFont="1" applyFill="1" applyBorder="1"/>
    <xf numFmtId="179" fontId="0" fillId="32" borderId="0" xfId="0" applyNumberFormat="1" applyFill="1" applyBorder="1"/>
    <xf numFmtId="0" fontId="0" fillId="32" borderId="0" xfId="0" applyFill="1" applyBorder="1"/>
    <xf numFmtId="0" fontId="0" fillId="32" borderId="16" xfId="0" applyFill="1" applyBorder="1"/>
    <xf numFmtId="0" fontId="0" fillId="45" borderId="34" xfId="0" applyFill="1" applyBorder="1"/>
    <xf numFmtId="0" fontId="0" fillId="45" borderId="33" xfId="0" applyFill="1" applyBorder="1"/>
    <xf numFmtId="0" fontId="0" fillId="45" borderId="35" xfId="0" applyFill="1" applyBorder="1"/>
    <xf numFmtId="0" fontId="0" fillId="32" borderId="0" xfId="0" applyFill="1"/>
    <xf numFmtId="0" fontId="52" fillId="46" borderId="0" xfId="0" applyFont="1" applyFill="1"/>
    <xf numFmtId="0" fontId="76" fillId="46" borderId="0" xfId="0" applyFont="1" applyFill="1"/>
    <xf numFmtId="177" fontId="33" fillId="32" borderId="0" xfId="995" applyFill="1"/>
    <xf numFmtId="177" fontId="72" fillId="41" borderId="0" xfId="1470" applyNumberFormat="1"/>
    <xf numFmtId="177" fontId="75" fillId="32" borderId="0" xfId="995" applyFont="1" applyFill="1"/>
    <xf numFmtId="177" fontId="77" fillId="32" borderId="0" xfId="995" applyFont="1" applyFill="1"/>
    <xf numFmtId="177" fontId="75" fillId="32" borderId="0" xfId="995" applyFont="1" applyFill="1" applyBorder="1"/>
    <xf numFmtId="177" fontId="75" fillId="2" borderId="0" xfId="995" applyFont="1" applyFill="1"/>
    <xf numFmtId="177" fontId="75" fillId="2" borderId="14" xfId="995" applyFont="1" applyFill="1" applyBorder="1" applyAlignment="1">
      <alignment horizontal="center"/>
    </xf>
    <xf numFmtId="177" fontId="77" fillId="32" borderId="2" xfId="995" applyFont="1" applyFill="1" applyBorder="1"/>
    <xf numFmtId="177" fontId="75" fillId="32" borderId="2" xfId="995" applyFont="1" applyFill="1" applyBorder="1"/>
    <xf numFmtId="179" fontId="75" fillId="32" borderId="0" xfId="995" applyNumberFormat="1" applyFont="1" applyFill="1"/>
    <xf numFmtId="177" fontId="78" fillId="2" borderId="0" xfId="995" applyFont="1" applyFill="1"/>
    <xf numFmtId="177" fontId="78" fillId="2" borderId="0" xfId="995" applyFont="1" applyFill="1" applyAlignment="1">
      <alignment horizontal="center"/>
    </xf>
    <xf numFmtId="177" fontId="75" fillId="2" borderId="12" xfId="995" applyFont="1" applyFill="1" applyBorder="1"/>
    <xf numFmtId="177" fontId="75" fillId="2" borderId="14" xfId="995" applyFont="1" applyFill="1" applyBorder="1"/>
    <xf numFmtId="179" fontId="66" fillId="32" borderId="0" xfId="433" applyNumberFormat="1" applyFill="1" applyBorder="1" applyAlignment="1"/>
    <xf numFmtId="179" fontId="66" fillId="32" borderId="28" xfId="433" applyNumberFormat="1" applyFill="1" applyBorder="1" applyAlignment="1"/>
    <xf numFmtId="179" fontId="66" fillId="32" borderId="31" xfId="433" applyNumberFormat="1" applyFill="1" applyBorder="1" applyAlignment="1"/>
    <xf numFmtId="178" fontId="66" fillId="38" borderId="0" xfId="433" applyNumberFormat="1" applyBorder="1" applyAlignment="1"/>
    <xf numFmtId="177" fontId="78" fillId="2" borderId="0" xfId="995" applyFont="1" applyFill="1" applyBorder="1"/>
    <xf numFmtId="177" fontId="75" fillId="2" borderId="36" xfId="995" applyFont="1" applyFill="1" applyBorder="1"/>
    <xf numFmtId="177" fontId="75" fillId="2" borderId="22" xfId="995" applyFont="1" applyFill="1" applyBorder="1"/>
    <xf numFmtId="177" fontId="75" fillId="2" borderId="18" xfId="995" applyFont="1" applyFill="1" applyBorder="1"/>
    <xf numFmtId="177" fontId="79" fillId="2" borderId="0" xfId="1471" applyFont="1" applyFill="1" applyAlignment="1"/>
    <xf numFmtId="173" fontId="58" fillId="34" borderId="0" xfId="25" applyNumberFormat="1" applyBorder="1"/>
    <xf numFmtId="173" fontId="58" fillId="34" borderId="0" xfId="25" applyNumberFormat="1" applyBorder="1" applyAlignment="1"/>
    <xf numFmtId="173" fontId="58" fillId="34" borderId="28" xfId="25" applyNumberFormat="1" applyBorder="1"/>
    <xf numFmtId="178" fontId="66" fillId="38" borderId="28" xfId="433" applyNumberFormat="1" applyBorder="1" applyAlignment="1"/>
    <xf numFmtId="9" fontId="58" fillId="34" borderId="0" xfId="25" applyNumberFormat="1" applyBorder="1" applyAlignment="1"/>
    <xf numFmtId="173" fontId="33" fillId="32" borderId="0" xfId="28" applyNumberFormat="1" applyBorder="1"/>
    <xf numFmtId="177" fontId="77" fillId="47" borderId="2" xfId="995" applyFont="1" applyFill="1" applyBorder="1"/>
    <xf numFmtId="177" fontId="75" fillId="32" borderId="23" xfId="995" applyFont="1" applyFill="1" applyBorder="1"/>
    <xf numFmtId="177" fontId="80" fillId="34" borderId="2" xfId="25" applyNumberFormat="1" applyFont="1" applyBorder="1"/>
    <xf numFmtId="180" fontId="80" fillId="34" borderId="2" xfId="25" applyNumberFormat="1" applyFont="1" applyBorder="1"/>
    <xf numFmtId="180" fontId="80" fillId="34" borderId="2" xfId="25" applyNumberFormat="1" applyFont="1" applyBorder="1" applyProtection="1">
      <protection locked="0"/>
    </xf>
    <xf numFmtId="177" fontId="81" fillId="32" borderId="2" xfId="995" applyFont="1" applyFill="1" applyBorder="1" applyAlignment="1">
      <alignment horizontal="left"/>
    </xf>
    <xf numFmtId="180" fontId="75" fillId="32" borderId="2" xfId="995" applyNumberFormat="1" applyFont="1" applyFill="1" applyBorder="1"/>
    <xf numFmtId="180" fontId="75" fillId="32" borderId="2" xfId="28" applyNumberFormat="1" applyFont="1" applyBorder="1"/>
    <xf numFmtId="177" fontId="82" fillId="38" borderId="2" xfId="433" applyFont="1" applyBorder="1" applyAlignment="1">
      <alignment horizontal="left"/>
    </xf>
    <xf numFmtId="177" fontId="82" fillId="38" borderId="2" xfId="433" applyFont="1" applyBorder="1" applyAlignment="1"/>
    <xf numFmtId="177" fontId="77" fillId="47" borderId="2" xfId="995" applyFont="1" applyFill="1" applyBorder="1" applyAlignment="1">
      <alignment horizontal="right"/>
    </xf>
    <xf numFmtId="177" fontId="75" fillId="32" borderId="37" xfId="995" applyFont="1" applyFill="1" applyBorder="1"/>
    <xf numFmtId="177" fontId="75" fillId="32" borderId="17" xfId="995" applyFont="1" applyFill="1" applyBorder="1"/>
    <xf numFmtId="177" fontId="83" fillId="33" borderId="2" xfId="995" applyNumberFormat="1" applyFont="1" applyFill="1" applyBorder="1"/>
    <xf numFmtId="182" fontId="75" fillId="32" borderId="0" xfId="995" applyNumberFormat="1" applyFont="1" applyFill="1"/>
    <xf numFmtId="177" fontId="75" fillId="46" borderId="2" xfId="995" applyFont="1" applyFill="1" applyBorder="1"/>
    <xf numFmtId="177" fontId="75" fillId="2" borderId="36" xfId="995" applyFont="1" applyFill="1" applyBorder="1" applyAlignment="1">
      <alignment horizontal="center" wrapText="1"/>
    </xf>
    <xf numFmtId="177" fontId="75" fillId="2" borderId="12" xfId="995" applyFont="1" applyFill="1" applyBorder="1" applyAlignment="1">
      <alignment horizontal="centerContinuous" wrapText="1"/>
    </xf>
    <xf numFmtId="177" fontId="75" fillId="2" borderId="12" xfId="995" applyFont="1" applyFill="1" applyBorder="1" applyAlignment="1">
      <alignment horizontal="center" wrapText="1"/>
    </xf>
    <xf numFmtId="177" fontId="75" fillId="2" borderId="12" xfId="995" applyFont="1" applyFill="1" applyBorder="1" applyAlignment="1">
      <alignment wrapText="1"/>
    </xf>
    <xf numFmtId="177" fontId="75" fillId="2" borderId="24" xfId="995" applyFont="1" applyFill="1" applyBorder="1" applyAlignment="1">
      <alignment horizontal="center" wrapText="1"/>
    </xf>
    <xf numFmtId="177" fontId="75" fillId="2" borderId="22" xfId="995" applyFont="1" applyFill="1" applyBorder="1" applyAlignment="1">
      <alignment horizontal="center"/>
    </xf>
    <xf numFmtId="177" fontId="75" fillId="2" borderId="14" xfId="995" applyFont="1" applyFill="1" applyBorder="1" applyAlignment="1">
      <alignment horizontal="right"/>
    </xf>
    <xf numFmtId="177" fontId="75" fillId="2" borderId="15" xfId="995" applyFont="1" applyFill="1" applyBorder="1" applyAlignment="1">
      <alignment horizontal="center"/>
    </xf>
    <xf numFmtId="177" fontId="75" fillId="2" borderId="24" xfId="995" applyFont="1" applyFill="1" applyBorder="1" applyAlignment="1">
      <alignment horizontal="left"/>
    </xf>
    <xf numFmtId="178" fontId="82" fillId="38" borderId="36" xfId="433" applyNumberFormat="1" applyFont="1" applyBorder="1" applyAlignment="1"/>
    <xf numFmtId="178" fontId="82" fillId="38" borderId="12" xfId="433" applyNumberFormat="1" applyFont="1" applyBorder="1" applyAlignment="1"/>
    <xf numFmtId="180" fontId="82" fillId="38" borderId="12" xfId="433" applyNumberFormat="1" applyFont="1" applyBorder="1" applyAlignment="1"/>
    <xf numFmtId="178" fontId="82" fillId="46" borderId="12" xfId="995" applyNumberFormat="1" applyFont="1" applyFill="1" applyBorder="1"/>
    <xf numFmtId="180" fontId="82" fillId="38" borderId="24" xfId="433" applyNumberFormat="1" applyFont="1" applyBorder="1" applyAlignment="1"/>
    <xf numFmtId="177" fontId="75" fillId="46" borderId="37" xfId="28" applyNumberFormat="1" applyFont="1" applyFill="1" applyBorder="1" applyAlignment="1">
      <alignment horizontal="center"/>
    </xf>
    <xf numFmtId="177" fontId="75" fillId="2" borderId="19" xfId="995" applyFont="1" applyFill="1" applyBorder="1" applyAlignment="1">
      <alignment horizontal="left"/>
    </xf>
    <xf numFmtId="178" fontId="82" fillId="38" borderId="0" xfId="433" applyNumberFormat="1" applyFont="1" applyBorder="1" applyAlignment="1"/>
    <xf numFmtId="180" fontId="82" fillId="38" borderId="0" xfId="433" applyNumberFormat="1" applyFont="1" applyBorder="1" applyAlignment="1"/>
    <xf numFmtId="178" fontId="82" fillId="46" borderId="0" xfId="995" applyNumberFormat="1" applyFont="1" applyFill="1" applyBorder="1"/>
    <xf numFmtId="180" fontId="82" fillId="38" borderId="19" xfId="433" applyNumberFormat="1" applyFont="1" applyBorder="1" applyAlignment="1"/>
    <xf numFmtId="177" fontId="75" fillId="46" borderId="17" xfId="28" applyNumberFormat="1" applyFont="1" applyFill="1" applyBorder="1" applyAlignment="1">
      <alignment horizontal="center"/>
    </xf>
    <xf numFmtId="177" fontId="82" fillId="46" borderId="0" xfId="995" applyNumberFormat="1" applyFont="1" applyFill="1" applyBorder="1"/>
    <xf numFmtId="177" fontId="75" fillId="32" borderId="18" xfId="28" applyNumberFormat="1" applyFont="1" applyBorder="1"/>
    <xf numFmtId="177" fontId="75" fillId="2" borderId="15" xfId="995" applyFont="1" applyFill="1" applyBorder="1" applyAlignment="1">
      <alignment horizontal="left"/>
    </xf>
    <xf numFmtId="178" fontId="82" fillId="38" borderId="14" xfId="433" applyNumberFormat="1" applyFont="1" applyBorder="1" applyAlignment="1"/>
    <xf numFmtId="180" fontId="82" fillId="38" borderId="14" xfId="433" applyNumberFormat="1" applyFont="1" applyBorder="1" applyAlignment="1"/>
    <xf numFmtId="177" fontId="82" fillId="46" borderId="14" xfId="995" applyNumberFormat="1" applyFont="1" applyFill="1" applyBorder="1"/>
    <xf numFmtId="180" fontId="82" fillId="38" borderId="15" xfId="433" applyNumberFormat="1" applyFont="1" applyBorder="1" applyAlignment="1"/>
    <xf numFmtId="177" fontId="75" fillId="46" borderId="23" xfId="28" applyNumberFormat="1" applyFont="1" applyFill="1" applyBorder="1" applyAlignment="1">
      <alignment horizontal="center"/>
    </xf>
    <xf numFmtId="177" fontId="79" fillId="32" borderId="0" xfId="1471" applyFont="1" applyFill="1" applyAlignment="1"/>
    <xf numFmtId="177" fontId="78" fillId="2" borderId="38" xfId="995" applyFont="1" applyFill="1" applyBorder="1" applyAlignment="1">
      <alignment horizontal="right"/>
    </xf>
    <xf numFmtId="177" fontId="78" fillId="2" borderId="39" xfId="995" applyFont="1" applyFill="1" applyBorder="1" applyAlignment="1">
      <alignment horizontal="right"/>
    </xf>
    <xf numFmtId="182" fontId="75" fillId="32" borderId="2" xfId="28" applyNumberFormat="1" applyFont="1" applyBorder="1"/>
    <xf numFmtId="180" fontId="82" fillId="38" borderId="36" xfId="433" applyNumberFormat="1" applyFont="1" applyBorder="1" applyAlignment="1"/>
    <xf numFmtId="180" fontId="82" fillId="38" borderId="18" xfId="433" applyNumberFormat="1" applyFont="1" applyBorder="1" applyAlignment="1"/>
    <xf numFmtId="180" fontId="82" fillId="38" borderId="22" xfId="433" applyNumberFormat="1" applyFont="1" applyBorder="1" applyAlignment="1"/>
    <xf numFmtId="180" fontId="75" fillId="33" borderId="2" xfId="995" applyNumberFormat="1" applyFont="1" applyFill="1" applyBorder="1"/>
    <xf numFmtId="0" fontId="75" fillId="33" borderId="2" xfId="995" applyNumberFormat="1" applyFont="1" applyFill="1" applyBorder="1"/>
    <xf numFmtId="0" fontId="75" fillId="33" borderId="2" xfId="995" applyNumberFormat="1" applyFont="1" applyFill="1" applyBorder="1" applyAlignment="1">
      <alignment horizontal="left"/>
    </xf>
    <xf numFmtId="180" fontId="84" fillId="32" borderId="2" xfId="2000" applyNumberFormat="1" applyFont="1" applyFill="1" applyBorder="1" applyProtection="1">
      <protection locked="0"/>
    </xf>
    <xf numFmtId="177" fontId="84" fillId="32" borderId="2" xfId="2000" applyNumberFormat="1" applyFont="1" applyFill="1" applyBorder="1"/>
    <xf numFmtId="0" fontId="75" fillId="32" borderId="2" xfId="28" applyFont="1" applyBorder="1"/>
    <xf numFmtId="180" fontId="75" fillId="32" borderId="2" xfId="28" applyNumberFormat="1" applyFont="1" applyBorder="1" applyProtection="1">
      <protection locked="0"/>
    </xf>
    <xf numFmtId="0" fontId="82" fillId="38" borderId="2" xfId="433" applyNumberFormat="1" applyFont="1" applyBorder="1" applyAlignment="1">
      <alignment horizontal="left"/>
    </xf>
    <xf numFmtId="177" fontId="81" fillId="46" borderId="2" xfId="995" applyFont="1" applyFill="1" applyBorder="1" applyAlignment="1">
      <alignment horizontal="left"/>
    </xf>
    <xf numFmtId="177" fontId="84" fillId="32" borderId="0" xfId="2000" applyNumberFormat="1" applyFont="1" applyFill="1" applyBorder="1"/>
    <xf numFmtId="177" fontId="75" fillId="2" borderId="2" xfId="995" applyFont="1" applyFill="1" applyBorder="1"/>
    <xf numFmtId="178" fontId="75" fillId="2" borderId="2" xfId="995" applyNumberFormat="1" applyFont="1" applyFill="1" applyBorder="1"/>
    <xf numFmtId="178" fontId="75" fillId="44" borderId="2" xfId="995" applyNumberFormat="1" applyFont="1" applyFill="1" applyBorder="1"/>
    <xf numFmtId="180" fontId="75" fillId="48" borderId="2" xfId="995" applyNumberFormat="1" applyFont="1" applyFill="1" applyBorder="1"/>
    <xf numFmtId="177" fontId="75" fillId="2" borderId="2" xfId="995" applyFont="1" applyFill="1" applyBorder="1" applyAlignment="1">
      <alignment horizontal="centerContinuous"/>
    </xf>
    <xf numFmtId="179" fontId="80" fillId="34" borderId="2" xfId="25" applyNumberFormat="1" applyFont="1" applyBorder="1"/>
    <xf numFmtId="177" fontId="75" fillId="44" borderId="2" xfId="995" applyNumberFormat="1" applyFont="1" applyFill="1" applyBorder="1"/>
    <xf numFmtId="179" fontId="75" fillId="44" borderId="2" xfId="995" applyNumberFormat="1" applyFont="1" applyFill="1" applyBorder="1"/>
    <xf numFmtId="9" fontId="82" fillId="38" borderId="24" xfId="1987" applyFont="1" applyFill="1" applyBorder="1" applyAlignment="1"/>
    <xf numFmtId="9" fontId="82" fillId="38" borderId="19" xfId="1987" applyFont="1" applyFill="1" applyBorder="1" applyAlignment="1"/>
    <xf numFmtId="9" fontId="82" fillId="38" borderId="15" xfId="1987" applyFont="1" applyFill="1" applyBorder="1" applyAlignment="1"/>
    <xf numFmtId="177" fontId="74" fillId="32" borderId="2" xfId="2000" applyNumberFormat="1" applyFill="1" applyBorder="1"/>
    <xf numFmtId="178" fontId="84" fillId="32" borderId="2" xfId="2000" applyNumberFormat="1" applyFont="1" applyFill="1" applyBorder="1"/>
    <xf numFmtId="175" fontId="78" fillId="2" borderId="0" xfId="1987" applyNumberFormat="1" applyFont="1" applyFill="1"/>
    <xf numFmtId="177" fontId="58" fillId="34" borderId="0" xfId="25" applyNumberFormat="1" applyBorder="1"/>
    <xf numFmtId="180" fontId="58" fillId="34" borderId="2" xfId="25" applyNumberFormat="1" applyBorder="1"/>
    <xf numFmtId="179" fontId="58" fillId="34" borderId="2" xfId="25" applyNumberFormat="1" applyBorder="1"/>
    <xf numFmtId="177" fontId="71" fillId="40" borderId="0" xfId="1469" applyNumberFormat="1"/>
    <xf numFmtId="177" fontId="79" fillId="32" borderId="0" xfId="1471" applyFont="1" applyFill="1" applyBorder="1" applyAlignment="1"/>
    <xf numFmtId="178" fontId="82" fillId="44" borderId="12" xfId="433" applyNumberFormat="1" applyFont="1" applyFill="1" applyBorder="1" applyAlignment="1"/>
    <xf numFmtId="178" fontId="82" fillId="44" borderId="0" xfId="433" applyNumberFormat="1" applyFont="1" applyFill="1" applyBorder="1" applyAlignment="1"/>
    <xf numFmtId="178" fontId="82" fillId="44" borderId="14" xfId="433" applyNumberFormat="1" applyFont="1" applyFill="1" applyBorder="1" applyAlignment="1"/>
    <xf numFmtId="175" fontId="75" fillId="44" borderId="12" xfId="28" applyNumberFormat="1" applyFont="1" applyFill="1" applyBorder="1" applyAlignment="1">
      <alignment horizontal="right"/>
    </xf>
    <xf numFmtId="175" fontId="75" fillId="44" borderId="0" xfId="28" applyNumberFormat="1" applyFont="1" applyFill="1" applyBorder="1" applyAlignment="1">
      <alignment horizontal="right"/>
    </xf>
    <xf numFmtId="175" fontId="75" fillId="44" borderId="14" xfId="28" applyNumberFormat="1" applyFont="1" applyFill="1" applyBorder="1" applyAlignment="1">
      <alignment horizontal="right"/>
    </xf>
    <xf numFmtId="9" fontId="82" fillId="44" borderId="24" xfId="1987" applyFont="1" applyFill="1" applyBorder="1"/>
    <xf numFmtId="9" fontId="82" fillId="44" borderId="19" xfId="1987" applyFont="1" applyFill="1" applyBorder="1"/>
    <xf numFmtId="9" fontId="82" fillId="44" borderId="19" xfId="433" applyNumberFormat="1" applyFont="1" applyFill="1" applyBorder="1" applyAlignment="1"/>
    <xf numFmtId="9" fontId="82" fillId="44" borderId="15" xfId="433" applyNumberFormat="1" applyFont="1" applyFill="1" applyBorder="1" applyAlignment="1"/>
    <xf numFmtId="180" fontId="75" fillId="44" borderId="24" xfId="28" applyNumberFormat="1" applyFont="1" applyFill="1" applyBorder="1"/>
    <xf numFmtId="180" fontId="75" fillId="44" borderId="19" xfId="28" applyNumberFormat="1" applyFont="1" applyFill="1" applyBorder="1"/>
    <xf numFmtId="180" fontId="75" fillId="44" borderId="17" xfId="28" applyNumberFormat="1" applyFont="1" applyFill="1" applyBorder="1"/>
    <xf numFmtId="180" fontId="75" fillId="44" borderId="15" xfId="28" applyNumberFormat="1" applyFont="1" applyFill="1" applyBorder="1"/>
    <xf numFmtId="183" fontId="82" fillId="44" borderId="24" xfId="433" applyNumberFormat="1" applyFont="1" applyFill="1" applyBorder="1" applyAlignment="1"/>
    <xf numFmtId="183" fontId="82" fillId="44" borderId="19" xfId="433" applyNumberFormat="1" applyFont="1" applyFill="1" applyBorder="1" applyAlignment="1"/>
    <xf numFmtId="183" fontId="82" fillId="44" borderId="15" xfId="433" applyNumberFormat="1" applyFont="1" applyFill="1" applyBorder="1" applyAlignment="1"/>
    <xf numFmtId="181" fontId="82" fillId="44" borderId="24" xfId="433" applyNumberFormat="1" applyFont="1" applyFill="1" applyBorder="1" applyAlignment="1"/>
    <xf numFmtId="181" fontId="82" fillId="44" borderId="19" xfId="433" applyNumberFormat="1" applyFont="1" applyFill="1" applyBorder="1" applyAlignment="1"/>
    <xf numFmtId="181" fontId="82" fillId="44" borderId="15" xfId="433" applyNumberFormat="1" applyFont="1" applyFill="1" applyBorder="1" applyAlignment="1"/>
    <xf numFmtId="173" fontId="33" fillId="32" borderId="0" xfId="433" applyNumberFormat="1" applyFont="1" applyFill="1" applyBorder="1" applyAlignment="1"/>
    <xf numFmtId="178" fontId="75" fillId="32" borderId="0" xfId="28" applyNumberFormat="1" applyFont="1" applyBorder="1"/>
    <xf numFmtId="178" fontId="80" fillId="34" borderId="0" xfId="25" applyNumberFormat="1" applyFont="1" applyBorder="1"/>
    <xf numFmtId="178" fontId="75" fillId="32" borderId="0" xfId="28" applyNumberFormat="1" applyFont="1" applyBorder="1" applyProtection="1">
      <protection locked="0"/>
    </xf>
    <xf numFmtId="178" fontId="66" fillId="38" borderId="0" xfId="433" applyNumberFormat="1" applyBorder="1" applyAlignment="1" applyProtection="1">
      <protection locked="0"/>
    </xf>
    <xf numFmtId="180" fontId="75" fillId="32" borderId="0" xfId="28" applyNumberFormat="1" applyFont="1" applyBorder="1" applyProtection="1">
      <protection locked="0"/>
    </xf>
    <xf numFmtId="177" fontId="82" fillId="38" borderId="20" xfId="433" applyFont="1" applyBorder="1" applyAlignment="1">
      <alignment horizontal="left"/>
    </xf>
    <xf numFmtId="177" fontId="82" fillId="38" borderId="20" xfId="433" applyNumberFormat="1" applyFont="1" applyBorder="1" applyAlignment="1"/>
    <xf numFmtId="177" fontId="82" fillId="38" borderId="20" xfId="433" applyFont="1" applyBorder="1" applyAlignment="1"/>
    <xf numFmtId="180" fontId="80" fillId="40" borderId="2" xfId="25" applyNumberFormat="1" applyFont="1" applyFill="1" applyBorder="1" applyProtection="1">
      <protection locked="0"/>
    </xf>
    <xf numFmtId="171" fontId="85" fillId="0" borderId="0" xfId="0" applyNumberFormat="1" applyFont="1" applyFill="1" applyBorder="1"/>
    <xf numFmtId="0" fontId="10" fillId="0" borderId="0" xfId="2005"/>
    <xf numFmtId="0" fontId="11" fillId="0" borderId="0" xfId="2007"/>
    <xf numFmtId="171" fontId="11" fillId="0" borderId="0" xfId="993" applyNumberFormat="1" applyFont="1" applyFill="1" applyBorder="1" applyAlignment="1">
      <alignment horizontal="left"/>
    </xf>
    <xf numFmtId="14" fontId="11" fillId="0" borderId="0" xfId="993" applyNumberFormat="1" applyFont="1" applyAlignment="1">
      <alignment horizontal="left"/>
    </xf>
    <xf numFmtId="0" fontId="11" fillId="0" borderId="0" xfId="0" applyFont="1" applyFill="1" applyBorder="1" applyAlignment="1">
      <alignment horizontal="left"/>
    </xf>
    <xf numFmtId="171" fontId="11" fillId="0" borderId="0" xfId="0" applyNumberFormat="1" applyFont="1" applyFill="1" applyBorder="1"/>
    <xf numFmtId="0" fontId="11" fillId="0" borderId="0" xfId="993" applyFont="1" applyAlignment="1">
      <alignment horizontal="left"/>
    </xf>
    <xf numFmtId="0" fontId="0" fillId="0" borderId="0" xfId="0"/>
    <xf numFmtId="14" fontId="11" fillId="0" borderId="0" xfId="993" applyNumberFormat="1" applyFont="1" applyAlignment="1">
      <alignment horizontal="left"/>
    </xf>
    <xf numFmtId="171" fontId="11" fillId="0" borderId="0" xfId="993" applyNumberFormat="1" applyFont="1" applyFill="1" applyBorder="1" applyAlignment="1">
      <alignment horizontal="left"/>
    </xf>
    <xf numFmtId="0" fontId="11" fillId="0" borderId="0" xfId="993" applyFont="1" applyAlignment="1">
      <alignment horizontal="left"/>
    </xf>
    <xf numFmtId="0" fontId="8" fillId="0" borderId="20" xfId="3291" applyBorder="1"/>
    <xf numFmtId="0" fontId="8" fillId="0" borderId="34" xfId="3291" applyBorder="1"/>
    <xf numFmtId="0" fontId="33" fillId="31" borderId="12" xfId="2007" applyFont="1" applyFill="1" applyBorder="1" applyAlignment="1">
      <alignment horizontal="left" vertical="center" wrapText="1"/>
    </xf>
    <xf numFmtId="0" fontId="33" fillId="29" borderId="12" xfId="2007" applyFont="1" applyFill="1" applyBorder="1" applyAlignment="1">
      <alignment horizontal="left" vertical="center" wrapText="1"/>
    </xf>
    <xf numFmtId="0" fontId="11" fillId="0" borderId="0" xfId="2007"/>
    <xf numFmtId="0" fontId="11" fillId="0" borderId="0" xfId="2007" applyAlignment="1">
      <alignment horizontal="center"/>
    </xf>
    <xf numFmtId="0" fontId="11" fillId="28" borderId="0" xfId="2007" applyFont="1" applyFill="1"/>
    <xf numFmtId="0" fontId="11" fillId="0" borderId="0" xfId="2007" applyAlignment="1">
      <alignment horizontal="left"/>
    </xf>
    <xf numFmtId="0" fontId="8" fillId="0" borderId="0" xfId="3310"/>
    <xf numFmtId="2" fontId="8" fillId="0" borderId="0" xfId="3310" applyNumberFormat="1"/>
    <xf numFmtId="0" fontId="11" fillId="0" borderId="0" xfId="3310" applyFont="1" applyFill="1" applyBorder="1" applyAlignment="1"/>
    <xf numFmtId="0" fontId="47" fillId="27" borderId="12" xfId="2007" applyFont="1" applyFill="1" applyBorder="1" applyAlignment="1">
      <alignment horizontal="left" vertical="center" wrapText="1"/>
    </xf>
    <xf numFmtId="0" fontId="34" fillId="27" borderId="12" xfId="2007" applyFont="1" applyFill="1" applyBorder="1" applyAlignment="1">
      <alignment horizontal="left" vertical="center" wrapText="1"/>
    </xf>
    <xf numFmtId="0" fontId="34" fillId="27" borderId="13" xfId="2007" applyFont="1" applyFill="1" applyBorder="1" applyAlignment="1">
      <alignment horizontal="left" vertical="center" wrapText="1"/>
    </xf>
    <xf numFmtId="0" fontId="8" fillId="0" borderId="0" xfId="3291" applyBorder="1"/>
    <xf numFmtId="0" fontId="73" fillId="0" borderId="33" xfId="3312" applyFont="1" applyBorder="1" applyAlignment="1"/>
    <xf numFmtId="1" fontId="73" fillId="0" borderId="20" xfId="3312" applyNumberFormat="1" applyFont="1" applyFill="1" applyBorder="1" applyAlignment="1">
      <alignment horizontal="center"/>
    </xf>
    <xf numFmtId="1" fontId="73" fillId="0" borderId="0" xfId="3312" applyNumberFormat="1" applyFont="1" applyFill="1" applyBorder="1" applyAlignment="1">
      <alignment horizontal="center"/>
    </xf>
    <xf numFmtId="170" fontId="87" fillId="0" borderId="0" xfId="3312" applyNumberFormat="1" applyFont="1" applyFill="1" applyBorder="1" applyAlignment="1">
      <alignment horizontal="center"/>
    </xf>
    <xf numFmtId="170" fontId="73" fillId="0" borderId="16" xfId="3312" applyNumberFormat="1" applyFont="1" applyFill="1" applyBorder="1" applyAlignment="1">
      <alignment horizontal="left"/>
    </xf>
    <xf numFmtId="170" fontId="8" fillId="0" borderId="28" xfId="3312" applyNumberFormat="1" applyFont="1" applyFill="1" applyBorder="1" applyAlignment="1">
      <alignment horizontal="center"/>
    </xf>
    <xf numFmtId="0" fontId="8" fillId="0" borderId="20" xfId="3312" applyFont="1" applyBorder="1"/>
    <xf numFmtId="14" fontId="73" fillId="0" borderId="0" xfId="3312" applyNumberFormat="1" applyFont="1" applyBorder="1" applyAlignment="1">
      <alignment horizontal="left"/>
    </xf>
    <xf numFmtId="0" fontId="8" fillId="0" borderId="0" xfId="3312" applyFont="1" applyBorder="1"/>
    <xf numFmtId="0" fontId="73" fillId="0" borderId="16" xfId="3312" applyFont="1" applyBorder="1"/>
    <xf numFmtId="0" fontId="8" fillId="0" borderId="33" xfId="3291" applyBorder="1"/>
    <xf numFmtId="0" fontId="8" fillId="0" borderId="33" xfId="3312" applyFont="1" applyBorder="1"/>
    <xf numFmtId="0" fontId="73" fillId="0" borderId="35" xfId="3312" applyFont="1" applyBorder="1"/>
    <xf numFmtId="0" fontId="73" fillId="0" borderId="28" xfId="3312" applyFont="1" applyFill="1" applyBorder="1" applyAlignment="1">
      <alignment horizontal="left"/>
    </xf>
    <xf numFmtId="0" fontId="73" fillId="0" borderId="27" xfId="3312" applyFont="1" applyFill="1" applyBorder="1" applyAlignment="1">
      <alignment horizontal="left"/>
    </xf>
    <xf numFmtId="0" fontId="73" fillId="0" borderId="0" xfId="3312" applyFont="1" applyBorder="1" applyAlignment="1">
      <alignment horizontal="left"/>
    </xf>
    <xf numFmtId="0" fontId="11" fillId="0" borderId="16" xfId="0" applyFont="1" applyBorder="1"/>
    <xf numFmtId="171" fontId="11" fillId="0" borderId="0" xfId="993" applyNumberFormat="1" applyFont="1" applyFill="1" applyBorder="1"/>
    <xf numFmtId="177" fontId="75" fillId="32" borderId="0" xfId="995" applyFont="1" applyFill="1"/>
    <xf numFmtId="177" fontId="75" fillId="32" borderId="0" xfId="995" applyFont="1" applyFill="1" applyBorder="1"/>
    <xf numFmtId="177" fontId="75" fillId="32" borderId="2" xfId="995" applyFont="1" applyFill="1" applyBorder="1"/>
    <xf numFmtId="179" fontId="75" fillId="32" borderId="0" xfId="995" applyNumberFormat="1" applyFont="1" applyFill="1"/>
    <xf numFmtId="177" fontId="78" fillId="2" borderId="0" xfId="995" applyFont="1" applyFill="1"/>
    <xf numFmtId="179" fontId="66" fillId="32" borderId="0" xfId="433" applyNumberFormat="1" applyFill="1" applyBorder="1" applyAlignment="1"/>
    <xf numFmtId="177" fontId="78" fillId="2" borderId="0" xfId="995" applyFont="1" applyFill="1" applyBorder="1"/>
    <xf numFmtId="177" fontId="75" fillId="2" borderId="18" xfId="995" applyFont="1" applyFill="1" applyBorder="1"/>
    <xf numFmtId="177" fontId="80" fillId="34" borderId="2" xfId="25" applyNumberFormat="1" applyFont="1" applyBorder="1"/>
    <xf numFmtId="180" fontId="80" fillId="34" borderId="2" xfId="25" applyNumberFormat="1" applyFont="1" applyBorder="1"/>
    <xf numFmtId="180" fontId="80" fillId="34" borderId="2" xfId="25" applyNumberFormat="1" applyFont="1" applyBorder="1" applyProtection="1">
      <protection locked="0"/>
    </xf>
    <xf numFmtId="180" fontId="75" fillId="32" borderId="2" xfId="28" applyNumberFormat="1" applyFont="1" applyBorder="1"/>
    <xf numFmtId="177" fontId="82" fillId="38" borderId="2" xfId="433" applyFont="1" applyBorder="1" applyAlignment="1">
      <alignment horizontal="left"/>
    </xf>
    <xf numFmtId="177" fontId="82" fillId="38" borderId="2" xfId="433" applyFont="1" applyBorder="1" applyAlignment="1"/>
    <xf numFmtId="182" fontId="75" fillId="32" borderId="0" xfId="995" applyNumberFormat="1" applyFont="1" applyFill="1"/>
    <xf numFmtId="177" fontId="75" fillId="2" borderId="19" xfId="995" applyFont="1" applyFill="1" applyBorder="1" applyAlignment="1">
      <alignment horizontal="left"/>
    </xf>
    <xf numFmtId="178" fontId="82" fillId="38" borderId="0" xfId="433" applyNumberFormat="1" applyFont="1" applyBorder="1" applyAlignment="1"/>
    <xf numFmtId="180" fontId="82" fillId="38" borderId="0" xfId="433" applyNumberFormat="1" applyFont="1" applyBorder="1" applyAlignment="1"/>
    <xf numFmtId="180" fontId="82" fillId="38" borderId="19" xfId="433" applyNumberFormat="1" applyFont="1" applyBorder="1" applyAlignment="1"/>
    <xf numFmtId="177" fontId="75" fillId="46" borderId="17" xfId="28" applyNumberFormat="1" applyFont="1" applyFill="1" applyBorder="1" applyAlignment="1">
      <alignment horizontal="center"/>
    </xf>
    <xf numFmtId="177" fontId="82" fillId="46" borderId="0" xfId="995" applyNumberFormat="1" applyFont="1" applyFill="1" applyBorder="1"/>
    <xf numFmtId="182" fontId="75" fillId="32" borderId="2" xfId="28" applyNumberFormat="1" applyFont="1" applyBorder="1"/>
    <xf numFmtId="177" fontId="58" fillId="34" borderId="0" xfId="25" applyNumberFormat="1" applyBorder="1"/>
    <xf numFmtId="178" fontId="82" fillId="44" borderId="0" xfId="433" applyNumberFormat="1" applyFont="1" applyFill="1" applyBorder="1" applyAlignment="1"/>
    <xf numFmtId="175" fontId="75" fillId="44" borderId="0" xfId="28" applyNumberFormat="1" applyFont="1" applyFill="1" applyBorder="1" applyAlignment="1">
      <alignment horizontal="right"/>
    </xf>
    <xf numFmtId="180" fontId="75" fillId="44" borderId="19" xfId="28" applyNumberFormat="1" applyFont="1" applyFill="1" applyBorder="1"/>
    <xf numFmtId="183" fontId="82" fillId="44" borderId="19" xfId="433" applyNumberFormat="1" applyFont="1" applyFill="1" applyBorder="1" applyAlignment="1"/>
    <xf numFmtId="181" fontId="82" fillId="44" borderId="19" xfId="433" applyNumberFormat="1" applyFont="1" applyFill="1" applyBorder="1" applyAlignment="1"/>
    <xf numFmtId="178" fontId="75" fillId="32" borderId="0" xfId="28" applyNumberFormat="1" applyFont="1" applyBorder="1" applyProtection="1">
      <protection locked="0"/>
    </xf>
    <xf numFmtId="177" fontId="82" fillId="38" borderId="20" xfId="433" applyFont="1" applyBorder="1" applyAlignment="1">
      <alignment horizontal="left"/>
    </xf>
    <xf numFmtId="177" fontId="33" fillId="32" borderId="0" xfId="3371" applyFill="1"/>
    <xf numFmtId="177" fontId="33" fillId="32" borderId="0" xfId="3371" applyFill="1" applyBorder="1" applyAlignment="1">
      <alignment horizontal="left"/>
    </xf>
    <xf numFmtId="0" fontId="112" fillId="0" borderId="0" xfId="3261" applyFont="1"/>
    <xf numFmtId="0" fontId="9" fillId="0" borderId="0" xfId="3261"/>
    <xf numFmtId="0" fontId="73" fillId="0" borderId="0" xfId="3261" applyFont="1"/>
    <xf numFmtId="0" fontId="73" fillId="0" borderId="14" xfId="3261" applyFont="1" applyBorder="1"/>
    <xf numFmtId="0" fontId="73" fillId="45" borderId="0" xfId="3261" applyFont="1" applyFill="1"/>
    <xf numFmtId="0" fontId="73" fillId="77" borderId="0" xfId="3261" applyFont="1" applyFill="1"/>
    <xf numFmtId="0" fontId="6" fillId="0" borderId="0" xfId="3261" applyFont="1"/>
    <xf numFmtId="171" fontId="0" fillId="0" borderId="0" xfId="0" applyNumberFormat="1"/>
    <xf numFmtId="171" fontId="0" fillId="0" borderId="0" xfId="0" applyNumberFormat="1" applyBorder="1"/>
    <xf numFmtId="0" fontId="0" fillId="0" borderId="0" xfId="0" applyAlignment="1">
      <alignment horizontal="left"/>
    </xf>
    <xf numFmtId="1" fontId="38" fillId="0" borderId="0" xfId="2002" applyNumberFormat="1" applyFont="1" applyFill="1" applyBorder="1" applyAlignment="1">
      <alignment horizontal="center"/>
    </xf>
    <xf numFmtId="0" fontId="0" fillId="0" borderId="0" xfId="0"/>
    <xf numFmtId="0" fontId="0" fillId="0" borderId="0" xfId="0" applyAlignment="1">
      <alignment horizontal="center"/>
    </xf>
    <xf numFmtId="0" fontId="11" fillId="0" borderId="0" xfId="0" applyFont="1" applyFill="1" applyBorder="1" applyAlignment="1">
      <alignment horizontal="center" vertical="center"/>
    </xf>
    <xf numFmtId="0" fontId="73" fillId="0" borderId="0" xfId="6229" applyFont="1"/>
    <xf numFmtId="0" fontId="4" fillId="0" borderId="0" xfId="6229"/>
    <xf numFmtId="0" fontId="4" fillId="0" borderId="0" xfId="6229" applyFont="1"/>
    <xf numFmtId="170" fontId="4" fillId="0" borderId="51" xfId="7504" applyNumberFormat="1" applyFont="1" applyFill="1" applyBorder="1" applyAlignment="1">
      <alignment horizontal="center"/>
    </xf>
    <xf numFmtId="170" fontId="4" fillId="44" borderId="51" xfId="7504" applyNumberFormat="1" applyFont="1" applyFill="1" applyBorder="1" applyAlignment="1">
      <alignment horizontal="center"/>
    </xf>
    <xf numFmtId="0" fontId="73" fillId="0" borderId="35" xfId="7490" applyFont="1" applyFill="1" applyBorder="1"/>
    <xf numFmtId="165" fontId="4" fillId="0" borderId="33" xfId="6610" applyFont="1" applyFill="1" applyBorder="1"/>
    <xf numFmtId="0" fontId="4" fillId="0" borderId="33" xfId="7490" applyFill="1" applyBorder="1"/>
    <xf numFmtId="0" fontId="73" fillId="0" borderId="33" xfId="7490" applyFont="1" applyFill="1" applyBorder="1"/>
    <xf numFmtId="0" fontId="73" fillId="0" borderId="34" xfId="7490" applyFont="1" applyFill="1" applyBorder="1"/>
    <xf numFmtId="0" fontId="73" fillId="0" borderId="16" xfId="7490" applyFont="1" applyFill="1" applyBorder="1"/>
    <xf numFmtId="2" fontId="4" fillId="0" borderId="0" xfId="7490" applyNumberFormat="1" applyFill="1" applyBorder="1"/>
    <xf numFmtId="2" fontId="4" fillId="44" borderId="0" xfId="7490" applyNumberFormat="1" applyFill="1" applyBorder="1"/>
    <xf numFmtId="0" fontId="4" fillId="44" borderId="16" xfId="7490" applyFont="1" applyFill="1" applyBorder="1"/>
    <xf numFmtId="0" fontId="4" fillId="0" borderId="0" xfId="7490" applyBorder="1"/>
    <xf numFmtId="0" fontId="4" fillId="0" borderId="16" xfId="7490" applyFont="1" applyBorder="1"/>
    <xf numFmtId="0" fontId="4" fillId="0" borderId="0" xfId="7490" applyFont="1" applyBorder="1"/>
    <xf numFmtId="0" fontId="4" fillId="0" borderId="20" xfId="7490" applyBorder="1"/>
    <xf numFmtId="0" fontId="4" fillId="0" borderId="52" xfId="7490" applyBorder="1"/>
    <xf numFmtId="0" fontId="4" fillId="0" borderId="51" xfId="7490" applyBorder="1"/>
    <xf numFmtId="0" fontId="4" fillId="0" borderId="53" xfId="7490" applyBorder="1"/>
    <xf numFmtId="0" fontId="75" fillId="0" borderId="0" xfId="0" applyFont="1"/>
    <xf numFmtId="0" fontId="114" fillId="0" borderId="0" xfId="991" applyFont="1"/>
    <xf numFmtId="0" fontId="115" fillId="78" borderId="0" xfId="991" applyFont="1" applyFill="1"/>
    <xf numFmtId="0" fontId="114" fillId="0" borderId="0" xfId="991" applyFont="1" applyAlignment="1">
      <alignment horizontal="right"/>
    </xf>
    <xf numFmtId="0" fontId="75" fillId="79" borderId="51" xfId="991" applyFont="1" applyFill="1" applyBorder="1" applyAlignment="1">
      <alignment horizontal="left" wrapText="1"/>
    </xf>
    <xf numFmtId="0" fontId="75" fillId="79" borderId="51" xfId="991" applyFont="1" applyFill="1" applyBorder="1" applyAlignment="1">
      <alignment horizontal="right" wrapText="1"/>
    </xf>
    <xf numFmtId="0" fontId="114" fillId="28" borderId="0" xfId="991" applyFont="1" applyFill="1"/>
    <xf numFmtId="0" fontId="84" fillId="0" borderId="0" xfId="991" applyFont="1" applyAlignment="1">
      <alignment horizontal="right"/>
    </xf>
    <xf numFmtId="0" fontId="84" fillId="79" borderId="51" xfId="991" applyFont="1" applyFill="1" applyBorder="1" applyAlignment="1">
      <alignment horizontal="right" wrapText="1"/>
    </xf>
    <xf numFmtId="0" fontId="84" fillId="0" borderId="0" xfId="0" applyFont="1"/>
    <xf numFmtId="0" fontId="0" fillId="0" borderId="0" xfId="0" applyNumberFormat="1" applyFont="1" applyFill="1" applyBorder="1" applyAlignment="1" applyProtection="1"/>
    <xf numFmtId="0" fontId="11" fillId="0" borderId="0" xfId="0" applyFont="1" applyFill="1"/>
    <xf numFmtId="171" fontId="0" fillId="0" borderId="57" xfId="0" applyNumberFormat="1" applyBorder="1"/>
    <xf numFmtId="171" fontId="11" fillId="0" borderId="57" xfId="0" applyNumberFormat="1" applyFont="1" applyFill="1" applyBorder="1"/>
    <xf numFmtId="171" fontId="0" fillId="0" borderId="57" xfId="0" applyNumberFormat="1" applyFill="1" applyBorder="1"/>
    <xf numFmtId="1" fontId="38" fillId="0" borderId="0" xfId="0" applyNumberFormat="1" applyFont="1" applyFill="1" applyBorder="1" applyAlignment="1" applyProtection="1">
      <alignment horizontal="center"/>
    </xf>
    <xf numFmtId="171" fontId="11" fillId="0" borderId="0" xfId="0" applyNumberFormat="1" applyFont="1"/>
    <xf numFmtId="0" fontId="0" fillId="0" borderId="57" xfId="0" applyBorder="1"/>
    <xf numFmtId="0" fontId="0" fillId="0" borderId="57" xfId="0" applyFill="1" applyBorder="1"/>
    <xf numFmtId="0" fontId="75" fillId="29" borderId="54" xfId="991" applyFont="1" applyFill="1" applyBorder="1" applyAlignment="1">
      <alignment horizontal="left" vertical="center" wrapText="1"/>
    </xf>
    <xf numFmtId="0" fontId="75" fillId="29" borderId="54" xfId="991" applyFont="1" applyFill="1" applyBorder="1" applyAlignment="1">
      <alignment horizontal="left" vertical="top" wrapText="1"/>
    </xf>
    <xf numFmtId="0" fontId="75" fillId="29" borderId="54" xfId="991" applyFont="1" applyFill="1" applyBorder="1" applyAlignment="1">
      <alignment horizontal="right" vertical="center" wrapText="1"/>
    </xf>
    <xf numFmtId="0" fontId="84" fillId="29" borderId="54" xfId="991" applyFont="1" applyFill="1" applyBorder="1" applyAlignment="1">
      <alignment horizontal="right" vertical="center" wrapText="1"/>
    </xf>
    <xf numFmtId="0" fontId="75" fillId="29" borderId="0" xfId="991" applyFont="1" applyFill="1" applyAlignment="1">
      <alignment horizontal="right" vertical="center" wrapText="1"/>
    </xf>
    <xf numFmtId="185" fontId="33" fillId="82" borderId="0" xfId="0" applyNumberFormat="1" applyFont="1" applyFill="1"/>
    <xf numFmtId="0" fontId="33" fillId="82" borderId="0" xfId="991" applyFont="1" applyFill="1"/>
    <xf numFmtId="0" fontId="116" fillId="83" borderId="58" xfId="0" applyNumberFormat="1" applyFont="1" applyFill="1" applyBorder="1" applyAlignment="1" applyProtection="1">
      <alignment horizontal="right" wrapText="1"/>
    </xf>
    <xf numFmtId="0" fontId="33" fillId="84" borderId="0" xfId="0" applyNumberFormat="1" applyFont="1" applyFill="1" applyBorder="1" applyAlignment="1" applyProtection="1">
      <alignment horizontal="right" vertical="center" wrapText="1"/>
    </xf>
    <xf numFmtId="0" fontId="14" fillId="0" borderId="0" xfId="0" applyNumberFormat="1" applyFont="1" applyFill="1" applyBorder="1" applyAlignment="1" applyProtection="1"/>
    <xf numFmtId="0" fontId="33" fillId="0" borderId="0" xfId="0" applyNumberFormat="1" applyFont="1" applyFill="1" applyBorder="1" applyAlignment="1" applyProtection="1"/>
    <xf numFmtId="0" fontId="114" fillId="0" borderId="0" xfId="991" applyFont="1" applyFill="1" applyAlignment="1">
      <alignment horizontal="right"/>
    </xf>
    <xf numFmtId="0" fontId="33" fillId="44" borderId="12" xfId="0" applyFont="1" applyFill="1" applyBorder="1" applyAlignment="1">
      <alignment horizontal="left" vertical="center" wrapText="1"/>
    </xf>
    <xf numFmtId="0" fontId="11" fillId="44" borderId="0" xfId="0" applyFont="1" applyFill="1" applyBorder="1" applyAlignment="1"/>
    <xf numFmtId="0" fontId="47" fillId="27" borderId="56" xfId="0" applyFont="1" applyFill="1" applyBorder="1" applyAlignment="1">
      <alignment horizontal="left" vertical="center" wrapText="1"/>
    </xf>
    <xf numFmtId="171" fontId="0" fillId="0" borderId="0" xfId="0" applyNumberFormat="1" applyFill="1"/>
    <xf numFmtId="171" fontId="11" fillId="0" borderId="0" xfId="0" applyNumberFormat="1" applyFont="1" applyFill="1"/>
    <xf numFmtId="171" fontId="12" fillId="0" borderId="57" xfId="0" applyNumberFormat="1" applyFont="1" applyFill="1" applyBorder="1"/>
    <xf numFmtId="171" fontId="0" fillId="0" borderId="54" xfId="0" applyNumberFormat="1" applyBorder="1"/>
    <xf numFmtId="171" fontId="0" fillId="0" borderId="54" xfId="0" applyNumberFormat="1" applyFill="1" applyBorder="1"/>
    <xf numFmtId="171" fontId="12" fillId="0" borderId="54" xfId="0" applyNumberFormat="1" applyFont="1" applyFill="1" applyBorder="1"/>
    <xf numFmtId="171" fontId="5" fillId="0" borderId="57" xfId="5676" applyNumberFormat="1" applyFont="1" applyBorder="1"/>
    <xf numFmtId="0" fontId="49" fillId="0" borderId="0" xfId="0" applyFont="1"/>
    <xf numFmtId="171" fontId="11" fillId="0" borderId="57" xfId="0" applyNumberFormat="1" applyFont="1" applyBorder="1"/>
    <xf numFmtId="171" fontId="0" fillId="0" borderId="57" xfId="0" applyNumberFormat="1" applyFill="1" applyBorder="1" applyAlignment="1">
      <alignment wrapText="1"/>
    </xf>
    <xf numFmtId="0" fontId="0" fillId="0" borderId="54" xfId="0" applyBorder="1"/>
    <xf numFmtId="0" fontId="0" fillId="0" borderId="54" xfId="0" applyFill="1" applyBorder="1"/>
    <xf numFmtId="171" fontId="12" fillId="0" borderId="0" xfId="0" applyNumberFormat="1" applyFont="1" applyFill="1" applyBorder="1" applyAlignment="1">
      <alignment horizontal="left"/>
    </xf>
    <xf numFmtId="171" fontId="11" fillId="0" borderId="0" xfId="0" applyNumberFormat="1" applyFont="1" applyAlignment="1">
      <alignment horizontal="left"/>
    </xf>
    <xf numFmtId="171" fontId="13" fillId="0" borderId="0" xfId="0" applyNumberFormat="1" applyFont="1" applyAlignment="1">
      <alignment horizontal="left" wrapText="1"/>
    </xf>
    <xf numFmtId="0" fontId="117" fillId="0" borderId="0" xfId="0" applyFont="1"/>
    <xf numFmtId="171" fontId="34" fillId="27" borderId="57" xfId="0" applyNumberFormat="1" applyFont="1" applyFill="1" applyBorder="1" applyAlignment="1">
      <alignment horizontal="left" vertical="center" wrapText="1"/>
    </xf>
    <xf numFmtId="171" fontId="34" fillId="27" borderId="57" xfId="0" quotePrefix="1" applyNumberFormat="1" applyFont="1" applyFill="1" applyBorder="1" applyAlignment="1">
      <alignment horizontal="left" vertical="center" wrapText="1"/>
    </xf>
    <xf numFmtId="0" fontId="12" fillId="0" borderId="57" xfId="0" applyFont="1" applyFill="1" applyBorder="1" applyAlignment="1">
      <alignment horizontal="left"/>
    </xf>
    <xf numFmtId="0" fontId="12" fillId="0" borderId="57" xfId="0" applyFont="1" applyFill="1" applyBorder="1" applyAlignment="1">
      <alignment horizontal="center" vertical="center"/>
    </xf>
    <xf numFmtId="1" fontId="38" fillId="0" borderId="57" xfId="2002" applyNumberFormat="1" applyFont="1" applyFill="1" applyBorder="1" applyAlignment="1">
      <alignment horizontal="center"/>
    </xf>
    <xf numFmtId="0" fontId="119" fillId="0" borderId="0" xfId="420" applyFont="1" applyAlignment="1">
      <alignment horizontal="center"/>
    </xf>
    <xf numFmtId="170" fontId="0" fillId="0" borderId="0" xfId="0" applyNumberFormat="1" applyAlignment="1">
      <alignment horizontal="center"/>
    </xf>
    <xf numFmtId="170" fontId="0" fillId="0" borderId="0" xfId="0" applyNumberFormat="1"/>
    <xf numFmtId="1" fontId="38" fillId="0" borderId="56" xfId="2002" applyNumberFormat="1" applyFont="1" applyFill="1" applyBorder="1" applyAlignment="1">
      <alignment horizontal="center"/>
    </xf>
    <xf numFmtId="0" fontId="120" fillId="85" borderId="0" xfId="0" applyFont="1" applyFill="1" applyAlignment="1">
      <alignment horizontal="left"/>
    </xf>
    <xf numFmtId="0" fontId="120" fillId="85" borderId="0" xfId="0" applyFont="1" applyFill="1" applyAlignment="1">
      <alignment horizontal="center"/>
    </xf>
    <xf numFmtId="0" fontId="122" fillId="0" borderId="59" xfId="0" applyFont="1" applyBorder="1" applyAlignment="1">
      <alignment horizontal="left"/>
    </xf>
    <xf numFmtId="0" fontId="114" fillId="0" borderId="0" xfId="0" applyFont="1" applyAlignment="1">
      <alignment horizontal="left"/>
    </xf>
    <xf numFmtId="174" fontId="123" fillId="32" borderId="0" xfId="430" applyNumberFormat="1" applyFont="1" applyFill="1" applyBorder="1"/>
    <xf numFmtId="0" fontId="124" fillId="0" borderId="0" xfId="0" applyFont="1"/>
    <xf numFmtId="170" fontId="125" fillId="35" borderId="43" xfId="1467" applyNumberFormat="1" applyFont="1" applyAlignment="1">
      <alignment horizontal="center"/>
    </xf>
    <xf numFmtId="174" fontId="126" fillId="32" borderId="0" xfId="430" applyNumberFormat="1" applyFont="1" applyFill="1" applyBorder="1"/>
    <xf numFmtId="9" fontId="11" fillId="49" borderId="0" xfId="1473" applyFont="1" applyFill="1" applyBorder="1"/>
    <xf numFmtId="0" fontId="121" fillId="82" borderId="59" xfId="0" applyFont="1" applyFill="1" applyBorder="1" applyAlignment="1">
      <alignment horizontal="left" wrapText="1"/>
    </xf>
    <xf numFmtId="0" fontId="121" fillId="82" borderId="59" xfId="0" applyFont="1" applyFill="1" applyBorder="1" applyAlignment="1">
      <alignment horizontal="center"/>
    </xf>
    <xf numFmtId="1" fontId="122" fillId="0" borderId="59" xfId="0" applyNumberFormat="1" applyFont="1" applyBorder="1" applyAlignment="1">
      <alignment horizontal="center"/>
    </xf>
    <xf numFmtId="0" fontId="114" fillId="0" borderId="0" xfId="0" applyFont="1" applyAlignment="1">
      <alignment vertical="center"/>
    </xf>
    <xf numFmtId="2" fontId="126" fillId="44" borderId="0" xfId="7490" applyNumberFormat="1" applyFont="1" applyFill="1" applyBorder="1"/>
    <xf numFmtId="2" fontId="123" fillId="44" borderId="0" xfId="7490" applyNumberFormat="1" applyFont="1" applyFill="1" applyBorder="1"/>
    <xf numFmtId="170" fontId="123" fillId="44" borderId="51" xfId="7504" applyNumberFormat="1" applyFont="1" applyFill="1" applyBorder="1" applyAlignment="1">
      <alignment horizontal="center"/>
    </xf>
    <xf numFmtId="170" fontId="126" fillId="44" borderId="51" xfId="7504" applyNumberFormat="1" applyFont="1" applyFill="1" applyBorder="1" applyAlignment="1">
      <alignment horizontal="center"/>
    </xf>
    <xf numFmtId="0" fontId="12" fillId="0" borderId="57" xfId="0" applyFont="1" applyBorder="1"/>
    <xf numFmtId="0" fontId="11" fillId="0" borderId="0" xfId="0" applyFont="1"/>
    <xf numFmtId="0" fontId="130" fillId="0" borderId="0" xfId="0" applyFont="1"/>
    <xf numFmtId="9" fontId="11" fillId="0" borderId="0" xfId="1473"/>
    <xf numFmtId="2" fontId="11" fillId="0" borderId="0" xfId="0" applyNumberFormat="1" applyFont="1"/>
    <xf numFmtId="0" fontId="33" fillId="44" borderId="56" xfId="0" applyFont="1" applyFill="1" applyBorder="1" applyAlignment="1">
      <alignment horizontal="left" vertical="center" wrapText="1"/>
    </xf>
    <xf numFmtId="0" fontId="0" fillId="0" borderId="0" xfId="0"/>
    <xf numFmtId="0" fontId="11" fillId="0" borderId="0" xfId="2611"/>
    <xf numFmtId="0" fontId="131" fillId="44" borderId="0" xfId="2611" applyFont="1" applyFill="1"/>
    <xf numFmtId="2" fontId="11" fillId="0" borderId="0" xfId="2611" applyNumberFormat="1"/>
    <xf numFmtId="0" fontId="11" fillId="28" borderId="0" xfId="2611" applyFill="1"/>
    <xf numFmtId="0" fontId="11" fillId="0" borderId="0" xfId="2611" applyAlignment="1" applyProtection="1">
      <alignment horizontal="left"/>
      <protection locked="0"/>
    </xf>
    <xf numFmtId="2" fontId="11" fillId="0" borderId="0" xfId="2611" applyNumberFormat="1" applyAlignment="1">
      <alignment horizontal="center"/>
    </xf>
    <xf numFmtId="169" fontId="11" fillId="0" borderId="0" xfId="2611" applyNumberFormat="1" applyAlignment="1">
      <alignment horizontal="center"/>
    </xf>
    <xf numFmtId="170" fontId="11" fillId="0" borderId="0" xfId="2611" applyNumberFormat="1" applyAlignment="1">
      <alignment horizontal="center"/>
    </xf>
    <xf numFmtId="169" fontId="11" fillId="42" borderId="0" xfId="2611" applyNumberFormat="1" applyFill="1" applyAlignment="1">
      <alignment horizontal="center"/>
    </xf>
    <xf numFmtId="169" fontId="11" fillId="0" borderId="0" xfId="2611" applyNumberFormat="1"/>
    <xf numFmtId="0" fontId="11" fillId="0" borderId="0" xfId="2611" applyAlignment="1">
      <alignment horizontal="center"/>
    </xf>
    <xf numFmtId="1" fontId="11" fillId="0" borderId="0" xfId="2611" applyNumberFormat="1" applyAlignment="1">
      <alignment horizontal="center"/>
    </xf>
    <xf numFmtId="169" fontId="60" fillId="36" borderId="0" xfId="417" applyNumberFormat="1"/>
    <xf numFmtId="0" fontId="11" fillId="0" borderId="35" xfId="2611" applyBorder="1"/>
    <xf numFmtId="0" fontId="45" fillId="0" borderId="33" xfId="2611" applyFont="1" applyBorder="1" applyAlignment="1">
      <alignment horizontal="center"/>
    </xf>
    <xf numFmtId="0" fontId="45" fillId="0" borderId="34" xfId="2611" applyFont="1" applyBorder="1" applyAlignment="1">
      <alignment horizontal="center"/>
    </xf>
    <xf numFmtId="0" fontId="11" fillId="0" borderId="16" xfId="2611" applyBorder="1"/>
    <xf numFmtId="0" fontId="11" fillId="0" borderId="20" xfId="2611" applyBorder="1"/>
    <xf numFmtId="0" fontId="45" fillId="0" borderId="16" xfId="2611" applyFont="1" applyBorder="1"/>
    <xf numFmtId="170" fontId="11" fillId="44" borderId="20" xfId="2611" applyNumberFormat="1" applyFill="1" applyBorder="1" applyAlignment="1">
      <alignment horizontal="center"/>
    </xf>
    <xf numFmtId="0" fontId="45" fillId="0" borderId="67" xfId="2611" applyFont="1" applyBorder="1"/>
    <xf numFmtId="170" fontId="11" fillId="0" borderId="58" xfId="2611" applyNumberFormat="1" applyBorder="1" applyAlignment="1">
      <alignment horizontal="center"/>
    </xf>
    <xf numFmtId="170" fontId="11" fillId="44" borderId="68" xfId="2611" applyNumberFormat="1" applyFill="1" applyBorder="1" applyAlignment="1">
      <alignment horizontal="center"/>
    </xf>
    <xf numFmtId="1" fontId="11" fillId="0" borderId="0" xfId="2611" applyNumberFormat="1"/>
    <xf numFmtId="0" fontId="45" fillId="0" borderId="0" xfId="0" applyFont="1" applyAlignment="1">
      <alignment horizontal="left"/>
    </xf>
    <xf numFmtId="1" fontId="45" fillId="0" borderId="0" xfId="0" applyNumberFormat="1" applyFont="1" applyAlignment="1">
      <alignment horizontal="left"/>
    </xf>
    <xf numFmtId="0" fontId="11" fillId="80" borderId="54" xfId="0" applyFont="1" applyFill="1" applyBorder="1" applyAlignment="1">
      <alignment horizontal="left" vertical="center" wrapText="1"/>
    </xf>
    <xf numFmtId="0" fontId="11" fillId="81" borderId="55" xfId="0" applyFont="1" applyFill="1" applyBorder="1" applyAlignment="1">
      <alignment horizontal="left" vertical="center" wrapText="1"/>
    </xf>
    <xf numFmtId="0" fontId="11" fillId="39" borderId="0" xfId="0" applyFont="1" applyFill="1"/>
    <xf numFmtId="1" fontId="11" fillId="39" borderId="0" xfId="0" applyNumberFormat="1" applyFont="1" applyFill="1" applyAlignment="1">
      <alignment horizontal="center"/>
    </xf>
    <xf numFmtId="0" fontId="0" fillId="0" borderId="14" xfId="0" applyBorder="1"/>
    <xf numFmtId="0" fontId="11" fillId="0" borderId="14" xfId="0" applyFont="1" applyBorder="1"/>
    <xf numFmtId="171" fontId="11" fillId="0" borderId="14" xfId="0" applyNumberFormat="1" applyFont="1" applyFill="1" applyBorder="1"/>
    <xf numFmtId="171" fontId="12" fillId="0" borderId="14" xfId="0" applyNumberFormat="1" applyFont="1" applyFill="1" applyBorder="1"/>
    <xf numFmtId="171" fontId="0" fillId="0" borderId="14" xfId="0" applyNumberFormat="1" applyBorder="1"/>
    <xf numFmtId="0" fontId="117" fillId="0" borderId="0" xfId="0" applyFont="1" applyFill="1" applyBorder="1" applyAlignment="1">
      <alignment horizontal="left"/>
    </xf>
    <xf numFmtId="0" fontId="33" fillId="29" borderId="12" xfId="2611" applyFont="1" applyFill="1" applyBorder="1" applyAlignment="1">
      <alignment horizontal="left" vertical="center" wrapText="1"/>
    </xf>
    <xf numFmtId="0" fontId="33" fillId="30" borderId="12" xfId="2611" applyFont="1" applyFill="1" applyBorder="1" applyAlignment="1">
      <alignment horizontal="left" vertical="center" wrapText="1"/>
    </xf>
    <xf numFmtId="0" fontId="74" fillId="29" borderId="12" xfId="2611" applyFont="1" applyFill="1" applyBorder="1" applyAlignment="1">
      <alignment horizontal="left" vertical="center" wrapText="1"/>
    </xf>
    <xf numFmtId="0" fontId="74" fillId="30" borderId="12" xfId="2611" applyFont="1" applyFill="1" applyBorder="1" applyAlignment="1">
      <alignment horizontal="left" vertical="center" wrapText="1"/>
    </xf>
    <xf numFmtId="0" fontId="74" fillId="43" borderId="12" xfId="2611" applyFont="1" applyFill="1" applyBorder="1" applyAlignment="1">
      <alignment horizontal="left" vertical="center" wrapText="1"/>
    </xf>
    <xf numFmtId="0" fontId="34" fillId="27" borderId="13" xfId="2611" applyFont="1" applyFill="1" applyBorder="1" applyAlignment="1">
      <alignment horizontal="left" vertical="center" wrapText="1"/>
    </xf>
    <xf numFmtId="0" fontId="134" fillId="27" borderId="13" xfId="2611" applyFont="1" applyFill="1" applyBorder="1" applyAlignment="1">
      <alignment horizontal="left" vertical="center" wrapText="1"/>
    </xf>
    <xf numFmtId="2" fontId="11" fillId="86" borderId="0" xfId="2611" applyNumberFormat="1" applyFill="1" applyAlignment="1">
      <alignment horizontal="center"/>
    </xf>
    <xf numFmtId="2" fontId="117" fillId="44" borderId="0" xfId="2611" applyNumberFormat="1" applyFont="1" applyFill="1" applyAlignment="1">
      <alignment horizontal="center"/>
    </xf>
    <xf numFmtId="170" fontId="117" fillId="87" borderId="0" xfId="2611" applyNumberFormat="1" applyFont="1" applyFill="1" applyAlignment="1">
      <alignment horizontal="center"/>
    </xf>
    <xf numFmtId="0" fontId="117" fillId="0" borderId="0" xfId="2611" applyFont="1" applyAlignment="1">
      <alignment horizontal="center"/>
    </xf>
    <xf numFmtId="2" fontId="117" fillId="0" borderId="0" xfId="2611" applyNumberFormat="1" applyFont="1" applyAlignment="1">
      <alignment horizontal="center"/>
    </xf>
    <xf numFmtId="0" fontId="11" fillId="0" borderId="14" xfId="2611" applyBorder="1"/>
    <xf numFmtId="0" fontId="11" fillId="0" borderId="14" xfId="2611" applyBorder="1" applyAlignment="1" applyProtection="1">
      <alignment horizontal="left"/>
      <protection locked="0"/>
    </xf>
    <xf numFmtId="2" fontId="11" fillId="0" borderId="14" xfId="2611" applyNumberFormat="1" applyBorder="1" applyAlignment="1">
      <alignment horizontal="center"/>
    </xf>
    <xf numFmtId="169" fontId="11" fillId="0" borderId="14" xfId="2611" applyNumberFormat="1" applyBorder="1" applyAlignment="1">
      <alignment horizontal="center"/>
    </xf>
    <xf numFmtId="169" fontId="11" fillId="0" borderId="14" xfId="2611" applyNumberFormat="1" applyBorder="1"/>
    <xf numFmtId="0" fontId="11" fillId="0" borderId="0" xfId="2611" applyFill="1"/>
    <xf numFmtId="0" fontId="11" fillId="0" borderId="0" xfId="0" applyFont="1" applyFill="1" applyAlignment="1">
      <alignment horizontal="center"/>
    </xf>
    <xf numFmtId="169" fontId="0" fillId="0" borderId="0" xfId="0" applyNumberFormat="1" applyFill="1" applyAlignment="1">
      <alignment horizontal="center"/>
    </xf>
    <xf numFmtId="0" fontId="93" fillId="0" borderId="0" xfId="0" applyFont="1"/>
    <xf numFmtId="0" fontId="85" fillId="0" borderId="0" xfId="0" applyFont="1"/>
    <xf numFmtId="0" fontId="0" fillId="44" borderId="0" xfId="0" applyFill="1"/>
    <xf numFmtId="0" fontId="85" fillId="44" borderId="0" xfId="0" applyFont="1" applyFill="1"/>
    <xf numFmtId="2" fontId="0" fillId="0" borderId="0" xfId="0" applyNumberFormat="1"/>
    <xf numFmtId="1" fontId="0" fillId="0" borderId="0" xfId="0" applyNumberFormat="1"/>
    <xf numFmtId="2" fontId="136" fillId="0" borderId="0" xfId="10574" applyNumberFormat="1" applyFont="1"/>
    <xf numFmtId="0" fontId="11" fillId="0" borderId="57" xfId="2611" applyBorder="1"/>
    <xf numFmtId="0" fontId="117" fillId="0" borderId="0" xfId="2611" applyFont="1"/>
    <xf numFmtId="0" fontId="33" fillId="29" borderId="69" xfId="2611" applyFont="1" applyFill="1" applyBorder="1" applyAlignment="1">
      <alignment horizontal="left" vertical="center" wrapText="1"/>
    </xf>
    <xf numFmtId="0" fontId="33" fillId="30" borderId="69" xfId="2611" applyFont="1" applyFill="1" applyBorder="1" applyAlignment="1">
      <alignment horizontal="left" vertical="center" wrapText="1"/>
    </xf>
    <xf numFmtId="0" fontId="74" fillId="29" borderId="69" xfId="2611" applyFont="1" applyFill="1" applyBorder="1" applyAlignment="1">
      <alignment horizontal="left" vertical="center" wrapText="1"/>
    </xf>
    <xf numFmtId="0" fontId="74" fillId="30" borderId="69" xfId="2611" applyFont="1" applyFill="1" applyBorder="1" applyAlignment="1">
      <alignment horizontal="left" vertical="center" wrapText="1"/>
    </xf>
    <xf numFmtId="0" fontId="74" fillId="43" borderId="69" xfId="2611" applyFont="1" applyFill="1" applyBorder="1" applyAlignment="1">
      <alignment horizontal="left" vertical="center" wrapText="1"/>
    </xf>
    <xf numFmtId="0" fontId="34" fillId="27" borderId="55" xfId="2611" applyFont="1" applyFill="1" applyBorder="1" applyAlignment="1">
      <alignment horizontal="left" vertical="center" wrapText="1"/>
    </xf>
    <xf numFmtId="0" fontId="134" fillId="27" borderId="55" xfId="2611" applyFont="1" applyFill="1" applyBorder="1" applyAlignment="1">
      <alignment horizontal="left" vertical="center" wrapText="1"/>
    </xf>
    <xf numFmtId="0" fontId="11" fillId="0" borderId="57" xfId="2611" applyBorder="1" applyAlignment="1" applyProtection="1">
      <alignment horizontal="left"/>
      <protection locked="0"/>
    </xf>
    <xf numFmtId="2" fontId="11" fillId="0" borderId="57" xfId="2611" applyNumberFormat="1" applyBorder="1" applyAlignment="1">
      <alignment horizontal="center"/>
    </xf>
    <xf numFmtId="169" fontId="11" fillId="0" borderId="57" xfId="2611" applyNumberFormat="1" applyBorder="1" applyAlignment="1">
      <alignment horizontal="center"/>
    </xf>
    <xf numFmtId="169" fontId="11" fillId="0" borderId="57" xfId="2611" applyNumberFormat="1" applyBorder="1"/>
    <xf numFmtId="0" fontId="121" fillId="82" borderId="60" xfId="0" applyFont="1" applyFill="1" applyBorder="1" applyAlignment="1">
      <alignment horizontal="center" vertical="top"/>
    </xf>
    <xf numFmtId="0" fontId="0" fillId="0" borderId="0" xfId="0" quotePrefix="1"/>
    <xf numFmtId="0" fontId="11" fillId="0" borderId="0" xfId="0" applyFont="1" applyAlignment="1">
      <alignment horizontal="left"/>
    </xf>
    <xf numFmtId="0" fontId="11" fillId="0" borderId="0" xfId="0" applyFont="1" applyAlignment="1">
      <alignment horizontal="center" vertical="center"/>
    </xf>
    <xf numFmtId="0" fontId="33" fillId="0" borderId="69" xfId="0" applyFont="1" applyBorder="1" applyAlignment="1">
      <alignment horizontal="left" vertical="center" wrapText="1"/>
    </xf>
    <xf numFmtId="0" fontId="11" fillId="39" borderId="0" xfId="0" applyFont="1" applyFill="1" applyAlignment="1">
      <alignment horizontal="center" vertical="center"/>
    </xf>
    <xf numFmtId="174" fontId="11" fillId="0" borderId="0" xfId="0" applyNumberFormat="1" applyFont="1" applyAlignment="1">
      <alignment horizontal="left"/>
    </xf>
    <xf numFmtId="174" fontId="11" fillId="39" borderId="0" xfId="0" applyNumberFormat="1" applyFont="1" applyFill="1" applyAlignment="1">
      <alignment horizontal="left"/>
    </xf>
    <xf numFmtId="164" fontId="11" fillId="0" borderId="0" xfId="0" applyNumberFormat="1" applyFont="1" applyAlignment="1">
      <alignment horizontal="left"/>
    </xf>
    <xf numFmtId="14" fontId="0" fillId="0" borderId="0" xfId="0" applyNumberFormat="1"/>
    <xf numFmtId="0" fontId="0" fillId="0" borderId="67" xfId="0" applyBorder="1"/>
    <xf numFmtId="0" fontId="11" fillId="0" borderId="58" xfId="0" applyFont="1" applyBorder="1"/>
    <xf numFmtId="9" fontId="0" fillId="0" borderId="58" xfId="1473" applyFont="1" applyBorder="1"/>
    <xf numFmtId="0" fontId="0" fillId="0" borderId="58" xfId="0" applyBorder="1"/>
    <xf numFmtId="0" fontId="0" fillId="0" borderId="68" xfId="0" applyBorder="1"/>
    <xf numFmtId="0" fontId="11" fillId="0" borderId="16" xfId="0" applyFont="1" applyBorder="1" applyAlignment="1">
      <alignment horizontal="left"/>
    </xf>
    <xf numFmtId="178" fontId="0" fillId="0" borderId="0" xfId="0" applyNumberFormat="1"/>
    <xf numFmtId="0" fontId="11" fillId="0" borderId="67" xfId="0" applyFont="1" applyBorder="1" applyAlignment="1">
      <alignment horizontal="left"/>
    </xf>
    <xf numFmtId="178" fontId="0" fillId="0" borderId="58" xfId="0" applyNumberFormat="1" applyBorder="1"/>
    <xf numFmtId="0" fontId="0" fillId="2" borderId="0" xfId="0" applyFill="1"/>
    <xf numFmtId="0" fontId="73" fillId="32" borderId="0" xfId="983" applyFont="1" applyFill="1"/>
    <xf numFmtId="174" fontId="1" fillId="32" borderId="0" xfId="430" applyNumberFormat="1" applyFont="1" applyFill="1" applyBorder="1"/>
    <xf numFmtId="0" fontId="73" fillId="32" borderId="70" xfId="983" applyFont="1" applyFill="1" applyBorder="1"/>
    <xf numFmtId="0" fontId="56" fillId="32" borderId="70" xfId="983" applyFill="1" applyBorder="1"/>
    <xf numFmtId="0" fontId="1" fillId="32" borderId="70" xfId="983" applyFont="1" applyFill="1" applyBorder="1"/>
    <xf numFmtId="174" fontId="1" fillId="32" borderId="70" xfId="430" applyNumberFormat="1" applyFont="1" applyFill="1" applyBorder="1"/>
    <xf numFmtId="174" fontId="123" fillId="32" borderId="70" xfId="430" applyNumberFormat="1" applyFont="1" applyFill="1" applyBorder="1"/>
    <xf numFmtId="174" fontId="126" fillId="32" borderId="70" xfId="430" applyNumberFormat="1" applyFont="1" applyFill="1" applyBorder="1"/>
    <xf numFmtId="0" fontId="56" fillId="32" borderId="0" xfId="983" applyFill="1"/>
    <xf numFmtId="0" fontId="1" fillId="32" borderId="0" xfId="983" applyFont="1" applyFill="1"/>
    <xf numFmtId="174" fontId="126" fillId="32" borderId="69" xfId="430" applyNumberFormat="1" applyFont="1" applyFill="1" applyBorder="1"/>
    <xf numFmtId="0" fontId="73" fillId="32" borderId="57" xfId="983" applyFont="1" applyFill="1" applyBorder="1"/>
    <xf numFmtId="0" fontId="56" fillId="32" borderId="57" xfId="983" applyFill="1" applyBorder="1"/>
    <xf numFmtId="0" fontId="1" fillId="32" borderId="57" xfId="983" applyFont="1" applyFill="1" applyBorder="1"/>
    <xf numFmtId="174" fontId="1" fillId="32" borderId="57" xfId="430" applyNumberFormat="1" applyFont="1" applyFill="1" applyBorder="1"/>
    <xf numFmtId="174" fontId="123" fillId="32" borderId="57" xfId="430" applyNumberFormat="1" applyFont="1" applyFill="1" applyBorder="1"/>
    <xf numFmtId="174" fontId="126" fillId="32" borderId="57" xfId="430" applyNumberFormat="1" applyFont="1" applyFill="1" applyBorder="1"/>
    <xf numFmtId="0" fontId="11" fillId="2" borderId="0" xfId="0" applyFont="1" applyFill="1"/>
    <xf numFmtId="0" fontId="121" fillId="82" borderId="2" xfId="0" applyFont="1" applyFill="1" applyBorder="1" applyAlignment="1">
      <alignment horizontal="center" wrapText="1"/>
    </xf>
    <xf numFmtId="0" fontId="121" fillId="82" borderId="2" xfId="0" applyFont="1" applyFill="1" applyBorder="1" applyAlignment="1">
      <alignment horizontal="center" vertical="top"/>
    </xf>
    <xf numFmtId="0" fontId="121" fillId="82" borderId="2" xfId="0" applyFont="1" applyFill="1" applyBorder="1" applyAlignment="1">
      <alignment horizontal="center" vertical="top" wrapText="1"/>
    </xf>
    <xf numFmtId="0" fontId="122" fillId="0" borderId="2" xfId="0" applyFont="1" applyBorder="1" applyAlignment="1">
      <alignment horizontal="left"/>
    </xf>
    <xf numFmtId="170" fontId="122" fillId="0" borderId="2" xfId="0" applyNumberFormat="1" applyFont="1" applyBorder="1" applyAlignment="1">
      <alignment horizontal="center"/>
    </xf>
    <xf numFmtId="0" fontId="137" fillId="0" borderId="0" xfId="0" applyFont="1"/>
    <xf numFmtId="0" fontId="121" fillId="82" borderId="2" xfId="0" applyFont="1" applyFill="1" applyBorder="1" applyAlignment="1">
      <alignment vertical="top" wrapText="1"/>
    </xf>
    <xf numFmtId="0" fontId="121" fillId="82" borderId="70" xfId="0" applyFont="1" applyFill="1" applyBorder="1" applyAlignment="1">
      <alignment horizontal="center" vertical="top"/>
    </xf>
    <xf numFmtId="0" fontId="121" fillId="82" borderId="71" xfId="0" applyFont="1" applyFill="1" applyBorder="1" applyAlignment="1">
      <alignment horizontal="center" vertical="top"/>
    </xf>
    <xf numFmtId="0" fontId="138" fillId="88" borderId="2" xfId="0" applyFont="1" applyFill="1" applyBorder="1" applyAlignment="1">
      <alignment horizontal="center" vertical="top"/>
    </xf>
    <xf numFmtId="2" fontId="122" fillId="0" borderId="2" xfId="0" applyNumberFormat="1" applyFont="1" applyBorder="1" applyAlignment="1">
      <alignment horizontal="center"/>
    </xf>
    <xf numFmtId="170" fontId="139" fillId="0" borderId="72" xfId="0" applyNumberFormat="1" applyFont="1" applyBorder="1" applyAlignment="1">
      <alignment horizontal="center"/>
    </xf>
    <xf numFmtId="170" fontId="139" fillId="0" borderId="2" xfId="0" applyNumberFormat="1" applyFont="1" applyBorder="1" applyAlignment="1">
      <alignment horizontal="center"/>
    </xf>
    <xf numFmtId="170" fontId="139" fillId="0" borderId="73" xfId="0" applyNumberFormat="1" applyFont="1" applyBorder="1" applyAlignment="1">
      <alignment horizontal="center"/>
    </xf>
    <xf numFmtId="0" fontId="75" fillId="79" borderId="58" xfId="991" applyFont="1" applyFill="1" applyBorder="1" applyAlignment="1">
      <alignment horizontal="right" wrapText="1"/>
    </xf>
    <xf numFmtId="0" fontId="75" fillId="29" borderId="70" xfId="991" applyFont="1" applyFill="1" applyBorder="1" applyAlignment="1">
      <alignment horizontal="right" vertical="center" wrapText="1"/>
    </xf>
    <xf numFmtId="0" fontId="121" fillId="82" borderId="2" xfId="0" applyFont="1" applyFill="1" applyBorder="1" applyAlignment="1">
      <alignment horizontal="left" vertical="top" wrapText="1"/>
    </xf>
    <xf numFmtId="0" fontId="121" fillId="82" borderId="60" xfId="0" applyFont="1" applyFill="1" applyBorder="1" applyAlignment="1">
      <alignment horizontal="center" vertical="top"/>
    </xf>
    <xf numFmtId="0" fontId="121" fillId="82" borderId="70" xfId="0" applyFont="1" applyFill="1" applyBorder="1" applyAlignment="1">
      <alignment horizontal="center" vertical="top"/>
    </xf>
    <xf numFmtId="0" fontId="127" fillId="0" borderId="0" xfId="0" applyFont="1" applyFill="1" applyBorder="1" applyAlignment="1">
      <alignment horizontal="center"/>
    </xf>
    <xf numFmtId="0" fontId="45" fillId="0" borderId="0" xfId="0" applyFont="1" applyFill="1" applyAlignment="1">
      <alignment horizontal="center"/>
    </xf>
  </cellXfs>
  <cellStyles count="10575">
    <cellStyle name="_x000a_shell=progma 2" xfId="1" xr:uid="{00000000-0005-0000-0000-000000000000}"/>
    <cellStyle name="_x000a_shell=progma 2 2" xfId="2073" xr:uid="{00000000-0005-0000-0000-000001000000}"/>
    <cellStyle name="1.000" xfId="2" xr:uid="{00000000-0005-0000-0000-000002000000}"/>
    <cellStyle name="1.000 2" xfId="2074" xr:uid="{00000000-0005-0000-0000-000003000000}"/>
    <cellStyle name="20 % - Markeringsfarve1 2" xfId="3588" xr:uid="{00000000-0005-0000-0000-000004000000}"/>
    <cellStyle name="20 % - Markeringsfarve1 2 2" xfId="3587" xr:uid="{00000000-0005-0000-0000-000005000000}"/>
    <cellStyle name="20 % - Markeringsfarve1 2 2 2" xfId="4229" xr:uid="{00000000-0005-0000-0000-000006000000}"/>
    <cellStyle name="20 % - Markeringsfarve1 2 2 2 2" xfId="7397" xr:uid="{00000000-0005-0000-0000-000007000000}"/>
    <cellStyle name="20 % - Markeringsfarve1 2 2 2 2 2" xfId="10065" xr:uid="{2F114C0D-BB39-4844-AF1E-21B7514CB9AA}"/>
    <cellStyle name="20 % - Markeringsfarve1 2 2 2 3" xfId="8734" xr:uid="{3DE0F28B-1F27-4E71-8D28-2D94EFC32445}"/>
    <cellStyle name="20 % - Markeringsfarve1 2 2 3" xfId="6774" xr:uid="{00000000-0005-0000-0000-000008000000}"/>
    <cellStyle name="20 % - Markeringsfarve1 2 2 3 2" xfId="9442" xr:uid="{5A8E41F0-B862-4961-A23F-7BC155F330BA}"/>
    <cellStyle name="20 % - Markeringsfarve1 2 2 4" xfId="8111" xr:uid="{66E7687B-3258-4F60-A4CC-7D69E9FCF2C6}"/>
    <cellStyle name="20 % - Markeringsfarve1 2 3" xfId="3586" xr:uid="{00000000-0005-0000-0000-000009000000}"/>
    <cellStyle name="20 % - Markeringsfarve1 2 3 2" xfId="4228" xr:uid="{00000000-0005-0000-0000-00000A000000}"/>
    <cellStyle name="20 % - Markeringsfarve1 2 3 2 2" xfId="7396" xr:uid="{00000000-0005-0000-0000-00000B000000}"/>
    <cellStyle name="20 % - Markeringsfarve1 2 3 2 2 2" xfId="10064" xr:uid="{78B129F6-B88D-420C-AC16-B787668A55FF}"/>
    <cellStyle name="20 % - Markeringsfarve1 2 3 2 3" xfId="8733" xr:uid="{D16215E4-02F5-4505-AC42-8529B2434196}"/>
    <cellStyle name="20 % - Markeringsfarve1 2 3 3" xfId="6773" xr:uid="{00000000-0005-0000-0000-00000C000000}"/>
    <cellStyle name="20 % - Markeringsfarve1 2 3 3 2" xfId="9441" xr:uid="{547B73F9-6F1D-41EB-B716-67FCF233DC99}"/>
    <cellStyle name="20 % - Markeringsfarve1 2 3 4" xfId="8110" xr:uid="{2EF2D1A0-58D0-462A-8197-6EA96F225099}"/>
    <cellStyle name="20 % - Markeringsfarve1 2 4" xfId="4230" xr:uid="{00000000-0005-0000-0000-00000D000000}"/>
    <cellStyle name="20 % - Markeringsfarve1 2 4 2" xfId="7398" xr:uid="{00000000-0005-0000-0000-00000E000000}"/>
    <cellStyle name="20 % - Markeringsfarve1 2 4 2 2" xfId="10066" xr:uid="{F2E68DB0-7FBB-4C56-A6AD-0E59041441F4}"/>
    <cellStyle name="20 % - Markeringsfarve1 2 4 3" xfId="8735" xr:uid="{D5146D37-4777-4BAC-BEE7-9C5C0178AAD0}"/>
    <cellStyle name="20 % - Markeringsfarve1 2 5" xfId="6775" xr:uid="{00000000-0005-0000-0000-00000F000000}"/>
    <cellStyle name="20 % - Markeringsfarve1 2 5 2" xfId="9443" xr:uid="{209E5748-1A24-4351-B70B-2B8792C2F8C7}"/>
    <cellStyle name="20 % - Markeringsfarve1 2 6" xfId="8112" xr:uid="{4D132D14-AB64-43F4-9667-EFF7766C4734}"/>
    <cellStyle name="20 % - Markeringsfarve1 3" xfId="3585" xr:uid="{00000000-0005-0000-0000-000010000000}"/>
    <cellStyle name="20 % - Markeringsfarve1 3 2" xfId="3531" xr:uid="{00000000-0005-0000-0000-000011000000}"/>
    <cellStyle name="20 % - Markeringsfarve1 3 2 2" xfId="4173" xr:uid="{00000000-0005-0000-0000-000012000000}"/>
    <cellStyle name="20 % - Markeringsfarve1 3 2 2 2" xfId="7341" xr:uid="{00000000-0005-0000-0000-000013000000}"/>
    <cellStyle name="20 % - Markeringsfarve1 3 2 2 2 2" xfId="10009" xr:uid="{F514D7F4-E705-42B6-9017-43539CBA645F}"/>
    <cellStyle name="20 % - Markeringsfarve1 3 2 2 3" xfId="8678" xr:uid="{6BC6046E-ACF3-48F2-9632-9DC44D9A1E4F}"/>
    <cellStyle name="20 % - Markeringsfarve1 3 2 3" xfId="6718" xr:uid="{00000000-0005-0000-0000-000014000000}"/>
    <cellStyle name="20 % - Markeringsfarve1 3 2 3 2" xfId="9386" xr:uid="{2E39AF50-3E28-4C9C-9BF8-D64736D0C385}"/>
    <cellStyle name="20 % - Markeringsfarve1 3 2 4" xfId="8055" xr:uid="{E34A2A33-12B6-49CB-834E-9988AD1BB77D}"/>
    <cellStyle name="20 % - Markeringsfarve1 3 3" xfId="4227" xr:uid="{00000000-0005-0000-0000-000015000000}"/>
    <cellStyle name="20 % - Markeringsfarve1 3 3 2" xfId="7395" xr:uid="{00000000-0005-0000-0000-000016000000}"/>
    <cellStyle name="20 % - Markeringsfarve1 3 3 2 2" xfId="10063" xr:uid="{3EADD285-5982-4B3A-9EF7-C8B14099F5C6}"/>
    <cellStyle name="20 % - Markeringsfarve1 3 3 3" xfId="8732" xr:uid="{421D614B-D9EE-4D40-8252-8EF0178107CE}"/>
    <cellStyle name="20 % - Markeringsfarve1 3 4" xfId="6772" xr:uid="{00000000-0005-0000-0000-000017000000}"/>
    <cellStyle name="20 % - Markeringsfarve1 3 4 2" xfId="9440" xr:uid="{70462FE4-8A0B-4D4A-8731-4DDE6E16FA04}"/>
    <cellStyle name="20 % - Markeringsfarve1 3 5" xfId="8109" xr:uid="{38BAE3DA-C8AB-4D8E-801F-8B4E068DCB4B}"/>
    <cellStyle name="20 % - Markeringsfarve1 4" xfId="3584" xr:uid="{00000000-0005-0000-0000-000018000000}"/>
    <cellStyle name="20 % - Markeringsfarve1 4 2" xfId="4226" xr:uid="{00000000-0005-0000-0000-000019000000}"/>
    <cellStyle name="20 % - Markeringsfarve1 4 2 2" xfId="7394" xr:uid="{00000000-0005-0000-0000-00001A000000}"/>
    <cellStyle name="20 % - Markeringsfarve1 4 2 2 2" xfId="10062" xr:uid="{29E33F70-EB52-4E0B-ADAE-899C7506E2B2}"/>
    <cellStyle name="20 % - Markeringsfarve1 4 2 3" xfId="8731" xr:uid="{7B58151D-CF1C-44FE-A93B-C69265B376A7}"/>
    <cellStyle name="20 % - Markeringsfarve1 4 3" xfId="6771" xr:uid="{00000000-0005-0000-0000-00001B000000}"/>
    <cellStyle name="20 % - Markeringsfarve1 4 3 2" xfId="9439" xr:uid="{3150D3C3-2EEE-499D-BBA5-9B0C7FE55140}"/>
    <cellStyle name="20 % - Markeringsfarve1 4 4" xfId="8108" xr:uid="{26AB9B66-2762-41E3-A28C-FF0C66C50D70}"/>
    <cellStyle name="20 % - Markeringsfarve1 5" xfId="3533" xr:uid="{00000000-0005-0000-0000-00001C000000}"/>
    <cellStyle name="20 % - Markeringsfarve1 5 2" xfId="4175" xr:uid="{00000000-0005-0000-0000-00001D000000}"/>
    <cellStyle name="20 % - Markeringsfarve1 5 2 2" xfId="7343" xr:uid="{00000000-0005-0000-0000-00001E000000}"/>
    <cellStyle name="20 % - Markeringsfarve1 5 2 2 2" xfId="10011" xr:uid="{8F433CAD-FE88-460F-8EBC-C408CD1CCA24}"/>
    <cellStyle name="20 % - Markeringsfarve1 5 2 3" xfId="8680" xr:uid="{03E9397D-D6F3-48E8-9820-AEA19642A9AE}"/>
    <cellStyle name="20 % - Markeringsfarve1 5 3" xfId="6720" xr:uid="{00000000-0005-0000-0000-00001F000000}"/>
    <cellStyle name="20 % - Markeringsfarve1 5 3 2" xfId="9388" xr:uid="{6607878E-BB32-4ADC-B890-6572B6664F11}"/>
    <cellStyle name="20 % - Markeringsfarve1 5 4" xfId="8057" xr:uid="{44FA0C6D-E50F-4EBE-9100-5C8B36A9C2C3}"/>
    <cellStyle name="20 % - Markeringsfarve1 6" xfId="3529" xr:uid="{00000000-0005-0000-0000-000020000000}"/>
    <cellStyle name="20 % - Markeringsfarve1 6 2" xfId="4171" xr:uid="{00000000-0005-0000-0000-000021000000}"/>
    <cellStyle name="20 % - Markeringsfarve1 6 2 2" xfId="7339" xr:uid="{00000000-0005-0000-0000-000022000000}"/>
    <cellStyle name="20 % - Markeringsfarve1 6 2 2 2" xfId="10007" xr:uid="{538EA285-BCA4-4A29-AE0D-4501DE650D43}"/>
    <cellStyle name="20 % - Markeringsfarve1 6 2 3" xfId="8676" xr:uid="{ED217727-A5D8-453A-BC31-01F1BBFEE9C2}"/>
    <cellStyle name="20 % - Markeringsfarve1 6 3" xfId="6716" xr:uid="{00000000-0005-0000-0000-000023000000}"/>
    <cellStyle name="20 % - Markeringsfarve1 6 3 2" xfId="9384" xr:uid="{5D62FA42-C143-4238-9D64-1BF7A5A2FA4A}"/>
    <cellStyle name="20 % - Markeringsfarve1 6 4" xfId="8053" xr:uid="{14A157AF-9144-424F-BF1A-1065D20F8331}"/>
    <cellStyle name="20 % - Markeringsfarve1 7" xfId="4159" xr:uid="{00000000-0005-0000-0000-000024000000}"/>
    <cellStyle name="20 % - Markeringsfarve1 7 2" xfId="7327" xr:uid="{00000000-0005-0000-0000-000025000000}"/>
    <cellStyle name="20 % - Markeringsfarve1 7 2 2" xfId="9995" xr:uid="{5A75AB0C-5448-4DF9-B9ED-1B0031A85E76}"/>
    <cellStyle name="20 % - Markeringsfarve1 7 3" xfId="8664" xr:uid="{5B5E4704-75EE-49A8-BB00-095615E19629}"/>
    <cellStyle name="20 % - Markeringsfarve2 2" xfId="3583" xr:uid="{00000000-0005-0000-0000-000026000000}"/>
    <cellStyle name="20 % - Markeringsfarve2 2 2" xfId="3532" xr:uid="{00000000-0005-0000-0000-000027000000}"/>
    <cellStyle name="20 % - Markeringsfarve2 2 2 2" xfId="4174" xr:uid="{00000000-0005-0000-0000-000028000000}"/>
    <cellStyle name="20 % - Markeringsfarve2 2 2 2 2" xfId="7342" xr:uid="{00000000-0005-0000-0000-000029000000}"/>
    <cellStyle name="20 % - Markeringsfarve2 2 2 2 2 2" xfId="10010" xr:uid="{890E2E61-517E-4628-9414-4FCF6558F79B}"/>
    <cellStyle name="20 % - Markeringsfarve2 2 2 2 3" xfId="8679" xr:uid="{D1987908-7ED9-4EC5-82CD-4EEDB267673B}"/>
    <cellStyle name="20 % - Markeringsfarve2 2 2 3" xfId="6719" xr:uid="{00000000-0005-0000-0000-00002A000000}"/>
    <cellStyle name="20 % - Markeringsfarve2 2 2 3 2" xfId="9387" xr:uid="{7F8BCB48-E665-457D-B0F2-D34E70ECB403}"/>
    <cellStyle name="20 % - Markeringsfarve2 2 2 4" xfId="8056" xr:uid="{7FA6C959-A622-4BA4-B7D4-04C1F213848E}"/>
    <cellStyle name="20 % - Markeringsfarve2 2 3" xfId="3530" xr:uid="{00000000-0005-0000-0000-00002B000000}"/>
    <cellStyle name="20 % - Markeringsfarve2 2 3 2" xfId="4172" xr:uid="{00000000-0005-0000-0000-00002C000000}"/>
    <cellStyle name="20 % - Markeringsfarve2 2 3 2 2" xfId="7340" xr:uid="{00000000-0005-0000-0000-00002D000000}"/>
    <cellStyle name="20 % - Markeringsfarve2 2 3 2 2 2" xfId="10008" xr:uid="{5DC76BA2-5A0E-476A-B199-FCE8034C5B51}"/>
    <cellStyle name="20 % - Markeringsfarve2 2 3 2 3" xfId="8677" xr:uid="{316F5669-9742-4443-92EC-AEEFD8441DB7}"/>
    <cellStyle name="20 % - Markeringsfarve2 2 3 3" xfId="6717" xr:uid="{00000000-0005-0000-0000-00002E000000}"/>
    <cellStyle name="20 % - Markeringsfarve2 2 3 3 2" xfId="9385" xr:uid="{BD8DD44B-C3C3-42E7-BB52-E13539B14147}"/>
    <cellStyle name="20 % - Markeringsfarve2 2 3 4" xfId="8054" xr:uid="{549396BD-FA10-4017-85A0-D0AF0DF3A4CF}"/>
    <cellStyle name="20 % - Markeringsfarve2 2 4" xfId="4225" xr:uid="{00000000-0005-0000-0000-00002F000000}"/>
    <cellStyle name="20 % - Markeringsfarve2 2 4 2" xfId="7393" xr:uid="{00000000-0005-0000-0000-000030000000}"/>
    <cellStyle name="20 % - Markeringsfarve2 2 4 2 2" xfId="10061" xr:uid="{054DA1E1-9ED2-4252-938B-D2062AF1A023}"/>
    <cellStyle name="20 % - Markeringsfarve2 2 4 3" xfId="8730" xr:uid="{1E48F7F8-F20C-4CFC-893F-D5B5B5B9F5B2}"/>
    <cellStyle name="20 % - Markeringsfarve2 2 5" xfId="6770" xr:uid="{00000000-0005-0000-0000-000031000000}"/>
    <cellStyle name="20 % - Markeringsfarve2 2 5 2" xfId="9438" xr:uid="{750191F4-DF2E-431E-9B88-527A4A3FE39F}"/>
    <cellStyle name="20 % - Markeringsfarve2 2 6" xfId="8107" xr:uid="{F21595D1-F9C3-42ED-9C34-9250990B0969}"/>
    <cellStyle name="20 % - Markeringsfarve2 3" xfId="3582" xr:uid="{00000000-0005-0000-0000-000032000000}"/>
    <cellStyle name="20 % - Markeringsfarve2 3 2" xfId="4224" xr:uid="{00000000-0005-0000-0000-000033000000}"/>
    <cellStyle name="20 % - Markeringsfarve2 3 2 2" xfId="7392" xr:uid="{00000000-0005-0000-0000-000034000000}"/>
    <cellStyle name="20 % - Markeringsfarve2 3 2 2 2" xfId="10060" xr:uid="{BFD01A8E-D966-4D47-93F3-74C4C9444844}"/>
    <cellStyle name="20 % - Markeringsfarve2 3 2 3" xfId="8729" xr:uid="{E6C6DF2D-0000-4239-8B58-A9475B70488B}"/>
    <cellStyle name="20 % - Markeringsfarve2 3 3" xfId="6769" xr:uid="{00000000-0005-0000-0000-000035000000}"/>
    <cellStyle name="20 % - Markeringsfarve2 3 3 2" xfId="9437" xr:uid="{5A44C6A7-A0D5-4255-AC88-AD76DA76FF93}"/>
    <cellStyle name="20 % - Markeringsfarve2 3 4" xfId="8106" xr:uid="{8CAC850E-F1D5-4C5E-98DB-659BB1F03A05}"/>
    <cellStyle name="20 % - Markeringsfarve2 4" xfId="3581" xr:uid="{00000000-0005-0000-0000-000036000000}"/>
    <cellStyle name="20 % - Markeringsfarve2 4 2" xfId="4223" xr:uid="{00000000-0005-0000-0000-000037000000}"/>
    <cellStyle name="20 % - Markeringsfarve2 4 2 2" xfId="7391" xr:uid="{00000000-0005-0000-0000-000038000000}"/>
    <cellStyle name="20 % - Markeringsfarve2 4 2 2 2" xfId="10059" xr:uid="{E9820F40-A67F-4FA7-9F4A-2F9B6903664E}"/>
    <cellStyle name="20 % - Markeringsfarve2 4 2 3" xfId="8728" xr:uid="{0388CE96-B867-41D6-92FC-10D59630EA7B}"/>
    <cellStyle name="20 % - Markeringsfarve2 4 3" xfId="6768" xr:uid="{00000000-0005-0000-0000-000039000000}"/>
    <cellStyle name="20 % - Markeringsfarve2 4 3 2" xfId="9436" xr:uid="{457507E4-0D59-4BBE-BDEC-13F6AA16B56E}"/>
    <cellStyle name="20 % - Markeringsfarve2 4 4" xfId="8105" xr:uid="{E0CB6E29-7E95-46BE-8199-2BE945ADE379}"/>
    <cellStyle name="20 % - Markeringsfarve2 5" xfId="3580" xr:uid="{00000000-0005-0000-0000-00003A000000}"/>
    <cellStyle name="20 % - Markeringsfarve2 5 2" xfId="4222" xr:uid="{00000000-0005-0000-0000-00003B000000}"/>
    <cellStyle name="20 % - Markeringsfarve2 5 2 2" xfId="7390" xr:uid="{00000000-0005-0000-0000-00003C000000}"/>
    <cellStyle name="20 % - Markeringsfarve2 5 2 2 2" xfId="10058" xr:uid="{6361219E-F7CD-4D81-9018-803F7821BE1C}"/>
    <cellStyle name="20 % - Markeringsfarve2 5 2 3" xfId="8727" xr:uid="{57BB94C4-DE70-46AD-9D27-C01BFA0030AA}"/>
    <cellStyle name="20 % - Markeringsfarve2 5 3" xfId="6767" xr:uid="{00000000-0005-0000-0000-00003D000000}"/>
    <cellStyle name="20 % - Markeringsfarve2 5 3 2" xfId="9435" xr:uid="{A67AD4F8-0ADC-402B-B10C-626E6C9837F0}"/>
    <cellStyle name="20 % - Markeringsfarve2 5 4" xfId="8104" xr:uid="{2F7A165C-2261-4FE2-8774-4E8001379CCF}"/>
    <cellStyle name="20 % - Markeringsfarve2 6" xfId="3579" xr:uid="{00000000-0005-0000-0000-00003E000000}"/>
    <cellStyle name="20 % - Markeringsfarve2 6 2" xfId="4221" xr:uid="{00000000-0005-0000-0000-00003F000000}"/>
    <cellStyle name="20 % - Markeringsfarve2 6 2 2" xfId="7389" xr:uid="{00000000-0005-0000-0000-000040000000}"/>
    <cellStyle name="20 % - Markeringsfarve2 6 2 2 2" xfId="10057" xr:uid="{257C3CE6-A8FD-42EB-A050-CCC4427CCA57}"/>
    <cellStyle name="20 % - Markeringsfarve2 6 2 3" xfId="8726" xr:uid="{DB8C97B9-D599-4E15-9CEE-83A49A28D80D}"/>
    <cellStyle name="20 % - Markeringsfarve2 6 3" xfId="6766" xr:uid="{00000000-0005-0000-0000-000041000000}"/>
    <cellStyle name="20 % - Markeringsfarve2 6 3 2" xfId="9434" xr:uid="{B510EE71-F00A-4BB0-B940-B273DB863B21}"/>
    <cellStyle name="20 % - Markeringsfarve2 6 4" xfId="8103" xr:uid="{8DCAA08F-772E-483A-88F3-AD058CFE7D78}"/>
    <cellStyle name="20 % - Markeringsfarve2 7" xfId="4161" xr:uid="{00000000-0005-0000-0000-000042000000}"/>
    <cellStyle name="20 % - Markeringsfarve2 7 2" xfId="7329" xr:uid="{00000000-0005-0000-0000-000043000000}"/>
    <cellStyle name="20 % - Markeringsfarve2 7 2 2" xfId="9997" xr:uid="{C59B0E67-574B-4B19-9DBF-584C3F1806D8}"/>
    <cellStyle name="20 % - Markeringsfarve2 7 3" xfId="8666" xr:uid="{2DEB1DD4-27D8-414F-9B52-69A1625B217A}"/>
    <cellStyle name="20 % - Markeringsfarve3 2" xfId="3578" xr:uid="{00000000-0005-0000-0000-000044000000}"/>
    <cellStyle name="20 % - Markeringsfarve3 2 2" xfId="3577" xr:uid="{00000000-0005-0000-0000-000045000000}"/>
    <cellStyle name="20 % - Markeringsfarve3 2 2 2" xfId="4219" xr:uid="{00000000-0005-0000-0000-000046000000}"/>
    <cellStyle name="20 % - Markeringsfarve3 2 2 2 2" xfId="7387" xr:uid="{00000000-0005-0000-0000-000047000000}"/>
    <cellStyle name="20 % - Markeringsfarve3 2 2 2 2 2" xfId="10055" xr:uid="{8A533DE5-0A6D-4328-8234-61B5EABE8F34}"/>
    <cellStyle name="20 % - Markeringsfarve3 2 2 2 3" xfId="8724" xr:uid="{AC42DA4A-56C9-4390-A40E-A9F27A523D1D}"/>
    <cellStyle name="20 % - Markeringsfarve3 2 2 3" xfId="6764" xr:uid="{00000000-0005-0000-0000-000048000000}"/>
    <cellStyle name="20 % - Markeringsfarve3 2 2 3 2" xfId="9432" xr:uid="{A2E9573C-1429-4DBC-BF33-7084042FF0E5}"/>
    <cellStyle name="20 % - Markeringsfarve3 2 2 4" xfId="8101" xr:uid="{2B120ED7-1743-4D3D-93AE-5C8B06DF65CE}"/>
    <cellStyle name="20 % - Markeringsfarve3 2 3" xfId="3576" xr:uid="{00000000-0005-0000-0000-000049000000}"/>
    <cellStyle name="20 % - Markeringsfarve3 2 3 2" xfId="4218" xr:uid="{00000000-0005-0000-0000-00004A000000}"/>
    <cellStyle name="20 % - Markeringsfarve3 2 3 2 2" xfId="7386" xr:uid="{00000000-0005-0000-0000-00004B000000}"/>
    <cellStyle name="20 % - Markeringsfarve3 2 3 2 2 2" xfId="10054" xr:uid="{1E878406-86AE-47E8-B8E4-55181C124E7E}"/>
    <cellStyle name="20 % - Markeringsfarve3 2 3 2 3" xfId="8723" xr:uid="{F94CF7DB-3601-4675-B613-CF685E09290D}"/>
    <cellStyle name="20 % - Markeringsfarve3 2 3 3" xfId="6763" xr:uid="{00000000-0005-0000-0000-00004C000000}"/>
    <cellStyle name="20 % - Markeringsfarve3 2 3 3 2" xfId="9431" xr:uid="{928EBA53-9F01-4167-8760-B8E75459813B}"/>
    <cellStyle name="20 % - Markeringsfarve3 2 3 4" xfId="8100" xr:uid="{EF485E4B-E4FB-4B99-A231-82BB15080494}"/>
    <cellStyle name="20 % - Markeringsfarve3 2 4" xfId="3575" xr:uid="{00000000-0005-0000-0000-00004D000000}"/>
    <cellStyle name="20 % - Markeringsfarve3 2 4 2" xfId="4217" xr:uid="{00000000-0005-0000-0000-00004E000000}"/>
    <cellStyle name="20 % - Markeringsfarve3 2 4 2 2" xfId="7385" xr:uid="{00000000-0005-0000-0000-00004F000000}"/>
    <cellStyle name="20 % - Markeringsfarve3 2 4 2 2 2" xfId="10053" xr:uid="{0433C66A-F972-4855-B851-20D59432E1D0}"/>
    <cellStyle name="20 % - Markeringsfarve3 2 4 2 3" xfId="8722" xr:uid="{8FC8E1AB-44F3-470A-9D47-410A198D85B2}"/>
    <cellStyle name="20 % - Markeringsfarve3 2 4 3" xfId="6762" xr:uid="{00000000-0005-0000-0000-000050000000}"/>
    <cellStyle name="20 % - Markeringsfarve3 2 4 3 2" xfId="9430" xr:uid="{0106A5BA-EEC4-4FB3-864D-61998BCB3464}"/>
    <cellStyle name="20 % - Markeringsfarve3 2 4 4" xfId="8099" xr:uid="{78A105A1-DB02-46FF-9B96-55973046A1CF}"/>
    <cellStyle name="20 % - Markeringsfarve3 2 5" xfId="4220" xr:uid="{00000000-0005-0000-0000-000051000000}"/>
    <cellStyle name="20 % - Markeringsfarve3 2 5 2" xfId="7388" xr:uid="{00000000-0005-0000-0000-000052000000}"/>
    <cellStyle name="20 % - Markeringsfarve3 2 5 2 2" xfId="10056" xr:uid="{0888417B-2DC1-42AF-A463-4A506F5C42AA}"/>
    <cellStyle name="20 % - Markeringsfarve3 2 5 3" xfId="8725" xr:uid="{12769A1C-184A-40EB-9683-1B3E70BC0570}"/>
    <cellStyle name="20 % - Markeringsfarve3 2 6" xfId="6765" xr:uid="{00000000-0005-0000-0000-000053000000}"/>
    <cellStyle name="20 % - Markeringsfarve3 2 6 2" xfId="9433" xr:uid="{44D0B125-51D8-4E1E-AF87-E99533480CDE}"/>
    <cellStyle name="20 % - Markeringsfarve3 2 7" xfId="8102" xr:uid="{322DEE34-058A-40AA-B423-666F3E7D6D0F}"/>
    <cellStyle name="20 % - Markeringsfarve3 3" xfId="3574" xr:uid="{00000000-0005-0000-0000-000054000000}"/>
    <cellStyle name="20 % - Markeringsfarve3 3 2" xfId="4216" xr:uid="{00000000-0005-0000-0000-000055000000}"/>
    <cellStyle name="20 % - Markeringsfarve3 3 2 2" xfId="7384" xr:uid="{00000000-0005-0000-0000-000056000000}"/>
    <cellStyle name="20 % - Markeringsfarve3 3 2 2 2" xfId="10052" xr:uid="{6E9CB219-7C8E-452E-861A-DB21D8D24814}"/>
    <cellStyle name="20 % - Markeringsfarve3 3 2 3" xfId="8721" xr:uid="{3FF209ED-DC70-4964-BB0F-58BDF56FA4D1}"/>
    <cellStyle name="20 % - Markeringsfarve3 3 3" xfId="6761" xr:uid="{00000000-0005-0000-0000-000057000000}"/>
    <cellStyle name="20 % - Markeringsfarve3 3 3 2" xfId="9429" xr:uid="{92EE4814-BA2F-4B39-B5FF-26B02BCECEA0}"/>
    <cellStyle name="20 % - Markeringsfarve3 3 4" xfId="8098" xr:uid="{FE3EC475-0790-4392-8F0D-9813A168EB1E}"/>
    <cellStyle name="20 % - Markeringsfarve3 4" xfId="3573" xr:uid="{00000000-0005-0000-0000-000058000000}"/>
    <cellStyle name="20 % - Markeringsfarve3 4 2" xfId="4215" xr:uid="{00000000-0005-0000-0000-000059000000}"/>
    <cellStyle name="20 % - Markeringsfarve3 4 2 2" xfId="7383" xr:uid="{00000000-0005-0000-0000-00005A000000}"/>
    <cellStyle name="20 % - Markeringsfarve3 4 2 2 2" xfId="10051" xr:uid="{8C66AEE2-F607-47B0-873C-4EF7F74CD1C5}"/>
    <cellStyle name="20 % - Markeringsfarve3 4 2 3" xfId="8720" xr:uid="{74CC6060-9FED-4FC2-A26E-E92DB7A19301}"/>
    <cellStyle name="20 % - Markeringsfarve3 4 3" xfId="6760" xr:uid="{00000000-0005-0000-0000-00005B000000}"/>
    <cellStyle name="20 % - Markeringsfarve3 4 3 2" xfId="9428" xr:uid="{0AACA529-5EA8-4D5D-9CAC-3443863301F8}"/>
    <cellStyle name="20 % - Markeringsfarve3 4 4" xfId="8097" xr:uid="{F753BD3A-3AD1-4939-94EF-EAB0498AF2AA}"/>
    <cellStyle name="20 % - Markeringsfarve3 5" xfId="3572" xr:uid="{00000000-0005-0000-0000-00005C000000}"/>
    <cellStyle name="20 % - Markeringsfarve3 5 2" xfId="4214" xr:uid="{00000000-0005-0000-0000-00005D000000}"/>
    <cellStyle name="20 % - Markeringsfarve3 5 2 2" xfId="7382" xr:uid="{00000000-0005-0000-0000-00005E000000}"/>
    <cellStyle name="20 % - Markeringsfarve3 5 2 2 2" xfId="10050" xr:uid="{E1266773-4D36-4746-AF08-CC85DB7F8DD4}"/>
    <cellStyle name="20 % - Markeringsfarve3 5 2 3" xfId="8719" xr:uid="{1951442E-22D6-42E2-B765-0C2A460ED356}"/>
    <cellStyle name="20 % - Markeringsfarve3 5 3" xfId="6759" xr:uid="{00000000-0005-0000-0000-00005F000000}"/>
    <cellStyle name="20 % - Markeringsfarve3 5 3 2" xfId="9427" xr:uid="{EEC541E7-8322-49C5-8D83-F46F12221617}"/>
    <cellStyle name="20 % - Markeringsfarve3 5 4" xfId="8096" xr:uid="{8CBC25EA-0B67-456A-9AE9-344B55E7829B}"/>
    <cellStyle name="20 % - Markeringsfarve3 6" xfId="3571" xr:uid="{00000000-0005-0000-0000-000060000000}"/>
    <cellStyle name="20 % - Markeringsfarve3 6 2" xfId="4213" xr:uid="{00000000-0005-0000-0000-000061000000}"/>
    <cellStyle name="20 % - Markeringsfarve3 6 2 2" xfId="7381" xr:uid="{00000000-0005-0000-0000-000062000000}"/>
    <cellStyle name="20 % - Markeringsfarve3 6 2 2 2" xfId="10049" xr:uid="{6942FDA2-B42F-4CB4-938A-F56BA32478CA}"/>
    <cellStyle name="20 % - Markeringsfarve3 6 2 3" xfId="8718" xr:uid="{803753B6-6081-485E-9B85-E2853A9227B8}"/>
    <cellStyle name="20 % - Markeringsfarve3 6 3" xfId="6758" xr:uid="{00000000-0005-0000-0000-000063000000}"/>
    <cellStyle name="20 % - Markeringsfarve3 6 3 2" xfId="9426" xr:uid="{DCA7334E-7BDB-4E05-9F00-68AB2C12F62D}"/>
    <cellStyle name="20 % - Markeringsfarve3 6 4" xfId="8095" xr:uid="{BB7FE459-EFA2-4B85-854B-1F8F6D275E8E}"/>
    <cellStyle name="20 % - Markeringsfarve3 7" xfId="4163" xr:uid="{00000000-0005-0000-0000-000064000000}"/>
    <cellStyle name="20 % - Markeringsfarve3 7 2" xfId="7331" xr:uid="{00000000-0005-0000-0000-000065000000}"/>
    <cellStyle name="20 % - Markeringsfarve3 7 2 2" xfId="9999" xr:uid="{48A029A2-F099-468D-9BDA-990595CE6BD2}"/>
    <cellStyle name="20 % - Markeringsfarve3 7 3" xfId="8668" xr:uid="{C6A9CFAE-CC22-4222-8751-0A35C80FC4C4}"/>
    <cellStyle name="20 % - Markeringsfarve4 2" xfId="3570" xr:uid="{00000000-0005-0000-0000-000066000000}"/>
    <cellStyle name="20 % - Markeringsfarve4 2 2" xfId="3569" xr:uid="{00000000-0005-0000-0000-000067000000}"/>
    <cellStyle name="20 % - Markeringsfarve4 2 2 2" xfId="4211" xr:uid="{00000000-0005-0000-0000-000068000000}"/>
    <cellStyle name="20 % - Markeringsfarve4 2 2 2 2" xfId="7379" xr:uid="{00000000-0005-0000-0000-000069000000}"/>
    <cellStyle name="20 % - Markeringsfarve4 2 2 2 2 2" xfId="10047" xr:uid="{C91CBCA3-CA8D-4564-BF44-27FD4E8B6A3C}"/>
    <cellStyle name="20 % - Markeringsfarve4 2 2 2 3" xfId="8716" xr:uid="{BBFF71BA-E982-47FB-8502-2772548B3C94}"/>
    <cellStyle name="20 % - Markeringsfarve4 2 2 3" xfId="6756" xr:uid="{00000000-0005-0000-0000-00006A000000}"/>
    <cellStyle name="20 % - Markeringsfarve4 2 2 3 2" xfId="9424" xr:uid="{241B5013-AB9E-4241-B446-87F5D0319886}"/>
    <cellStyle name="20 % - Markeringsfarve4 2 2 4" xfId="8093" xr:uid="{E226C0A3-1435-45EF-9AC5-C8916EB958BD}"/>
    <cellStyle name="20 % - Markeringsfarve4 2 3" xfId="3568" xr:uid="{00000000-0005-0000-0000-00006B000000}"/>
    <cellStyle name="20 % - Markeringsfarve4 2 3 2" xfId="4210" xr:uid="{00000000-0005-0000-0000-00006C000000}"/>
    <cellStyle name="20 % - Markeringsfarve4 2 3 2 2" xfId="7378" xr:uid="{00000000-0005-0000-0000-00006D000000}"/>
    <cellStyle name="20 % - Markeringsfarve4 2 3 2 2 2" xfId="10046" xr:uid="{F8123C02-10D7-4D87-9A76-C62C09F9DD94}"/>
    <cellStyle name="20 % - Markeringsfarve4 2 3 2 3" xfId="8715" xr:uid="{A3520A51-82BD-4A0C-9156-60C0FE238CC0}"/>
    <cellStyle name="20 % - Markeringsfarve4 2 3 3" xfId="6755" xr:uid="{00000000-0005-0000-0000-00006E000000}"/>
    <cellStyle name="20 % - Markeringsfarve4 2 3 3 2" xfId="9423" xr:uid="{6697C552-278B-450F-9B91-A84B2C30D7A7}"/>
    <cellStyle name="20 % - Markeringsfarve4 2 3 4" xfId="8092" xr:uid="{9AC6276A-E9FF-4213-A6BA-D5DCC43435BD}"/>
    <cellStyle name="20 % - Markeringsfarve4 2 4" xfId="4212" xr:uid="{00000000-0005-0000-0000-00006F000000}"/>
    <cellStyle name="20 % - Markeringsfarve4 2 4 2" xfId="7380" xr:uid="{00000000-0005-0000-0000-000070000000}"/>
    <cellStyle name="20 % - Markeringsfarve4 2 4 2 2" xfId="10048" xr:uid="{BD27C434-E1F2-473A-B631-4E2C2ABC9D7B}"/>
    <cellStyle name="20 % - Markeringsfarve4 2 4 3" xfId="8717" xr:uid="{B711CD0D-EC3F-43AE-BE8A-C069D615499E}"/>
    <cellStyle name="20 % - Markeringsfarve4 2 5" xfId="6757" xr:uid="{00000000-0005-0000-0000-000071000000}"/>
    <cellStyle name="20 % - Markeringsfarve4 2 5 2" xfId="9425" xr:uid="{3CE7C58B-67BA-42EA-9B8E-B3873B5648F4}"/>
    <cellStyle name="20 % - Markeringsfarve4 2 6" xfId="8094" xr:uid="{97742BD9-9826-4302-9FE7-59BF71622E6F}"/>
    <cellStyle name="20 % - Markeringsfarve4 3" xfId="3567" xr:uid="{00000000-0005-0000-0000-000072000000}"/>
    <cellStyle name="20 % - Markeringsfarve4 3 2" xfId="4209" xr:uid="{00000000-0005-0000-0000-000073000000}"/>
    <cellStyle name="20 % - Markeringsfarve4 3 2 2" xfId="7377" xr:uid="{00000000-0005-0000-0000-000074000000}"/>
    <cellStyle name="20 % - Markeringsfarve4 3 2 2 2" xfId="10045" xr:uid="{A5EA04B3-2638-48FF-BCDB-C1B4F8798444}"/>
    <cellStyle name="20 % - Markeringsfarve4 3 2 3" xfId="8714" xr:uid="{31AECD56-87FA-421A-954A-E5622F1ED601}"/>
    <cellStyle name="20 % - Markeringsfarve4 3 3" xfId="6754" xr:uid="{00000000-0005-0000-0000-000075000000}"/>
    <cellStyle name="20 % - Markeringsfarve4 3 3 2" xfId="9422" xr:uid="{7907C3DF-30F6-44EF-BD85-B92F3D31A2FF}"/>
    <cellStyle name="20 % - Markeringsfarve4 3 4" xfId="8091" xr:uid="{81E41F3F-0742-4F16-8D8B-621F42007BB0}"/>
    <cellStyle name="20 % - Markeringsfarve4 4" xfId="3566" xr:uid="{00000000-0005-0000-0000-000076000000}"/>
    <cellStyle name="20 % - Markeringsfarve4 4 2" xfId="4208" xr:uid="{00000000-0005-0000-0000-000077000000}"/>
    <cellStyle name="20 % - Markeringsfarve4 4 2 2" xfId="7376" xr:uid="{00000000-0005-0000-0000-000078000000}"/>
    <cellStyle name="20 % - Markeringsfarve4 4 2 2 2" xfId="10044" xr:uid="{3738B8C1-D675-431C-9D77-7D58DB22F08F}"/>
    <cellStyle name="20 % - Markeringsfarve4 4 2 3" xfId="8713" xr:uid="{D5BD65FA-C0FE-4AB3-9226-EA1AB75AE138}"/>
    <cellStyle name="20 % - Markeringsfarve4 4 3" xfId="6753" xr:uid="{00000000-0005-0000-0000-000079000000}"/>
    <cellStyle name="20 % - Markeringsfarve4 4 3 2" xfId="9421" xr:uid="{5FF262CB-20FF-45D6-AB30-63C3A6E42F04}"/>
    <cellStyle name="20 % - Markeringsfarve4 4 4" xfId="8090" xr:uid="{F3F14D61-8A13-4860-9980-FAB52C9EF423}"/>
    <cellStyle name="20 % - Markeringsfarve4 5" xfId="3565" xr:uid="{00000000-0005-0000-0000-00007A000000}"/>
    <cellStyle name="20 % - Markeringsfarve4 5 2" xfId="4207" xr:uid="{00000000-0005-0000-0000-00007B000000}"/>
    <cellStyle name="20 % - Markeringsfarve4 5 2 2" xfId="7375" xr:uid="{00000000-0005-0000-0000-00007C000000}"/>
    <cellStyle name="20 % - Markeringsfarve4 5 2 2 2" xfId="10043" xr:uid="{9AE4ADD1-D42E-461E-91FB-AC9D08DCA153}"/>
    <cellStyle name="20 % - Markeringsfarve4 5 2 3" xfId="8712" xr:uid="{C2980BF0-111E-4BCA-829C-0F165501077D}"/>
    <cellStyle name="20 % - Markeringsfarve4 5 3" xfId="6752" xr:uid="{00000000-0005-0000-0000-00007D000000}"/>
    <cellStyle name="20 % - Markeringsfarve4 5 3 2" xfId="9420" xr:uid="{66ABEE01-CE74-4A78-94AA-1EFA4C88D58D}"/>
    <cellStyle name="20 % - Markeringsfarve4 5 4" xfId="8089" xr:uid="{B477CA76-7A28-48FD-A925-DDC0F6D136C2}"/>
    <cellStyle name="20 % - Markeringsfarve4 6" xfId="3564" xr:uid="{00000000-0005-0000-0000-00007E000000}"/>
    <cellStyle name="20 % - Markeringsfarve4 6 2" xfId="4206" xr:uid="{00000000-0005-0000-0000-00007F000000}"/>
    <cellStyle name="20 % - Markeringsfarve4 6 2 2" xfId="7374" xr:uid="{00000000-0005-0000-0000-000080000000}"/>
    <cellStyle name="20 % - Markeringsfarve4 6 2 2 2" xfId="10042" xr:uid="{3A487946-5FB8-46BC-A4B3-B6064230748E}"/>
    <cellStyle name="20 % - Markeringsfarve4 6 2 3" xfId="8711" xr:uid="{D53E2B6E-21B6-4885-9912-E64512E31D46}"/>
    <cellStyle name="20 % - Markeringsfarve4 6 3" xfId="6751" xr:uid="{00000000-0005-0000-0000-000081000000}"/>
    <cellStyle name="20 % - Markeringsfarve4 6 3 2" xfId="9419" xr:uid="{CBC4E39B-3F47-47C1-8F52-B2A7AEE1C881}"/>
    <cellStyle name="20 % - Markeringsfarve4 6 4" xfId="8088" xr:uid="{2445D4BD-1004-4D75-9ACE-1C346EE80102}"/>
    <cellStyle name="20 % - Markeringsfarve4 7" xfId="4165" xr:uid="{00000000-0005-0000-0000-000082000000}"/>
    <cellStyle name="20 % - Markeringsfarve4 7 2" xfId="7333" xr:uid="{00000000-0005-0000-0000-000083000000}"/>
    <cellStyle name="20 % - Markeringsfarve4 7 2 2" xfId="10001" xr:uid="{1859C2F8-5C2F-4BD1-9F56-C2D907BAD0D8}"/>
    <cellStyle name="20 % - Markeringsfarve4 7 3" xfId="8670" xr:uid="{8E572A09-2F32-4026-82FD-07F4F69494B2}"/>
    <cellStyle name="20 % - Markeringsfarve5 2" xfId="3563" xr:uid="{00000000-0005-0000-0000-000084000000}"/>
    <cellStyle name="20 % - Markeringsfarve5 2 2" xfId="3562" xr:uid="{00000000-0005-0000-0000-000085000000}"/>
    <cellStyle name="20 % - Markeringsfarve5 2 2 2" xfId="4204" xr:uid="{00000000-0005-0000-0000-000086000000}"/>
    <cellStyle name="20 % - Markeringsfarve5 2 2 2 2" xfId="7372" xr:uid="{00000000-0005-0000-0000-000087000000}"/>
    <cellStyle name="20 % - Markeringsfarve5 2 2 2 2 2" xfId="10040" xr:uid="{F63E1273-076B-4EFA-BDB9-2FB29373DE8A}"/>
    <cellStyle name="20 % - Markeringsfarve5 2 2 2 3" xfId="8709" xr:uid="{6B3CC829-8F5F-4070-9090-C34ED006E0FB}"/>
    <cellStyle name="20 % - Markeringsfarve5 2 2 2 4" xfId="10564" xr:uid="{9AD64E69-2296-4B92-BD55-4718F3CFE3B7}"/>
    <cellStyle name="20 % - Markeringsfarve5 2 2 3" xfId="6749" xr:uid="{00000000-0005-0000-0000-000088000000}"/>
    <cellStyle name="20 % - Markeringsfarve5 2 2 3 2" xfId="9417" xr:uid="{B80AA278-4E0D-4967-A6FF-CCD41A650F60}"/>
    <cellStyle name="20 % - Markeringsfarve5 2 2 4" xfId="8086" xr:uid="{76023D08-4C6D-44BC-A090-4EB41E08F643}"/>
    <cellStyle name="20 % - Markeringsfarve5 2 3" xfId="3561" xr:uid="{00000000-0005-0000-0000-000089000000}"/>
    <cellStyle name="20 % - Markeringsfarve5 2 3 2" xfId="4203" xr:uid="{00000000-0005-0000-0000-00008A000000}"/>
    <cellStyle name="20 % - Markeringsfarve5 2 3 2 2" xfId="7371" xr:uid="{00000000-0005-0000-0000-00008B000000}"/>
    <cellStyle name="20 % - Markeringsfarve5 2 3 2 2 2" xfId="10039" xr:uid="{8F2C3E68-45FD-4323-8132-ACCBE7F8C8F0}"/>
    <cellStyle name="20 % - Markeringsfarve5 2 3 2 3" xfId="8708" xr:uid="{2BF9714A-3FC4-42A1-A19B-D29D8BDFE272}"/>
    <cellStyle name="20 % - Markeringsfarve5 2 3 3" xfId="6748" xr:uid="{00000000-0005-0000-0000-00008C000000}"/>
    <cellStyle name="20 % - Markeringsfarve5 2 3 3 2" xfId="9416" xr:uid="{BEB233D1-0D01-4326-9546-C586F6548423}"/>
    <cellStyle name="20 % - Markeringsfarve5 2 3 4" xfId="8085" xr:uid="{3238B816-B58E-40D0-A1A8-731B640CAA62}"/>
    <cellStyle name="20 % - Markeringsfarve5 2 4" xfId="4205" xr:uid="{00000000-0005-0000-0000-00008D000000}"/>
    <cellStyle name="20 % - Markeringsfarve5 2 4 2" xfId="7373" xr:uid="{00000000-0005-0000-0000-00008E000000}"/>
    <cellStyle name="20 % - Markeringsfarve5 2 4 2 2" xfId="10041" xr:uid="{A5785157-D375-42DF-85E3-2BCD3E89DC7F}"/>
    <cellStyle name="20 % - Markeringsfarve5 2 4 3" xfId="8710" xr:uid="{25213A14-4667-4378-BA80-B5D8AE4538EB}"/>
    <cellStyle name="20 % - Markeringsfarve5 2 5" xfId="6750" xr:uid="{00000000-0005-0000-0000-00008F000000}"/>
    <cellStyle name="20 % - Markeringsfarve5 2 5 2" xfId="9418" xr:uid="{7F8623EA-2843-4550-A8FD-A9309A81F89D}"/>
    <cellStyle name="20 % - Markeringsfarve5 2 6" xfId="8087" xr:uid="{705DB0FB-8DD5-4F19-B4A6-AA090923DE10}"/>
    <cellStyle name="20 % - Markeringsfarve5 3" xfId="3560" xr:uid="{00000000-0005-0000-0000-000090000000}"/>
    <cellStyle name="20 % - Markeringsfarve5 3 2" xfId="4202" xr:uid="{00000000-0005-0000-0000-000091000000}"/>
    <cellStyle name="20 % - Markeringsfarve5 3 2 2" xfId="7370" xr:uid="{00000000-0005-0000-0000-000092000000}"/>
    <cellStyle name="20 % - Markeringsfarve5 3 2 2 2" xfId="10038" xr:uid="{7AC06545-701F-4BF1-BE82-5FC059D0AC07}"/>
    <cellStyle name="20 % - Markeringsfarve5 3 2 3" xfId="8707" xr:uid="{8AF516EC-89BD-42A1-B5DC-3EF9C4B4E88A}"/>
    <cellStyle name="20 % - Markeringsfarve5 3 3" xfId="6747" xr:uid="{00000000-0005-0000-0000-000093000000}"/>
    <cellStyle name="20 % - Markeringsfarve5 3 3 2" xfId="9415" xr:uid="{E0ECF0CF-653D-4D95-B4DC-6A8BE713D96C}"/>
    <cellStyle name="20 % - Markeringsfarve5 3 4" xfId="8084" xr:uid="{20048976-783B-4A34-93ED-D556A32C7DF8}"/>
    <cellStyle name="20 % - Markeringsfarve5 4" xfId="3559" xr:uid="{00000000-0005-0000-0000-000094000000}"/>
    <cellStyle name="20 % - Markeringsfarve5 4 2" xfId="4201" xr:uid="{00000000-0005-0000-0000-000095000000}"/>
    <cellStyle name="20 % - Markeringsfarve5 4 2 2" xfId="7369" xr:uid="{00000000-0005-0000-0000-000096000000}"/>
    <cellStyle name="20 % - Markeringsfarve5 4 2 2 2" xfId="10037" xr:uid="{01072B3C-4F4B-421E-A732-2BB0AD5FFEF5}"/>
    <cellStyle name="20 % - Markeringsfarve5 4 2 3" xfId="8706" xr:uid="{726627B6-1C8F-44A3-81D7-60C10FF92209}"/>
    <cellStyle name="20 % - Markeringsfarve5 4 3" xfId="6746" xr:uid="{00000000-0005-0000-0000-000097000000}"/>
    <cellStyle name="20 % - Markeringsfarve5 4 3 2" xfId="9414" xr:uid="{739A9605-5925-4FC5-9016-45D0A318AA51}"/>
    <cellStyle name="20 % - Markeringsfarve5 4 4" xfId="8083" xr:uid="{D44E88A1-BF79-4477-A183-94EEC4FB20CA}"/>
    <cellStyle name="20 % - Markeringsfarve5 5" xfId="3558" xr:uid="{00000000-0005-0000-0000-000098000000}"/>
    <cellStyle name="20 % - Markeringsfarve5 5 2" xfId="4200" xr:uid="{00000000-0005-0000-0000-000099000000}"/>
    <cellStyle name="20 % - Markeringsfarve5 5 2 2" xfId="7368" xr:uid="{00000000-0005-0000-0000-00009A000000}"/>
    <cellStyle name="20 % - Markeringsfarve5 5 2 2 2" xfId="10036" xr:uid="{0E9EACB8-8D03-4D43-8C33-9780689ECC16}"/>
    <cellStyle name="20 % - Markeringsfarve5 5 2 3" xfId="8705" xr:uid="{AF48BD46-1B9C-40B6-BC68-743B96C7D6B8}"/>
    <cellStyle name="20 % - Markeringsfarve5 5 3" xfId="6745" xr:uid="{00000000-0005-0000-0000-00009B000000}"/>
    <cellStyle name="20 % - Markeringsfarve5 5 3 2" xfId="9413" xr:uid="{D3944BBB-DDAA-471C-9084-5B808AB25555}"/>
    <cellStyle name="20 % - Markeringsfarve5 5 4" xfId="8082" xr:uid="{C6379A54-86C2-4429-A128-01021FADAC50}"/>
    <cellStyle name="20 % - Markeringsfarve5 6" xfId="3557" xr:uid="{00000000-0005-0000-0000-00009C000000}"/>
    <cellStyle name="20 % - Markeringsfarve5 6 2" xfId="4199" xr:uid="{00000000-0005-0000-0000-00009D000000}"/>
    <cellStyle name="20 % - Markeringsfarve5 6 2 2" xfId="7367" xr:uid="{00000000-0005-0000-0000-00009E000000}"/>
    <cellStyle name="20 % - Markeringsfarve5 6 2 2 2" xfId="10035" xr:uid="{F51446A4-E8E8-445C-8951-BDC201DD30AC}"/>
    <cellStyle name="20 % - Markeringsfarve5 6 2 3" xfId="8704" xr:uid="{56BD1EAF-4013-419F-B534-E6A5F6997443}"/>
    <cellStyle name="20 % - Markeringsfarve5 6 3" xfId="6744" xr:uid="{00000000-0005-0000-0000-00009F000000}"/>
    <cellStyle name="20 % - Markeringsfarve5 6 3 2" xfId="9412" xr:uid="{008A6224-E29F-49F6-B400-C5CD59CCE072}"/>
    <cellStyle name="20 % - Markeringsfarve5 6 4" xfId="8081" xr:uid="{7E8CDA5C-56EB-4764-845C-F9FBD45DDDD3}"/>
    <cellStyle name="20 % - Markeringsfarve5 7" xfId="4167" xr:uid="{00000000-0005-0000-0000-0000A0000000}"/>
    <cellStyle name="20 % - Markeringsfarve5 7 2" xfId="7335" xr:uid="{00000000-0005-0000-0000-0000A1000000}"/>
    <cellStyle name="20 % - Markeringsfarve5 7 2 2" xfId="10003" xr:uid="{B9492A02-18F6-4E26-8BA9-778FA65D395F}"/>
    <cellStyle name="20 % - Markeringsfarve5 7 3" xfId="8672" xr:uid="{4B913437-D1F2-47D4-A688-50AB6BAED4EB}"/>
    <cellStyle name="20 % - Markeringsfarve6 2" xfId="3556" xr:uid="{00000000-0005-0000-0000-0000A2000000}"/>
    <cellStyle name="20 % - Markeringsfarve6 2 2" xfId="3555" xr:uid="{00000000-0005-0000-0000-0000A3000000}"/>
    <cellStyle name="20 % - Markeringsfarve6 2 2 2" xfId="4197" xr:uid="{00000000-0005-0000-0000-0000A4000000}"/>
    <cellStyle name="20 % - Markeringsfarve6 2 2 2 2" xfId="7365" xr:uid="{00000000-0005-0000-0000-0000A5000000}"/>
    <cellStyle name="20 % - Markeringsfarve6 2 2 2 2 2" xfId="10033" xr:uid="{7CEC043E-C1F6-488A-AB28-58ADE736A300}"/>
    <cellStyle name="20 % - Markeringsfarve6 2 2 2 3" xfId="8702" xr:uid="{B33212F0-64BC-4E33-81D2-B645A763E579}"/>
    <cellStyle name="20 % - Markeringsfarve6 2 2 3" xfId="6742" xr:uid="{00000000-0005-0000-0000-0000A6000000}"/>
    <cellStyle name="20 % - Markeringsfarve6 2 2 3 2" xfId="9410" xr:uid="{B922EFB4-1D97-43F3-BBDB-B1B688001414}"/>
    <cellStyle name="20 % - Markeringsfarve6 2 2 4" xfId="8079" xr:uid="{EC4D15BF-0006-452D-9EB9-8EC25C304E06}"/>
    <cellStyle name="20 % - Markeringsfarve6 2 3" xfId="3554" xr:uid="{00000000-0005-0000-0000-0000A7000000}"/>
    <cellStyle name="20 % - Markeringsfarve6 2 3 2" xfId="4196" xr:uid="{00000000-0005-0000-0000-0000A8000000}"/>
    <cellStyle name="20 % - Markeringsfarve6 2 3 2 2" xfId="7364" xr:uid="{00000000-0005-0000-0000-0000A9000000}"/>
    <cellStyle name="20 % - Markeringsfarve6 2 3 2 2 2" xfId="10032" xr:uid="{3CA5DC01-B63A-4AB4-A0E6-E97D0D29F9E9}"/>
    <cellStyle name="20 % - Markeringsfarve6 2 3 2 3" xfId="8701" xr:uid="{77B20345-D7DF-4005-A93D-F89A51DE28C2}"/>
    <cellStyle name="20 % - Markeringsfarve6 2 3 3" xfId="6741" xr:uid="{00000000-0005-0000-0000-0000AA000000}"/>
    <cellStyle name="20 % - Markeringsfarve6 2 3 3 2" xfId="9409" xr:uid="{9504D8C2-78D6-4CFE-BB58-A119F33077F0}"/>
    <cellStyle name="20 % - Markeringsfarve6 2 3 4" xfId="8078" xr:uid="{D82277C4-ADCA-4442-802A-E2E1D8CA8FDF}"/>
    <cellStyle name="20 % - Markeringsfarve6 2 4" xfId="4198" xr:uid="{00000000-0005-0000-0000-0000AB000000}"/>
    <cellStyle name="20 % - Markeringsfarve6 2 4 2" xfId="7366" xr:uid="{00000000-0005-0000-0000-0000AC000000}"/>
    <cellStyle name="20 % - Markeringsfarve6 2 4 2 2" xfId="10034" xr:uid="{54851740-071F-48DC-9C6C-C072B0BE6E25}"/>
    <cellStyle name="20 % - Markeringsfarve6 2 4 3" xfId="8703" xr:uid="{71B48332-0DCC-4AE8-99E6-7E9F4C75D128}"/>
    <cellStyle name="20 % - Markeringsfarve6 2 5" xfId="6743" xr:uid="{00000000-0005-0000-0000-0000AD000000}"/>
    <cellStyle name="20 % - Markeringsfarve6 2 5 2" xfId="9411" xr:uid="{F2170E17-CC24-42BF-851C-3BEC22F0052E}"/>
    <cellStyle name="20 % - Markeringsfarve6 2 6" xfId="8080" xr:uid="{A451D1C8-82CC-4BDF-B2C5-CAF128F81BFF}"/>
    <cellStyle name="20 % - Markeringsfarve6 3" xfId="3553" xr:uid="{00000000-0005-0000-0000-0000AE000000}"/>
    <cellStyle name="20 % - Markeringsfarve6 3 2" xfId="4195" xr:uid="{00000000-0005-0000-0000-0000AF000000}"/>
    <cellStyle name="20 % - Markeringsfarve6 3 2 2" xfId="7363" xr:uid="{00000000-0005-0000-0000-0000B0000000}"/>
    <cellStyle name="20 % - Markeringsfarve6 3 2 2 2" xfId="10031" xr:uid="{673C4127-A19F-4D09-B02F-E77EED6A3173}"/>
    <cellStyle name="20 % - Markeringsfarve6 3 2 3" xfId="8700" xr:uid="{06CE0DCF-D4AB-4483-8705-4909E2970154}"/>
    <cellStyle name="20 % - Markeringsfarve6 3 3" xfId="6740" xr:uid="{00000000-0005-0000-0000-0000B1000000}"/>
    <cellStyle name="20 % - Markeringsfarve6 3 3 2" xfId="9408" xr:uid="{2DB62E88-042A-4174-8351-8591EF19FCD7}"/>
    <cellStyle name="20 % - Markeringsfarve6 3 4" xfId="8077" xr:uid="{9744F013-8A6C-464D-A815-E284F47713CF}"/>
    <cellStyle name="20 % - Markeringsfarve6 4" xfId="3552" xr:uid="{00000000-0005-0000-0000-0000B2000000}"/>
    <cellStyle name="20 % - Markeringsfarve6 4 2" xfId="4194" xr:uid="{00000000-0005-0000-0000-0000B3000000}"/>
    <cellStyle name="20 % - Markeringsfarve6 4 2 2" xfId="7362" xr:uid="{00000000-0005-0000-0000-0000B4000000}"/>
    <cellStyle name="20 % - Markeringsfarve6 4 2 2 2" xfId="10030" xr:uid="{1D87B66C-C397-4A34-8112-C621D1EA6B09}"/>
    <cellStyle name="20 % - Markeringsfarve6 4 2 3" xfId="8699" xr:uid="{8CCD7963-D661-4279-97AB-4A1BACE70726}"/>
    <cellStyle name="20 % - Markeringsfarve6 4 3" xfId="6739" xr:uid="{00000000-0005-0000-0000-0000B5000000}"/>
    <cellStyle name="20 % - Markeringsfarve6 4 3 2" xfId="9407" xr:uid="{8AA0D352-2179-4A53-8B38-FC219E031CEA}"/>
    <cellStyle name="20 % - Markeringsfarve6 4 4" xfId="8076" xr:uid="{8FEEF3CC-0F74-4711-BF41-84D4C6FAD20B}"/>
    <cellStyle name="20 % - Markeringsfarve6 5" xfId="3551" xr:uid="{00000000-0005-0000-0000-0000B6000000}"/>
    <cellStyle name="20 % - Markeringsfarve6 5 2" xfId="4193" xr:uid="{00000000-0005-0000-0000-0000B7000000}"/>
    <cellStyle name="20 % - Markeringsfarve6 5 2 2" xfId="7361" xr:uid="{00000000-0005-0000-0000-0000B8000000}"/>
    <cellStyle name="20 % - Markeringsfarve6 5 2 2 2" xfId="10029" xr:uid="{1F3B48CD-1C6F-46CD-8639-ED5F2BF24770}"/>
    <cellStyle name="20 % - Markeringsfarve6 5 2 3" xfId="8698" xr:uid="{13E3C7D2-128D-4BA5-9B15-80AE9EC01EDB}"/>
    <cellStyle name="20 % - Markeringsfarve6 5 3" xfId="6738" xr:uid="{00000000-0005-0000-0000-0000B9000000}"/>
    <cellStyle name="20 % - Markeringsfarve6 5 3 2" xfId="9406" xr:uid="{5F8DC79E-C3D6-4232-801F-35AD61F0ED04}"/>
    <cellStyle name="20 % - Markeringsfarve6 5 4" xfId="8075" xr:uid="{5508809A-631A-4F47-A0BE-6BD23AC10AA2}"/>
    <cellStyle name="20 % - Markeringsfarve6 6" xfId="3550" xr:uid="{00000000-0005-0000-0000-0000BA000000}"/>
    <cellStyle name="20 % - Markeringsfarve6 6 2" xfId="4192" xr:uid="{00000000-0005-0000-0000-0000BB000000}"/>
    <cellStyle name="20 % - Markeringsfarve6 6 2 2" xfId="7360" xr:uid="{00000000-0005-0000-0000-0000BC000000}"/>
    <cellStyle name="20 % - Markeringsfarve6 6 2 2 2" xfId="10028" xr:uid="{DF1E76D9-19C4-45E0-B5AA-81571C241283}"/>
    <cellStyle name="20 % - Markeringsfarve6 6 2 3" xfId="8697" xr:uid="{386CF4FB-8339-4D83-80EC-8B27C9DF91AD}"/>
    <cellStyle name="20 % - Markeringsfarve6 6 3" xfId="6737" xr:uid="{00000000-0005-0000-0000-0000BD000000}"/>
    <cellStyle name="20 % - Markeringsfarve6 6 3 2" xfId="9405" xr:uid="{5EA14900-03FB-4E4D-9915-76A4B32A375F}"/>
    <cellStyle name="20 % - Markeringsfarve6 6 4" xfId="8074" xr:uid="{412EC167-65B0-47B8-AF15-9E3190901BFF}"/>
    <cellStyle name="20 % - Markeringsfarve6 7" xfId="4169" xr:uid="{00000000-0005-0000-0000-0000BE000000}"/>
    <cellStyle name="20 % - Markeringsfarve6 7 2" xfId="7337" xr:uid="{00000000-0005-0000-0000-0000BF000000}"/>
    <cellStyle name="20 % - Markeringsfarve6 7 2 2" xfId="10005" xr:uid="{C787123D-9A75-4CFC-AC72-D27E2CD3137B}"/>
    <cellStyle name="20 % - Markeringsfarve6 7 3" xfId="8674" xr:uid="{FF11B548-1E86-4749-91BD-7F8C5A37C61C}"/>
    <cellStyle name="20% - Accent1" xfId="3339" builtinId="30" customBuiltin="1"/>
    <cellStyle name="20% - Accent1 2" xfId="3390" xr:uid="{00000000-0005-0000-0000-0000C1000000}"/>
    <cellStyle name="20% - Accent1 3" xfId="6634" xr:uid="{00000000-0005-0000-0000-0000C2000000}"/>
    <cellStyle name="20% - Accent1 3 2" xfId="9311" xr:uid="{E39A7342-4160-40F0-A8BC-95AA83A84D0D}"/>
    <cellStyle name="20% - Accent1 4" xfId="7971" xr:uid="{760A74A9-1A0E-4B61-8BF9-CECCFCCB6BA2}"/>
    <cellStyle name="20% - Accent2" xfId="3343" builtinId="34" customBuiltin="1"/>
    <cellStyle name="20% - Accent2 2" xfId="3391" xr:uid="{00000000-0005-0000-0000-0000C4000000}"/>
    <cellStyle name="20% - Accent2 3" xfId="6636" xr:uid="{00000000-0005-0000-0000-0000C5000000}"/>
    <cellStyle name="20% - Accent2 3 2" xfId="9313" xr:uid="{F0A5DC6C-6388-4E3E-AA9B-ED313A065FDA}"/>
    <cellStyle name="20% - Accent2 4" xfId="7973" xr:uid="{C6A19DFE-6AB9-41F3-9CB1-88DB1BCCC813}"/>
    <cellStyle name="20% - Accent3" xfId="3347" builtinId="38" customBuiltin="1"/>
    <cellStyle name="20% - Accent3 2" xfId="3392" xr:uid="{00000000-0005-0000-0000-0000C7000000}"/>
    <cellStyle name="20% - Accent3 3" xfId="6638" xr:uid="{00000000-0005-0000-0000-0000C8000000}"/>
    <cellStyle name="20% - Accent3 3 2" xfId="9315" xr:uid="{F0AD87C8-C996-4DFD-A33D-E92F270F00F3}"/>
    <cellStyle name="20% - Accent3 4" xfId="7975" xr:uid="{5607C0C5-0E3A-403F-9E78-BF887ED917EF}"/>
    <cellStyle name="20% - Accent4" xfId="3351" builtinId="42" customBuiltin="1"/>
    <cellStyle name="20% - Accent4 2" xfId="3393" xr:uid="{00000000-0005-0000-0000-0000CA000000}"/>
    <cellStyle name="20% - Accent4 3" xfId="6640" xr:uid="{00000000-0005-0000-0000-0000CB000000}"/>
    <cellStyle name="20% - Accent4 3 2" xfId="9317" xr:uid="{0F5F81EE-DBBF-4682-A3C5-50F334A0DC6E}"/>
    <cellStyle name="20% - Accent4 4" xfId="7977" xr:uid="{EB9D36CE-5552-4BB4-B724-A4E2A7D8C31B}"/>
    <cellStyle name="20% - Accent5" xfId="3355" builtinId="46" customBuiltin="1"/>
    <cellStyle name="20% - Accent5 2" xfId="3394" xr:uid="{00000000-0005-0000-0000-0000CD000000}"/>
    <cellStyle name="20% - Accent5 3" xfId="6642" xr:uid="{00000000-0005-0000-0000-0000CE000000}"/>
    <cellStyle name="20% - Accent5 3 2" xfId="9319" xr:uid="{FB28B141-07BE-4A43-B21D-A7BE51288BA7}"/>
    <cellStyle name="20% - Accent5 4" xfId="7979" xr:uid="{B58E34FE-3F10-44E8-B295-DDDDB65ECF71}"/>
    <cellStyle name="20% - Accent6" xfId="3359" builtinId="50" customBuiltin="1"/>
    <cellStyle name="20% - Accent6 2" xfId="3395" xr:uid="{00000000-0005-0000-0000-0000D0000000}"/>
    <cellStyle name="20% - Accent6 3" xfId="6644" xr:uid="{00000000-0005-0000-0000-0000D1000000}"/>
    <cellStyle name="20% - Accent6 3 2" xfId="9321" xr:uid="{27B590B8-99B0-4962-B5FD-8CB0A2971FFD}"/>
    <cellStyle name="20% - Accent6 4" xfId="7981" xr:uid="{C5942AC8-F2CF-450A-98AD-751F6796E032}"/>
    <cellStyle name="20% - Colore 1" xfId="3" xr:uid="{00000000-0005-0000-0000-0000D2000000}"/>
    <cellStyle name="20% - Colore 2" xfId="4" xr:uid="{00000000-0005-0000-0000-0000D3000000}"/>
    <cellStyle name="20% - Colore 3" xfId="5" xr:uid="{00000000-0005-0000-0000-0000D4000000}"/>
    <cellStyle name="20% - Colore 4" xfId="6" xr:uid="{00000000-0005-0000-0000-0000D5000000}"/>
    <cellStyle name="20% - Colore 5" xfId="7" xr:uid="{00000000-0005-0000-0000-0000D6000000}"/>
    <cellStyle name="20% - Colore 6" xfId="8" xr:uid="{00000000-0005-0000-0000-0000D7000000}"/>
    <cellStyle name="40 % - Markeringsfarve1 2" xfId="3549" xr:uid="{00000000-0005-0000-0000-0000D8000000}"/>
    <cellStyle name="40 % - Markeringsfarve1 2 2" xfId="3548" xr:uid="{00000000-0005-0000-0000-0000D9000000}"/>
    <cellStyle name="40 % - Markeringsfarve1 2 2 2" xfId="4190" xr:uid="{00000000-0005-0000-0000-0000DA000000}"/>
    <cellStyle name="40 % - Markeringsfarve1 2 2 2 2" xfId="7358" xr:uid="{00000000-0005-0000-0000-0000DB000000}"/>
    <cellStyle name="40 % - Markeringsfarve1 2 2 2 2 2" xfId="10026" xr:uid="{61FB4C1A-640F-4403-9D0F-C255AE45A12F}"/>
    <cellStyle name="40 % - Markeringsfarve1 2 2 2 3" xfId="8695" xr:uid="{D428E894-6D83-4990-B0CE-509A9359F7CA}"/>
    <cellStyle name="40 % - Markeringsfarve1 2 2 3" xfId="6735" xr:uid="{00000000-0005-0000-0000-0000DC000000}"/>
    <cellStyle name="40 % - Markeringsfarve1 2 2 3 2" xfId="9403" xr:uid="{DF3760CD-FA4D-4F19-9CD1-E4532BA223AB}"/>
    <cellStyle name="40 % - Markeringsfarve1 2 2 4" xfId="8072" xr:uid="{BB2590A9-C08E-4FC6-BFE9-9131E51D661B}"/>
    <cellStyle name="40 % - Markeringsfarve1 2 3" xfId="3547" xr:uid="{00000000-0005-0000-0000-0000DD000000}"/>
    <cellStyle name="40 % - Markeringsfarve1 2 3 2" xfId="4189" xr:uid="{00000000-0005-0000-0000-0000DE000000}"/>
    <cellStyle name="40 % - Markeringsfarve1 2 3 2 2" xfId="7357" xr:uid="{00000000-0005-0000-0000-0000DF000000}"/>
    <cellStyle name="40 % - Markeringsfarve1 2 3 2 2 2" xfId="10025" xr:uid="{16CFEA68-A96F-4721-8C22-95CF7AB62C72}"/>
    <cellStyle name="40 % - Markeringsfarve1 2 3 2 3" xfId="8694" xr:uid="{6A576F93-B495-4685-AEE8-3158B4ACF0C6}"/>
    <cellStyle name="40 % - Markeringsfarve1 2 3 3" xfId="6734" xr:uid="{00000000-0005-0000-0000-0000E0000000}"/>
    <cellStyle name="40 % - Markeringsfarve1 2 3 3 2" xfId="9402" xr:uid="{A8A85609-F04C-46D3-AFD3-CC1F8B017870}"/>
    <cellStyle name="40 % - Markeringsfarve1 2 3 4" xfId="8071" xr:uid="{2FD15000-9125-4C79-BCB6-3BDA4FFF2FC5}"/>
    <cellStyle name="40 % - Markeringsfarve1 2 4" xfId="4191" xr:uid="{00000000-0005-0000-0000-0000E1000000}"/>
    <cellStyle name="40 % - Markeringsfarve1 2 4 2" xfId="7359" xr:uid="{00000000-0005-0000-0000-0000E2000000}"/>
    <cellStyle name="40 % - Markeringsfarve1 2 4 2 2" xfId="10027" xr:uid="{BCC44DBF-9AC4-48E2-8451-11D555CD8330}"/>
    <cellStyle name="40 % - Markeringsfarve1 2 4 3" xfId="8696" xr:uid="{5663E04B-117A-414C-A2DF-BC0E7AC2991D}"/>
    <cellStyle name="40 % - Markeringsfarve1 2 5" xfId="6736" xr:uid="{00000000-0005-0000-0000-0000E3000000}"/>
    <cellStyle name="40 % - Markeringsfarve1 2 5 2" xfId="9404" xr:uid="{C8664C89-DDFA-4CB8-BF6E-1266EFC7CF3B}"/>
    <cellStyle name="40 % - Markeringsfarve1 2 6" xfId="8073" xr:uid="{ECFAD0DA-F76A-462B-A054-90DDB0375DB1}"/>
    <cellStyle name="40 % - Markeringsfarve1 3" xfId="3546" xr:uid="{00000000-0005-0000-0000-0000E4000000}"/>
    <cellStyle name="40 % - Markeringsfarve1 3 2" xfId="4188" xr:uid="{00000000-0005-0000-0000-0000E5000000}"/>
    <cellStyle name="40 % - Markeringsfarve1 3 2 2" xfId="7356" xr:uid="{00000000-0005-0000-0000-0000E6000000}"/>
    <cellStyle name="40 % - Markeringsfarve1 3 2 2 2" xfId="10024" xr:uid="{825D7BDC-2000-46E8-9E06-BC321BBACEFB}"/>
    <cellStyle name="40 % - Markeringsfarve1 3 2 3" xfId="8693" xr:uid="{D8C5B82A-212E-4D31-A2C0-225ED33D1143}"/>
    <cellStyle name="40 % - Markeringsfarve1 3 3" xfId="6733" xr:uid="{00000000-0005-0000-0000-0000E7000000}"/>
    <cellStyle name="40 % - Markeringsfarve1 3 3 2" xfId="9401" xr:uid="{90E2FA01-8B99-4755-9415-DB98BFB46831}"/>
    <cellStyle name="40 % - Markeringsfarve1 3 4" xfId="8070" xr:uid="{B0926010-71E0-4E9E-AA50-C0CE6A337401}"/>
    <cellStyle name="40 % - Markeringsfarve1 4" xfId="3545" xr:uid="{00000000-0005-0000-0000-0000E8000000}"/>
    <cellStyle name="40 % - Markeringsfarve1 4 2" xfId="4187" xr:uid="{00000000-0005-0000-0000-0000E9000000}"/>
    <cellStyle name="40 % - Markeringsfarve1 4 2 2" xfId="7355" xr:uid="{00000000-0005-0000-0000-0000EA000000}"/>
    <cellStyle name="40 % - Markeringsfarve1 4 2 2 2" xfId="10023" xr:uid="{780BC53F-4CBD-4AA7-AE94-6A980C6D9680}"/>
    <cellStyle name="40 % - Markeringsfarve1 4 2 3" xfId="8692" xr:uid="{0B4F022E-23BB-45BB-9B90-2D07825D52DB}"/>
    <cellStyle name="40 % - Markeringsfarve1 4 3" xfId="6732" xr:uid="{00000000-0005-0000-0000-0000EB000000}"/>
    <cellStyle name="40 % - Markeringsfarve1 4 3 2" xfId="9400" xr:uid="{899D840C-6BB6-4A02-899E-392674285B32}"/>
    <cellStyle name="40 % - Markeringsfarve1 4 4" xfId="8069" xr:uid="{E504EDB2-1F40-4CD1-9F08-F14D0FA21590}"/>
    <cellStyle name="40 % - Markeringsfarve1 5" xfId="3544" xr:uid="{00000000-0005-0000-0000-0000EC000000}"/>
    <cellStyle name="40 % - Markeringsfarve1 5 2" xfId="4186" xr:uid="{00000000-0005-0000-0000-0000ED000000}"/>
    <cellStyle name="40 % - Markeringsfarve1 5 2 2" xfId="7354" xr:uid="{00000000-0005-0000-0000-0000EE000000}"/>
    <cellStyle name="40 % - Markeringsfarve1 5 2 2 2" xfId="10022" xr:uid="{D63530D9-EB95-4BDC-9A9A-4D5F3F1C2947}"/>
    <cellStyle name="40 % - Markeringsfarve1 5 2 3" xfId="8691" xr:uid="{A45CC9B6-B5EC-4B63-A6A5-590D4FF67751}"/>
    <cellStyle name="40 % - Markeringsfarve1 5 3" xfId="6731" xr:uid="{00000000-0005-0000-0000-0000EF000000}"/>
    <cellStyle name="40 % - Markeringsfarve1 5 3 2" xfId="9399" xr:uid="{394B9ED7-FF72-4BC0-978F-87F3A4A75B01}"/>
    <cellStyle name="40 % - Markeringsfarve1 5 4" xfId="8068" xr:uid="{32CD5271-0BFC-492E-9FA8-B932358D3DE1}"/>
    <cellStyle name="40 % - Markeringsfarve1 6" xfId="3543" xr:uid="{00000000-0005-0000-0000-0000F0000000}"/>
    <cellStyle name="40 % - Markeringsfarve1 6 2" xfId="4185" xr:uid="{00000000-0005-0000-0000-0000F1000000}"/>
    <cellStyle name="40 % - Markeringsfarve1 6 2 2" xfId="7353" xr:uid="{00000000-0005-0000-0000-0000F2000000}"/>
    <cellStyle name="40 % - Markeringsfarve1 6 2 2 2" xfId="10021" xr:uid="{C7D9C52D-3FEF-4436-8D93-5E12CABE5039}"/>
    <cellStyle name="40 % - Markeringsfarve1 6 2 3" xfId="8690" xr:uid="{761FFA9C-16DF-4FCC-B225-1ADD1CC5387B}"/>
    <cellStyle name="40 % - Markeringsfarve1 6 3" xfId="6730" xr:uid="{00000000-0005-0000-0000-0000F3000000}"/>
    <cellStyle name="40 % - Markeringsfarve1 6 3 2" xfId="9398" xr:uid="{0ACE19F1-7D3A-4DEF-9FA3-5949C7882DB5}"/>
    <cellStyle name="40 % - Markeringsfarve1 6 4" xfId="8067" xr:uid="{01CC789B-51F4-4FB9-8A87-991DAD67386E}"/>
    <cellStyle name="40 % - Markeringsfarve1 7" xfId="4160" xr:uid="{00000000-0005-0000-0000-0000F4000000}"/>
    <cellStyle name="40 % - Markeringsfarve1 7 2" xfId="7328" xr:uid="{00000000-0005-0000-0000-0000F5000000}"/>
    <cellStyle name="40 % - Markeringsfarve1 7 2 2" xfId="9996" xr:uid="{CFBAFF32-7F5C-472D-BD00-124DD55473F4}"/>
    <cellStyle name="40 % - Markeringsfarve1 7 3" xfId="8665" xr:uid="{444E1B80-4FA6-4484-B351-57C5C6FB6D6C}"/>
    <cellStyle name="40 % - Markeringsfarve2 2" xfId="3542" xr:uid="{00000000-0005-0000-0000-0000F6000000}"/>
    <cellStyle name="40 % - Markeringsfarve2 2 2" xfId="3541" xr:uid="{00000000-0005-0000-0000-0000F7000000}"/>
    <cellStyle name="40 % - Markeringsfarve2 2 2 2" xfId="4183" xr:uid="{00000000-0005-0000-0000-0000F8000000}"/>
    <cellStyle name="40 % - Markeringsfarve2 2 2 2 2" xfId="7351" xr:uid="{00000000-0005-0000-0000-0000F9000000}"/>
    <cellStyle name="40 % - Markeringsfarve2 2 2 2 2 2" xfId="10019" xr:uid="{055D1649-F5CC-49D2-B448-4ED7C7524B8F}"/>
    <cellStyle name="40 % - Markeringsfarve2 2 2 2 3" xfId="8688" xr:uid="{DD3152EF-8D3A-43F3-B916-B0C5FF98CDC5}"/>
    <cellStyle name="40 % - Markeringsfarve2 2 2 3" xfId="6728" xr:uid="{00000000-0005-0000-0000-0000FA000000}"/>
    <cellStyle name="40 % - Markeringsfarve2 2 2 3 2" xfId="9396" xr:uid="{D10CE8BC-8659-4D04-9FF8-30B3CE2877A6}"/>
    <cellStyle name="40 % - Markeringsfarve2 2 2 4" xfId="8065" xr:uid="{F97808CC-6401-4379-86C8-A6257F7CAD89}"/>
    <cellStyle name="40 % - Markeringsfarve2 2 3" xfId="3540" xr:uid="{00000000-0005-0000-0000-0000FB000000}"/>
    <cellStyle name="40 % - Markeringsfarve2 2 3 2" xfId="4182" xr:uid="{00000000-0005-0000-0000-0000FC000000}"/>
    <cellStyle name="40 % - Markeringsfarve2 2 3 2 2" xfId="7350" xr:uid="{00000000-0005-0000-0000-0000FD000000}"/>
    <cellStyle name="40 % - Markeringsfarve2 2 3 2 2 2" xfId="10018" xr:uid="{A81EF636-3909-46D2-964B-1E099062939F}"/>
    <cellStyle name="40 % - Markeringsfarve2 2 3 2 3" xfId="8687" xr:uid="{DB1EEA15-D4B5-4281-8F65-6DC100B4FE73}"/>
    <cellStyle name="40 % - Markeringsfarve2 2 3 3" xfId="6727" xr:uid="{00000000-0005-0000-0000-0000FE000000}"/>
    <cellStyle name="40 % - Markeringsfarve2 2 3 3 2" xfId="9395" xr:uid="{C6971E9B-F0D2-400D-9481-13CE81B167CA}"/>
    <cellStyle name="40 % - Markeringsfarve2 2 3 4" xfId="8064" xr:uid="{3C18DC1F-F4FB-4D44-B407-2C2C67A2F2C7}"/>
    <cellStyle name="40 % - Markeringsfarve2 2 4" xfId="4184" xr:uid="{00000000-0005-0000-0000-0000FF000000}"/>
    <cellStyle name="40 % - Markeringsfarve2 2 4 2" xfId="7352" xr:uid="{00000000-0005-0000-0000-000000010000}"/>
    <cellStyle name="40 % - Markeringsfarve2 2 4 2 2" xfId="10020" xr:uid="{2AB4C010-4317-4DD7-B4F9-1AC5A159323E}"/>
    <cellStyle name="40 % - Markeringsfarve2 2 4 3" xfId="8689" xr:uid="{F8C93A9D-7F6E-42A5-96DF-F1A0076A9071}"/>
    <cellStyle name="40 % - Markeringsfarve2 2 5" xfId="6729" xr:uid="{00000000-0005-0000-0000-000001010000}"/>
    <cellStyle name="40 % - Markeringsfarve2 2 5 2" xfId="9397" xr:uid="{599E0DDE-C2DC-4246-85D6-ABBBD324DCF6}"/>
    <cellStyle name="40 % - Markeringsfarve2 2 6" xfId="8066" xr:uid="{7E570F90-F7F5-429F-BE7E-12FD0708862A}"/>
    <cellStyle name="40 % - Markeringsfarve2 3" xfId="3539" xr:uid="{00000000-0005-0000-0000-000002010000}"/>
    <cellStyle name="40 % - Markeringsfarve2 3 2" xfId="4181" xr:uid="{00000000-0005-0000-0000-000003010000}"/>
    <cellStyle name="40 % - Markeringsfarve2 3 2 2" xfId="7349" xr:uid="{00000000-0005-0000-0000-000004010000}"/>
    <cellStyle name="40 % - Markeringsfarve2 3 2 2 2" xfId="10017" xr:uid="{5BB2F532-D0D7-4AF0-982C-CC519BD21488}"/>
    <cellStyle name="40 % - Markeringsfarve2 3 2 3" xfId="8686" xr:uid="{926C99EC-C53E-4F51-9B54-8DB7F2E7071D}"/>
    <cellStyle name="40 % - Markeringsfarve2 3 3" xfId="6726" xr:uid="{00000000-0005-0000-0000-000005010000}"/>
    <cellStyle name="40 % - Markeringsfarve2 3 3 2" xfId="9394" xr:uid="{3EBFD73A-051F-4579-BB03-507CAA6CE3DC}"/>
    <cellStyle name="40 % - Markeringsfarve2 3 4" xfId="8063" xr:uid="{442DD682-8A33-465B-97C8-84116F28137D}"/>
    <cellStyle name="40 % - Markeringsfarve2 4" xfId="3538" xr:uid="{00000000-0005-0000-0000-000006010000}"/>
    <cellStyle name="40 % - Markeringsfarve2 4 2" xfId="4180" xr:uid="{00000000-0005-0000-0000-000007010000}"/>
    <cellStyle name="40 % - Markeringsfarve2 4 2 2" xfId="7348" xr:uid="{00000000-0005-0000-0000-000008010000}"/>
    <cellStyle name="40 % - Markeringsfarve2 4 2 2 2" xfId="10016" xr:uid="{8AFC4DBE-01FF-4EBB-A226-580CACF56C4C}"/>
    <cellStyle name="40 % - Markeringsfarve2 4 2 3" xfId="8685" xr:uid="{2C4B7D6B-B808-4DE5-B78F-2212C5346464}"/>
    <cellStyle name="40 % - Markeringsfarve2 4 3" xfId="6725" xr:uid="{00000000-0005-0000-0000-000009010000}"/>
    <cellStyle name="40 % - Markeringsfarve2 4 3 2" xfId="9393" xr:uid="{C1C22DA0-EB20-4C27-821D-25A40A0C1AA4}"/>
    <cellStyle name="40 % - Markeringsfarve2 4 4" xfId="8062" xr:uid="{907CFEAF-0F02-4D3D-93AA-D24538357AF4}"/>
    <cellStyle name="40 % - Markeringsfarve2 5" xfId="3537" xr:uid="{00000000-0005-0000-0000-00000A010000}"/>
    <cellStyle name="40 % - Markeringsfarve2 5 2" xfId="4179" xr:uid="{00000000-0005-0000-0000-00000B010000}"/>
    <cellStyle name="40 % - Markeringsfarve2 5 2 2" xfId="7347" xr:uid="{00000000-0005-0000-0000-00000C010000}"/>
    <cellStyle name="40 % - Markeringsfarve2 5 2 2 2" xfId="10015" xr:uid="{98409D2C-3CA1-4288-8D76-865245AAF05E}"/>
    <cellStyle name="40 % - Markeringsfarve2 5 2 3" xfId="8684" xr:uid="{2CFA445B-2E31-4550-962A-3BA88D7C0F0B}"/>
    <cellStyle name="40 % - Markeringsfarve2 5 3" xfId="6724" xr:uid="{00000000-0005-0000-0000-00000D010000}"/>
    <cellStyle name="40 % - Markeringsfarve2 5 3 2" xfId="9392" xr:uid="{B39278CD-6170-4755-AC23-9FBE265E209F}"/>
    <cellStyle name="40 % - Markeringsfarve2 5 4" xfId="8061" xr:uid="{201B43C8-6877-4753-8332-37F77B4A5B44}"/>
    <cellStyle name="40 % - Markeringsfarve2 6" xfId="3536" xr:uid="{00000000-0005-0000-0000-00000E010000}"/>
    <cellStyle name="40 % - Markeringsfarve2 6 2" xfId="4178" xr:uid="{00000000-0005-0000-0000-00000F010000}"/>
    <cellStyle name="40 % - Markeringsfarve2 6 2 2" xfId="7346" xr:uid="{00000000-0005-0000-0000-000010010000}"/>
    <cellStyle name="40 % - Markeringsfarve2 6 2 2 2" xfId="10014" xr:uid="{3B9F7A8B-2DAF-41A7-82FE-8948796D3082}"/>
    <cellStyle name="40 % - Markeringsfarve2 6 2 3" xfId="8683" xr:uid="{D2DE641C-FFBA-42FE-A01D-1D37DB88D80A}"/>
    <cellStyle name="40 % - Markeringsfarve2 6 3" xfId="6723" xr:uid="{00000000-0005-0000-0000-000011010000}"/>
    <cellStyle name="40 % - Markeringsfarve2 6 3 2" xfId="9391" xr:uid="{86C17FBF-D593-4AB5-B2C9-BB06BAF5F49E}"/>
    <cellStyle name="40 % - Markeringsfarve2 6 4" xfId="8060" xr:uid="{ABE3F922-93B1-4CD2-8BA5-4A1843E8D66F}"/>
    <cellStyle name="40 % - Markeringsfarve2 7" xfId="4162" xr:uid="{00000000-0005-0000-0000-000012010000}"/>
    <cellStyle name="40 % - Markeringsfarve2 7 2" xfId="7330" xr:uid="{00000000-0005-0000-0000-000013010000}"/>
    <cellStyle name="40 % - Markeringsfarve2 7 2 2" xfId="9998" xr:uid="{B0B9C910-20D4-46E6-ACFE-45EEBEEEDFA1}"/>
    <cellStyle name="40 % - Markeringsfarve2 7 3" xfId="8667" xr:uid="{E5379380-CDB9-44A7-B612-21C54887E5B7}"/>
    <cellStyle name="40 % - Markeringsfarve3 2" xfId="3535" xr:uid="{00000000-0005-0000-0000-000014010000}"/>
    <cellStyle name="40 % - Markeringsfarve3 2 2" xfId="3534" xr:uid="{00000000-0005-0000-0000-000015010000}"/>
    <cellStyle name="40 % - Markeringsfarve3 2 2 2" xfId="4176" xr:uid="{00000000-0005-0000-0000-000016010000}"/>
    <cellStyle name="40 % - Markeringsfarve3 2 2 2 2" xfId="7344" xr:uid="{00000000-0005-0000-0000-000017010000}"/>
    <cellStyle name="40 % - Markeringsfarve3 2 2 2 2 2" xfId="10012" xr:uid="{48E5B9F7-31DA-4554-8031-DBD2339EDBA1}"/>
    <cellStyle name="40 % - Markeringsfarve3 2 2 2 3" xfId="8681" xr:uid="{67E8BFA3-C7A7-449D-A080-63035CCAA4B6}"/>
    <cellStyle name="40 % - Markeringsfarve3 2 2 3" xfId="6721" xr:uid="{00000000-0005-0000-0000-000018010000}"/>
    <cellStyle name="40 % - Markeringsfarve3 2 2 3 2" xfId="9389" xr:uid="{14E5C00E-02DD-45ED-A72A-56244B69C317}"/>
    <cellStyle name="40 % - Markeringsfarve3 2 2 4" xfId="8058" xr:uid="{0813C305-E89C-469F-ACA2-2A8D76020261}"/>
    <cellStyle name="40 % - Markeringsfarve3 2 3" xfId="3589" xr:uid="{00000000-0005-0000-0000-000019010000}"/>
    <cellStyle name="40 % - Markeringsfarve3 2 3 2" xfId="4231" xr:uid="{00000000-0005-0000-0000-00001A010000}"/>
    <cellStyle name="40 % - Markeringsfarve3 2 3 2 2" xfId="7399" xr:uid="{00000000-0005-0000-0000-00001B010000}"/>
    <cellStyle name="40 % - Markeringsfarve3 2 3 2 2 2" xfId="10067" xr:uid="{5210F996-35C2-4840-B3A1-22B155969EC9}"/>
    <cellStyle name="40 % - Markeringsfarve3 2 3 2 3" xfId="8736" xr:uid="{97A7287F-BDFE-442C-81B5-9224AFD15A10}"/>
    <cellStyle name="40 % - Markeringsfarve3 2 3 3" xfId="6776" xr:uid="{00000000-0005-0000-0000-00001C010000}"/>
    <cellStyle name="40 % - Markeringsfarve3 2 3 3 2" xfId="9444" xr:uid="{F3525F36-EE24-4D9A-B9E7-E32CB6ED83E9}"/>
    <cellStyle name="40 % - Markeringsfarve3 2 3 4" xfId="8113" xr:uid="{3A819DB7-AC17-40B8-B1A8-EAFC5571B65D}"/>
    <cellStyle name="40 % - Markeringsfarve3 2 4" xfId="4177" xr:uid="{00000000-0005-0000-0000-00001D010000}"/>
    <cellStyle name="40 % - Markeringsfarve3 2 4 2" xfId="7345" xr:uid="{00000000-0005-0000-0000-00001E010000}"/>
    <cellStyle name="40 % - Markeringsfarve3 2 4 2 2" xfId="10013" xr:uid="{B1E8EB27-7678-4E33-9201-7C53484471D0}"/>
    <cellStyle name="40 % - Markeringsfarve3 2 4 3" xfId="8682" xr:uid="{7194FB5D-4EEE-4413-8582-284CB086C009}"/>
    <cellStyle name="40 % - Markeringsfarve3 2 5" xfId="6722" xr:uid="{00000000-0005-0000-0000-00001F010000}"/>
    <cellStyle name="40 % - Markeringsfarve3 2 5 2" xfId="9390" xr:uid="{0796809C-36EA-4401-B1A8-A728F20701C8}"/>
    <cellStyle name="40 % - Markeringsfarve3 2 6" xfId="8059" xr:uid="{37C03EA6-F9A2-4789-A7A2-CCDDF35E2F62}"/>
    <cellStyle name="40 % - Markeringsfarve3 3" xfId="3590" xr:uid="{00000000-0005-0000-0000-000020010000}"/>
    <cellStyle name="40 % - Markeringsfarve3 3 2" xfId="4232" xr:uid="{00000000-0005-0000-0000-000021010000}"/>
    <cellStyle name="40 % - Markeringsfarve3 3 2 2" xfId="7400" xr:uid="{00000000-0005-0000-0000-000022010000}"/>
    <cellStyle name="40 % - Markeringsfarve3 3 2 2 2" xfId="10068" xr:uid="{04C36A2E-59D5-4FC4-8C1D-28CC0ED29B53}"/>
    <cellStyle name="40 % - Markeringsfarve3 3 2 3" xfId="8737" xr:uid="{C3E6AFC7-F45B-4C65-89C5-6533591B9537}"/>
    <cellStyle name="40 % - Markeringsfarve3 3 3" xfId="6777" xr:uid="{00000000-0005-0000-0000-000023010000}"/>
    <cellStyle name="40 % - Markeringsfarve3 3 3 2" xfId="9445" xr:uid="{285870E0-D208-4330-A39E-E73F80E54B20}"/>
    <cellStyle name="40 % - Markeringsfarve3 3 4" xfId="8114" xr:uid="{87BBB135-1DA2-4EFE-8397-2F3297E21DAB}"/>
    <cellStyle name="40 % - Markeringsfarve3 4" xfId="3591" xr:uid="{00000000-0005-0000-0000-000024010000}"/>
    <cellStyle name="40 % - Markeringsfarve3 4 2" xfId="4233" xr:uid="{00000000-0005-0000-0000-000025010000}"/>
    <cellStyle name="40 % - Markeringsfarve3 4 2 2" xfId="7401" xr:uid="{00000000-0005-0000-0000-000026010000}"/>
    <cellStyle name="40 % - Markeringsfarve3 4 2 2 2" xfId="10069" xr:uid="{A9790FA1-0FA3-4765-B070-E9B3B011F92C}"/>
    <cellStyle name="40 % - Markeringsfarve3 4 2 3" xfId="8738" xr:uid="{6CDF9DF5-4F6A-4370-AE60-71F941E486E4}"/>
    <cellStyle name="40 % - Markeringsfarve3 4 3" xfId="6778" xr:uid="{00000000-0005-0000-0000-000027010000}"/>
    <cellStyle name="40 % - Markeringsfarve3 4 3 2" xfId="9446" xr:uid="{D18C63D9-D559-41A0-A6F4-3139F75CD8D2}"/>
    <cellStyle name="40 % - Markeringsfarve3 4 4" xfId="8115" xr:uid="{3BA9E4F5-00E8-4732-9CE6-EC2ED97CDCAB}"/>
    <cellStyle name="40 % - Markeringsfarve3 5" xfId="3592" xr:uid="{00000000-0005-0000-0000-000028010000}"/>
    <cellStyle name="40 % - Markeringsfarve3 5 2" xfId="4234" xr:uid="{00000000-0005-0000-0000-000029010000}"/>
    <cellStyle name="40 % - Markeringsfarve3 5 2 2" xfId="7402" xr:uid="{00000000-0005-0000-0000-00002A010000}"/>
    <cellStyle name="40 % - Markeringsfarve3 5 2 2 2" xfId="10070" xr:uid="{C364269C-EB00-466C-819A-6112FE0C19EB}"/>
    <cellStyle name="40 % - Markeringsfarve3 5 2 3" xfId="8739" xr:uid="{1E6412BE-1291-4206-BF6E-F192532F4CE1}"/>
    <cellStyle name="40 % - Markeringsfarve3 5 3" xfId="6779" xr:uid="{00000000-0005-0000-0000-00002B010000}"/>
    <cellStyle name="40 % - Markeringsfarve3 5 3 2" xfId="9447" xr:uid="{834E8DB4-92A2-400D-9DD4-63493ACA2C8D}"/>
    <cellStyle name="40 % - Markeringsfarve3 5 4" xfId="8116" xr:uid="{C08A45CC-B105-4235-BA43-9797823AF91F}"/>
    <cellStyle name="40 % - Markeringsfarve3 6" xfId="3593" xr:uid="{00000000-0005-0000-0000-00002C010000}"/>
    <cellStyle name="40 % - Markeringsfarve3 6 2" xfId="4235" xr:uid="{00000000-0005-0000-0000-00002D010000}"/>
    <cellStyle name="40 % - Markeringsfarve3 6 2 2" xfId="7403" xr:uid="{00000000-0005-0000-0000-00002E010000}"/>
    <cellStyle name="40 % - Markeringsfarve3 6 2 2 2" xfId="10071" xr:uid="{0046F002-71FD-47A3-B794-88DB45341DA5}"/>
    <cellStyle name="40 % - Markeringsfarve3 6 2 3" xfId="8740" xr:uid="{BB3453A3-0D38-4013-93A4-04D86E1D8E71}"/>
    <cellStyle name="40 % - Markeringsfarve3 6 3" xfId="6780" xr:uid="{00000000-0005-0000-0000-00002F010000}"/>
    <cellStyle name="40 % - Markeringsfarve3 6 3 2" xfId="9448" xr:uid="{C226B186-D8CD-450A-8ED5-F738A36AC496}"/>
    <cellStyle name="40 % - Markeringsfarve3 6 4" xfId="8117" xr:uid="{8809AE24-1A3B-4727-B440-D7E868FF7031}"/>
    <cellStyle name="40 % - Markeringsfarve3 7" xfId="4164" xr:uid="{00000000-0005-0000-0000-000030010000}"/>
    <cellStyle name="40 % - Markeringsfarve3 7 2" xfId="7332" xr:uid="{00000000-0005-0000-0000-000031010000}"/>
    <cellStyle name="40 % - Markeringsfarve3 7 2 2" xfId="10000" xr:uid="{E6DE10FD-57DD-424A-871E-3C6FD14589CC}"/>
    <cellStyle name="40 % - Markeringsfarve3 7 3" xfId="8669" xr:uid="{21A30B21-DB0E-44F7-B239-5FBBA9E4ADEC}"/>
    <cellStyle name="40 % - Markeringsfarve4 2" xfId="3594" xr:uid="{00000000-0005-0000-0000-000032010000}"/>
    <cellStyle name="40 % - Markeringsfarve4 2 2" xfId="3595" xr:uid="{00000000-0005-0000-0000-000033010000}"/>
    <cellStyle name="40 % - Markeringsfarve4 2 2 2" xfId="4237" xr:uid="{00000000-0005-0000-0000-000034010000}"/>
    <cellStyle name="40 % - Markeringsfarve4 2 2 2 2" xfId="7405" xr:uid="{00000000-0005-0000-0000-000035010000}"/>
    <cellStyle name="40 % - Markeringsfarve4 2 2 2 2 2" xfId="10073" xr:uid="{33E214A7-D7ED-4E55-8319-30ED1DB8F89B}"/>
    <cellStyle name="40 % - Markeringsfarve4 2 2 2 3" xfId="8742" xr:uid="{E873606A-9D4D-4A60-A8C8-DF0D48BBF458}"/>
    <cellStyle name="40 % - Markeringsfarve4 2 2 3" xfId="6782" xr:uid="{00000000-0005-0000-0000-000036010000}"/>
    <cellStyle name="40 % - Markeringsfarve4 2 2 3 2" xfId="9450" xr:uid="{791BCBF0-12DB-470D-B916-4E96FCA32E17}"/>
    <cellStyle name="40 % - Markeringsfarve4 2 2 4" xfId="8119" xr:uid="{2BC5F18B-3F69-4721-BE04-7E8BEB91B62F}"/>
    <cellStyle name="40 % - Markeringsfarve4 2 3" xfId="3596" xr:uid="{00000000-0005-0000-0000-000037010000}"/>
    <cellStyle name="40 % - Markeringsfarve4 2 3 2" xfId="4238" xr:uid="{00000000-0005-0000-0000-000038010000}"/>
    <cellStyle name="40 % - Markeringsfarve4 2 3 2 2" xfId="7406" xr:uid="{00000000-0005-0000-0000-000039010000}"/>
    <cellStyle name="40 % - Markeringsfarve4 2 3 2 2 2" xfId="10074" xr:uid="{6D8687F5-2CA9-43BC-8622-BE45199EB78E}"/>
    <cellStyle name="40 % - Markeringsfarve4 2 3 2 3" xfId="8743" xr:uid="{0C40A1C3-A8AC-4D6F-8964-BC49CA869B58}"/>
    <cellStyle name="40 % - Markeringsfarve4 2 3 3" xfId="6783" xr:uid="{00000000-0005-0000-0000-00003A010000}"/>
    <cellStyle name="40 % - Markeringsfarve4 2 3 3 2" xfId="9451" xr:uid="{5A77B52C-95AE-4433-9241-111434C2FDB1}"/>
    <cellStyle name="40 % - Markeringsfarve4 2 3 4" xfId="8120" xr:uid="{0B56514B-9746-48C8-9672-B0578CCD7BC9}"/>
    <cellStyle name="40 % - Markeringsfarve4 2 4" xfId="4236" xr:uid="{00000000-0005-0000-0000-00003B010000}"/>
    <cellStyle name="40 % - Markeringsfarve4 2 4 2" xfId="7404" xr:uid="{00000000-0005-0000-0000-00003C010000}"/>
    <cellStyle name="40 % - Markeringsfarve4 2 4 2 2" xfId="10072" xr:uid="{41273CD8-175D-4AAF-8542-2BF384BE5388}"/>
    <cellStyle name="40 % - Markeringsfarve4 2 4 3" xfId="8741" xr:uid="{D1FFBDD7-8D37-4533-94BE-1CD91FB264F6}"/>
    <cellStyle name="40 % - Markeringsfarve4 2 5" xfId="6781" xr:uid="{00000000-0005-0000-0000-00003D010000}"/>
    <cellStyle name="40 % - Markeringsfarve4 2 5 2" xfId="9449" xr:uid="{06DC209D-C065-42D4-B33F-96846310DC9A}"/>
    <cellStyle name="40 % - Markeringsfarve4 2 6" xfId="8118" xr:uid="{C7E800D1-A0D5-4866-9ED8-8C1D392744AA}"/>
    <cellStyle name="40 % - Markeringsfarve4 3" xfId="3597" xr:uid="{00000000-0005-0000-0000-00003E010000}"/>
    <cellStyle name="40 % - Markeringsfarve4 3 2" xfId="4239" xr:uid="{00000000-0005-0000-0000-00003F010000}"/>
    <cellStyle name="40 % - Markeringsfarve4 3 2 2" xfId="7407" xr:uid="{00000000-0005-0000-0000-000040010000}"/>
    <cellStyle name="40 % - Markeringsfarve4 3 2 2 2" xfId="10075" xr:uid="{39363268-44F7-4ED4-A0F5-0A7C710B9507}"/>
    <cellStyle name="40 % - Markeringsfarve4 3 2 3" xfId="8744" xr:uid="{23953E7A-E178-42BB-8D1F-E25D40DDDD72}"/>
    <cellStyle name="40 % - Markeringsfarve4 3 3" xfId="6784" xr:uid="{00000000-0005-0000-0000-000041010000}"/>
    <cellStyle name="40 % - Markeringsfarve4 3 3 2" xfId="9452" xr:uid="{B63ECAB0-CD67-42FE-BDFA-0D8C2EB8822F}"/>
    <cellStyle name="40 % - Markeringsfarve4 3 4" xfId="8121" xr:uid="{3112D4FD-0578-4267-85C4-AC6344B842E4}"/>
    <cellStyle name="40 % - Markeringsfarve4 4" xfId="3598" xr:uid="{00000000-0005-0000-0000-000042010000}"/>
    <cellStyle name="40 % - Markeringsfarve4 4 2" xfId="4240" xr:uid="{00000000-0005-0000-0000-000043010000}"/>
    <cellStyle name="40 % - Markeringsfarve4 4 2 2" xfId="7408" xr:uid="{00000000-0005-0000-0000-000044010000}"/>
    <cellStyle name="40 % - Markeringsfarve4 4 2 2 2" xfId="10076" xr:uid="{21441A4C-BCED-4482-AF76-BEBD1E00A16A}"/>
    <cellStyle name="40 % - Markeringsfarve4 4 2 3" xfId="8745" xr:uid="{5B4748E0-8068-42D5-8D22-1B8452EC1F13}"/>
    <cellStyle name="40 % - Markeringsfarve4 4 3" xfId="6785" xr:uid="{00000000-0005-0000-0000-000045010000}"/>
    <cellStyle name="40 % - Markeringsfarve4 4 3 2" xfId="9453" xr:uid="{E9713FCE-8D61-40A0-A221-A9E4E407FFC9}"/>
    <cellStyle name="40 % - Markeringsfarve4 4 4" xfId="8122" xr:uid="{F23EFC92-C59A-474F-A07D-C0F17BAEEC2D}"/>
    <cellStyle name="40 % - Markeringsfarve4 5" xfId="3599" xr:uid="{00000000-0005-0000-0000-000046010000}"/>
    <cellStyle name="40 % - Markeringsfarve4 5 2" xfId="4241" xr:uid="{00000000-0005-0000-0000-000047010000}"/>
    <cellStyle name="40 % - Markeringsfarve4 5 2 2" xfId="7409" xr:uid="{00000000-0005-0000-0000-000048010000}"/>
    <cellStyle name="40 % - Markeringsfarve4 5 2 2 2" xfId="10077" xr:uid="{25F0EA13-8C39-4AA3-A11D-23F9D3B86AF4}"/>
    <cellStyle name="40 % - Markeringsfarve4 5 2 3" xfId="8746" xr:uid="{D5D3A65B-5878-44AF-A833-A9F6E98039D5}"/>
    <cellStyle name="40 % - Markeringsfarve4 5 3" xfId="6786" xr:uid="{00000000-0005-0000-0000-000049010000}"/>
    <cellStyle name="40 % - Markeringsfarve4 5 3 2" xfId="9454" xr:uid="{5DE8FEAB-2231-4053-9386-823F687AC532}"/>
    <cellStyle name="40 % - Markeringsfarve4 5 4" xfId="8123" xr:uid="{5349C7BF-17B2-4037-AD46-3B61A163C8F0}"/>
    <cellStyle name="40 % - Markeringsfarve4 6" xfId="3600" xr:uid="{00000000-0005-0000-0000-00004A010000}"/>
    <cellStyle name="40 % - Markeringsfarve4 6 2" xfId="4242" xr:uid="{00000000-0005-0000-0000-00004B010000}"/>
    <cellStyle name="40 % - Markeringsfarve4 6 2 2" xfId="7410" xr:uid="{00000000-0005-0000-0000-00004C010000}"/>
    <cellStyle name="40 % - Markeringsfarve4 6 2 2 2" xfId="10078" xr:uid="{3CF57AC1-9582-42C9-9271-9CE283B48622}"/>
    <cellStyle name="40 % - Markeringsfarve4 6 2 3" xfId="8747" xr:uid="{DB39C10D-340D-4C34-A5C3-F3C0AE4A684B}"/>
    <cellStyle name="40 % - Markeringsfarve4 6 3" xfId="6787" xr:uid="{00000000-0005-0000-0000-00004D010000}"/>
    <cellStyle name="40 % - Markeringsfarve4 6 3 2" xfId="9455" xr:uid="{07D10EE0-26D5-43E3-9322-FB9BCC5C2A00}"/>
    <cellStyle name="40 % - Markeringsfarve4 6 4" xfId="8124" xr:uid="{82CD34BC-14E6-4AC2-8B79-B36D9FBF304A}"/>
    <cellStyle name="40 % - Markeringsfarve4 7" xfId="4166" xr:uid="{00000000-0005-0000-0000-00004E010000}"/>
    <cellStyle name="40 % - Markeringsfarve4 7 2" xfId="7334" xr:uid="{00000000-0005-0000-0000-00004F010000}"/>
    <cellStyle name="40 % - Markeringsfarve4 7 2 2" xfId="10002" xr:uid="{CB28F4CC-AD8F-42C6-A0E1-914249AE098A}"/>
    <cellStyle name="40 % - Markeringsfarve4 7 3" xfId="8671" xr:uid="{C23175FE-C0AC-4C6E-A0D6-42936166E006}"/>
    <cellStyle name="40 % - Markeringsfarve5 2" xfId="3601" xr:uid="{00000000-0005-0000-0000-000050010000}"/>
    <cellStyle name="40 % - Markeringsfarve5 2 2" xfId="3602" xr:uid="{00000000-0005-0000-0000-000051010000}"/>
    <cellStyle name="40 % - Markeringsfarve5 2 2 2" xfId="4244" xr:uid="{00000000-0005-0000-0000-000052010000}"/>
    <cellStyle name="40 % - Markeringsfarve5 2 2 2 2" xfId="7412" xr:uid="{00000000-0005-0000-0000-000053010000}"/>
    <cellStyle name="40 % - Markeringsfarve5 2 2 2 2 2" xfId="10080" xr:uid="{FBFBFFC5-0BE3-4CD0-8A8F-80B97FDDD2F8}"/>
    <cellStyle name="40 % - Markeringsfarve5 2 2 2 3" xfId="8749" xr:uid="{E91EE772-8D17-4CCC-8BDB-154122C4EB59}"/>
    <cellStyle name="40 % - Markeringsfarve5 2 2 3" xfId="6789" xr:uid="{00000000-0005-0000-0000-000054010000}"/>
    <cellStyle name="40 % - Markeringsfarve5 2 2 3 2" xfId="9457" xr:uid="{D3D06BCE-D1B4-450D-BDBD-15A493F1A26B}"/>
    <cellStyle name="40 % - Markeringsfarve5 2 2 4" xfId="8126" xr:uid="{8A947E4D-DB9A-432D-9375-5D1927656119}"/>
    <cellStyle name="40 % - Markeringsfarve5 2 3" xfId="3603" xr:uid="{00000000-0005-0000-0000-000055010000}"/>
    <cellStyle name="40 % - Markeringsfarve5 2 3 2" xfId="4245" xr:uid="{00000000-0005-0000-0000-000056010000}"/>
    <cellStyle name="40 % - Markeringsfarve5 2 3 2 2" xfId="7413" xr:uid="{00000000-0005-0000-0000-000057010000}"/>
    <cellStyle name="40 % - Markeringsfarve5 2 3 2 2 2" xfId="10081" xr:uid="{62D6A7B7-DBE6-4703-8D7B-47C9BD0CAC63}"/>
    <cellStyle name="40 % - Markeringsfarve5 2 3 2 3" xfId="8750" xr:uid="{7C3A7009-303D-4FA1-BE3B-EC582D326790}"/>
    <cellStyle name="40 % - Markeringsfarve5 2 3 3" xfId="6790" xr:uid="{00000000-0005-0000-0000-000058010000}"/>
    <cellStyle name="40 % - Markeringsfarve5 2 3 3 2" xfId="9458" xr:uid="{BE0B6DA4-0384-4F12-96C8-CA74F025DB0D}"/>
    <cellStyle name="40 % - Markeringsfarve5 2 3 4" xfId="8127" xr:uid="{497371B8-3D4E-4D94-BE21-D6D7715D03CF}"/>
    <cellStyle name="40 % - Markeringsfarve5 2 4" xfId="4243" xr:uid="{00000000-0005-0000-0000-000059010000}"/>
    <cellStyle name="40 % - Markeringsfarve5 2 4 2" xfId="7411" xr:uid="{00000000-0005-0000-0000-00005A010000}"/>
    <cellStyle name="40 % - Markeringsfarve5 2 4 2 2" xfId="10079" xr:uid="{94BBC3A5-1CA7-4983-9C75-FBAB3C2651F8}"/>
    <cellStyle name="40 % - Markeringsfarve5 2 4 3" xfId="8748" xr:uid="{93DA79A2-C2B5-4652-AFCD-813AE9A089A2}"/>
    <cellStyle name="40 % - Markeringsfarve5 2 5" xfId="6788" xr:uid="{00000000-0005-0000-0000-00005B010000}"/>
    <cellStyle name="40 % - Markeringsfarve5 2 5 2" xfId="9456" xr:uid="{2AE410D6-36F3-41B3-8A81-23061599AB08}"/>
    <cellStyle name="40 % - Markeringsfarve5 2 6" xfId="8125" xr:uid="{F5AA38BC-90C7-4416-A831-42FE30A74887}"/>
    <cellStyle name="40 % - Markeringsfarve5 3" xfId="3604" xr:uid="{00000000-0005-0000-0000-00005C010000}"/>
    <cellStyle name="40 % - Markeringsfarve5 3 2" xfId="4246" xr:uid="{00000000-0005-0000-0000-00005D010000}"/>
    <cellStyle name="40 % - Markeringsfarve5 3 2 2" xfId="7414" xr:uid="{00000000-0005-0000-0000-00005E010000}"/>
    <cellStyle name="40 % - Markeringsfarve5 3 2 2 2" xfId="10082" xr:uid="{37D01E23-98F9-464D-81AB-760C4689BA0D}"/>
    <cellStyle name="40 % - Markeringsfarve5 3 2 3" xfId="8751" xr:uid="{BE2F4CE8-0598-4504-BF49-5EEF5FC82349}"/>
    <cellStyle name="40 % - Markeringsfarve5 3 3" xfId="6791" xr:uid="{00000000-0005-0000-0000-00005F010000}"/>
    <cellStyle name="40 % - Markeringsfarve5 3 3 2" xfId="9459" xr:uid="{B3CF3AB6-31B9-44A0-943C-DF9FBFB00679}"/>
    <cellStyle name="40 % - Markeringsfarve5 3 4" xfId="8128" xr:uid="{DED60044-E007-4DDE-9E30-B1F77C91765C}"/>
    <cellStyle name="40 % - Markeringsfarve5 4" xfId="3605" xr:uid="{00000000-0005-0000-0000-000060010000}"/>
    <cellStyle name="40 % - Markeringsfarve5 4 2" xfId="4247" xr:uid="{00000000-0005-0000-0000-000061010000}"/>
    <cellStyle name="40 % - Markeringsfarve5 4 2 2" xfId="7415" xr:uid="{00000000-0005-0000-0000-000062010000}"/>
    <cellStyle name="40 % - Markeringsfarve5 4 2 2 2" xfId="10083" xr:uid="{2AF9012C-959F-4EBD-8803-52DC65599B81}"/>
    <cellStyle name="40 % - Markeringsfarve5 4 2 3" xfId="8752" xr:uid="{7137530D-F017-42DC-AB03-F163BA4472BD}"/>
    <cellStyle name="40 % - Markeringsfarve5 4 3" xfId="6792" xr:uid="{00000000-0005-0000-0000-000063010000}"/>
    <cellStyle name="40 % - Markeringsfarve5 4 3 2" xfId="9460" xr:uid="{F68A472E-8E75-456A-97CF-9040AF7F9AE7}"/>
    <cellStyle name="40 % - Markeringsfarve5 4 4" xfId="8129" xr:uid="{16F438DF-21D2-4B6C-9AE7-54CF1266944A}"/>
    <cellStyle name="40 % - Markeringsfarve5 5" xfId="3606" xr:uid="{00000000-0005-0000-0000-000064010000}"/>
    <cellStyle name="40 % - Markeringsfarve5 5 2" xfId="4248" xr:uid="{00000000-0005-0000-0000-000065010000}"/>
    <cellStyle name="40 % - Markeringsfarve5 5 2 2" xfId="7416" xr:uid="{00000000-0005-0000-0000-000066010000}"/>
    <cellStyle name="40 % - Markeringsfarve5 5 2 2 2" xfId="10084" xr:uid="{8608023D-10BC-4D95-A6F2-2F4C7BEBED61}"/>
    <cellStyle name="40 % - Markeringsfarve5 5 2 3" xfId="8753" xr:uid="{0036DE52-5064-425D-8FA9-9C4EF95D696D}"/>
    <cellStyle name="40 % - Markeringsfarve5 5 3" xfId="6793" xr:uid="{00000000-0005-0000-0000-000067010000}"/>
    <cellStyle name="40 % - Markeringsfarve5 5 3 2" xfId="9461" xr:uid="{1BDCCF35-69A6-4521-BBE6-C9492F12D57B}"/>
    <cellStyle name="40 % - Markeringsfarve5 5 4" xfId="8130" xr:uid="{13F30389-C1C2-4DB1-897B-760DC607D9E5}"/>
    <cellStyle name="40 % - Markeringsfarve5 6" xfId="3607" xr:uid="{00000000-0005-0000-0000-000068010000}"/>
    <cellStyle name="40 % - Markeringsfarve5 6 2" xfId="4249" xr:uid="{00000000-0005-0000-0000-000069010000}"/>
    <cellStyle name="40 % - Markeringsfarve5 6 2 2" xfId="7417" xr:uid="{00000000-0005-0000-0000-00006A010000}"/>
    <cellStyle name="40 % - Markeringsfarve5 6 2 2 2" xfId="10085" xr:uid="{2D12A84C-0CE4-4EDD-8CEF-CA1F863E3C0D}"/>
    <cellStyle name="40 % - Markeringsfarve5 6 2 3" xfId="8754" xr:uid="{30DA5704-F94C-41B2-8DC4-16F4D4E811FA}"/>
    <cellStyle name="40 % - Markeringsfarve5 6 3" xfId="6794" xr:uid="{00000000-0005-0000-0000-00006B010000}"/>
    <cellStyle name="40 % - Markeringsfarve5 6 3 2" xfId="9462" xr:uid="{47061E09-6415-4D2E-B5E5-2A949802F814}"/>
    <cellStyle name="40 % - Markeringsfarve5 6 4" xfId="8131" xr:uid="{52878E94-7837-4E10-BCCD-DB335E093B1A}"/>
    <cellStyle name="40 % - Markeringsfarve5 7" xfId="4168" xr:uid="{00000000-0005-0000-0000-00006C010000}"/>
    <cellStyle name="40 % - Markeringsfarve5 7 2" xfId="7336" xr:uid="{00000000-0005-0000-0000-00006D010000}"/>
    <cellStyle name="40 % - Markeringsfarve5 7 2 2" xfId="10004" xr:uid="{9F041843-3793-4A7E-BE46-802FB46DFF0C}"/>
    <cellStyle name="40 % - Markeringsfarve5 7 3" xfId="8673" xr:uid="{4B7FE942-FE54-421B-BCB8-76F090A265D5}"/>
    <cellStyle name="40 % - Markeringsfarve6 2" xfId="3608" xr:uid="{00000000-0005-0000-0000-00006E010000}"/>
    <cellStyle name="40 % - Markeringsfarve6 2 2" xfId="3609" xr:uid="{00000000-0005-0000-0000-00006F010000}"/>
    <cellStyle name="40 % - Markeringsfarve6 2 2 2" xfId="4251" xr:uid="{00000000-0005-0000-0000-000070010000}"/>
    <cellStyle name="40 % - Markeringsfarve6 2 2 2 2" xfId="7419" xr:uid="{00000000-0005-0000-0000-000071010000}"/>
    <cellStyle name="40 % - Markeringsfarve6 2 2 2 2 2" xfId="10087" xr:uid="{814ED845-16AE-42E4-ADBC-66FA0ABF67B7}"/>
    <cellStyle name="40 % - Markeringsfarve6 2 2 2 3" xfId="8756" xr:uid="{9C5AC5F6-0C75-4624-A694-BC3E9DCA5459}"/>
    <cellStyle name="40 % - Markeringsfarve6 2 2 3" xfId="6796" xr:uid="{00000000-0005-0000-0000-000072010000}"/>
    <cellStyle name="40 % - Markeringsfarve6 2 2 3 2" xfId="9464" xr:uid="{92414FD9-3C5E-41AB-8162-048F541F37A1}"/>
    <cellStyle name="40 % - Markeringsfarve6 2 2 4" xfId="8133" xr:uid="{10E42D43-446D-400A-982C-247FDCAC1C95}"/>
    <cellStyle name="40 % - Markeringsfarve6 2 3" xfId="3610" xr:uid="{00000000-0005-0000-0000-000073010000}"/>
    <cellStyle name="40 % - Markeringsfarve6 2 3 2" xfId="4252" xr:uid="{00000000-0005-0000-0000-000074010000}"/>
    <cellStyle name="40 % - Markeringsfarve6 2 3 2 2" xfId="7420" xr:uid="{00000000-0005-0000-0000-000075010000}"/>
    <cellStyle name="40 % - Markeringsfarve6 2 3 2 2 2" xfId="10088" xr:uid="{1D334664-F4F2-473E-83C1-E43A61B9DCB0}"/>
    <cellStyle name="40 % - Markeringsfarve6 2 3 2 3" xfId="8757" xr:uid="{26A3A1A5-7AD2-42F1-94A0-6CB36BBABF33}"/>
    <cellStyle name="40 % - Markeringsfarve6 2 3 3" xfId="6797" xr:uid="{00000000-0005-0000-0000-000076010000}"/>
    <cellStyle name="40 % - Markeringsfarve6 2 3 3 2" xfId="9465" xr:uid="{6812EF93-F0E3-45AF-B390-C14523B47165}"/>
    <cellStyle name="40 % - Markeringsfarve6 2 3 4" xfId="8134" xr:uid="{72049701-5422-4B59-89FE-7A14D68EF958}"/>
    <cellStyle name="40 % - Markeringsfarve6 2 4" xfId="4250" xr:uid="{00000000-0005-0000-0000-000077010000}"/>
    <cellStyle name="40 % - Markeringsfarve6 2 4 2" xfId="7418" xr:uid="{00000000-0005-0000-0000-000078010000}"/>
    <cellStyle name="40 % - Markeringsfarve6 2 4 2 2" xfId="10086" xr:uid="{F9A5B1DA-1C93-42F8-BBAD-0CA16B2A5DA8}"/>
    <cellStyle name="40 % - Markeringsfarve6 2 4 3" xfId="8755" xr:uid="{4FBF0272-DF15-4A6A-B7F1-FE0638EEFE72}"/>
    <cellStyle name="40 % - Markeringsfarve6 2 5" xfId="6795" xr:uid="{00000000-0005-0000-0000-000079010000}"/>
    <cellStyle name="40 % - Markeringsfarve6 2 5 2" xfId="9463" xr:uid="{8038CC14-012A-469E-A5AE-D560BD177A9E}"/>
    <cellStyle name="40 % - Markeringsfarve6 2 6" xfId="8132" xr:uid="{35A8386B-82D3-452C-957E-BC536229DAA0}"/>
    <cellStyle name="40 % - Markeringsfarve6 3" xfId="3611" xr:uid="{00000000-0005-0000-0000-00007A010000}"/>
    <cellStyle name="40 % - Markeringsfarve6 3 2" xfId="4253" xr:uid="{00000000-0005-0000-0000-00007B010000}"/>
    <cellStyle name="40 % - Markeringsfarve6 3 2 2" xfId="7421" xr:uid="{00000000-0005-0000-0000-00007C010000}"/>
    <cellStyle name="40 % - Markeringsfarve6 3 2 2 2" xfId="10089" xr:uid="{FF71EDEB-9537-4169-A1DF-DFC9C775CE23}"/>
    <cellStyle name="40 % - Markeringsfarve6 3 2 3" xfId="8758" xr:uid="{84E337B9-A77A-42EB-A75F-10A4A464342E}"/>
    <cellStyle name="40 % - Markeringsfarve6 3 3" xfId="6798" xr:uid="{00000000-0005-0000-0000-00007D010000}"/>
    <cellStyle name="40 % - Markeringsfarve6 3 3 2" xfId="9466" xr:uid="{F7312393-1EFA-44D9-BE01-50636E158A67}"/>
    <cellStyle name="40 % - Markeringsfarve6 3 4" xfId="8135" xr:uid="{073F53D4-4DAD-4D28-9A39-0A79F324A7D9}"/>
    <cellStyle name="40 % - Markeringsfarve6 4" xfId="3612" xr:uid="{00000000-0005-0000-0000-00007E010000}"/>
    <cellStyle name="40 % - Markeringsfarve6 4 2" xfId="4254" xr:uid="{00000000-0005-0000-0000-00007F010000}"/>
    <cellStyle name="40 % - Markeringsfarve6 4 2 2" xfId="7422" xr:uid="{00000000-0005-0000-0000-000080010000}"/>
    <cellStyle name="40 % - Markeringsfarve6 4 2 2 2" xfId="10090" xr:uid="{A29308E7-11EE-4385-B2A9-412200086EDC}"/>
    <cellStyle name="40 % - Markeringsfarve6 4 2 3" xfId="8759" xr:uid="{58776258-F9BF-4FE4-9C45-5EDF1176C764}"/>
    <cellStyle name="40 % - Markeringsfarve6 4 3" xfId="6799" xr:uid="{00000000-0005-0000-0000-000081010000}"/>
    <cellStyle name="40 % - Markeringsfarve6 4 3 2" xfId="9467" xr:uid="{665960CB-C8B5-4F16-A557-0D548F3133B2}"/>
    <cellStyle name="40 % - Markeringsfarve6 4 4" xfId="8136" xr:uid="{D4ADFF78-AB8D-43B4-BF09-E0E8C6674DEC}"/>
    <cellStyle name="40 % - Markeringsfarve6 5" xfId="3613" xr:uid="{00000000-0005-0000-0000-000082010000}"/>
    <cellStyle name="40 % - Markeringsfarve6 5 2" xfId="4255" xr:uid="{00000000-0005-0000-0000-000083010000}"/>
    <cellStyle name="40 % - Markeringsfarve6 5 2 2" xfId="7423" xr:uid="{00000000-0005-0000-0000-000084010000}"/>
    <cellStyle name="40 % - Markeringsfarve6 5 2 2 2" xfId="10091" xr:uid="{9FB7F605-5106-45CC-9833-5B244201FF64}"/>
    <cellStyle name="40 % - Markeringsfarve6 5 2 3" xfId="8760" xr:uid="{CEECE2E5-A32E-4263-B97D-6BD318577DDC}"/>
    <cellStyle name="40 % - Markeringsfarve6 5 3" xfId="6800" xr:uid="{00000000-0005-0000-0000-000085010000}"/>
    <cellStyle name="40 % - Markeringsfarve6 5 3 2" xfId="9468" xr:uid="{E3EC377D-AD65-4D69-9FBA-A708CE9CEDD5}"/>
    <cellStyle name="40 % - Markeringsfarve6 5 4" xfId="8137" xr:uid="{35FB1D26-53B3-4FCE-8166-38430039906B}"/>
    <cellStyle name="40 % - Markeringsfarve6 6" xfId="3614" xr:uid="{00000000-0005-0000-0000-000086010000}"/>
    <cellStyle name="40 % - Markeringsfarve6 6 2" xfId="4256" xr:uid="{00000000-0005-0000-0000-000087010000}"/>
    <cellStyle name="40 % - Markeringsfarve6 6 2 2" xfId="7424" xr:uid="{00000000-0005-0000-0000-000088010000}"/>
    <cellStyle name="40 % - Markeringsfarve6 6 2 2 2" xfId="10092" xr:uid="{2C9FD871-594A-46B6-995F-F4B003C5AC79}"/>
    <cellStyle name="40 % - Markeringsfarve6 6 2 3" xfId="8761" xr:uid="{891A8FBB-890D-477A-81E0-7603A0A3F681}"/>
    <cellStyle name="40 % - Markeringsfarve6 6 3" xfId="6801" xr:uid="{00000000-0005-0000-0000-000089010000}"/>
    <cellStyle name="40 % - Markeringsfarve6 6 3 2" xfId="9469" xr:uid="{03412360-B70E-4DCE-BFCE-E7852CDDDD30}"/>
    <cellStyle name="40 % - Markeringsfarve6 6 4" xfId="8138" xr:uid="{91820DAA-D1AE-41D6-88C4-64AD0FF84FC4}"/>
    <cellStyle name="40 % - Markeringsfarve6 7" xfId="4170" xr:uid="{00000000-0005-0000-0000-00008A010000}"/>
    <cellStyle name="40 % - Markeringsfarve6 7 2" xfId="7338" xr:uid="{00000000-0005-0000-0000-00008B010000}"/>
    <cellStyle name="40 % - Markeringsfarve6 7 2 2" xfId="10006" xr:uid="{5B6CB500-784E-43C6-9885-3577858347E5}"/>
    <cellStyle name="40 % - Markeringsfarve6 7 3" xfId="8675" xr:uid="{267B20BF-43E1-4B4A-82E2-D58278D7865F}"/>
    <cellStyle name="40% - Accent1" xfId="3340" builtinId="31" customBuiltin="1"/>
    <cellStyle name="40% - Accent1 2" xfId="3396" xr:uid="{00000000-0005-0000-0000-00008D010000}"/>
    <cellStyle name="40% - Accent1 3" xfId="6635" xr:uid="{00000000-0005-0000-0000-00008E010000}"/>
    <cellStyle name="40% - Accent1 3 2" xfId="9312" xr:uid="{A332B9EF-104C-469B-8E48-E55D2BEBCFF4}"/>
    <cellStyle name="40% - Accent1 4" xfId="7972" xr:uid="{AFA90087-BEC1-4BD0-9D16-04E173DFB9B2}"/>
    <cellStyle name="40% - Accent2" xfId="3344" builtinId="35" customBuiltin="1"/>
    <cellStyle name="40% - Accent2 2" xfId="3397" xr:uid="{00000000-0005-0000-0000-000090010000}"/>
    <cellStyle name="40% - Accent2 3" xfId="6637" xr:uid="{00000000-0005-0000-0000-000091010000}"/>
    <cellStyle name="40% - Accent2 3 2" xfId="9314" xr:uid="{62B6BE38-CB9A-4DE4-945D-FAFD790D272C}"/>
    <cellStyle name="40% - Accent2 4" xfId="7974" xr:uid="{0CEBBECF-3417-4EC1-96E9-77FFC2EA83C9}"/>
    <cellStyle name="40% - Accent3" xfId="3348" builtinId="39" customBuiltin="1"/>
    <cellStyle name="40% - Accent3 2" xfId="3398" xr:uid="{00000000-0005-0000-0000-000093010000}"/>
    <cellStyle name="40% - Accent3 3" xfId="6639" xr:uid="{00000000-0005-0000-0000-000094010000}"/>
    <cellStyle name="40% - Accent3 3 2" xfId="9316" xr:uid="{29F6FDE6-94CE-4784-986F-5C1FCDC0DB79}"/>
    <cellStyle name="40% - Accent3 4" xfId="7976" xr:uid="{1C9E87DD-1F64-4B17-A780-4943CEFCF8CB}"/>
    <cellStyle name="40% - Accent4" xfId="3352" builtinId="43" customBuiltin="1"/>
    <cellStyle name="40% - Accent4 2" xfId="3399" xr:uid="{00000000-0005-0000-0000-000096010000}"/>
    <cellStyle name="40% - Accent4 3" xfId="6641" xr:uid="{00000000-0005-0000-0000-000097010000}"/>
    <cellStyle name="40% - Accent4 3 2" xfId="9318" xr:uid="{C2AEC605-5031-481E-89F7-6C27555B33D1}"/>
    <cellStyle name="40% - Accent4 4" xfId="7978" xr:uid="{B7C1842D-7370-47CF-96B1-24B503456D70}"/>
    <cellStyle name="40% - Accent5" xfId="3356" builtinId="47" customBuiltin="1"/>
    <cellStyle name="40% - Accent5 2" xfId="3400" xr:uid="{00000000-0005-0000-0000-000099010000}"/>
    <cellStyle name="40% - Accent5 3" xfId="6643" xr:uid="{00000000-0005-0000-0000-00009A010000}"/>
    <cellStyle name="40% - Accent5 3 2" xfId="9320" xr:uid="{D72F6565-A9E0-4345-9B2E-043BFB9F753C}"/>
    <cellStyle name="40% - Accent5 4" xfId="7980" xr:uid="{A15BD364-DE06-4362-AC66-D2C402F2D079}"/>
    <cellStyle name="40% - Accent6" xfId="3360" builtinId="51" customBuiltin="1"/>
    <cellStyle name="40% - Accent6 2" xfId="3401" xr:uid="{00000000-0005-0000-0000-00009C010000}"/>
    <cellStyle name="40% - Accent6 3" xfId="6645" xr:uid="{00000000-0005-0000-0000-00009D010000}"/>
    <cellStyle name="40% - Accent6 3 2" xfId="9322" xr:uid="{D2C78CBC-BFE6-4DDC-AB44-B2BD034A1628}"/>
    <cellStyle name="40% - Accent6 4" xfId="7982" xr:uid="{56135ECF-181A-4195-801E-2228B420E73D}"/>
    <cellStyle name="40% - Colore 1" xfId="9" xr:uid="{00000000-0005-0000-0000-00009E010000}"/>
    <cellStyle name="40% - Colore 2" xfId="10" xr:uid="{00000000-0005-0000-0000-00009F010000}"/>
    <cellStyle name="40% - Colore 3" xfId="11" xr:uid="{00000000-0005-0000-0000-0000A0010000}"/>
    <cellStyle name="40% - Colore 4" xfId="12" xr:uid="{00000000-0005-0000-0000-0000A1010000}"/>
    <cellStyle name="40% - Colore 5" xfId="13" xr:uid="{00000000-0005-0000-0000-0000A2010000}"/>
    <cellStyle name="40% - Colore 6" xfId="14" xr:uid="{00000000-0005-0000-0000-0000A3010000}"/>
    <cellStyle name="5x indented GHG Textfiels" xfId="15" xr:uid="{00000000-0005-0000-0000-0000A4010000}"/>
    <cellStyle name="5x indented GHG Textfiels 2" xfId="2075" xr:uid="{00000000-0005-0000-0000-0000A5010000}"/>
    <cellStyle name="60% - Accent1" xfId="3341" builtinId="32" customBuiltin="1"/>
    <cellStyle name="60% - Accent1 2" xfId="3402" xr:uid="{00000000-0005-0000-0000-0000A7010000}"/>
    <cellStyle name="60% - Accent2" xfId="3345" builtinId="36" customBuiltin="1"/>
    <cellStyle name="60% - Accent2 2" xfId="3403" xr:uid="{00000000-0005-0000-0000-0000A9010000}"/>
    <cellStyle name="60% - Accent3" xfId="3349" builtinId="40" customBuiltin="1"/>
    <cellStyle name="60% - Accent3 2" xfId="3404" xr:uid="{00000000-0005-0000-0000-0000AB010000}"/>
    <cellStyle name="60% - Accent4" xfId="3353" builtinId="44" customBuiltin="1"/>
    <cellStyle name="60% - Accent4 2" xfId="3405" xr:uid="{00000000-0005-0000-0000-0000AD010000}"/>
    <cellStyle name="60% - Accent5" xfId="3357" builtinId="48" customBuiltin="1"/>
    <cellStyle name="60% - Accent5 2" xfId="3406" xr:uid="{00000000-0005-0000-0000-0000AF010000}"/>
    <cellStyle name="60% - Accent6" xfId="3361" builtinId="52" customBuiltin="1"/>
    <cellStyle name="60% - Accent6 2" xfId="3407" xr:uid="{00000000-0005-0000-0000-0000B1010000}"/>
    <cellStyle name="60% - Colore 1" xfId="16" xr:uid="{00000000-0005-0000-0000-0000B2010000}"/>
    <cellStyle name="60% - Colore 2" xfId="17" xr:uid="{00000000-0005-0000-0000-0000B3010000}"/>
    <cellStyle name="60% - Colore 3" xfId="18" xr:uid="{00000000-0005-0000-0000-0000B4010000}"/>
    <cellStyle name="60% - Colore 4" xfId="19" xr:uid="{00000000-0005-0000-0000-0000B5010000}"/>
    <cellStyle name="60% - Colore 5" xfId="20" xr:uid="{00000000-0005-0000-0000-0000B6010000}"/>
    <cellStyle name="60% - Colore 6" xfId="21" xr:uid="{00000000-0005-0000-0000-0000B7010000}"/>
    <cellStyle name="Accent1" xfId="3338" builtinId="29" customBuiltin="1"/>
    <cellStyle name="Accent1 2" xfId="3408" xr:uid="{00000000-0005-0000-0000-0000B9010000}"/>
    <cellStyle name="Accent2" xfId="3342" builtinId="33" customBuiltin="1"/>
    <cellStyle name="Accent2 2" xfId="3409" xr:uid="{00000000-0005-0000-0000-0000BB010000}"/>
    <cellStyle name="Accent3" xfId="3346" builtinId="37" customBuiltin="1"/>
    <cellStyle name="Accent3 2" xfId="3410" xr:uid="{00000000-0005-0000-0000-0000BD010000}"/>
    <cellStyle name="Accent4" xfId="3350" builtinId="41" customBuiltin="1"/>
    <cellStyle name="Accent4 2" xfId="3411" xr:uid="{00000000-0005-0000-0000-0000BF010000}"/>
    <cellStyle name="Accent5" xfId="3354" builtinId="45" customBuiltin="1"/>
    <cellStyle name="Accent5 2" xfId="3412" xr:uid="{00000000-0005-0000-0000-0000C1010000}"/>
    <cellStyle name="Accent6" xfId="3358" builtinId="49" customBuiltin="1"/>
    <cellStyle name="Accent6 2" xfId="3413" xr:uid="{00000000-0005-0000-0000-0000C3010000}"/>
    <cellStyle name="AggOrange_CRFReport-template" xfId="22" xr:uid="{00000000-0005-0000-0000-0000C4010000}"/>
    <cellStyle name="AggOrange9_CRFReport-template" xfId="23" xr:uid="{00000000-0005-0000-0000-0000C5010000}"/>
    <cellStyle name="Bad" xfId="3331" builtinId="27" customBuiltin="1"/>
    <cellStyle name="Bad 2" xfId="24" xr:uid="{00000000-0005-0000-0000-0000C7010000}"/>
    <cellStyle name="Bad 2 2" xfId="3414" xr:uid="{00000000-0005-0000-0000-0000C8010000}"/>
    <cellStyle name="Bad 3" xfId="2008" xr:uid="{00000000-0005-0000-0000-0000C9010000}"/>
    <cellStyle name="Bemærk! 2" xfId="3615" xr:uid="{00000000-0005-0000-0000-0000CA010000}"/>
    <cellStyle name="Bemærk! 2 10" xfId="8139" xr:uid="{E603D73A-6485-4DAB-BA87-B3360C6D1ED7}"/>
    <cellStyle name="Bemærk! 2 2" xfId="3616" xr:uid="{00000000-0005-0000-0000-0000CB010000}"/>
    <cellStyle name="Bemærk! 2 2 2" xfId="3617" xr:uid="{00000000-0005-0000-0000-0000CC010000}"/>
    <cellStyle name="Bemærk! 2 2 2 2" xfId="4259" xr:uid="{00000000-0005-0000-0000-0000CD010000}"/>
    <cellStyle name="Bemærk! 2 2 2 2 2" xfId="7427" xr:uid="{00000000-0005-0000-0000-0000CE010000}"/>
    <cellStyle name="Bemærk! 2 2 2 2 2 2" xfId="10095" xr:uid="{45349552-E192-413B-B948-9C1354DBD3FB}"/>
    <cellStyle name="Bemærk! 2 2 2 2 3" xfId="8764" xr:uid="{67A43B8F-11F4-4792-9914-AE68F842AB1B}"/>
    <cellStyle name="Bemærk! 2 2 2 3" xfId="6804" xr:uid="{00000000-0005-0000-0000-0000CF010000}"/>
    <cellStyle name="Bemærk! 2 2 2 3 2" xfId="9472" xr:uid="{07C73039-C51F-45E1-9AF1-86CF24EAA516}"/>
    <cellStyle name="Bemærk! 2 2 2 4" xfId="8141" xr:uid="{CD761D82-F29B-41A4-AEEB-1151A1EC186E}"/>
    <cellStyle name="Bemærk! 2 2 3" xfId="3618" xr:uid="{00000000-0005-0000-0000-0000D0010000}"/>
    <cellStyle name="Bemærk! 2 2 3 2" xfId="4260" xr:uid="{00000000-0005-0000-0000-0000D1010000}"/>
    <cellStyle name="Bemærk! 2 2 3 2 2" xfId="7428" xr:uid="{00000000-0005-0000-0000-0000D2010000}"/>
    <cellStyle name="Bemærk! 2 2 3 2 2 2" xfId="10096" xr:uid="{2A1211FA-0B7F-4F42-9126-6E05142DEF96}"/>
    <cellStyle name="Bemærk! 2 2 3 2 3" xfId="8765" xr:uid="{CC3B411B-93E4-43C8-BE1F-3892AF3B0E2C}"/>
    <cellStyle name="Bemærk! 2 2 3 3" xfId="6805" xr:uid="{00000000-0005-0000-0000-0000D3010000}"/>
    <cellStyle name="Bemærk! 2 2 3 3 2" xfId="9473" xr:uid="{E53F8592-3E99-4A85-A432-CB70915FD067}"/>
    <cellStyle name="Bemærk! 2 2 3 4" xfId="8142" xr:uid="{FFA4F47A-8BF1-46FA-82C5-3D98A6558AB6}"/>
    <cellStyle name="Bemærk! 2 2 4" xfId="4258" xr:uid="{00000000-0005-0000-0000-0000D4010000}"/>
    <cellStyle name="Bemærk! 2 2 4 2" xfId="7426" xr:uid="{00000000-0005-0000-0000-0000D5010000}"/>
    <cellStyle name="Bemærk! 2 2 4 2 2" xfId="10094" xr:uid="{EDA72EBA-D884-4B33-AE2B-F94E8ED5BB78}"/>
    <cellStyle name="Bemærk! 2 2 4 3" xfId="8763" xr:uid="{239F0D16-4AE5-472E-BE37-E6D2FE59D1D7}"/>
    <cellStyle name="Bemærk! 2 2 5" xfId="6803" xr:uid="{00000000-0005-0000-0000-0000D6010000}"/>
    <cellStyle name="Bemærk! 2 2 5 2" xfId="9471" xr:uid="{2DDC69E6-780C-45CF-B07C-97A20AEE18C3}"/>
    <cellStyle name="Bemærk! 2 2 6" xfId="8140" xr:uid="{4E018A93-0936-486D-87FE-E32EAD3CF2A9}"/>
    <cellStyle name="Bemærk! 2 3" xfId="3619" xr:uid="{00000000-0005-0000-0000-0000D7010000}"/>
    <cellStyle name="Bemærk! 2 3 2" xfId="4261" xr:uid="{00000000-0005-0000-0000-0000D8010000}"/>
    <cellStyle name="Bemærk! 2 3 2 2" xfId="7429" xr:uid="{00000000-0005-0000-0000-0000D9010000}"/>
    <cellStyle name="Bemærk! 2 3 2 2 2" xfId="10097" xr:uid="{4D2E222C-9C1B-4BB8-BE8B-9FB0F5EAF994}"/>
    <cellStyle name="Bemærk! 2 3 2 3" xfId="8766" xr:uid="{9E45D267-D189-4B1C-947D-D91AD608AA40}"/>
    <cellStyle name="Bemærk! 2 3 3" xfId="6806" xr:uid="{00000000-0005-0000-0000-0000DA010000}"/>
    <cellStyle name="Bemærk! 2 3 3 2" xfId="9474" xr:uid="{AE19A981-A1BC-42A3-BFED-2CFCCD69457A}"/>
    <cellStyle name="Bemærk! 2 3 4" xfId="8143" xr:uid="{F7852289-52E6-4AB6-9A95-B3A8DDD0BC23}"/>
    <cellStyle name="Bemærk! 2 4" xfId="3620" xr:uid="{00000000-0005-0000-0000-0000DB010000}"/>
    <cellStyle name="Bemærk! 2 4 2" xfId="4262" xr:uid="{00000000-0005-0000-0000-0000DC010000}"/>
    <cellStyle name="Bemærk! 2 4 2 2" xfId="7430" xr:uid="{00000000-0005-0000-0000-0000DD010000}"/>
    <cellStyle name="Bemærk! 2 4 2 2 2" xfId="10098" xr:uid="{4421FC39-1DA2-4017-B69A-67BB81156F4C}"/>
    <cellStyle name="Bemærk! 2 4 2 3" xfId="8767" xr:uid="{42601035-0AC1-4E0A-9F7A-069E6FF1FDB8}"/>
    <cellStyle name="Bemærk! 2 4 3" xfId="6807" xr:uid="{00000000-0005-0000-0000-0000DE010000}"/>
    <cellStyle name="Bemærk! 2 4 3 2" xfId="9475" xr:uid="{5560DE2C-806C-4A16-98F7-85A95E6D84C0}"/>
    <cellStyle name="Bemærk! 2 4 4" xfId="8144" xr:uid="{3A78705C-AA0B-43D6-BB92-A31A81D2D681}"/>
    <cellStyle name="Bemærk! 2 5" xfId="3621" xr:uid="{00000000-0005-0000-0000-0000DF010000}"/>
    <cellStyle name="Bemærk! 2 5 2" xfId="4263" xr:uid="{00000000-0005-0000-0000-0000E0010000}"/>
    <cellStyle name="Bemærk! 2 5 2 2" xfId="7431" xr:uid="{00000000-0005-0000-0000-0000E1010000}"/>
    <cellStyle name="Bemærk! 2 5 2 2 2" xfId="10099" xr:uid="{5B6CCC2C-6A55-4B57-8DA4-07F07B75A8D7}"/>
    <cellStyle name="Bemærk! 2 5 2 3" xfId="8768" xr:uid="{981EB3D8-4C2E-4F86-87EF-5F9A5D63B6E8}"/>
    <cellStyle name="Bemærk! 2 5 3" xfId="6808" xr:uid="{00000000-0005-0000-0000-0000E2010000}"/>
    <cellStyle name="Bemærk! 2 5 3 2" xfId="9476" xr:uid="{05215EED-7095-471C-AD73-ACE67ABA2551}"/>
    <cellStyle name="Bemærk! 2 5 4" xfId="8145" xr:uid="{643694E1-68EC-4CFC-9592-C00A2247D861}"/>
    <cellStyle name="Bemærk! 2 6" xfId="3622" xr:uid="{00000000-0005-0000-0000-0000E3010000}"/>
    <cellStyle name="Bemærk! 2 7" xfId="3623" xr:uid="{00000000-0005-0000-0000-0000E4010000}"/>
    <cellStyle name="Bemærk! 2 7 2" xfId="4264" xr:uid="{00000000-0005-0000-0000-0000E5010000}"/>
    <cellStyle name="Bemærk! 2 7 2 2" xfId="7432" xr:uid="{00000000-0005-0000-0000-0000E6010000}"/>
    <cellStyle name="Bemærk! 2 7 2 2 2" xfId="10100" xr:uid="{666B1D34-7DE2-4DBE-ADE8-BDA7265384E9}"/>
    <cellStyle name="Bemærk! 2 7 2 3" xfId="8769" xr:uid="{6D6DC903-8725-4DB3-9A03-5A140F24F756}"/>
    <cellStyle name="Bemærk! 2 7 3" xfId="6809" xr:uid="{00000000-0005-0000-0000-0000E7010000}"/>
    <cellStyle name="Bemærk! 2 7 3 2" xfId="9477" xr:uid="{66827754-E6E2-4C1D-8633-4035DEB9245A}"/>
    <cellStyle name="Bemærk! 2 7 4" xfId="8146" xr:uid="{9806654A-AA2D-43A4-8192-9155A1895783}"/>
    <cellStyle name="Bemærk! 2 8" xfId="4257" xr:uid="{00000000-0005-0000-0000-0000E8010000}"/>
    <cellStyle name="Bemærk! 2 8 2" xfId="7425" xr:uid="{00000000-0005-0000-0000-0000E9010000}"/>
    <cellStyle name="Bemærk! 2 8 2 2" xfId="10093" xr:uid="{6C992657-F15C-4C18-A49A-D2668CEF1080}"/>
    <cellStyle name="Bemærk! 2 8 3" xfId="8762" xr:uid="{6F4A8129-3AD4-4F34-8658-74402A392C53}"/>
    <cellStyle name="Bemærk! 2 9" xfId="6802" xr:uid="{00000000-0005-0000-0000-0000EA010000}"/>
    <cellStyle name="Bemærk! 2 9 2" xfId="9470" xr:uid="{91281B23-57C6-4B91-A67B-52652E25C89E}"/>
    <cellStyle name="Bemærk! 3" xfId="3624" xr:uid="{00000000-0005-0000-0000-0000EB010000}"/>
    <cellStyle name="Bemærk! 4" xfId="3625" xr:uid="{00000000-0005-0000-0000-0000EC010000}"/>
    <cellStyle name="Bemærk! 4 2" xfId="3626" xr:uid="{00000000-0005-0000-0000-0000ED010000}"/>
    <cellStyle name="Bemærk! 4 2 2" xfId="4265" xr:uid="{00000000-0005-0000-0000-0000EE010000}"/>
    <cellStyle name="Bemærk! 4 2 2 2" xfId="7433" xr:uid="{00000000-0005-0000-0000-0000EF010000}"/>
    <cellStyle name="Bemærk! 4 2 2 2 2" xfId="10101" xr:uid="{30F1417C-A9F4-4802-8776-CCD287A27134}"/>
    <cellStyle name="Bemærk! 4 2 2 3" xfId="8770" xr:uid="{B7BDCF60-0CD1-491D-A0B5-6EA48FCBD0D1}"/>
    <cellStyle name="Bemærk! 4 2 3" xfId="6810" xr:uid="{00000000-0005-0000-0000-0000F0010000}"/>
    <cellStyle name="Bemærk! 4 2 3 2" xfId="9478" xr:uid="{0E41BD39-E71A-494A-828F-4865A296250C}"/>
    <cellStyle name="Bemærk! 4 2 4" xfId="8147" xr:uid="{39C2ADB5-60B4-43DC-B119-1B8D1441E624}"/>
    <cellStyle name="Bemærk! 5" xfId="3627" xr:uid="{00000000-0005-0000-0000-0000F1010000}"/>
    <cellStyle name="Bemærk! 6" xfId="3628" xr:uid="{00000000-0005-0000-0000-0000F2010000}"/>
    <cellStyle name="Bemærk! 6 2" xfId="4266" xr:uid="{00000000-0005-0000-0000-0000F3010000}"/>
    <cellStyle name="Bemærk! 6 2 2" xfId="7434" xr:uid="{00000000-0005-0000-0000-0000F4010000}"/>
    <cellStyle name="Bemærk! 6 2 2 2" xfId="10102" xr:uid="{EF92FF60-00B9-45E1-888D-9E8DC32A7051}"/>
    <cellStyle name="Bemærk! 6 2 3" xfId="8771" xr:uid="{FFF2695D-9AA8-4575-9920-7295242DE03D}"/>
    <cellStyle name="Bemærk! 6 3" xfId="6811" xr:uid="{00000000-0005-0000-0000-0000F5010000}"/>
    <cellStyle name="Bemærk! 6 3 2" xfId="9479" xr:uid="{18EBC537-D668-40E6-A0E1-933AC07A36A4}"/>
    <cellStyle name="Bemærk! 6 4" xfId="8148" xr:uid="{92F2E74C-22A9-4511-B3AC-4B57BF0D8A50}"/>
    <cellStyle name="Bruger data" xfId="25" xr:uid="{00000000-0005-0000-0000-0000F6010000}"/>
    <cellStyle name="C01_Main head" xfId="3415" xr:uid="{00000000-0005-0000-0000-0000F7010000}"/>
    <cellStyle name="C02_Column heads" xfId="3416" xr:uid="{00000000-0005-0000-0000-0000F8010000}"/>
    <cellStyle name="C03_Sub head bold" xfId="3417" xr:uid="{00000000-0005-0000-0000-0000F9010000}"/>
    <cellStyle name="C03a_Sub head" xfId="3418" xr:uid="{00000000-0005-0000-0000-0000FA010000}"/>
    <cellStyle name="C04_Total text white bold" xfId="3419" xr:uid="{00000000-0005-0000-0000-0000FB010000}"/>
    <cellStyle name="C04a_Total text black with rule" xfId="3420" xr:uid="{00000000-0005-0000-0000-0000FC010000}"/>
    <cellStyle name="C05_Main text" xfId="3421" xr:uid="{00000000-0005-0000-0000-0000FD010000}"/>
    <cellStyle name="C06_Figs" xfId="3422" xr:uid="{00000000-0005-0000-0000-0000FE010000}"/>
    <cellStyle name="C07_Figs 1 dec percent" xfId="3423" xr:uid="{00000000-0005-0000-0000-0000FF010000}"/>
    <cellStyle name="C08_Figs 1 decimal" xfId="3424" xr:uid="{00000000-0005-0000-0000-000000020000}"/>
    <cellStyle name="C09_Notes" xfId="3425" xr:uid="{00000000-0005-0000-0000-000001020000}"/>
    <cellStyle name="Calcolo" xfId="26" xr:uid="{00000000-0005-0000-0000-000002020000}"/>
    <cellStyle name="Calcolo 2" xfId="7896" xr:uid="{FD3E0AA0-DA0E-4C5E-8858-31F80D4D5DC9}"/>
    <cellStyle name="Calculation" xfId="27" builtinId="22" customBuiltin="1"/>
    <cellStyle name="Calculation 2" xfId="2009" xr:uid="{00000000-0005-0000-0000-000004020000}"/>
    <cellStyle name="Calculation 2 2" xfId="3520" xr:uid="{00000000-0005-0000-0000-000005020000}"/>
    <cellStyle name="Calculation 2 2 2" xfId="8048" xr:uid="{2BBD07B2-FE73-4295-821A-A54A0F98731C}"/>
    <cellStyle name="Calculation 2 3" xfId="3426" xr:uid="{00000000-0005-0000-0000-000006020000}"/>
    <cellStyle name="Calculation 2 3 2" xfId="7992" xr:uid="{FB8E0A96-7CF2-454A-8961-52EB16A8F435}"/>
    <cellStyle name="Calculations" xfId="28" xr:uid="{00000000-0005-0000-0000-000007020000}"/>
    <cellStyle name="Cella collegata" xfId="29" xr:uid="{00000000-0005-0000-0000-000008020000}"/>
    <cellStyle name="Cella da controllare" xfId="30" xr:uid="{00000000-0005-0000-0000-000009020000}"/>
    <cellStyle name="Check Cell" xfId="3334" builtinId="23" customBuiltin="1"/>
    <cellStyle name="Check Cell 2" xfId="3427" xr:uid="{00000000-0005-0000-0000-00000B020000}"/>
    <cellStyle name="Colore 1" xfId="31" xr:uid="{00000000-0005-0000-0000-00000C020000}"/>
    <cellStyle name="Colore 2" xfId="32" xr:uid="{00000000-0005-0000-0000-00000D020000}"/>
    <cellStyle name="Colore 3" xfId="33" xr:uid="{00000000-0005-0000-0000-00000E020000}"/>
    <cellStyle name="Colore 4" xfId="34" xr:uid="{00000000-0005-0000-0000-00000F020000}"/>
    <cellStyle name="Colore 5" xfId="35" xr:uid="{00000000-0005-0000-0000-000010020000}"/>
    <cellStyle name="Colore 6" xfId="36" xr:uid="{00000000-0005-0000-0000-000011020000}"/>
    <cellStyle name="Comma 10" xfId="3428" xr:uid="{00000000-0005-0000-0000-000012020000}"/>
    <cellStyle name="Comma 14" xfId="10565" xr:uid="{E15833C9-D6B6-4614-95EB-EE10163EC291}"/>
    <cellStyle name="Comma 2" xfId="37" xr:uid="{00000000-0005-0000-0000-000013020000}"/>
    <cellStyle name="Comma 2 10" xfId="3375" xr:uid="{00000000-0005-0000-0000-000014020000}"/>
    <cellStyle name="Comma 2 11" xfId="4861" xr:uid="{00000000-0005-0000-0000-000015020000}"/>
    <cellStyle name="Comma 2 11 2" xfId="9235" xr:uid="{D5CCBE22-B423-4EEA-8B6D-E21C370D8C34}"/>
    <cellStyle name="Comma 2 2" xfId="38" xr:uid="{00000000-0005-0000-0000-000016020000}"/>
    <cellStyle name="Comma 2 2 2" xfId="39" xr:uid="{00000000-0005-0000-0000-000017020000}"/>
    <cellStyle name="Comma 2 2 2 2" xfId="2076" xr:uid="{00000000-0005-0000-0000-000018020000}"/>
    <cellStyle name="Comma 2 2 2 2 2" xfId="3293" xr:uid="{00000000-0005-0000-0000-000019020000}"/>
    <cellStyle name="Comma 2 2 2 3" xfId="3265" xr:uid="{00000000-0005-0000-0000-00001A020000}"/>
    <cellStyle name="Comma 2 2 3" xfId="3264" xr:uid="{00000000-0005-0000-0000-00001B020000}"/>
    <cellStyle name="Comma 2 2 4" xfId="3368" xr:uid="{00000000-0005-0000-0000-00001C020000}"/>
    <cellStyle name="Comma 2 2 5" xfId="3429" xr:uid="{00000000-0005-0000-0000-00001D020000}"/>
    <cellStyle name="Comma 2 2 5 2" xfId="6656" xr:uid="{00000000-0005-0000-0000-00001E020000}"/>
    <cellStyle name="Comma 2 3" xfId="40" xr:uid="{00000000-0005-0000-0000-00001F020000}"/>
    <cellStyle name="Comma 2 3 2" xfId="41" xr:uid="{00000000-0005-0000-0000-000020020000}"/>
    <cellStyle name="Comma 2 3 2 2" xfId="3267" xr:uid="{00000000-0005-0000-0000-000021020000}"/>
    <cellStyle name="Comma 2 3 3" xfId="42" xr:uid="{00000000-0005-0000-0000-000022020000}"/>
    <cellStyle name="Comma 2 3 3 2" xfId="2078" xr:uid="{00000000-0005-0000-0000-000023020000}"/>
    <cellStyle name="Comma 2 3 3 2 2" xfId="3295" xr:uid="{00000000-0005-0000-0000-000024020000}"/>
    <cellStyle name="Comma 2 3 3 3" xfId="3268" xr:uid="{00000000-0005-0000-0000-000025020000}"/>
    <cellStyle name="Comma 2 3 4" xfId="2077" xr:uid="{00000000-0005-0000-0000-000026020000}"/>
    <cellStyle name="Comma 2 3 4 2" xfId="3294" xr:uid="{00000000-0005-0000-0000-000027020000}"/>
    <cellStyle name="Comma 2 3 5" xfId="3266" xr:uid="{00000000-0005-0000-0000-000028020000}"/>
    <cellStyle name="Comma 2 4" xfId="43" xr:uid="{00000000-0005-0000-0000-000029020000}"/>
    <cellStyle name="Comma 2 4 2" xfId="3269" xr:uid="{00000000-0005-0000-0000-00002A020000}"/>
    <cellStyle name="Comma 2 5" xfId="44" xr:uid="{00000000-0005-0000-0000-00002B020000}"/>
    <cellStyle name="Comma 2 5 2" xfId="3270" xr:uid="{00000000-0005-0000-0000-00002C020000}"/>
    <cellStyle name="Comma 2 5 2 2" xfId="6600" xr:uid="{00000000-0005-0000-0000-00002D020000}"/>
    <cellStyle name="Comma 2 5 3" xfId="4927" xr:uid="{00000000-0005-0000-0000-00002E020000}"/>
    <cellStyle name="Comma 2 6" xfId="45" xr:uid="{00000000-0005-0000-0000-00002F020000}"/>
    <cellStyle name="Comma 2 6 2" xfId="46" xr:uid="{00000000-0005-0000-0000-000030020000}"/>
    <cellStyle name="Comma 2 6 2 2" xfId="4929" xr:uid="{00000000-0005-0000-0000-000031020000}"/>
    <cellStyle name="Comma 2 6 2 3" xfId="5679" xr:uid="{00000000-0005-0000-0000-000032020000}"/>
    <cellStyle name="Comma 2 6 3" xfId="4928" xr:uid="{00000000-0005-0000-0000-000033020000}"/>
    <cellStyle name="Comma 2 6 4" xfId="5678" xr:uid="{00000000-0005-0000-0000-000034020000}"/>
    <cellStyle name="Comma 2 7" xfId="3314" xr:uid="{00000000-0005-0000-0000-000035020000}"/>
    <cellStyle name="Comma 2 7 2" xfId="4926" xr:uid="{00000000-0005-0000-0000-000036020000}"/>
    <cellStyle name="Comma 2 7 3" xfId="6623" xr:uid="{00000000-0005-0000-0000-000037020000}"/>
    <cellStyle name="Comma 2 7 3 2" xfId="9300" xr:uid="{AA6E8C5C-FE11-4418-A304-216BBE64E121}"/>
    <cellStyle name="Comma 2 7 4" xfId="7960" xr:uid="{CB1D6A59-28CA-4E4B-BFD0-8B1188527A58}"/>
    <cellStyle name="Comma 2 8" xfId="3263" xr:uid="{00000000-0005-0000-0000-000038020000}"/>
    <cellStyle name="Comma 2 9" xfId="3365" xr:uid="{00000000-0005-0000-0000-000039020000}"/>
    <cellStyle name="Comma 2 9 2" xfId="6649" xr:uid="{00000000-0005-0000-0000-00003A020000}"/>
    <cellStyle name="Comma 22" xfId="10571" xr:uid="{0BE99BFB-3579-4042-B1BE-96A01AC9EDF9}"/>
    <cellStyle name="Comma 3" xfId="47" xr:uid="{00000000-0005-0000-0000-00003B020000}"/>
    <cellStyle name="Comma 3 2" xfId="48" xr:uid="{00000000-0005-0000-0000-00003C020000}"/>
    <cellStyle name="Comma 3 2 2" xfId="49" xr:uid="{00000000-0005-0000-0000-00003D020000}"/>
    <cellStyle name="Comma 3 2 2 2" xfId="3273" xr:uid="{00000000-0005-0000-0000-00003E020000}"/>
    <cellStyle name="Comma 3 2 3" xfId="3272" xr:uid="{00000000-0005-0000-0000-00003F020000}"/>
    <cellStyle name="Comma 3 2 4" xfId="3430" xr:uid="{00000000-0005-0000-0000-000040020000}"/>
    <cellStyle name="Comma 3 2 4 2" xfId="6657" xr:uid="{00000000-0005-0000-0000-000041020000}"/>
    <cellStyle name="Comma 3 3" xfId="50" xr:uid="{00000000-0005-0000-0000-000042020000}"/>
    <cellStyle name="Comma 3 3 2" xfId="2080" xr:uid="{00000000-0005-0000-0000-000043020000}"/>
    <cellStyle name="Comma 3 3 2 2" xfId="3297" xr:uid="{00000000-0005-0000-0000-000044020000}"/>
    <cellStyle name="Comma 3 3 2 2 2" xfId="6611" xr:uid="{00000000-0005-0000-0000-000045020000}"/>
    <cellStyle name="Comma 3 3 2 2 2 2" xfId="9288" xr:uid="{33CF4391-ED3D-4C6C-ADFC-CDDA3C64286A}"/>
    <cellStyle name="Comma 3 3 2 2 3" xfId="7948" xr:uid="{7278AF4D-FF00-423F-8899-33F569A68E38}"/>
    <cellStyle name="Comma 3 3 2 3" xfId="5369" xr:uid="{00000000-0005-0000-0000-000046020000}"/>
    <cellStyle name="Comma 3 3 2 3 2" xfId="9248" xr:uid="{DF37F802-B36F-4465-8197-4DFD53F261AC}"/>
    <cellStyle name="Comma 3 3 2 4" xfId="6291" xr:uid="{00000000-0005-0000-0000-000047020000}"/>
    <cellStyle name="Comma 3 3 2 4 2" xfId="9268" xr:uid="{BD5C2FBF-50ED-497B-BF23-0AC42703E5B4}"/>
    <cellStyle name="Comma 3 3 2 5" xfId="7923" xr:uid="{392A9A68-C254-43BD-A27E-F586506DD736}"/>
    <cellStyle name="Comma 3 3 3" xfId="3274" xr:uid="{00000000-0005-0000-0000-000048020000}"/>
    <cellStyle name="Comma 3 3 3 2" xfId="6601" xr:uid="{00000000-0005-0000-0000-000049020000}"/>
    <cellStyle name="Comma 3 3 3 2 2" xfId="9278" xr:uid="{6686EA49-FE5E-46E9-B80D-58F6DE913DE3}"/>
    <cellStyle name="Comma 3 3 3 3" xfId="7938" xr:uid="{4A1AD620-61FC-47C6-AF3A-479DA2B77391}"/>
    <cellStyle name="Comma 3 3 4" xfId="4931" xr:uid="{00000000-0005-0000-0000-00004A020000}"/>
    <cellStyle name="Comma 3 3 4 2" xfId="9238" xr:uid="{3C832D0B-E979-4932-A665-1E7E646EF244}"/>
    <cellStyle name="Comma 3 3 5" xfId="5680" xr:uid="{00000000-0005-0000-0000-00004B020000}"/>
    <cellStyle name="Comma 3 3 5 2" xfId="9258" xr:uid="{CB11CB2C-5C4C-44AF-8652-2E42850B8EE4}"/>
    <cellStyle name="Comma 3 3 6" xfId="7897" xr:uid="{D8FFF2EC-9E6F-44BA-ABC5-C12A2EB991AD}"/>
    <cellStyle name="Comma 3 4" xfId="2079" xr:uid="{00000000-0005-0000-0000-00004C020000}"/>
    <cellStyle name="Comma 3 4 2" xfId="3296" xr:uid="{00000000-0005-0000-0000-00004D020000}"/>
    <cellStyle name="Comma 3 5" xfId="3316" xr:uid="{00000000-0005-0000-0000-00004E020000}"/>
    <cellStyle name="Comma 3 5 2" xfId="4930" xr:uid="{00000000-0005-0000-0000-00004F020000}"/>
    <cellStyle name="Comma 3 5 3" xfId="6625" xr:uid="{00000000-0005-0000-0000-000050020000}"/>
    <cellStyle name="Comma 3 5 3 2" xfId="9302" xr:uid="{EC6A5293-970A-444C-A56B-38B571867454}"/>
    <cellStyle name="Comma 3 5 4" xfId="7962" xr:uid="{FA678945-4E6F-4BEE-935B-2960D46C11C5}"/>
    <cellStyle name="Comma 3 6" xfId="3271" xr:uid="{00000000-0005-0000-0000-000051020000}"/>
    <cellStyle name="Comma 3 7" xfId="3366" xr:uid="{00000000-0005-0000-0000-000052020000}"/>
    <cellStyle name="Comma 3 7 2" xfId="6650" xr:uid="{00000000-0005-0000-0000-000053020000}"/>
    <cellStyle name="Comma 3 7 2 2" xfId="9326" xr:uid="{76A4870F-CEC9-4542-86DA-F97C38B9264F}"/>
    <cellStyle name="Comma 3 7 3" xfId="7986" xr:uid="{DAEC5F98-103C-4E40-B847-414128B07543}"/>
    <cellStyle name="Comma 3 8" xfId="3374" xr:uid="{00000000-0005-0000-0000-000054020000}"/>
    <cellStyle name="Comma 3 9" xfId="4862" xr:uid="{00000000-0005-0000-0000-000055020000}"/>
    <cellStyle name="Comma 3 9 2" xfId="9236" xr:uid="{244E74C8-D8E7-40D4-A917-0D373943DA52}"/>
    <cellStyle name="Comma 4" xfId="51" xr:uid="{00000000-0005-0000-0000-000056020000}"/>
    <cellStyle name="Comma 4 2" xfId="52" xr:uid="{00000000-0005-0000-0000-000057020000}"/>
    <cellStyle name="Comma 4 2 2" xfId="53" xr:uid="{00000000-0005-0000-0000-000058020000}"/>
    <cellStyle name="Comma 4 2 2 2" xfId="3277" xr:uid="{00000000-0005-0000-0000-000059020000}"/>
    <cellStyle name="Comma 4 2 3" xfId="3276" xr:uid="{00000000-0005-0000-0000-00005A020000}"/>
    <cellStyle name="Comma 4 2 4" xfId="3431" xr:uid="{00000000-0005-0000-0000-00005B020000}"/>
    <cellStyle name="Comma 4 2 4 2" xfId="6658" xr:uid="{00000000-0005-0000-0000-00005C020000}"/>
    <cellStyle name="Comma 4 3" xfId="54" xr:uid="{00000000-0005-0000-0000-00005D020000}"/>
    <cellStyle name="Comma 4 3 2" xfId="2082" xr:uid="{00000000-0005-0000-0000-00005E020000}"/>
    <cellStyle name="Comma 4 3 2 2" xfId="3299" xr:uid="{00000000-0005-0000-0000-00005F020000}"/>
    <cellStyle name="Comma 4 3 2 2 2" xfId="6612" xr:uid="{00000000-0005-0000-0000-000060020000}"/>
    <cellStyle name="Comma 4 3 2 2 2 2" xfId="9289" xr:uid="{B3E9AAC8-E437-46A8-A572-753B9F49EDBE}"/>
    <cellStyle name="Comma 4 3 2 2 3" xfId="7949" xr:uid="{546B407D-FF43-4BB0-B566-0DF80DE07733}"/>
    <cellStyle name="Comma 4 3 2 3" xfId="5370" xr:uid="{00000000-0005-0000-0000-000061020000}"/>
    <cellStyle name="Comma 4 3 2 3 2" xfId="9249" xr:uid="{1247F595-CC6E-433B-9DBA-EAD9F6422582}"/>
    <cellStyle name="Comma 4 3 2 4" xfId="6292" xr:uid="{00000000-0005-0000-0000-000062020000}"/>
    <cellStyle name="Comma 4 3 2 4 2" xfId="9269" xr:uid="{B50D7DF6-9D4D-40EC-96F4-AF8B4037B569}"/>
    <cellStyle name="Comma 4 3 2 5" xfId="7924" xr:uid="{5875C404-F56D-42FE-93C3-16D91F86D9F0}"/>
    <cellStyle name="Comma 4 3 3" xfId="3278" xr:uid="{00000000-0005-0000-0000-000063020000}"/>
    <cellStyle name="Comma 4 3 3 2" xfId="6602" xr:uid="{00000000-0005-0000-0000-000064020000}"/>
    <cellStyle name="Comma 4 3 3 2 2" xfId="9279" xr:uid="{BD9BE527-277B-4941-94D8-F02BC229C270}"/>
    <cellStyle name="Comma 4 3 3 3" xfId="7939" xr:uid="{AB10E61C-5F87-4AC0-9F2A-D02580EAD68F}"/>
    <cellStyle name="Comma 4 3 4" xfId="4932" xr:uid="{00000000-0005-0000-0000-000065020000}"/>
    <cellStyle name="Comma 4 3 4 2" xfId="9239" xr:uid="{516C1B65-F107-4783-B12F-29B7F1F3EEC5}"/>
    <cellStyle name="Comma 4 3 5" xfId="5681" xr:uid="{00000000-0005-0000-0000-000066020000}"/>
    <cellStyle name="Comma 4 3 5 2" xfId="9259" xr:uid="{B65E7613-0B8D-4A93-BF91-88FBAE92B82E}"/>
    <cellStyle name="Comma 4 3 6" xfId="7898" xr:uid="{8E8DFA07-316C-4BAB-86D6-2F9D9DBFB0F0}"/>
    <cellStyle name="Comma 4 4" xfId="55" xr:uid="{00000000-0005-0000-0000-000067020000}"/>
    <cellStyle name="Comma 4 4 2" xfId="2083" xr:uid="{00000000-0005-0000-0000-000068020000}"/>
    <cellStyle name="Comma 4 4 2 2" xfId="3300" xr:uid="{00000000-0005-0000-0000-000069020000}"/>
    <cellStyle name="Comma 4 4 3" xfId="3279" xr:uid="{00000000-0005-0000-0000-00006A020000}"/>
    <cellStyle name="Comma 4 5" xfId="2081" xr:uid="{00000000-0005-0000-0000-00006B020000}"/>
    <cellStyle name="Comma 4 5 2" xfId="3298" xr:uid="{00000000-0005-0000-0000-00006C020000}"/>
    <cellStyle name="Comma 4 6" xfId="3275" xr:uid="{00000000-0005-0000-0000-00006D020000}"/>
    <cellStyle name="Comma 4 7" xfId="3367" xr:uid="{00000000-0005-0000-0000-00006E020000}"/>
    <cellStyle name="Comma 4 7 2" xfId="6651" xr:uid="{00000000-0005-0000-0000-00006F020000}"/>
    <cellStyle name="Comma 4 7 2 2" xfId="9327" xr:uid="{048E1F0E-6B09-484B-B1F6-C5DAAC2829A6}"/>
    <cellStyle name="Comma 4 7 3" xfId="7987" xr:uid="{4DE83700-2B39-4D21-82C4-520423D92235}"/>
    <cellStyle name="Comma 4 8" xfId="3376" xr:uid="{00000000-0005-0000-0000-000070020000}"/>
    <cellStyle name="Comma 5" xfId="56" xr:uid="{00000000-0005-0000-0000-000071020000}"/>
    <cellStyle name="Comma 5 2" xfId="2084" xr:uid="{00000000-0005-0000-0000-000072020000}"/>
    <cellStyle name="Comma 5 2 2" xfId="3301" xr:uid="{00000000-0005-0000-0000-000073020000}"/>
    <cellStyle name="Comma 5 2 3" xfId="3432" xr:uid="{00000000-0005-0000-0000-000074020000}"/>
    <cellStyle name="Comma 5 2 3 2" xfId="6659" xr:uid="{00000000-0005-0000-0000-000075020000}"/>
    <cellStyle name="Comma 5 3" xfId="3280" xr:uid="{00000000-0005-0000-0000-000076020000}"/>
    <cellStyle name="Comma 5 4" xfId="3369" xr:uid="{00000000-0005-0000-0000-000077020000}"/>
    <cellStyle name="Comma 5 5" xfId="3377" xr:uid="{00000000-0005-0000-0000-000078020000}"/>
    <cellStyle name="Comma 6" xfId="57" xr:uid="{00000000-0005-0000-0000-000079020000}"/>
    <cellStyle name="Comma 6 2" xfId="2085" xr:uid="{00000000-0005-0000-0000-00007A020000}"/>
    <cellStyle name="Comma 6 2 2" xfId="3302" xr:uid="{00000000-0005-0000-0000-00007B020000}"/>
    <cellStyle name="Comma 6 2 3" xfId="3433" xr:uid="{00000000-0005-0000-0000-00007C020000}"/>
    <cellStyle name="Comma 6 2 3 2" xfId="6660" xr:uid="{00000000-0005-0000-0000-00007D020000}"/>
    <cellStyle name="Comma 6 3" xfId="3281" xr:uid="{00000000-0005-0000-0000-00007E020000}"/>
    <cellStyle name="Comma 6 4" xfId="3373" xr:uid="{00000000-0005-0000-0000-00007F020000}"/>
    <cellStyle name="Comma 7" xfId="2006" xr:uid="{00000000-0005-0000-0000-000080020000}"/>
    <cellStyle name="Comma 7 2" xfId="3262" xr:uid="{00000000-0005-0000-0000-000081020000}"/>
    <cellStyle name="Comma 7 2 2" xfId="3311" xr:uid="{00000000-0005-0000-0000-000082020000}"/>
    <cellStyle name="Comma 7 2 2 2" xfId="6620" xr:uid="{00000000-0005-0000-0000-000083020000}"/>
    <cellStyle name="Comma 7 2 2 2 2" xfId="9297" xr:uid="{0FA3F1C7-2945-43C7-A98D-3778109C1245}"/>
    <cellStyle name="Comma 7 2 2 3" xfId="7957" xr:uid="{6E382101-61AB-422C-BC6E-A635291B36F3}"/>
    <cellStyle name="Comma 7 2 3" xfId="5677" xr:uid="{00000000-0005-0000-0000-000084020000}"/>
    <cellStyle name="Comma 7 2 3 2" xfId="9257" xr:uid="{DDF0CF11-74BE-4805-9E28-51AE43EB20A6}"/>
    <cellStyle name="Comma 7 2 4" xfId="6599" xr:uid="{00000000-0005-0000-0000-000085020000}"/>
    <cellStyle name="Comma 7 2 4 2" xfId="9277" xr:uid="{29794707-B566-4081-8F47-D14CC0B10238}"/>
    <cellStyle name="Comma 7 2 5" xfId="7937" xr:uid="{2996549C-4FA5-479E-9305-D65127D0F944}"/>
    <cellStyle name="Comma 7 3" xfId="3292" xr:uid="{00000000-0005-0000-0000-000086020000}"/>
    <cellStyle name="Comma 7 3 2" xfId="6610" xr:uid="{00000000-0005-0000-0000-000087020000}"/>
    <cellStyle name="Comma 7 3 2 2" xfId="9287" xr:uid="{B670AF05-7C08-421B-A3C4-4BF8A7AFBB4C}"/>
    <cellStyle name="Comma 7 3 3" xfId="7947" xr:uid="{7A3261E5-74E2-44A8-B757-74A0ECADB109}"/>
    <cellStyle name="Comma 7 4" xfId="3434" xr:uid="{00000000-0005-0000-0000-000088020000}"/>
    <cellStyle name="Comma 7 4 2" xfId="6661" xr:uid="{00000000-0005-0000-0000-000089020000}"/>
    <cellStyle name="Comma 7 5" xfId="5308" xr:uid="{00000000-0005-0000-0000-00008A020000}"/>
    <cellStyle name="Comma 7 5 2" xfId="9247" xr:uid="{12C454EB-227B-4292-8F22-A04D843A1A86}"/>
    <cellStyle name="Comma 7 6" xfId="6230" xr:uid="{00000000-0005-0000-0000-00008B020000}"/>
    <cellStyle name="Comma 7 6 2" xfId="9267" xr:uid="{EDC650E5-B744-4C6B-B1E6-226500313A0F}"/>
    <cellStyle name="Comma 7 7" xfId="7922" xr:uid="{80C3FA41-0EE3-4845-AAC8-831B1D51EFA8}"/>
    <cellStyle name="Comma 8" xfId="3435" xr:uid="{00000000-0005-0000-0000-00008C020000}"/>
    <cellStyle name="Comma 8 2" xfId="6662" xr:uid="{00000000-0005-0000-0000-00008D020000}"/>
    <cellStyle name="Comma 9" xfId="3436" xr:uid="{00000000-0005-0000-0000-00008E020000}"/>
    <cellStyle name="Comma 9 2" xfId="3464" xr:uid="{00000000-0005-0000-0000-00008F020000}"/>
    <cellStyle name="Comma 9 2 2" xfId="3480" xr:uid="{00000000-0005-0000-0000-000090020000}"/>
    <cellStyle name="Comma 9 2 2 2" xfId="4131" xr:uid="{00000000-0005-0000-0000-000091020000}"/>
    <cellStyle name="Comma 9 2 2 2 2" xfId="7299" xr:uid="{00000000-0005-0000-0000-000092020000}"/>
    <cellStyle name="Comma 9 2 2 2 2 2" xfId="9967" xr:uid="{4E06BADD-C79C-4BB8-8BFD-592845BF4BAA}"/>
    <cellStyle name="Comma 9 2 2 2 3" xfId="8636" xr:uid="{0CC7119E-3F4C-40BB-A649-EC038D85521D}"/>
    <cellStyle name="Comma 9 2 2 3" xfId="6688" xr:uid="{00000000-0005-0000-0000-000093020000}"/>
    <cellStyle name="Comma 9 2 2 3 2" xfId="9356" xr:uid="{EED942F2-A449-4134-8BF5-152068AD3360}"/>
    <cellStyle name="Comma 9 2 2 4" xfId="8020" xr:uid="{EA05351D-477A-4203-961A-1FBB190787D0}"/>
    <cellStyle name="Comma 9 2 3" xfId="3496" xr:uid="{00000000-0005-0000-0000-000094020000}"/>
    <cellStyle name="Comma 9 2 3 2" xfId="4147" xr:uid="{00000000-0005-0000-0000-000095020000}"/>
    <cellStyle name="Comma 9 2 3 2 2" xfId="7315" xr:uid="{00000000-0005-0000-0000-000096020000}"/>
    <cellStyle name="Comma 9 2 3 2 2 2" xfId="9983" xr:uid="{2E8162D1-1D1F-4D10-9110-38157A4676DF}"/>
    <cellStyle name="Comma 9 2 3 2 3" xfId="8652" xr:uid="{DA129A85-5C38-42B6-8B09-2D77C209AA7C}"/>
    <cellStyle name="Comma 9 2 3 3" xfId="6704" xr:uid="{00000000-0005-0000-0000-000097020000}"/>
    <cellStyle name="Comma 9 2 3 3 2" xfId="9372" xr:uid="{608C8B26-B858-41F7-993E-8D31B241EB16}"/>
    <cellStyle name="Comma 9 2 3 4" xfId="8036" xr:uid="{E96E6532-0B84-4087-A391-62FF48CE662F}"/>
    <cellStyle name="Comma 9 2 4" xfId="4115" xr:uid="{00000000-0005-0000-0000-000098020000}"/>
    <cellStyle name="Comma 9 2 4 2" xfId="7283" xr:uid="{00000000-0005-0000-0000-000099020000}"/>
    <cellStyle name="Comma 9 2 4 2 2" xfId="9951" xr:uid="{BD8751DB-FF11-4AAD-ACE5-2C8DEC9D7792}"/>
    <cellStyle name="Comma 9 2 4 3" xfId="8620" xr:uid="{A51C6FB6-49BE-4C26-9FF9-F197AA8E5DB2}"/>
    <cellStyle name="Comma 9 2 5" xfId="6672" xr:uid="{00000000-0005-0000-0000-00009A020000}"/>
    <cellStyle name="Comma 9 2 5 2" xfId="9340" xr:uid="{70E864CE-19BE-4EBE-B601-9E6F0B775B05}"/>
    <cellStyle name="Comma 9 2 6" xfId="8004" xr:uid="{1011856B-E455-48AA-8029-3F63A1148BCD}"/>
    <cellStyle name="Comma 9 3" xfId="3472" xr:uid="{00000000-0005-0000-0000-00009B020000}"/>
    <cellStyle name="Comma 9 3 2" xfId="4123" xr:uid="{00000000-0005-0000-0000-00009C020000}"/>
    <cellStyle name="Comma 9 3 2 2" xfId="7291" xr:uid="{00000000-0005-0000-0000-00009D020000}"/>
    <cellStyle name="Comma 9 3 2 2 2" xfId="9959" xr:uid="{6BA12BCA-A682-4A04-ABAE-B8AA13AD4CE4}"/>
    <cellStyle name="Comma 9 3 2 3" xfId="8628" xr:uid="{392959C4-A068-482E-8D64-B131F5478B94}"/>
    <cellStyle name="Comma 9 3 3" xfId="6680" xr:uid="{00000000-0005-0000-0000-00009E020000}"/>
    <cellStyle name="Comma 9 3 3 2" xfId="9348" xr:uid="{36E79978-088B-4C19-A41F-37A16E12D9AA}"/>
    <cellStyle name="Comma 9 3 4" xfId="8012" xr:uid="{14D4E7DF-5185-4AC0-9FCF-95600CB8C1E7}"/>
    <cellStyle name="Comma 9 4" xfId="3488" xr:uid="{00000000-0005-0000-0000-00009F020000}"/>
    <cellStyle name="Comma 9 4 2" xfId="4139" xr:uid="{00000000-0005-0000-0000-0000A0020000}"/>
    <cellStyle name="Comma 9 4 2 2" xfId="7307" xr:uid="{00000000-0005-0000-0000-0000A1020000}"/>
    <cellStyle name="Comma 9 4 2 2 2" xfId="9975" xr:uid="{6A159F46-7BB1-42A8-96CE-862A7C3797D0}"/>
    <cellStyle name="Comma 9 4 2 3" xfId="8644" xr:uid="{D8C163E5-9BB1-4222-8894-4C161DE3F921}"/>
    <cellStyle name="Comma 9 4 3" xfId="6696" xr:uid="{00000000-0005-0000-0000-0000A2020000}"/>
    <cellStyle name="Comma 9 4 3 2" xfId="9364" xr:uid="{7668A3A0-7DCD-4F06-9B5F-DBDF28EBDD86}"/>
    <cellStyle name="Comma 9 4 4" xfId="8028" xr:uid="{43EACCFD-7A84-4E44-8076-185D7635A10C}"/>
    <cellStyle name="Comma 9 5" xfId="3516" xr:uid="{00000000-0005-0000-0000-0000A3020000}"/>
    <cellStyle name="Comma 9 5 2" xfId="4157" xr:uid="{00000000-0005-0000-0000-0000A4020000}"/>
    <cellStyle name="Comma 9 5 2 2" xfId="7325" xr:uid="{00000000-0005-0000-0000-0000A5020000}"/>
    <cellStyle name="Comma 9 5 2 2 2" xfId="9993" xr:uid="{DD595E1B-E988-4416-A2D4-19B71C942119}"/>
    <cellStyle name="Comma 9 5 2 3" xfId="8662" xr:uid="{734DD6E1-09A0-4020-BDF6-3B2EB3B6D207}"/>
    <cellStyle name="Comma 9 5 3" xfId="6714" xr:uid="{00000000-0005-0000-0000-0000A6020000}"/>
    <cellStyle name="Comma 9 5 3 2" xfId="9382" xr:uid="{950EB5BC-BC72-4C46-B8A0-7B1E3F339196}"/>
    <cellStyle name="Comma 9 5 4" xfId="8046" xr:uid="{9C9740CA-F62F-46F8-9383-6F17BFDDDE2F}"/>
    <cellStyle name="Comma 9 6" xfId="4107" xr:uid="{00000000-0005-0000-0000-0000A7020000}"/>
    <cellStyle name="Comma 9 6 2" xfId="7275" xr:uid="{00000000-0005-0000-0000-0000A8020000}"/>
    <cellStyle name="Comma 9 6 2 2" xfId="9943" xr:uid="{5F1855EB-911E-4E27-A1C0-A44ACC58A0C7}"/>
    <cellStyle name="Comma 9 6 3" xfId="8612" xr:uid="{109317E9-646B-4105-A50A-505B9861A32F}"/>
    <cellStyle name="Comma 9 7" xfId="6663" xr:uid="{00000000-0005-0000-0000-0000A9020000}"/>
    <cellStyle name="Comma 9 7 2" xfId="9332" xr:uid="{F9E8229B-6F6E-485C-AE40-DB0802CD43FA}"/>
    <cellStyle name="Comma 9 8" xfId="7993" xr:uid="{42F3DC99-EC36-4B83-B165-DE9EF36CB961}"/>
    <cellStyle name="Comma0 - Type3" xfId="58" xr:uid="{00000000-0005-0000-0000-0000AA020000}"/>
    <cellStyle name="CustomizationCells" xfId="59" xr:uid="{00000000-0005-0000-0000-0000AB020000}"/>
    <cellStyle name="CustomizationCells 2" xfId="7899" xr:uid="{1821B4E6-BD36-4A73-8932-196FF4FFCA71}"/>
    <cellStyle name="Euro" xfId="60" xr:uid="{00000000-0005-0000-0000-0000AC020000}"/>
    <cellStyle name="Euro 10" xfId="61" xr:uid="{00000000-0005-0000-0000-0000AD020000}"/>
    <cellStyle name="Euro 10 2" xfId="62" xr:uid="{00000000-0005-0000-0000-0000AE020000}"/>
    <cellStyle name="Euro 10 2 2" xfId="2086" xr:uid="{00000000-0005-0000-0000-0000AF020000}"/>
    <cellStyle name="Euro 10 3" xfId="63" xr:uid="{00000000-0005-0000-0000-0000B0020000}"/>
    <cellStyle name="Euro 10 3 2" xfId="64" xr:uid="{00000000-0005-0000-0000-0000B1020000}"/>
    <cellStyle name="Euro 10 3 3" xfId="65" xr:uid="{00000000-0005-0000-0000-0000B2020000}"/>
    <cellStyle name="Euro 10 3 3 2" xfId="2088" xr:uid="{00000000-0005-0000-0000-0000B3020000}"/>
    <cellStyle name="Euro 10 3 4" xfId="2087" xr:uid="{00000000-0005-0000-0000-0000B4020000}"/>
    <cellStyle name="Euro 10 4" xfId="66" xr:uid="{00000000-0005-0000-0000-0000B5020000}"/>
    <cellStyle name="Euro 10 4 2" xfId="67" xr:uid="{00000000-0005-0000-0000-0000B6020000}"/>
    <cellStyle name="Euro 10 4 2 2" xfId="2090" xr:uid="{00000000-0005-0000-0000-0000B7020000}"/>
    <cellStyle name="Euro 10 4 3" xfId="2089" xr:uid="{00000000-0005-0000-0000-0000B8020000}"/>
    <cellStyle name="Euro 10 5" xfId="68" xr:uid="{00000000-0005-0000-0000-0000B9020000}"/>
    <cellStyle name="Euro 11" xfId="69" xr:uid="{00000000-0005-0000-0000-0000BA020000}"/>
    <cellStyle name="Euro 11 2" xfId="70" xr:uid="{00000000-0005-0000-0000-0000BB020000}"/>
    <cellStyle name="Euro 11 2 2" xfId="2091" xr:uid="{00000000-0005-0000-0000-0000BC020000}"/>
    <cellStyle name="Euro 11 3" xfId="71" xr:uid="{00000000-0005-0000-0000-0000BD020000}"/>
    <cellStyle name="Euro 11 3 2" xfId="72" xr:uid="{00000000-0005-0000-0000-0000BE020000}"/>
    <cellStyle name="Euro 11 3 3" xfId="73" xr:uid="{00000000-0005-0000-0000-0000BF020000}"/>
    <cellStyle name="Euro 11 3 3 2" xfId="2093" xr:uid="{00000000-0005-0000-0000-0000C0020000}"/>
    <cellStyle name="Euro 11 3 4" xfId="2092" xr:uid="{00000000-0005-0000-0000-0000C1020000}"/>
    <cellStyle name="Euro 11 4" xfId="74" xr:uid="{00000000-0005-0000-0000-0000C2020000}"/>
    <cellStyle name="Euro 11 4 2" xfId="75" xr:uid="{00000000-0005-0000-0000-0000C3020000}"/>
    <cellStyle name="Euro 11 4 2 2" xfId="2095" xr:uid="{00000000-0005-0000-0000-0000C4020000}"/>
    <cellStyle name="Euro 11 4 3" xfId="2094" xr:uid="{00000000-0005-0000-0000-0000C5020000}"/>
    <cellStyle name="Euro 11 5" xfId="76" xr:uid="{00000000-0005-0000-0000-0000C6020000}"/>
    <cellStyle name="Euro 12" xfId="77" xr:uid="{00000000-0005-0000-0000-0000C7020000}"/>
    <cellStyle name="Euro 12 2" xfId="78" xr:uid="{00000000-0005-0000-0000-0000C8020000}"/>
    <cellStyle name="Euro 12 2 2" xfId="2096" xr:uid="{00000000-0005-0000-0000-0000C9020000}"/>
    <cellStyle name="Euro 12 3" xfId="79" xr:uid="{00000000-0005-0000-0000-0000CA020000}"/>
    <cellStyle name="Euro 12 3 2" xfId="80" xr:uid="{00000000-0005-0000-0000-0000CB020000}"/>
    <cellStyle name="Euro 12 3 3" xfId="81" xr:uid="{00000000-0005-0000-0000-0000CC020000}"/>
    <cellStyle name="Euro 12 3 3 2" xfId="2098" xr:uid="{00000000-0005-0000-0000-0000CD020000}"/>
    <cellStyle name="Euro 12 3 4" xfId="2097" xr:uid="{00000000-0005-0000-0000-0000CE020000}"/>
    <cellStyle name="Euro 12 4" xfId="82" xr:uid="{00000000-0005-0000-0000-0000CF020000}"/>
    <cellStyle name="Euro 12 4 2" xfId="83" xr:uid="{00000000-0005-0000-0000-0000D0020000}"/>
    <cellStyle name="Euro 12 4 2 2" xfId="2100" xr:uid="{00000000-0005-0000-0000-0000D1020000}"/>
    <cellStyle name="Euro 12 4 3" xfId="2099" xr:uid="{00000000-0005-0000-0000-0000D2020000}"/>
    <cellStyle name="Euro 12 5" xfId="84" xr:uid="{00000000-0005-0000-0000-0000D3020000}"/>
    <cellStyle name="Euro 13" xfId="85" xr:uid="{00000000-0005-0000-0000-0000D4020000}"/>
    <cellStyle name="Euro 13 2" xfId="86" xr:uid="{00000000-0005-0000-0000-0000D5020000}"/>
    <cellStyle name="Euro 13 2 2" xfId="2101" xr:uid="{00000000-0005-0000-0000-0000D6020000}"/>
    <cellStyle name="Euro 13 3" xfId="87" xr:uid="{00000000-0005-0000-0000-0000D7020000}"/>
    <cellStyle name="Euro 13 3 2" xfId="88" xr:uid="{00000000-0005-0000-0000-0000D8020000}"/>
    <cellStyle name="Euro 13 3 3" xfId="89" xr:uid="{00000000-0005-0000-0000-0000D9020000}"/>
    <cellStyle name="Euro 13 3 3 2" xfId="2103" xr:uid="{00000000-0005-0000-0000-0000DA020000}"/>
    <cellStyle name="Euro 13 3 4" xfId="2102" xr:uid="{00000000-0005-0000-0000-0000DB020000}"/>
    <cellStyle name="Euro 13 4" xfId="90" xr:uid="{00000000-0005-0000-0000-0000DC020000}"/>
    <cellStyle name="Euro 13 4 2" xfId="91" xr:uid="{00000000-0005-0000-0000-0000DD020000}"/>
    <cellStyle name="Euro 13 4 2 2" xfId="2105" xr:uid="{00000000-0005-0000-0000-0000DE020000}"/>
    <cellStyle name="Euro 13 4 3" xfId="2104" xr:uid="{00000000-0005-0000-0000-0000DF020000}"/>
    <cellStyle name="Euro 13 5" xfId="92" xr:uid="{00000000-0005-0000-0000-0000E0020000}"/>
    <cellStyle name="Euro 14" xfId="93" xr:uid="{00000000-0005-0000-0000-0000E1020000}"/>
    <cellStyle name="Euro 14 2" xfId="94" xr:uid="{00000000-0005-0000-0000-0000E2020000}"/>
    <cellStyle name="Euro 14 2 2" xfId="2106" xr:uid="{00000000-0005-0000-0000-0000E3020000}"/>
    <cellStyle name="Euro 14 3" xfId="95" xr:uid="{00000000-0005-0000-0000-0000E4020000}"/>
    <cellStyle name="Euro 14 3 2" xfId="96" xr:uid="{00000000-0005-0000-0000-0000E5020000}"/>
    <cellStyle name="Euro 14 3 3" xfId="97" xr:uid="{00000000-0005-0000-0000-0000E6020000}"/>
    <cellStyle name="Euro 14 3 3 2" xfId="2108" xr:uid="{00000000-0005-0000-0000-0000E7020000}"/>
    <cellStyle name="Euro 14 3 4" xfId="2107" xr:uid="{00000000-0005-0000-0000-0000E8020000}"/>
    <cellStyle name="Euro 14 4" xfId="98" xr:uid="{00000000-0005-0000-0000-0000E9020000}"/>
    <cellStyle name="Euro 14 4 2" xfId="99" xr:uid="{00000000-0005-0000-0000-0000EA020000}"/>
    <cellStyle name="Euro 14 4 2 2" xfId="2110" xr:uid="{00000000-0005-0000-0000-0000EB020000}"/>
    <cellStyle name="Euro 14 4 3" xfId="2109" xr:uid="{00000000-0005-0000-0000-0000EC020000}"/>
    <cellStyle name="Euro 14 5" xfId="100" xr:uid="{00000000-0005-0000-0000-0000ED020000}"/>
    <cellStyle name="Euro 15" xfId="101" xr:uid="{00000000-0005-0000-0000-0000EE020000}"/>
    <cellStyle name="Euro 15 2" xfId="102" xr:uid="{00000000-0005-0000-0000-0000EF020000}"/>
    <cellStyle name="Euro 15 2 2" xfId="2111" xr:uid="{00000000-0005-0000-0000-0000F0020000}"/>
    <cellStyle name="Euro 15 3" xfId="103" xr:uid="{00000000-0005-0000-0000-0000F1020000}"/>
    <cellStyle name="Euro 15 3 2" xfId="104" xr:uid="{00000000-0005-0000-0000-0000F2020000}"/>
    <cellStyle name="Euro 15 3 3" xfId="105" xr:uid="{00000000-0005-0000-0000-0000F3020000}"/>
    <cellStyle name="Euro 15 3 3 2" xfId="2113" xr:uid="{00000000-0005-0000-0000-0000F4020000}"/>
    <cellStyle name="Euro 15 3 4" xfId="2112" xr:uid="{00000000-0005-0000-0000-0000F5020000}"/>
    <cellStyle name="Euro 15 4" xfId="106" xr:uid="{00000000-0005-0000-0000-0000F6020000}"/>
    <cellStyle name="Euro 15 4 2" xfId="107" xr:uid="{00000000-0005-0000-0000-0000F7020000}"/>
    <cellStyle name="Euro 15 4 2 2" xfId="2115" xr:uid="{00000000-0005-0000-0000-0000F8020000}"/>
    <cellStyle name="Euro 15 4 3" xfId="2114" xr:uid="{00000000-0005-0000-0000-0000F9020000}"/>
    <cellStyle name="Euro 15 5" xfId="108" xr:uid="{00000000-0005-0000-0000-0000FA020000}"/>
    <cellStyle name="Euro 16" xfId="109" xr:uid="{00000000-0005-0000-0000-0000FB020000}"/>
    <cellStyle name="Euro 16 2" xfId="110" xr:uid="{00000000-0005-0000-0000-0000FC020000}"/>
    <cellStyle name="Euro 16 2 2" xfId="2116" xr:uid="{00000000-0005-0000-0000-0000FD020000}"/>
    <cellStyle name="Euro 16 3" xfId="111" xr:uid="{00000000-0005-0000-0000-0000FE020000}"/>
    <cellStyle name="Euro 16 3 2" xfId="112" xr:uid="{00000000-0005-0000-0000-0000FF020000}"/>
    <cellStyle name="Euro 16 3 3" xfId="113" xr:uid="{00000000-0005-0000-0000-000000030000}"/>
    <cellStyle name="Euro 16 3 3 2" xfId="2118" xr:uid="{00000000-0005-0000-0000-000001030000}"/>
    <cellStyle name="Euro 16 3 4" xfId="2117" xr:uid="{00000000-0005-0000-0000-000002030000}"/>
    <cellStyle name="Euro 16 4" xfId="114" xr:uid="{00000000-0005-0000-0000-000003030000}"/>
    <cellStyle name="Euro 16 4 2" xfId="115" xr:uid="{00000000-0005-0000-0000-000004030000}"/>
    <cellStyle name="Euro 16 4 2 2" xfId="2120" xr:uid="{00000000-0005-0000-0000-000005030000}"/>
    <cellStyle name="Euro 16 4 3" xfId="2119" xr:uid="{00000000-0005-0000-0000-000006030000}"/>
    <cellStyle name="Euro 16 5" xfId="116" xr:uid="{00000000-0005-0000-0000-000007030000}"/>
    <cellStyle name="Euro 17" xfId="117" xr:uid="{00000000-0005-0000-0000-000008030000}"/>
    <cellStyle name="Euro 17 2" xfId="118" xr:uid="{00000000-0005-0000-0000-000009030000}"/>
    <cellStyle name="Euro 17 2 2" xfId="2121" xr:uid="{00000000-0005-0000-0000-00000A030000}"/>
    <cellStyle name="Euro 17 3" xfId="119" xr:uid="{00000000-0005-0000-0000-00000B030000}"/>
    <cellStyle name="Euro 17 3 2" xfId="120" xr:uid="{00000000-0005-0000-0000-00000C030000}"/>
    <cellStyle name="Euro 17 3 3" xfId="121" xr:uid="{00000000-0005-0000-0000-00000D030000}"/>
    <cellStyle name="Euro 17 3 3 2" xfId="2123" xr:uid="{00000000-0005-0000-0000-00000E030000}"/>
    <cellStyle name="Euro 17 3 4" xfId="2122" xr:uid="{00000000-0005-0000-0000-00000F030000}"/>
    <cellStyle name="Euro 17 4" xfId="122" xr:uid="{00000000-0005-0000-0000-000010030000}"/>
    <cellStyle name="Euro 17 4 2" xfId="123" xr:uid="{00000000-0005-0000-0000-000011030000}"/>
    <cellStyle name="Euro 17 4 2 2" xfId="2125" xr:uid="{00000000-0005-0000-0000-000012030000}"/>
    <cellStyle name="Euro 17 4 3" xfId="2124" xr:uid="{00000000-0005-0000-0000-000013030000}"/>
    <cellStyle name="Euro 17 5" xfId="124" xr:uid="{00000000-0005-0000-0000-000014030000}"/>
    <cellStyle name="Euro 18" xfId="125" xr:uid="{00000000-0005-0000-0000-000015030000}"/>
    <cellStyle name="Euro 18 2" xfId="126" xr:uid="{00000000-0005-0000-0000-000016030000}"/>
    <cellStyle name="Euro 18 2 2" xfId="2126" xr:uid="{00000000-0005-0000-0000-000017030000}"/>
    <cellStyle name="Euro 18 3" xfId="127" xr:uid="{00000000-0005-0000-0000-000018030000}"/>
    <cellStyle name="Euro 18 3 2" xfId="128" xr:uid="{00000000-0005-0000-0000-000019030000}"/>
    <cellStyle name="Euro 18 3 3" xfId="129" xr:uid="{00000000-0005-0000-0000-00001A030000}"/>
    <cellStyle name="Euro 18 3 3 2" xfId="2128" xr:uid="{00000000-0005-0000-0000-00001B030000}"/>
    <cellStyle name="Euro 18 3 4" xfId="2127" xr:uid="{00000000-0005-0000-0000-00001C030000}"/>
    <cellStyle name="Euro 18 4" xfId="130" xr:uid="{00000000-0005-0000-0000-00001D030000}"/>
    <cellStyle name="Euro 18 4 2" xfId="131" xr:uid="{00000000-0005-0000-0000-00001E030000}"/>
    <cellStyle name="Euro 18 4 2 2" xfId="2130" xr:uid="{00000000-0005-0000-0000-00001F030000}"/>
    <cellStyle name="Euro 18 4 3" xfId="2129" xr:uid="{00000000-0005-0000-0000-000020030000}"/>
    <cellStyle name="Euro 18 5" xfId="132" xr:uid="{00000000-0005-0000-0000-000021030000}"/>
    <cellStyle name="Euro 19" xfId="133" xr:uid="{00000000-0005-0000-0000-000022030000}"/>
    <cellStyle name="Euro 19 2" xfId="134" xr:uid="{00000000-0005-0000-0000-000023030000}"/>
    <cellStyle name="Euro 19 2 2" xfId="2131" xr:uid="{00000000-0005-0000-0000-000024030000}"/>
    <cellStyle name="Euro 19 3" xfId="135" xr:uid="{00000000-0005-0000-0000-000025030000}"/>
    <cellStyle name="Euro 19 3 2" xfId="136" xr:uid="{00000000-0005-0000-0000-000026030000}"/>
    <cellStyle name="Euro 19 3 3" xfId="137" xr:uid="{00000000-0005-0000-0000-000027030000}"/>
    <cellStyle name="Euro 19 3 3 2" xfId="2133" xr:uid="{00000000-0005-0000-0000-000028030000}"/>
    <cellStyle name="Euro 19 3 4" xfId="2132" xr:uid="{00000000-0005-0000-0000-000029030000}"/>
    <cellStyle name="Euro 19 4" xfId="138" xr:uid="{00000000-0005-0000-0000-00002A030000}"/>
    <cellStyle name="Euro 19 4 2" xfId="139" xr:uid="{00000000-0005-0000-0000-00002B030000}"/>
    <cellStyle name="Euro 19 4 2 2" xfId="2135" xr:uid="{00000000-0005-0000-0000-00002C030000}"/>
    <cellStyle name="Euro 19 4 3" xfId="2134" xr:uid="{00000000-0005-0000-0000-00002D030000}"/>
    <cellStyle name="Euro 19 5" xfId="140" xr:uid="{00000000-0005-0000-0000-00002E030000}"/>
    <cellStyle name="Euro 2" xfId="141" xr:uid="{00000000-0005-0000-0000-00002F030000}"/>
    <cellStyle name="Euro 2 2" xfId="142" xr:uid="{00000000-0005-0000-0000-000030030000}"/>
    <cellStyle name="Euro 2 2 2" xfId="2136" xr:uid="{00000000-0005-0000-0000-000031030000}"/>
    <cellStyle name="Euro 2 3" xfId="143" xr:uid="{00000000-0005-0000-0000-000032030000}"/>
    <cellStyle name="Euro 2 3 2" xfId="144" xr:uid="{00000000-0005-0000-0000-000033030000}"/>
    <cellStyle name="Euro 2 3 3" xfId="145" xr:uid="{00000000-0005-0000-0000-000034030000}"/>
    <cellStyle name="Euro 2 3 3 2" xfId="2138" xr:uid="{00000000-0005-0000-0000-000035030000}"/>
    <cellStyle name="Euro 2 3 4" xfId="2137" xr:uid="{00000000-0005-0000-0000-000036030000}"/>
    <cellStyle name="Euro 2 4" xfId="146" xr:uid="{00000000-0005-0000-0000-000037030000}"/>
    <cellStyle name="Euro 2 4 2" xfId="147" xr:uid="{00000000-0005-0000-0000-000038030000}"/>
    <cellStyle name="Euro 2 4 2 2" xfId="2140" xr:uid="{00000000-0005-0000-0000-000039030000}"/>
    <cellStyle name="Euro 2 4 3" xfId="2139" xr:uid="{00000000-0005-0000-0000-00003A030000}"/>
    <cellStyle name="Euro 2 5" xfId="148" xr:uid="{00000000-0005-0000-0000-00003B030000}"/>
    <cellStyle name="Euro 20" xfId="149" xr:uid="{00000000-0005-0000-0000-00003C030000}"/>
    <cellStyle name="Euro 20 2" xfId="150" xr:uid="{00000000-0005-0000-0000-00003D030000}"/>
    <cellStyle name="Euro 20 2 2" xfId="2141" xr:uid="{00000000-0005-0000-0000-00003E030000}"/>
    <cellStyle name="Euro 20 3" xfId="151" xr:uid="{00000000-0005-0000-0000-00003F030000}"/>
    <cellStyle name="Euro 20 3 2" xfId="152" xr:uid="{00000000-0005-0000-0000-000040030000}"/>
    <cellStyle name="Euro 20 3 3" xfId="153" xr:uid="{00000000-0005-0000-0000-000041030000}"/>
    <cellStyle name="Euro 20 3 3 2" xfId="2143" xr:uid="{00000000-0005-0000-0000-000042030000}"/>
    <cellStyle name="Euro 20 3 4" xfId="2142" xr:uid="{00000000-0005-0000-0000-000043030000}"/>
    <cellStyle name="Euro 20 4" xfId="154" xr:uid="{00000000-0005-0000-0000-000044030000}"/>
    <cellStyle name="Euro 20 4 2" xfId="155" xr:uid="{00000000-0005-0000-0000-000045030000}"/>
    <cellStyle name="Euro 20 4 2 2" xfId="2145" xr:uid="{00000000-0005-0000-0000-000046030000}"/>
    <cellStyle name="Euro 20 4 3" xfId="2144" xr:uid="{00000000-0005-0000-0000-000047030000}"/>
    <cellStyle name="Euro 20 5" xfId="156" xr:uid="{00000000-0005-0000-0000-000048030000}"/>
    <cellStyle name="Euro 21" xfId="157" xr:uid="{00000000-0005-0000-0000-000049030000}"/>
    <cellStyle name="Euro 21 2" xfId="158" xr:uid="{00000000-0005-0000-0000-00004A030000}"/>
    <cellStyle name="Euro 21 2 2" xfId="2146" xr:uid="{00000000-0005-0000-0000-00004B030000}"/>
    <cellStyle name="Euro 21 3" xfId="159" xr:uid="{00000000-0005-0000-0000-00004C030000}"/>
    <cellStyle name="Euro 21 3 2" xfId="160" xr:uid="{00000000-0005-0000-0000-00004D030000}"/>
    <cellStyle name="Euro 21 3 3" xfId="161" xr:uid="{00000000-0005-0000-0000-00004E030000}"/>
    <cellStyle name="Euro 21 3 3 2" xfId="2148" xr:uid="{00000000-0005-0000-0000-00004F030000}"/>
    <cellStyle name="Euro 21 3 4" xfId="2147" xr:uid="{00000000-0005-0000-0000-000050030000}"/>
    <cellStyle name="Euro 21 4" xfId="162" xr:uid="{00000000-0005-0000-0000-000051030000}"/>
    <cellStyle name="Euro 21 4 2" xfId="163" xr:uid="{00000000-0005-0000-0000-000052030000}"/>
    <cellStyle name="Euro 21 4 2 2" xfId="2150" xr:uid="{00000000-0005-0000-0000-000053030000}"/>
    <cellStyle name="Euro 21 4 3" xfId="2149" xr:uid="{00000000-0005-0000-0000-000054030000}"/>
    <cellStyle name="Euro 21 5" xfId="164" xr:uid="{00000000-0005-0000-0000-000055030000}"/>
    <cellStyle name="Euro 22" xfId="165" xr:uid="{00000000-0005-0000-0000-000056030000}"/>
    <cellStyle name="Euro 22 2" xfId="166" xr:uid="{00000000-0005-0000-0000-000057030000}"/>
    <cellStyle name="Euro 22 2 2" xfId="2151" xr:uid="{00000000-0005-0000-0000-000058030000}"/>
    <cellStyle name="Euro 22 3" xfId="167" xr:uid="{00000000-0005-0000-0000-000059030000}"/>
    <cellStyle name="Euro 22 3 2" xfId="168" xr:uid="{00000000-0005-0000-0000-00005A030000}"/>
    <cellStyle name="Euro 22 3 3" xfId="169" xr:uid="{00000000-0005-0000-0000-00005B030000}"/>
    <cellStyle name="Euro 22 3 3 2" xfId="2153" xr:uid="{00000000-0005-0000-0000-00005C030000}"/>
    <cellStyle name="Euro 22 3 4" xfId="2152" xr:uid="{00000000-0005-0000-0000-00005D030000}"/>
    <cellStyle name="Euro 22 4" xfId="170" xr:uid="{00000000-0005-0000-0000-00005E030000}"/>
    <cellStyle name="Euro 22 4 2" xfId="171" xr:uid="{00000000-0005-0000-0000-00005F030000}"/>
    <cellStyle name="Euro 22 4 2 2" xfId="2155" xr:uid="{00000000-0005-0000-0000-000060030000}"/>
    <cellStyle name="Euro 22 4 3" xfId="2154" xr:uid="{00000000-0005-0000-0000-000061030000}"/>
    <cellStyle name="Euro 22 5" xfId="172" xr:uid="{00000000-0005-0000-0000-000062030000}"/>
    <cellStyle name="Euro 23" xfId="173" xr:uid="{00000000-0005-0000-0000-000063030000}"/>
    <cellStyle name="Euro 23 2" xfId="174" xr:uid="{00000000-0005-0000-0000-000064030000}"/>
    <cellStyle name="Euro 23 2 2" xfId="2156" xr:uid="{00000000-0005-0000-0000-000065030000}"/>
    <cellStyle name="Euro 23 3" xfId="175" xr:uid="{00000000-0005-0000-0000-000066030000}"/>
    <cellStyle name="Euro 23 3 2" xfId="176" xr:uid="{00000000-0005-0000-0000-000067030000}"/>
    <cellStyle name="Euro 23 3 3" xfId="177" xr:uid="{00000000-0005-0000-0000-000068030000}"/>
    <cellStyle name="Euro 23 3 3 2" xfId="2158" xr:uid="{00000000-0005-0000-0000-000069030000}"/>
    <cellStyle name="Euro 23 3 4" xfId="2157" xr:uid="{00000000-0005-0000-0000-00006A030000}"/>
    <cellStyle name="Euro 23 4" xfId="178" xr:uid="{00000000-0005-0000-0000-00006B030000}"/>
    <cellStyle name="Euro 23 4 2" xfId="179" xr:uid="{00000000-0005-0000-0000-00006C030000}"/>
    <cellStyle name="Euro 23 4 2 2" xfId="2160" xr:uid="{00000000-0005-0000-0000-00006D030000}"/>
    <cellStyle name="Euro 23 4 3" xfId="2159" xr:uid="{00000000-0005-0000-0000-00006E030000}"/>
    <cellStyle name="Euro 23 5" xfId="180" xr:uid="{00000000-0005-0000-0000-00006F030000}"/>
    <cellStyle name="Euro 24" xfId="181" xr:uid="{00000000-0005-0000-0000-000070030000}"/>
    <cellStyle name="Euro 24 2" xfId="182" xr:uid="{00000000-0005-0000-0000-000071030000}"/>
    <cellStyle name="Euro 24 2 2" xfId="2161" xr:uid="{00000000-0005-0000-0000-000072030000}"/>
    <cellStyle name="Euro 24 3" xfId="183" xr:uid="{00000000-0005-0000-0000-000073030000}"/>
    <cellStyle name="Euro 24 3 2" xfId="184" xr:uid="{00000000-0005-0000-0000-000074030000}"/>
    <cellStyle name="Euro 24 3 3" xfId="185" xr:uid="{00000000-0005-0000-0000-000075030000}"/>
    <cellStyle name="Euro 24 3 3 2" xfId="2163" xr:uid="{00000000-0005-0000-0000-000076030000}"/>
    <cellStyle name="Euro 24 3 4" xfId="2162" xr:uid="{00000000-0005-0000-0000-000077030000}"/>
    <cellStyle name="Euro 24 4" xfId="186" xr:uid="{00000000-0005-0000-0000-000078030000}"/>
    <cellStyle name="Euro 24 4 2" xfId="187" xr:uid="{00000000-0005-0000-0000-000079030000}"/>
    <cellStyle name="Euro 24 4 2 2" xfId="2165" xr:uid="{00000000-0005-0000-0000-00007A030000}"/>
    <cellStyle name="Euro 24 4 3" xfId="2164" xr:uid="{00000000-0005-0000-0000-00007B030000}"/>
    <cellStyle name="Euro 24 5" xfId="188" xr:uid="{00000000-0005-0000-0000-00007C030000}"/>
    <cellStyle name="Euro 25" xfId="189" xr:uid="{00000000-0005-0000-0000-00007D030000}"/>
    <cellStyle name="Euro 25 2" xfId="190" xr:uid="{00000000-0005-0000-0000-00007E030000}"/>
    <cellStyle name="Euro 25 2 2" xfId="2166" xr:uid="{00000000-0005-0000-0000-00007F030000}"/>
    <cellStyle name="Euro 25 3" xfId="191" xr:uid="{00000000-0005-0000-0000-000080030000}"/>
    <cellStyle name="Euro 25 3 2" xfId="192" xr:uid="{00000000-0005-0000-0000-000081030000}"/>
    <cellStyle name="Euro 25 3 3" xfId="193" xr:uid="{00000000-0005-0000-0000-000082030000}"/>
    <cellStyle name="Euro 25 3 3 2" xfId="2168" xr:uid="{00000000-0005-0000-0000-000083030000}"/>
    <cellStyle name="Euro 25 3 4" xfId="2167" xr:uid="{00000000-0005-0000-0000-000084030000}"/>
    <cellStyle name="Euro 25 4" xfId="194" xr:uid="{00000000-0005-0000-0000-000085030000}"/>
    <cellStyle name="Euro 25 4 2" xfId="195" xr:uid="{00000000-0005-0000-0000-000086030000}"/>
    <cellStyle name="Euro 25 4 2 2" xfId="2170" xr:uid="{00000000-0005-0000-0000-000087030000}"/>
    <cellStyle name="Euro 25 4 3" xfId="2169" xr:uid="{00000000-0005-0000-0000-000088030000}"/>
    <cellStyle name="Euro 25 5" xfId="196" xr:uid="{00000000-0005-0000-0000-000089030000}"/>
    <cellStyle name="Euro 26" xfId="197" xr:uid="{00000000-0005-0000-0000-00008A030000}"/>
    <cellStyle name="Euro 26 2" xfId="198" xr:uid="{00000000-0005-0000-0000-00008B030000}"/>
    <cellStyle name="Euro 26 2 2" xfId="2171" xr:uid="{00000000-0005-0000-0000-00008C030000}"/>
    <cellStyle name="Euro 26 3" xfId="199" xr:uid="{00000000-0005-0000-0000-00008D030000}"/>
    <cellStyle name="Euro 26 3 2" xfId="200" xr:uid="{00000000-0005-0000-0000-00008E030000}"/>
    <cellStyle name="Euro 26 3 3" xfId="201" xr:uid="{00000000-0005-0000-0000-00008F030000}"/>
    <cellStyle name="Euro 26 3 3 2" xfId="2173" xr:uid="{00000000-0005-0000-0000-000090030000}"/>
    <cellStyle name="Euro 26 3 4" xfId="2172" xr:uid="{00000000-0005-0000-0000-000091030000}"/>
    <cellStyle name="Euro 26 4" xfId="202" xr:uid="{00000000-0005-0000-0000-000092030000}"/>
    <cellStyle name="Euro 26 4 2" xfId="203" xr:uid="{00000000-0005-0000-0000-000093030000}"/>
    <cellStyle name="Euro 26 4 2 2" xfId="2175" xr:uid="{00000000-0005-0000-0000-000094030000}"/>
    <cellStyle name="Euro 26 4 3" xfId="2174" xr:uid="{00000000-0005-0000-0000-000095030000}"/>
    <cellStyle name="Euro 26 5" xfId="204" xr:uid="{00000000-0005-0000-0000-000096030000}"/>
    <cellStyle name="Euro 27" xfId="205" xr:uid="{00000000-0005-0000-0000-000097030000}"/>
    <cellStyle name="Euro 27 2" xfId="206" xr:uid="{00000000-0005-0000-0000-000098030000}"/>
    <cellStyle name="Euro 27 2 2" xfId="2176" xr:uid="{00000000-0005-0000-0000-000099030000}"/>
    <cellStyle name="Euro 27 3" xfId="207" xr:uid="{00000000-0005-0000-0000-00009A030000}"/>
    <cellStyle name="Euro 27 3 2" xfId="208" xr:uid="{00000000-0005-0000-0000-00009B030000}"/>
    <cellStyle name="Euro 27 3 3" xfId="209" xr:uid="{00000000-0005-0000-0000-00009C030000}"/>
    <cellStyle name="Euro 27 3 3 2" xfId="2178" xr:uid="{00000000-0005-0000-0000-00009D030000}"/>
    <cellStyle name="Euro 27 3 4" xfId="2177" xr:uid="{00000000-0005-0000-0000-00009E030000}"/>
    <cellStyle name="Euro 27 4" xfId="210" xr:uid="{00000000-0005-0000-0000-00009F030000}"/>
    <cellStyle name="Euro 27 4 2" xfId="211" xr:uid="{00000000-0005-0000-0000-0000A0030000}"/>
    <cellStyle name="Euro 27 4 2 2" xfId="2180" xr:uid="{00000000-0005-0000-0000-0000A1030000}"/>
    <cellStyle name="Euro 27 4 3" xfId="2179" xr:uid="{00000000-0005-0000-0000-0000A2030000}"/>
    <cellStyle name="Euro 27 5" xfId="212" xr:uid="{00000000-0005-0000-0000-0000A3030000}"/>
    <cellStyle name="Euro 28" xfId="213" xr:uid="{00000000-0005-0000-0000-0000A4030000}"/>
    <cellStyle name="Euro 28 2" xfId="214" xr:uid="{00000000-0005-0000-0000-0000A5030000}"/>
    <cellStyle name="Euro 28 2 2" xfId="2181" xr:uid="{00000000-0005-0000-0000-0000A6030000}"/>
    <cellStyle name="Euro 28 3" xfId="215" xr:uid="{00000000-0005-0000-0000-0000A7030000}"/>
    <cellStyle name="Euro 28 3 2" xfId="216" xr:uid="{00000000-0005-0000-0000-0000A8030000}"/>
    <cellStyle name="Euro 28 3 3" xfId="217" xr:uid="{00000000-0005-0000-0000-0000A9030000}"/>
    <cellStyle name="Euro 28 3 3 2" xfId="2183" xr:uid="{00000000-0005-0000-0000-0000AA030000}"/>
    <cellStyle name="Euro 28 3 4" xfId="2182" xr:uid="{00000000-0005-0000-0000-0000AB030000}"/>
    <cellStyle name="Euro 28 4" xfId="218" xr:uid="{00000000-0005-0000-0000-0000AC030000}"/>
    <cellStyle name="Euro 28 4 2" xfId="219" xr:uid="{00000000-0005-0000-0000-0000AD030000}"/>
    <cellStyle name="Euro 28 4 2 2" xfId="2185" xr:uid="{00000000-0005-0000-0000-0000AE030000}"/>
    <cellStyle name="Euro 28 4 3" xfId="2184" xr:uid="{00000000-0005-0000-0000-0000AF030000}"/>
    <cellStyle name="Euro 28 5" xfId="220" xr:uid="{00000000-0005-0000-0000-0000B0030000}"/>
    <cellStyle name="Euro 29" xfId="221" xr:uid="{00000000-0005-0000-0000-0000B1030000}"/>
    <cellStyle name="Euro 29 2" xfId="222" xr:uid="{00000000-0005-0000-0000-0000B2030000}"/>
    <cellStyle name="Euro 29 2 2" xfId="2186" xr:uid="{00000000-0005-0000-0000-0000B3030000}"/>
    <cellStyle name="Euro 29 3" xfId="223" xr:uid="{00000000-0005-0000-0000-0000B4030000}"/>
    <cellStyle name="Euro 29 3 2" xfId="224" xr:uid="{00000000-0005-0000-0000-0000B5030000}"/>
    <cellStyle name="Euro 29 3 3" xfId="225" xr:uid="{00000000-0005-0000-0000-0000B6030000}"/>
    <cellStyle name="Euro 29 3 3 2" xfId="2188" xr:uid="{00000000-0005-0000-0000-0000B7030000}"/>
    <cellStyle name="Euro 29 3 4" xfId="2187" xr:uid="{00000000-0005-0000-0000-0000B8030000}"/>
    <cellStyle name="Euro 29 4" xfId="226" xr:uid="{00000000-0005-0000-0000-0000B9030000}"/>
    <cellStyle name="Euro 29 4 2" xfId="227" xr:uid="{00000000-0005-0000-0000-0000BA030000}"/>
    <cellStyle name="Euro 29 4 2 2" xfId="2190" xr:uid="{00000000-0005-0000-0000-0000BB030000}"/>
    <cellStyle name="Euro 29 4 3" xfId="2189" xr:uid="{00000000-0005-0000-0000-0000BC030000}"/>
    <cellStyle name="Euro 29 5" xfId="228" xr:uid="{00000000-0005-0000-0000-0000BD030000}"/>
    <cellStyle name="Euro 3" xfId="229" xr:uid="{00000000-0005-0000-0000-0000BE030000}"/>
    <cellStyle name="Euro 3 2" xfId="230" xr:uid="{00000000-0005-0000-0000-0000BF030000}"/>
    <cellStyle name="Euro 3 2 2" xfId="2191" xr:uid="{00000000-0005-0000-0000-0000C0030000}"/>
    <cellStyle name="Euro 3 3" xfId="231" xr:uid="{00000000-0005-0000-0000-0000C1030000}"/>
    <cellStyle name="Euro 3 3 2" xfId="232" xr:uid="{00000000-0005-0000-0000-0000C2030000}"/>
    <cellStyle name="Euro 3 3 3" xfId="233" xr:uid="{00000000-0005-0000-0000-0000C3030000}"/>
    <cellStyle name="Euro 3 3 3 2" xfId="2193" xr:uid="{00000000-0005-0000-0000-0000C4030000}"/>
    <cellStyle name="Euro 3 3 4" xfId="2192" xr:uid="{00000000-0005-0000-0000-0000C5030000}"/>
    <cellStyle name="Euro 3 4" xfId="234" xr:uid="{00000000-0005-0000-0000-0000C6030000}"/>
    <cellStyle name="Euro 3 4 2" xfId="235" xr:uid="{00000000-0005-0000-0000-0000C7030000}"/>
    <cellStyle name="Euro 3 4 2 2" xfId="2195" xr:uid="{00000000-0005-0000-0000-0000C8030000}"/>
    <cellStyle name="Euro 3 4 3" xfId="2194" xr:uid="{00000000-0005-0000-0000-0000C9030000}"/>
    <cellStyle name="Euro 3 5" xfId="236" xr:uid="{00000000-0005-0000-0000-0000CA030000}"/>
    <cellStyle name="Euro 30" xfId="237" xr:uid="{00000000-0005-0000-0000-0000CB030000}"/>
    <cellStyle name="Euro 30 2" xfId="238" xr:uid="{00000000-0005-0000-0000-0000CC030000}"/>
    <cellStyle name="Euro 30 2 2" xfId="2196" xr:uid="{00000000-0005-0000-0000-0000CD030000}"/>
    <cellStyle name="Euro 30 3" xfId="239" xr:uid="{00000000-0005-0000-0000-0000CE030000}"/>
    <cellStyle name="Euro 30 3 2" xfId="240" xr:uid="{00000000-0005-0000-0000-0000CF030000}"/>
    <cellStyle name="Euro 30 3 3" xfId="241" xr:uid="{00000000-0005-0000-0000-0000D0030000}"/>
    <cellStyle name="Euro 30 3 3 2" xfId="2198" xr:uid="{00000000-0005-0000-0000-0000D1030000}"/>
    <cellStyle name="Euro 30 3 4" xfId="2197" xr:uid="{00000000-0005-0000-0000-0000D2030000}"/>
    <cellStyle name="Euro 30 4" xfId="242" xr:uid="{00000000-0005-0000-0000-0000D3030000}"/>
    <cellStyle name="Euro 30 4 2" xfId="243" xr:uid="{00000000-0005-0000-0000-0000D4030000}"/>
    <cellStyle name="Euro 30 4 2 2" xfId="2200" xr:uid="{00000000-0005-0000-0000-0000D5030000}"/>
    <cellStyle name="Euro 30 4 3" xfId="2199" xr:uid="{00000000-0005-0000-0000-0000D6030000}"/>
    <cellStyle name="Euro 30 5" xfId="244" xr:uid="{00000000-0005-0000-0000-0000D7030000}"/>
    <cellStyle name="Euro 31" xfId="245" xr:uid="{00000000-0005-0000-0000-0000D8030000}"/>
    <cellStyle name="Euro 31 2" xfId="246" xr:uid="{00000000-0005-0000-0000-0000D9030000}"/>
    <cellStyle name="Euro 31 2 2" xfId="2201" xr:uid="{00000000-0005-0000-0000-0000DA030000}"/>
    <cellStyle name="Euro 31 3" xfId="247" xr:uid="{00000000-0005-0000-0000-0000DB030000}"/>
    <cellStyle name="Euro 31 3 2" xfId="248" xr:uid="{00000000-0005-0000-0000-0000DC030000}"/>
    <cellStyle name="Euro 31 3 3" xfId="249" xr:uid="{00000000-0005-0000-0000-0000DD030000}"/>
    <cellStyle name="Euro 31 3 3 2" xfId="2203" xr:uid="{00000000-0005-0000-0000-0000DE030000}"/>
    <cellStyle name="Euro 31 3 4" xfId="2202" xr:uid="{00000000-0005-0000-0000-0000DF030000}"/>
    <cellStyle name="Euro 31 4" xfId="250" xr:uid="{00000000-0005-0000-0000-0000E0030000}"/>
    <cellStyle name="Euro 31 4 2" xfId="251" xr:uid="{00000000-0005-0000-0000-0000E1030000}"/>
    <cellStyle name="Euro 31 4 2 2" xfId="2205" xr:uid="{00000000-0005-0000-0000-0000E2030000}"/>
    <cellStyle name="Euro 31 4 3" xfId="2204" xr:uid="{00000000-0005-0000-0000-0000E3030000}"/>
    <cellStyle name="Euro 31 5" xfId="252" xr:uid="{00000000-0005-0000-0000-0000E4030000}"/>
    <cellStyle name="Euro 32" xfId="253" xr:uid="{00000000-0005-0000-0000-0000E5030000}"/>
    <cellStyle name="Euro 32 2" xfId="254" xr:uid="{00000000-0005-0000-0000-0000E6030000}"/>
    <cellStyle name="Euro 32 2 2" xfId="2206" xr:uid="{00000000-0005-0000-0000-0000E7030000}"/>
    <cellStyle name="Euro 32 3" xfId="255" xr:uid="{00000000-0005-0000-0000-0000E8030000}"/>
    <cellStyle name="Euro 32 3 2" xfId="256" xr:uid="{00000000-0005-0000-0000-0000E9030000}"/>
    <cellStyle name="Euro 32 3 3" xfId="257" xr:uid="{00000000-0005-0000-0000-0000EA030000}"/>
    <cellStyle name="Euro 32 3 3 2" xfId="2208" xr:uid="{00000000-0005-0000-0000-0000EB030000}"/>
    <cellStyle name="Euro 32 3 4" xfId="2207" xr:uid="{00000000-0005-0000-0000-0000EC030000}"/>
    <cellStyle name="Euro 32 4" xfId="258" xr:uid="{00000000-0005-0000-0000-0000ED030000}"/>
    <cellStyle name="Euro 32 4 2" xfId="259" xr:uid="{00000000-0005-0000-0000-0000EE030000}"/>
    <cellStyle name="Euro 32 4 2 2" xfId="2210" xr:uid="{00000000-0005-0000-0000-0000EF030000}"/>
    <cellStyle name="Euro 32 4 3" xfId="2209" xr:uid="{00000000-0005-0000-0000-0000F0030000}"/>
    <cellStyle name="Euro 32 5" xfId="260" xr:uid="{00000000-0005-0000-0000-0000F1030000}"/>
    <cellStyle name="Euro 33" xfId="261" xr:uid="{00000000-0005-0000-0000-0000F2030000}"/>
    <cellStyle name="Euro 33 2" xfId="262" xr:uid="{00000000-0005-0000-0000-0000F3030000}"/>
    <cellStyle name="Euro 33 2 2" xfId="2211" xr:uid="{00000000-0005-0000-0000-0000F4030000}"/>
    <cellStyle name="Euro 33 3" xfId="263" xr:uid="{00000000-0005-0000-0000-0000F5030000}"/>
    <cellStyle name="Euro 33 3 2" xfId="264" xr:uid="{00000000-0005-0000-0000-0000F6030000}"/>
    <cellStyle name="Euro 33 3 3" xfId="265" xr:uid="{00000000-0005-0000-0000-0000F7030000}"/>
    <cellStyle name="Euro 33 3 3 2" xfId="2213" xr:uid="{00000000-0005-0000-0000-0000F8030000}"/>
    <cellStyle name="Euro 33 3 4" xfId="2212" xr:uid="{00000000-0005-0000-0000-0000F9030000}"/>
    <cellStyle name="Euro 33 4" xfId="266" xr:uid="{00000000-0005-0000-0000-0000FA030000}"/>
    <cellStyle name="Euro 33 4 2" xfId="267" xr:uid="{00000000-0005-0000-0000-0000FB030000}"/>
    <cellStyle name="Euro 33 4 2 2" xfId="2215" xr:uid="{00000000-0005-0000-0000-0000FC030000}"/>
    <cellStyle name="Euro 33 4 3" xfId="2214" xr:uid="{00000000-0005-0000-0000-0000FD030000}"/>
    <cellStyle name="Euro 33 5" xfId="268" xr:uid="{00000000-0005-0000-0000-0000FE030000}"/>
    <cellStyle name="Euro 34" xfId="269" xr:uid="{00000000-0005-0000-0000-0000FF030000}"/>
    <cellStyle name="Euro 34 2" xfId="270" xr:uid="{00000000-0005-0000-0000-000000040000}"/>
    <cellStyle name="Euro 34 2 2" xfId="2216" xr:uid="{00000000-0005-0000-0000-000001040000}"/>
    <cellStyle name="Euro 34 3" xfId="271" xr:uid="{00000000-0005-0000-0000-000002040000}"/>
    <cellStyle name="Euro 34 3 2" xfId="272" xr:uid="{00000000-0005-0000-0000-000003040000}"/>
    <cellStyle name="Euro 34 3 3" xfId="273" xr:uid="{00000000-0005-0000-0000-000004040000}"/>
    <cellStyle name="Euro 34 3 3 2" xfId="2218" xr:uid="{00000000-0005-0000-0000-000005040000}"/>
    <cellStyle name="Euro 34 3 4" xfId="2217" xr:uid="{00000000-0005-0000-0000-000006040000}"/>
    <cellStyle name="Euro 34 4" xfId="274" xr:uid="{00000000-0005-0000-0000-000007040000}"/>
    <cellStyle name="Euro 34 4 2" xfId="275" xr:uid="{00000000-0005-0000-0000-000008040000}"/>
    <cellStyle name="Euro 34 4 2 2" xfId="2220" xr:uid="{00000000-0005-0000-0000-000009040000}"/>
    <cellStyle name="Euro 34 4 3" xfId="2219" xr:uid="{00000000-0005-0000-0000-00000A040000}"/>
    <cellStyle name="Euro 34 5" xfId="276" xr:uid="{00000000-0005-0000-0000-00000B040000}"/>
    <cellStyle name="Euro 35" xfId="277" xr:uid="{00000000-0005-0000-0000-00000C040000}"/>
    <cellStyle name="Euro 35 2" xfId="278" xr:uid="{00000000-0005-0000-0000-00000D040000}"/>
    <cellStyle name="Euro 35 2 2" xfId="2221" xr:uid="{00000000-0005-0000-0000-00000E040000}"/>
    <cellStyle name="Euro 35 3" xfId="279" xr:uid="{00000000-0005-0000-0000-00000F040000}"/>
    <cellStyle name="Euro 35 3 2" xfId="280" xr:uid="{00000000-0005-0000-0000-000010040000}"/>
    <cellStyle name="Euro 35 3 3" xfId="281" xr:uid="{00000000-0005-0000-0000-000011040000}"/>
    <cellStyle name="Euro 35 3 3 2" xfId="2223" xr:uid="{00000000-0005-0000-0000-000012040000}"/>
    <cellStyle name="Euro 35 3 4" xfId="2222" xr:uid="{00000000-0005-0000-0000-000013040000}"/>
    <cellStyle name="Euro 35 4" xfId="282" xr:uid="{00000000-0005-0000-0000-000014040000}"/>
    <cellStyle name="Euro 35 4 2" xfId="283" xr:uid="{00000000-0005-0000-0000-000015040000}"/>
    <cellStyle name="Euro 35 4 2 2" xfId="2225" xr:uid="{00000000-0005-0000-0000-000016040000}"/>
    <cellStyle name="Euro 35 4 3" xfId="2224" xr:uid="{00000000-0005-0000-0000-000017040000}"/>
    <cellStyle name="Euro 35 5" xfId="284" xr:uid="{00000000-0005-0000-0000-000018040000}"/>
    <cellStyle name="Euro 36" xfId="285" xr:uid="{00000000-0005-0000-0000-000019040000}"/>
    <cellStyle name="Euro 36 2" xfId="286" xr:uid="{00000000-0005-0000-0000-00001A040000}"/>
    <cellStyle name="Euro 36 2 2" xfId="2226" xr:uid="{00000000-0005-0000-0000-00001B040000}"/>
    <cellStyle name="Euro 36 3" xfId="287" xr:uid="{00000000-0005-0000-0000-00001C040000}"/>
    <cellStyle name="Euro 36 3 2" xfId="288" xr:uid="{00000000-0005-0000-0000-00001D040000}"/>
    <cellStyle name="Euro 36 3 3" xfId="289" xr:uid="{00000000-0005-0000-0000-00001E040000}"/>
    <cellStyle name="Euro 36 3 3 2" xfId="2228" xr:uid="{00000000-0005-0000-0000-00001F040000}"/>
    <cellStyle name="Euro 36 3 4" xfId="2227" xr:uid="{00000000-0005-0000-0000-000020040000}"/>
    <cellStyle name="Euro 36 4" xfId="290" xr:uid="{00000000-0005-0000-0000-000021040000}"/>
    <cellStyle name="Euro 36 4 2" xfId="291" xr:uid="{00000000-0005-0000-0000-000022040000}"/>
    <cellStyle name="Euro 36 4 2 2" xfId="2230" xr:uid="{00000000-0005-0000-0000-000023040000}"/>
    <cellStyle name="Euro 36 4 3" xfId="2229" xr:uid="{00000000-0005-0000-0000-000024040000}"/>
    <cellStyle name="Euro 36 5" xfId="292" xr:uid="{00000000-0005-0000-0000-000025040000}"/>
    <cellStyle name="Euro 37" xfId="293" xr:uid="{00000000-0005-0000-0000-000026040000}"/>
    <cellStyle name="Euro 37 2" xfId="294" xr:uid="{00000000-0005-0000-0000-000027040000}"/>
    <cellStyle name="Euro 37 2 2" xfId="2231" xr:uid="{00000000-0005-0000-0000-000028040000}"/>
    <cellStyle name="Euro 37 3" xfId="295" xr:uid="{00000000-0005-0000-0000-000029040000}"/>
    <cellStyle name="Euro 37 3 2" xfId="296" xr:uid="{00000000-0005-0000-0000-00002A040000}"/>
    <cellStyle name="Euro 37 3 3" xfId="297" xr:uid="{00000000-0005-0000-0000-00002B040000}"/>
    <cellStyle name="Euro 37 3 3 2" xfId="2233" xr:uid="{00000000-0005-0000-0000-00002C040000}"/>
    <cellStyle name="Euro 37 3 4" xfId="2232" xr:uid="{00000000-0005-0000-0000-00002D040000}"/>
    <cellStyle name="Euro 37 4" xfId="298" xr:uid="{00000000-0005-0000-0000-00002E040000}"/>
    <cellStyle name="Euro 37 4 2" xfId="299" xr:uid="{00000000-0005-0000-0000-00002F040000}"/>
    <cellStyle name="Euro 37 4 2 2" xfId="2235" xr:uid="{00000000-0005-0000-0000-000030040000}"/>
    <cellStyle name="Euro 37 4 3" xfId="2234" xr:uid="{00000000-0005-0000-0000-000031040000}"/>
    <cellStyle name="Euro 37 5" xfId="300" xr:uid="{00000000-0005-0000-0000-000032040000}"/>
    <cellStyle name="Euro 38" xfId="301" xr:uid="{00000000-0005-0000-0000-000033040000}"/>
    <cellStyle name="Euro 38 2" xfId="302" xr:uid="{00000000-0005-0000-0000-000034040000}"/>
    <cellStyle name="Euro 38 2 2" xfId="2236" xr:uid="{00000000-0005-0000-0000-000035040000}"/>
    <cellStyle name="Euro 38 3" xfId="303" xr:uid="{00000000-0005-0000-0000-000036040000}"/>
    <cellStyle name="Euro 38 3 2" xfId="304" xr:uid="{00000000-0005-0000-0000-000037040000}"/>
    <cellStyle name="Euro 38 3 3" xfId="305" xr:uid="{00000000-0005-0000-0000-000038040000}"/>
    <cellStyle name="Euro 38 3 3 2" xfId="2238" xr:uid="{00000000-0005-0000-0000-000039040000}"/>
    <cellStyle name="Euro 38 3 4" xfId="2237" xr:uid="{00000000-0005-0000-0000-00003A040000}"/>
    <cellStyle name="Euro 38 4" xfId="306" xr:uid="{00000000-0005-0000-0000-00003B040000}"/>
    <cellStyle name="Euro 38 4 2" xfId="307" xr:uid="{00000000-0005-0000-0000-00003C040000}"/>
    <cellStyle name="Euro 38 4 2 2" xfId="2240" xr:uid="{00000000-0005-0000-0000-00003D040000}"/>
    <cellStyle name="Euro 38 4 3" xfId="2239" xr:uid="{00000000-0005-0000-0000-00003E040000}"/>
    <cellStyle name="Euro 38 5" xfId="308" xr:uid="{00000000-0005-0000-0000-00003F040000}"/>
    <cellStyle name="Euro 39" xfId="309" xr:uid="{00000000-0005-0000-0000-000040040000}"/>
    <cellStyle name="Euro 39 2" xfId="310" xr:uid="{00000000-0005-0000-0000-000041040000}"/>
    <cellStyle name="Euro 39 2 2" xfId="2241" xr:uid="{00000000-0005-0000-0000-000042040000}"/>
    <cellStyle name="Euro 39 3" xfId="311" xr:uid="{00000000-0005-0000-0000-000043040000}"/>
    <cellStyle name="Euro 39 3 2" xfId="312" xr:uid="{00000000-0005-0000-0000-000044040000}"/>
    <cellStyle name="Euro 39 3 3" xfId="313" xr:uid="{00000000-0005-0000-0000-000045040000}"/>
    <cellStyle name="Euro 39 3 3 2" xfId="2243" xr:uid="{00000000-0005-0000-0000-000046040000}"/>
    <cellStyle name="Euro 39 3 4" xfId="2242" xr:uid="{00000000-0005-0000-0000-000047040000}"/>
    <cellStyle name="Euro 39 4" xfId="314" xr:uid="{00000000-0005-0000-0000-000048040000}"/>
    <cellStyle name="Euro 39 4 2" xfId="315" xr:uid="{00000000-0005-0000-0000-000049040000}"/>
    <cellStyle name="Euro 39 4 2 2" xfId="2245" xr:uid="{00000000-0005-0000-0000-00004A040000}"/>
    <cellStyle name="Euro 39 4 3" xfId="2244" xr:uid="{00000000-0005-0000-0000-00004B040000}"/>
    <cellStyle name="Euro 39 5" xfId="316" xr:uid="{00000000-0005-0000-0000-00004C040000}"/>
    <cellStyle name="Euro 4" xfId="317" xr:uid="{00000000-0005-0000-0000-00004D040000}"/>
    <cellStyle name="Euro 4 2" xfId="318" xr:uid="{00000000-0005-0000-0000-00004E040000}"/>
    <cellStyle name="Euro 4 2 2" xfId="2246" xr:uid="{00000000-0005-0000-0000-00004F040000}"/>
    <cellStyle name="Euro 4 3" xfId="319" xr:uid="{00000000-0005-0000-0000-000050040000}"/>
    <cellStyle name="Euro 4 3 2" xfId="320" xr:uid="{00000000-0005-0000-0000-000051040000}"/>
    <cellStyle name="Euro 4 3 3" xfId="321" xr:uid="{00000000-0005-0000-0000-000052040000}"/>
    <cellStyle name="Euro 4 3 3 2" xfId="2248" xr:uid="{00000000-0005-0000-0000-000053040000}"/>
    <cellStyle name="Euro 4 3 4" xfId="2247" xr:uid="{00000000-0005-0000-0000-000054040000}"/>
    <cellStyle name="Euro 4 4" xfId="322" xr:uid="{00000000-0005-0000-0000-000055040000}"/>
    <cellStyle name="Euro 4 4 2" xfId="323" xr:uid="{00000000-0005-0000-0000-000056040000}"/>
    <cellStyle name="Euro 4 4 2 2" xfId="2250" xr:uid="{00000000-0005-0000-0000-000057040000}"/>
    <cellStyle name="Euro 4 4 3" xfId="2249" xr:uid="{00000000-0005-0000-0000-000058040000}"/>
    <cellStyle name="Euro 4 5" xfId="324" xr:uid="{00000000-0005-0000-0000-000059040000}"/>
    <cellStyle name="Euro 40" xfId="325" xr:uid="{00000000-0005-0000-0000-00005A040000}"/>
    <cellStyle name="Euro 40 2" xfId="326" xr:uid="{00000000-0005-0000-0000-00005B040000}"/>
    <cellStyle name="Euro 40 2 2" xfId="2251" xr:uid="{00000000-0005-0000-0000-00005C040000}"/>
    <cellStyle name="Euro 40 3" xfId="327" xr:uid="{00000000-0005-0000-0000-00005D040000}"/>
    <cellStyle name="Euro 40 3 2" xfId="328" xr:uid="{00000000-0005-0000-0000-00005E040000}"/>
    <cellStyle name="Euro 40 3 3" xfId="329" xr:uid="{00000000-0005-0000-0000-00005F040000}"/>
    <cellStyle name="Euro 40 3 3 2" xfId="2253" xr:uid="{00000000-0005-0000-0000-000060040000}"/>
    <cellStyle name="Euro 40 3 4" xfId="2252" xr:uid="{00000000-0005-0000-0000-000061040000}"/>
    <cellStyle name="Euro 40 4" xfId="330" xr:uid="{00000000-0005-0000-0000-000062040000}"/>
    <cellStyle name="Euro 40 4 2" xfId="331" xr:uid="{00000000-0005-0000-0000-000063040000}"/>
    <cellStyle name="Euro 40 4 2 2" xfId="2255" xr:uid="{00000000-0005-0000-0000-000064040000}"/>
    <cellStyle name="Euro 40 4 3" xfId="2254" xr:uid="{00000000-0005-0000-0000-000065040000}"/>
    <cellStyle name="Euro 40 5" xfId="332" xr:uid="{00000000-0005-0000-0000-000066040000}"/>
    <cellStyle name="Euro 41" xfId="333" xr:uid="{00000000-0005-0000-0000-000067040000}"/>
    <cellStyle name="Euro 41 2" xfId="334" xr:uid="{00000000-0005-0000-0000-000068040000}"/>
    <cellStyle name="Euro 41 2 2" xfId="2256" xr:uid="{00000000-0005-0000-0000-000069040000}"/>
    <cellStyle name="Euro 41 3" xfId="335" xr:uid="{00000000-0005-0000-0000-00006A040000}"/>
    <cellStyle name="Euro 41 3 2" xfId="336" xr:uid="{00000000-0005-0000-0000-00006B040000}"/>
    <cellStyle name="Euro 41 3 3" xfId="337" xr:uid="{00000000-0005-0000-0000-00006C040000}"/>
    <cellStyle name="Euro 41 3 3 2" xfId="2258" xr:uid="{00000000-0005-0000-0000-00006D040000}"/>
    <cellStyle name="Euro 41 3 4" xfId="2257" xr:uid="{00000000-0005-0000-0000-00006E040000}"/>
    <cellStyle name="Euro 41 4" xfId="338" xr:uid="{00000000-0005-0000-0000-00006F040000}"/>
    <cellStyle name="Euro 41 4 2" xfId="339" xr:uid="{00000000-0005-0000-0000-000070040000}"/>
    <cellStyle name="Euro 41 4 2 2" xfId="2260" xr:uid="{00000000-0005-0000-0000-000071040000}"/>
    <cellStyle name="Euro 41 4 3" xfId="2259" xr:uid="{00000000-0005-0000-0000-000072040000}"/>
    <cellStyle name="Euro 41 5" xfId="340" xr:uid="{00000000-0005-0000-0000-000073040000}"/>
    <cellStyle name="Euro 42" xfId="341" xr:uid="{00000000-0005-0000-0000-000074040000}"/>
    <cellStyle name="Euro 42 2" xfId="342" xr:uid="{00000000-0005-0000-0000-000075040000}"/>
    <cellStyle name="Euro 42 2 2" xfId="2261" xr:uid="{00000000-0005-0000-0000-000076040000}"/>
    <cellStyle name="Euro 42 3" xfId="343" xr:uid="{00000000-0005-0000-0000-000077040000}"/>
    <cellStyle name="Euro 42 3 2" xfId="344" xr:uid="{00000000-0005-0000-0000-000078040000}"/>
    <cellStyle name="Euro 42 3 3" xfId="345" xr:uid="{00000000-0005-0000-0000-000079040000}"/>
    <cellStyle name="Euro 42 3 3 2" xfId="2263" xr:uid="{00000000-0005-0000-0000-00007A040000}"/>
    <cellStyle name="Euro 42 3 4" xfId="2262" xr:uid="{00000000-0005-0000-0000-00007B040000}"/>
    <cellStyle name="Euro 42 4" xfId="346" xr:uid="{00000000-0005-0000-0000-00007C040000}"/>
    <cellStyle name="Euro 42 4 2" xfId="347" xr:uid="{00000000-0005-0000-0000-00007D040000}"/>
    <cellStyle name="Euro 42 4 2 2" xfId="2265" xr:uid="{00000000-0005-0000-0000-00007E040000}"/>
    <cellStyle name="Euro 42 4 3" xfId="2264" xr:uid="{00000000-0005-0000-0000-00007F040000}"/>
    <cellStyle name="Euro 42 5" xfId="348" xr:uid="{00000000-0005-0000-0000-000080040000}"/>
    <cellStyle name="Euro 43" xfId="349" xr:uid="{00000000-0005-0000-0000-000081040000}"/>
    <cellStyle name="Euro 43 2" xfId="350" xr:uid="{00000000-0005-0000-0000-000082040000}"/>
    <cellStyle name="Euro 43 2 2" xfId="2266" xr:uid="{00000000-0005-0000-0000-000083040000}"/>
    <cellStyle name="Euro 43 3" xfId="351" xr:uid="{00000000-0005-0000-0000-000084040000}"/>
    <cellStyle name="Euro 43 3 2" xfId="352" xr:uid="{00000000-0005-0000-0000-000085040000}"/>
    <cellStyle name="Euro 43 3 3" xfId="353" xr:uid="{00000000-0005-0000-0000-000086040000}"/>
    <cellStyle name="Euro 43 3 3 2" xfId="2268" xr:uid="{00000000-0005-0000-0000-000087040000}"/>
    <cellStyle name="Euro 43 3 4" xfId="2267" xr:uid="{00000000-0005-0000-0000-000088040000}"/>
    <cellStyle name="Euro 43 4" xfId="354" xr:uid="{00000000-0005-0000-0000-000089040000}"/>
    <cellStyle name="Euro 43 4 2" xfId="355" xr:uid="{00000000-0005-0000-0000-00008A040000}"/>
    <cellStyle name="Euro 43 4 2 2" xfId="2270" xr:uid="{00000000-0005-0000-0000-00008B040000}"/>
    <cellStyle name="Euro 43 4 3" xfId="2269" xr:uid="{00000000-0005-0000-0000-00008C040000}"/>
    <cellStyle name="Euro 43 5" xfId="356" xr:uid="{00000000-0005-0000-0000-00008D040000}"/>
    <cellStyle name="Euro 44" xfId="357" xr:uid="{00000000-0005-0000-0000-00008E040000}"/>
    <cellStyle name="Euro 44 2" xfId="358" xr:uid="{00000000-0005-0000-0000-00008F040000}"/>
    <cellStyle name="Euro 44 2 2" xfId="2271" xr:uid="{00000000-0005-0000-0000-000090040000}"/>
    <cellStyle name="Euro 44 3" xfId="359" xr:uid="{00000000-0005-0000-0000-000091040000}"/>
    <cellStyle name="Euro 44 3 2" xfId="360" xr:uid="{00000000-0005-0000-0000-000092040000}"/>
    <cellStyle name="Euro 44 3 3" xfId="361" xr:uid="{00000000-0005-0000-0000-000093040000}"/>
    <cellStyle name="Euro 44 3 3 2" xfId="2273" xr:uid="{00000000-0005-0000-0000-000094040000}"/>
    <cellStyle name="Euro 44 3 4" xfId="2272" xr:uid="{00000000-0005-0000-0000-000095040000}"/>
    <cellStyle name="Euro 44 4" xfId="362" xr:uid="{00000000-0005-0000-0000-000096040000}"/>
    <cellStyle name="Euro 44 4 2" xfId="363" xr:uid="{00000000-0005-0000-0000-000097040000}"/>
    <cellStyle name="Euro 44 4 2 2" xfId="2275" xr:uid="{00000000-0005-0000-0000-000098040000}"/>
    <cellStyle name="Euro 44 4 3" xfId="2274" xr:uid="{00000000-0005-0000-0000-000099040000}"/>
    <cellStyle name="Euro 44 5" xfId="364" xr:uid="{00000000-0005-0000-0000-00009A040000}"/>
    <cellStyle name="Euro 45" xfId="365" xr:uid="{00000000-0005-0000-0000-00009B040000}"/>
    <cellStyle name="Euro 45 2" xfId="366" xr:uid="{00000000-0005-0000-0000-00009C040000}"/>
    <cellStyle name="Euro 45 2 2" xfId="2277" xr:uid="{00000000-0005-0000-0000-00009D040000}"/>
    <cellStyle name="Euro 45 3" xfId="2276" xr:uid="{00000000-0005-0000-0000-00009E040000}"/>
    <cellStyle name="Euro 45 4" xfId="4933" xr:uid="{00000000-0005-0000-0000-00009F040000}"/>
    <cellStyle name="Euro 46" xfId="367" xr:uid="{00000000-0005-0000-0000-0000A0040000}"/>
    <cellStyle name="Euro 46 2" xfId="2278" xr:uid="{00000000-0005-0000-0000-0000A1040000}"/>
    <cellStyle name="Euro 47" xfId="368" xr:uid="{00000000-0005-0000-0000-0000A2040000}"/>
    <cellStyle name="Euro 47 2" xfId="369" xr:uid="{00000000-0005-0000-0000-0000A3040000}"/>
    <cellStyle name="Euro 47 3" xfId="370" xr:uid="{00000000-0005-0000-0000-0000A4040000}"/>
    <cellStyle name="Euro 47 3 2" xfId="2280" xr:uid="{00000000-0005-0000-0000-0000A5040000}"/>
    <cellStyle name="Euro 47 4" xfId="2279" xr:uid="{00000000-0005-0000-0000-0000A6040000}"/>
    <cellStyle name="Euro 48" xfId="371" xr:uid="{00000000-0005-0000-0000-0000A7040000}"/>
    <cellStyle name="Euro 48 2" xfId="2281" xr:uid="{00000000-0005-0000-0000-0000A8040000}"/>
    <cellStyle name="Euro 49" xfId="372" xr:uid="{00000000-0005-0000-0000-0000A9040000}"/>
    <cellStyle name="Euro 49 2" xfId="373" xr:uid="{00000000-0005-0000-0000-0000AA040000}"/>
    <cellStyle name="Euro 49 2 2" xfId="2283" xr:uid="{00000000-0005-0000-0000-0000AB040000}"/>
    <cellStyle name="Euro 49 3" xfId="2282" xr:uid="{00000000-0005-0000-0000-0000AC040000}"/>
    <cellStyle name="Euro 5" xfId="374" xr:uid="{00000000-0005-0000-0000-0000AD040000}"/>
    <cellStyle name="Euro 5 2" xfId="375" xr:uid="{00000000-0005-0000-0000-0000AE040000}"/>
    <cellStyle name="Euro 5 2 2" xfId="2284" xr:uid="{00000000-0005-0000-0000-0000AF040000}"/>
    <cellStyle name="Euro 5 3" xfId="376" xr:uid="{00000000-0005-0000-0000-0000B0040000}"/>
    <cellStyle name="Euro 5 3 2" xfId="377" xr:uid="{00000000-0005-0000-0000-0000B1040000}"/>
    <cellStyle name="Euro 5 3 3" xfId="378" xr:uid="{00000000-0005-0000-0000-0000B2040000}"/>
    <cellStyle name="Euro 5 3 3 2" xfId="2286" xr:uid="{00000000-0005-0000-0000-0000B3040000}"/>
    <cellStyle name="Euro 5 3 4" xfId="2285" xr:uid="{00000000-0005-0000-0000-0000B4040000}"/>
    <cellStyle name="Euro 5 4" xfId="379" xr:uid="{00000000-0005-0000-0000-0000B5040000}"/>
    <cellStyle name="Euro 5 4 2" xfId="380" xr:uid="{00000000-0005-0000-0000-0000B6040000}"/>
    <cellStyle name="Euro 5 4 2 2" xfId="2288" xr:uid="{00000000-0005-0000-0000-0000B7040000}"/>
    <cellStyle name="Euro 5 4 3" xfId="2287" xr:uid="{00000000-0005-0000-0000-0000B8040000}"/>
    <cellStyle name="Euro 5 5" xfId="381" xr:uid="{00000000-0005-0000-0000-0000B9040000}"/>
    <cellStyle name="Euro 50" xfId="382" xr:uid="{00000000-0005-0000-0000-0000BA040000}"/>
    <cellStyle name="Euro 51" xfId="383" xr:uid="{00000000-0005-0000-0000-0000BB040000}"/>
    <cellStyle name="Euro 51 2" xfId="2289" xr:uid="{00000000-0005-0000-0000-0000BC040000}"/>
    <cellStyle name="Euro 6" xfId="384" xr:uid="{00000000-0005-0000-0000-0000BD040000}"/>
    <cellStyle name="Euro 6 2" xfId="385" xr:uid="{00000000-0005-0000-0000-0000BE040000}"/>
    <cellStyle name="Euro 6 2 2" xfId="2290" xr:uid="{00000000-0005-0000-0000-0000BF040000}"/>
    <cellStyle name="Euro 6 3" xfId="386" xr:uid="{00000000-0005-0000-0000-0000C0040000}"/>
    <cellStyle name="Euro 6 3 2" xfId="387" xr:uid="{00000000-0005-0000-0000-0000C1040000}"/>
    <cellStyle name="Euro 6 3 3" xfId="388" xr:uid="{00000000-0005-0000-0000-0000C2040000}"/>
    <cellStyle name="Euro 6 3 3 2" xfId="2292" xr:uid="{00000000-0005-0000-0000-0000C3040000}"/>
    <cellStyle name="Euro 6 3 4" xfId="2291" xr:uid="{00000000-0005-0000-0000-0000C4040000}"/>
    <cellStyle name="Euro 6 4" xfId="389" xr:uid="{00000000-0005-0000-0000-0000C5040000}"/>
    <cellStyle name="Euro 6 4 2" xfId="390" xr:uid="{00000000-0005-0000-0000-0000C6040000}"/>
    <cellStyle name="Euro 6 4 2 2" xfId="2294" xr:uid="{00000000-0005-0000-0000-0000C7040000}"/>
    <cellStyle name="Euro 6 4 3" xfId="2293" xr:uid="{00000000-0005-0000-0000-0000C8040000}"/>
    <cellStyle name="Euro 6 5" xfId="391" xr:uid="{00000000-0005-0000-0000-0000C9040000}"/>
    <cellStyle name="Euro 7" xfId="392" xr:uid="{00000000-0005-0000-0000-0000CA040000}"/>
    <cellStyle name="Euro 7 2" xfId="393" xr:uid="{00000000-0005-0000-0000-0000CB040000}"/>
    <cellStyle name="Euro 7 2 2" xfId="2295" xr:uid="{00000000-0005-0000-0000-0000CC040000}"/>
    <cellStyle name="Euro 7 3" xfId="394" xr:uid="{00000000-0005-0000-0000-0000CD040000}"/>
    <cellStyle name="Euro 7 3 2" xfId="395" xr:uid="{00000000-0005-0000-0000-0000CE040000}"/>
    <cellStyle name="Euro 7 3 3" xfId="396" xr:uid="{00000000-0005-0000-0000-0000CF040000}"/>
    <cellStyle name="Euro 7 3 3 2" xfId="2297" xr:uid="{00000000-0005-0000-0000-0000D0040000}"/>
    <cellStyle name="Euro 7 3 4" xfId="2296" xr:uid="{00000000-0005-0000-0000-0000D1040000}"/>
    <cellStyle name="Euro 7 4" xfId="397" xr:uid="{00000000-0005-0000-0000-0000D2040000}"/>
    <cellStyle name="Euro 7 4 2" xfId="398" xr:uid="{00000000-0005-0000-0000-0000D3040000}"/>
    <cellStyle name="Euro 7 4 2 2" xfId="2299" xr:uid="{00000000-0005-0000-0000-0000D4040000}"/>
    <cellStyle name="Euro 7 4 3" xfId="2298" xr:uid="{00000000-0005-0000-0000-0000D5040000}"/>
    <cellStyle name="Euro 7 5" xfId="399" xr:uid="{00000000-0005-0000-0000-0000D6040000}"/>
    <cellStyle name="Euro 8" xfId="400" xr:uid="{00000000-0005-0000-0000-0000D7040000}"/>
    <cellStyle name="Euro 8 2" xfId="401" xr:uid="{00000000-0005-0000-0000-0000D8040000}"/>
    <cellStyle name="Euro 8 2 2" xfId="2300" xr:uid="{00000000-0005-0000-0000-0000D9040000}"/>
    <cellStyle name="Euro 8 3" xfId="402" xr:uid="{00000000-0005-0000-0000-0000DA040000}"/>
    <cellStyle name="Euro 8 3 2" xfId="403" xr:uid="{00000000-0005-0000-0000-0000DB040000}"/>
    <cellStyle name="Euro 8 3 3" xfId="404" xr:uid="{00000000-0005-0000-0000-0000DC040000}"/>
    <cellStyle name="Euro 8 3 3 2" xfId="2302" xr:uid="{00000000-0005-0000-0000-0000DD040000}"/>
    <cellStyle name="Euro 8 3 4" xfId="2301" xr:uid="{00000000-0005-0000-0000-0000DE040000}"/>
    <cellStyle name="Euro 8 4" xfId="405" xr:uid="{00000000-0005-0000-0000-0000DF040000}"/>
    <cellStyle name="Euro 8 4 2" xfId="406" xr:uid="{00000000-0005-0000-0000-0000E0040000}"/>
    <cellStyle name="Euro 8 4 2 2" xfId="2304" xr:uid="{00000000-0005-0000-0000-0000E1040000}"/>
    <cellStyle name="Euro 8 4 3" xfId="2303" xr:uid="{00000000-0005-0000-0000-0000E2040000}"/>
    <cellStyle name="Euro 8 5" xfId="407" xr:uid="{00000000-0005-0000-0000-0000E3040000}"/>
    <cellStyle name="Euro 9" xfId="408" xr:uid="{00000000-0005-0000-0000-0000E4040000}"/>
    <cellStyle name="Euro 9 2" xfId="409" xr:uid="{00000000-0005-0000-0000-0000E5040000}"/>
    <cellStyle name="Euro 9 2 2" xfId="2305" xr:uid="{00000000-0005-0000-0000-0000E6040000}"/>
    <cellStyle name="Euro 9 3" xfId="410" xr:uid="{00000000-0005-0000-0000-0000E7040000}"/>
    <cellStyle name="Euro 9 3 2" xfId="411" xr:uid="{00000000-0005-0000-0000-0000E8040000}"/>
    <cellStyle name="Euro 9 3 3" xfId="412" xr:uid="{00000000-0005-0000-0000-0000E9040000}"/>
    <cellStyle name="Euro 9 3 3 2" xfId="2307" xr:uid="{00000000-0005-0000-0000-0000EA040000}"/>
    <cellStyle name="Euro 9 3 4" xfId="2306" xr:uid="{00000000-0005-0000-0000-0000EB040000}"/>
    <cellStyle name="Euro 9 4" xfId="413" xr:uid="{00000000-0005-0000-0000-0000EC040000}"/>
    <cellStyle name="Euro 9 4 2" xfId="414" xr:uid="{00000000-0005-0000-0000-0000ED040000}"/>
    <cellStyle name="Euro 9 4 2 2" xfId="2309" xr:uid="{00000000-0005-0000-0000-0000EE040000}"/>
    <cellStyle name="Euro 9 4 3" xfId="2308" xr:uid="{00000000-0005-0000-0000-0000EF040000}"/>
    <cellStyle name="Euro 9 5" xfId="415" xr:uid="{00000000-0005-0000-0000-0000F0040000}"/>
    <cellStyle name="Explanatory Text" xfId="3336" builtinId="53" customBuiltin="1"/>
    <cellStyle name="Explanatory Text 2" xfId="3437" xr:uid="{00000000-0005-0000-0000-0000F2040000}"/>
    <cellStyle name="Fixed2 - Type2" xfId="416" xr:uid="{00000000-0005-0000-0000-0000F3040000}"/>
    <cellStyle name="Good" xfId="417" builtinId="26" customBuiltin="1"/>
    <cellStyle name="Good 2" xfId="3438" xr:uid="{00000000-0005-0000-0000-0000F5040000}"/>
    <cellStyle name="Heading 1" xfId="418" builtinId="16"/>
    <cellStyle name="Heading 1 2" xfId="3439" xr:uid="{00000000-0005-0000-0000-0000F7040000}"/>
    <cellStyle name="Heading 2" xfId="419" builtinId="17"/>
    <cellStyle name="Heading 2 2" xfId="3440" xr:uid="{00000000-0005-0000-0000-0000F9040000}"/>
    <cellStyle name="Heading 3 2" xfId="3441" xr:uid="{00000000-0005-0000-0000-0000FA040000}"/>
    <cellStyle name="Heading 3 2 2" xfId="7994" xr:uid="{83B77BEC-98BC-4B54-8C65-A69A043BB399}"/>
    <cellStyle name="Heading 4" xfId="420" builtinId="19"/>
    <cellStyle name="Heading 4 2" xfId="3442" xr:uid="{00000000-0005-0000-0000-0000FC040000}"/>
    <cellStyle name="Hyperlink 2" xfId="421" xr:uid="{00000000-0005-0000-0000-0000FD040000}"/>
    <cellStyle name="Hyperlink 2 2" xfId="3443" xr:uid="{00000000-0005-0000-0000-0000FE040000}"/>
    <cellStyle name="Hyperlink 3" xfId="3444" xr:uid="{00000000-0005-0000-0000-0000FF040000}"/>
    <cellStyle name="Input" xfId="422" builtinId="20" customBuiltin="1"/>
    <cellStyle name="Input 2" xfId="423" xr:uid="{00000000-0005-0000-0000-000001050000}"/>
    <cellStyle name="Input 2 2" xfId="3521" xr:uid="{00000000-0005-0000-0000-000002050000}"/>
    <cellStyle name="Input 2 2 2" xfId="8049" xr:uid="{5A8DD4B5-1B0A-4F36-A9B9-42F1388C08A1}"/>
    <cellStyle name="Input 2 3" xfId="7901" xr:uid="{A0E5E462-244C-40B4-B946-590DCEFFCBE0}"/>
    <cellStyle name="Input 3" xfId="424" xr:uid="{00000000-0005-0000-0000-000003050000}"/>
    <cellStyle name="Input 4" xfId="7900" xr:uid="{E1BAD2EB-D9CD-4A6D-8114-7A3D5A61B5E7}"/>
    <cellStyle name="InputCells" xfId="425" xr:uid="{00000000-0005-0000-0000-000004050000}"/>
    <cellStyle name="Komma 10" xfId="3501" xr:uid="{00000000-0005-0000-0000-000005050000}"/>
    <cellStyle name="Komma 10 2" xfId="4151" xr:uid="{00000000-0005-0000-0000-000006050000}"/>
    <cellStyle name="Komma 10 2 2" xfId="7319" xr:uid="{00000000-0005-0000-0000-000007050000}"/>
    <cellStyle name="Komma 10 2 2 2" xfId="9987" xr:uid="{72A36C73-A05E-47DD-9458-E43A277DC7C9}"/>
    <cellStyle name="Komma 10 2 3" xfId="8656" xr:uid="{9276BB71-C35C-4B15-A63C-5B30BCB07985}"/>
    <cellStyle name="Komma 10 3" xfId="6708" xr:uid="{00000000-0005-0000-0000-000008050000}"/>
    <cellStyle name="Komma 10 3 2" xfId="9376" xr:uid="{4DC3D95F-DED6-4D4C-A07A-576733DAAE81}"/>
    <cellStyle name="Komma 10 4" xfId="8040" xr:uid="{84CB0A08-69C5-48B1-A6FC-C21566A97F59}"/>
    <cellStyle name="Komma 11" xfId="3370" xr:uid="{00000000-0005-0000-0000-000009050000}"/>
    <cellStyle name="Komma 2" xfId="426" xr:uid="{00000000-0005-0000-0000-00000A050000}"/>
    <cellStyle name="Komma 2 2" xfId="427" xr:uid="{00000000-0005-0000-0000-00000B050000}"/>
    <cellStyle name="Komma 2 2 2" xfId="3283" xr:uid="{00000000-0005-0000-0000-00000C050000}"/>
    <cellStyle name="Komma 2 2 3" xfId="3504" xr:uid="{00000000-0005-0000-0000-00000D050000}"/>
    <cellStyle name="Komma 2 3" xfId="3315" xr:uid="{00000000-0005-0000-0000-00000E050000}"/>
    <cellStyle name="Komma 2 3 2" xfId="3629" xr:uid="{00000000-0005-0000-0000-00000F050000}"/>
    <cellStyle name="Komma 2 3 3" xfId="4934" xr:uid="{00000000-0005-0000-0000-000010050000}"/>
    <cellStyle name="Komma 2 3 4" xfId="6624" xr:uid="{00000000-0005-0000-0000-000011050000}"/>
    <cellStyle name="Komma 2 3 4 2" xfId="9301" xr:uid="{44F3447A-A686-40C3-957F-B29ED63DCAA2}"/>
    <cellStyle name="Komma 2 3 5" xfId="7961" xr:uid="{78D961D2-9052-4663-8E5B-F278419289A3}"/>
    <cellStyle name="Komma 2 4" xfId="3282" xr:uid="{00000000-0005-0000-0000-000012050000}"/>
    <cellStyle name="Komma 2 4 2" xfId="4154" xr:uid="{00000000-0005-0000-0000-000013050000}"/>
    <cellStyle name="Komma 2 4 2 2" xfId="7322" xr:uid="{00000000-0005-0000-0000-000014050000}"/>
    <cellStyle name="Komma 2 4 2 2 2" xfId="9990" xr:uid="{ADECA9AF-129A-4D57-B656-9ACDA4A2706E}"/>
    <cellStyle name="Komma 2 4 2 3" xfId="8659" xr:uid="{C748C9A1-91F0-4282-B56A-D9F82E14432A}"/>
    <cellStyle name="Komma 2 4 3" xfId="3513" xr:uid="{00000000-0005-0000-0000-000015050000}"/>
    <cellStyle name="Komma 2 4 3 2" xfId="6711" xr:uid="{00000000-0005-0000-0000-000016050000}"/>
    <cellStyle name="Komma 2 4 3 2 2" xfId="9379" xr:uid="{DA0A5EED-003E-43FF-B535-00715A88634D}"/>
    <cellStyle name="Komma 2 4 3 3" xfId="8043" xr:uid="{BA63A4B2-5803-4186-8302-E91BCED9D1A9}"/>
    <cellStyle name="Komma 2 5" xfId="3388" xr:uid="{00000000-0005-0000-0000-000017050000}"/>
    <cellStyle name="Komma 2 6" xfId="4863" xr:uid="{00000000-0005-0000-0000-000018050000}"/>
    <cellStyle name="Komma 2 6 2" xfId="9237" xr:uid="{7AC28558-F9CF-4B05-8861-40FA29A4D395}"/>
    <cellStyle name="Komma 3" xfId="428" xr:uid="{00000000-0005-0000-0000-000019050000}"/>
    <cellStyle name="Komma 3 10" xfId="3386" xr:uid="{00000000-0005-0000-0000-00001A050000}"/>
    <cellStyle name="Komma 3 10 2" xfId="6654" xr:uid="{00000000-0005-0000-0000-00001B050000}"/>
    <cellStyle name="Komma 3 10 2 2" xfId="9330" xr:uid="{0EE17099-49E0-49B7-88A9-898378CFEB58}"/>
    <cellStyle name="Komma 3 10 3" xfId="7990" xr:uid="{C52BFABD-CDB4-40E9-A78A-A5C9956BDA93}"/>
    <cellStyle name="Komma 3 11" xfId="4864" xr:uid="{00000000-0005-0000-0000-00001C050000}"/>
    <cellStyle name="Komma 3 12" xfId="5682" xr:uid="{00000000-0005-0000-0000-00001D050000}"/>
    <cellStyle name="Komma 3 2" xfId="429" xr:uid="{00000000-0005-0000-0000-00001E050000}"/>
    <cellStyle name="Komma 3 2 2" xfId="3478" xr:uid="{00000000-0005-0000-0000-00001F050000}"/>
    <cellStyle name="Komma 3 2 2 2" xfId="3632" xr:uid="{00000000-0005-0000-0000-000020050000}"/>
    <cellStyle name="Komma 3 2 2 2 2" xfId="4269" xr:uid="{00000000-0005-0000-0000-000021050000}"/>
    <cellStyle name="Komma 3 2 2 2 2 2" xfId="7437" xr:uid="{00000000-0005-0000-0000-000022050000}"/>
    <cellStyle name="Komma 3 2 2 2 2 2 2" xfId="10105" xr:uid="{3E4ACD76-1795-41FA-83C3-EC1D8AEFE971}"/>
    <cellStyle name="Komma 3 2 2 2 2 3" xfId="8774" xr:uid="{5A84032D-DE25-4FBA-A5C1-17EBDFA73595}"/>
    <cellStyle name="Komma 3 2 2 2 3" xfId="6814" xr:uid="{00000000-0005-0000-0000-000023050000}"/>
    <cellStyle name="Komma 3 2 2 2 3 2" xfId="9482" xr:uid="{CA98AA74-4DD5-4D02-B5A5-F2C6DD0B7C12}"/>
    <cellStyle name="Komma 3 2 2 2 4" xfId="8151" xr:uid="{2AC97264-F628-4D2B-88F7-125D9B7631D2}"/>
    <cellStyle name="Komma 3 2 2 3" xfId="4129" xr:uid="{00000000-0005-0000-0000-000024050000}"/>
    <cellStyle name="Komma 3 2 2 3 2" xfId="7297" xr:uid="{00000000-0005-0000-0000-000025050000}"/>
    <cellStyle name="Komma 3 2 2 3 2 2" xfId="9965" xr:uid="{CEA30238-2CA4-4E20-BD9E-C25A888E2E0E}"/>
    <cellStyle name="Komma 3 2 2 3 3" xfId="8634" xr:uid="{F18D9D63-2A4A-4C94-9F45-DAB0913A860D}"/>
    <cellStyle name="Komma 3 2 2 4" xfId="6686" xr:uid="{00000000-0005-0000-0000-000026050000}"/>
    <cellStyle name="Komma 3 2 2 4 2" xfId="9354" xr:uid="{273FF426-01EF-4650-9A34-648C7846AE32}"/>
    <cellStyle name="Komma 3 2 2 5" xfId="8018" xr:uid="{8B5355A7-07DB-4AA9-9CD6-880A86AD66B8}"/>
    <cellStyle name="Komma 3 2 3" xfId="3494" xr:uid="{00000000-0005-0000-0000-000027050000}"/>
    <cellStyle name="Komma 3 2 3 2" xfId="3633" xr:uid="{00000000-0005-0000-0000-000028050000}"/>
    <cellStyle name="Komma 3 2 3 2 2" xfId="4270" xr:uid="{00000000-0005-0000-0000-000029050000}"/>
    <cellStyle name="Komma 3 2 3 2 2 2" xfId="7438" xr:uid="{00000000-0005-0000-0000-00002A050000}"/>
    <cellStyle name="Komma 3 2 3 2 2 2 2" xfId="10106" xr:uid="{D1469034-2528-4A8E-B881-1911B39448FB}"/>
    <cellStyle name="Komma 3 2 3 2 2 3" xfId="8775" xr:uid="{5295AD7C-9337-4579-BCFE-D5C4DEF9363B}"/>
    <cellStyle name="Komma 3 2 3 2 3" xfId="6815" xr:uid="{00000000-0005-0000-0000-00002B050000}"/>
    <cellStyle name="Komma 3 2 3 2 3 2" xfId="9483" xr:uid="{28112547-A7F1-414B-AE92-53ED54FD64FA}"/>
    <cellStyle name="Komma 3 2 3 2 4" xfId="8152" xr:uid="{851EEA13-020B-4FC4-AE2B-6E6317DBE640}"/>
    <cellStyle name="Komma 3 2 3 3" xfId="4145" xr:uid="{00000000-0005-0000-0000-00002C050000}"/>
    <cellStyle name="Komma 3 2 3 3 2" xfId="7313" xr:uid="{00000000-0005-0000-0000-00002D050000}"/>
    <cellStyle name="Komma 3 2 3 3 2 2" xfId="9981" xr:uid="{C9F0A08F-CFBE-4332-9438-EFF13258D026}"/>
    <cellStyle name="Komma 3 2 3 3 3" xfId="8650" xr:uid="{C9916E4D-E43B-4850-9D33-D1567CD37BE6}"/>
    <cellStyle name="Komma 3 2 3 4" xfId="6702" xr:uid="{00000000-0005-0000-0000-00002E050000}"/>
    <cellStyle name="Komma 3 2 3 4 2" xfId="9370" xr:uid="{3C4615CF-4943-42EF-9F4F-DFFA2B3C4852}"/>
    <cellStyle name="Komma 3 2 3 5" xfId="8034" xr:uid="{E5D7DBF4-6D33-4B31-AB9F-DC29498C4E30}"/>
    <cellStyle name="Komma 3 2 4" xfId="3631" xr:uid="{00000000-0005-0000-0000-00002F050000}"/>
    <cellStyle name="Komma 3 2 4 2" xfId="4268" xr:uid="{00000000-0005-0000-0000-000030050000}"/>
    <cellStyle name="Komma 3 2 4 2 2" xfId="7436" xr:uid="{00000000-0005-0000-0000-000031050000}"/>
    <cellStyle name="Komma 3 2 4 2 2 2" xfId="10104" xr:uid="{4EA18562-0954-43D5-9B4C-35E4B08CBEDC}"/>
    <cellStyle name="Komma 3 2 4 2 3" xfId="8773" xr:uid="{09BA7A26-A2C0-4A9E-A3A6-DCA68AE78D9F}"/>
    <cellStyle name="Komma 3 2 4 3" xfId="6813" xr:uid="{00000000-0005-0000-0000-000032050000}"/>
    <cellStyle name="Komma 3 2 4 3 2" xfId="9481" xr:uid="{38D4AED4-AD58-4C18-8924-E644CF299960}"/>
    <cellStyle name="Komma 3 2 4 4" xfId="8150" xr:uid="{1159E106-3E3F-4EBA-9B75-09A821DA733B}"/>
    <cellStyle name="Komma 3 2 5" xfId="4113" xr:uid="{00000000-0005-0000-0000-000033050000}"/>
    <cellStyle name="Komma 3 2 5 2" xfId="7281" xr:uid="{00000000-0005-0000-0000-000034050000}"/>
    <cellStyle name="Komma 3 2 5 2 2" xfId="9949" xr:uid="{C20E325C-EFD5-4C0E-A3EC-46C9D1DE2963}"/>
    <cellStyle name="Komma 3 2 5 3" xfId="8618" xr:uid="{458AAF73-E18E-44FE-B4D8-1F807FC42946}"/>
    <cellStyle name="Komma 3 2 6" xfId="3462" xr:uid="{00000000-0005-0000-0000-000035050000}"/>
    <cellStyle name="Komma 3 2 6 2" xfId="6670" xr:uid="{00000000-0005-0000-0000-000036050000}"/>
    <cellStyle name="Komma 3 2 6 2 2" xfId="9338" xr:uid="{1E62242C-E490-41FE-B0C9-1A51A64471A4}"/>
    <cellStyle name="Komma 3 2 6 3" xfId="8002" xr:uid="{FAA3CB0E-DA8B-4469-855C-6BAFCFD99DD6}"/>
    <cellStyle name="Komma 3 2 7" xfId="4936" xr:uid="{00000000-0005-0000-0000-000037050000}"/>
    <cellStyle name="Komma 3 2 8" xfId="5683" xr:uid="{00000000-0005-0000-0000-000038050000}"/>
    <cellStyle name="Komma 3 3" xfId="3470" xr:uid="{00000000-0005-0000-0000-000039050000}"/>
    <cellStyle name="Komma 3 3 2" xfId="3634" xr:uid="{00000000-0005-0000-0000-00003A050000}"/>
    <cellStyle name="Komma 3 3 2 2" xfId="4271" xr:uid="{00000000-0005-0000-0000-00003B050000}"/>
    <cellStyle name="Komma 3 3 2 2 2" xfId="7439" xr:uid="{00000000-0005-0000-0000-00003C050000}"/>
    <cellStyle name="Komma 3 3 2 2 2 2" xfId="10107" xr:uid="{801C1622-E8B5-4134-A136-6762F9E8EA1F}"/>
    <cellStyle name="Komma 3 3 2 2 3" xfId="8776" xr:uid="{B8F5805D-012B-467F-B324-20812509D387}"/>
    <cellStyle name="Komma 3 3 2 3" xfId="6816" xr:uid="{00000000-0005-0000-0000-00003D050000}"/>
    <cellStyle name="Komma 3 3 2 3 2" xfId="9484" xr:uid="{A5FF786A-E770-472D-891B-820868E23774}"/>
    <cellStyle name="Komma 3 3 2 4" xfId="8153" xr:uid="{42B78AFA-CBD0-4D26-AB88-C0037A13050C}"/>
    <cellStyle name="Komma 3 3 3" xfId="4121" xr:uid="{00000000-0005-0000-0000-00003E050000}"/>
    <cellStyle name="Komma 3 3 3 2" xfId="7289" xr:uid="{00000000-0005-0000-0000-00003F050000}"/>
    <cellStyle name="Komma 3 3 3 2 2" xfId="9957" xr:uid="{A14EC65F-97C7-447E-B3A5-41DE9C67104C}"/>
    <cellStyle name="Komma 3 3 3 3" xfId="8626" xr:uid="{493A7B58-0754-4AEC-97C2-9F7479C4FECA}"/>
    <cellStyle name="Komma 3 3 4" xfId="4935" xr:uid="{00000000-0005-0000-0000-000040050000}"/>
    <cellStyle name="Komma 3 3 5" xfId="6678" xr:uid="{00000000-0005-0000-0000-000041050000}"/>
    <cellStyle name="Komma 3 3 5 2" xfId="9346" xr:uid="{238ADF21-FAA8-4C2D-8884-8910F77468BA}"/>
    <cellStyle name="Komma 3 3 6" xfId="8010" xr:uid="{C1887562-C89D-4985-9C85-5370406B3619}"/>
    <cellStyle name="Komma 3 4" xfId="3486" xr:uid="{00000000-0005-0000-0000-000042050000}"/>
    <cellStyle name="Komma 3 4 2" xfId="3635" xr:uid="{00000000-0005-0000-0000-000043050000}"/>
    <cellStyle name="Komma 3 4 2 2" xfId="4272" xr:uid="{00000000-0005-0000-0000-000044050000}"/>
    <cellStyle name="Komma 3 4 2 2 2" xfId="7440" xr:uid="{00000000-0005-0000-0000-000045050000}"/>
    <cellStyle name="Komma 3 4 2 2 2 2" xfId="10108" xr:uid="{CDF076E2-985E-4D9C-8152-7E995173447A}"/>
    <cellStyle name="Komma 3 4 2 2 3" xfId="8777" xr:uid="{6A01BCDE-1F7B-4554-BD09-F2F11A4D5367}"/>
    <cellStyle name="Komma 3 4 2 3" xfId="6817" xr:uid="{00000000-0005-0000-0000-000046050000}"/>
    <cellStyle name="Komma 3 4 2 3 2" xfId="9485" xr:uid="{4E8C3118-BE7F-45D7-AFAD-09AF4F9E6858}"/>
    <cellStyle name="Komma 3 4 2 4" xfId="8154" xr:uid="{3B88F174-A624-40A8-8528-37BE5A5C5A2B}"/>
    <cellStyle name="Komma 3 4 3" xfId="4137" xr:uid="{00000000-0005-0000-0000-000047050000}"/>
    <cellStyle name="Komma 3 4 3 2" xfId="7305" xr:uid="{00000000-0005-0000-0000-000048050000}"/>
    <cellStyle name="Komma 3 4 3 2 2" xfId="9973" xr:uid="{B4F3818C-B725-4F38-80BF-F6077F9D1BED}"/>
    <cellStyle name="Komma 3 4 3 3" xfId="8642" xr:uid="{E9E1EE7D-9B3E-4088-9981-8B177EF3E671}"/>
    <cellStyle name="Komma 3 4 4" xfId="6694" xr:uid="{00000000-0005-0000-0000-000049050000}"/>
    <cellStyle name="Komma 3 4 4 2" xfId="9362" xr:uid="{5DEEA119-E861-4D12-999F-AE3D2BFE139E}"/>
    <cellStyle name="Komma 3 4 5" xfId="8026" xr:uid="{770FE45C-2722-4956-A4EC-5E85D3F858C5}"/>
    <cellStyle name="Komma 3 5" xfId="3636" xr:uid="{00000000-0005-0000-0000-00004A050000}"/>
    <cellStyle name="Komma 3 5 2" xfId="4273" xr:uid="{00000000-0005-0000-0000-00004B050000}"/>
    <cellStyle name="Komma 3 5 2 2" xfId="7441" xr:uid="{00000000-0005-0000-0000-00004C050000}"/>
    <cellStyle name="Komma 3 5 2 2 2" xfId="10109" xr:uid="{CC11D451-6610-45ED-BD32-78F53650CFFE}"/>
    <cellStyle name="Komma 3 5 2 3" xfId="8778" xr:uid="{5B51F7D2-D24D-4BCF-A9D8-8F7454E317C4}"/>
    <cellStyle name="Komma 3 5 3" xfId="6818" xr:uid="{00000000-0005-0000-0000-00004D050000}"/>
    <cellStyle name="Komma 3 5 3 2" xfId="9486" xr:uid="{EB26CE0E-6327-494D-800B-96717BEDF8CE}"/>
    <cellStyle name="Komma 3 5 4" xfId="8155" xr:uid="{F9BA81C3-366A-4A71-8B62-FD410F448F3A}"/>
    <cellStyle name="Komma 3 6" xfId="3637" xr:uid="{00000000-0005-0000-0000-00004E050000}"/>
    <cellStyle name="Komma 3 7" xfId="3630" xr:uid="{00000000-0005-0000-0000-00004F050000}"/>
    <cellStyle name="Komma 3 7 2" xfId="4267" xr:uid="{00000000-0005-0000-0000-000050050000}"/>
    <cellStyle name="Komma 3 7 2 2" xfId="7435" xr:uid="{00000000-0005-0000-0000-000051050000}"/>
    <cellStyle name="Komma 3 7 2 2 2" xfId="10103" xr:uid="{08DF7636-C139-468F-99EC-01C1EFE08AB7}"/>
    <cellStyle name="Komma 3 7 2 3" xfId="8772" xr:uid="{FF5D7B75-2C54-4352-A470-CA59A8F5F21D}"/>
    <cellStyle name="Komma 3 7 3" xfId="6812" xr:uid="{00000000-0005-0000-0000-000052050000}"/>
    <cellStyle name="Komma 3 7 3 2" xfId="9480" xr:uid="{7B4CDF58-0D8D-415D-BAF9-3BD87614BC8A}"/>
    <cellStyle name="Komma 3 7 4" xfId="8149" xr:uid="{3943E79C-2FF2-4F90-A872-9E2E082A9E80}"/>
    <cellStyle name="Komma 3 8" xfId="3507" xr:uid="{00000000-0005-0000-0000-000053050000}"/>
    <cellStyle name="Komma 3 9" xfId="4105" xr:uid="{00000000-0005-0000-0000-000054050000}"/>
    <cellStyle name="Komma 3 9 2" xfId="7273" xr:uid="{00000000-0005-0000-0000-000055050000}"/>
    <cellStyle name="Komma 3 9 2 2" xfId="9941" xr:uid="{CA8328AA-E4C8-4F35-B749-C2776A831D4A}"/>
    <cellStyle name="Komma 3 9 3" xfId="8610" xr:uid="{D20D5914-3E30-4936-8C94-DEB746E0750D}"/>
    <cellStyle name="Komma 4" xfId="430" xr:uid="{00000000-0005-0000-0000-000056050000}"/>
    <cellStyle name="Komma 4 10" xfId="5684" xr:uid="{00000000-0005-0000-0000-000057050000}"/>
    <cellStyle name="Komma 4 10 2" xfId="9260" xr:uid="{066FF9A2-4289-4889-B025-644DD924E55E}"/>
    <cellStyle name="Komma 4 11" xfId="7902" xr:uid="{98563DA2-3ED6-4EC9-A1E9-739FBD91F22C}"/>
    <cellStyle name="Komma 4 2" xfId="2310" xr:uid="{00000000-0005-0000-0000-000058050000}"/>
    <cellStyle name="Komma 4 2 2" xfId="3303" xr:uid="{00000000-0005-0000-0000-000059050000}"/>
    <cellStyle name="Komma 4 2 2 2" xfId="4276" xr:uid="{00000000-0005-0000-0000-00005A050000}"/>
    <cellStyle name="Komma 4 2 2 2 2" xfId="7444" xr:uid="{00000000-0005-0000-0000-00005B050000}"/>
    <cellStyle name="Komma 4 2 2 2 2 2" xfId="10112" xr:uid="{076FEC10-53D5-47CA-8F3C-4AF96C39943A}"/>
    <cellStyle name="Komma 4 2 2 2 3" xfId="8781" xr:uid="{F04E7125-AE43-4878-9580-CCE9B9EEA507}"/>
    <cellStyle name="Komma 4 2 2 3" xfId="3640" xr:uid="{00000000-0005-0000-0000-00005C050000}"/>
    <cellStyle name="Komma 4 2 2 3 2" xfId="6821" xr:uid="{00000000-0005-0000-0000-00005D050000}"/>
    <cellStyle name="Komma 4 2 2 3 2 2" xfId="9489" xr:uid="{E1FA737F-E438-4565-ADFA-1FFDD5851C60}"/>
    <cellStyle name="Komma 4 2 2 3 3" xfId="8158" xr:uid="{1E43FB47-3C22-41B8-9E0D-384C2BC86587}"/>
    <cellStyle name="Komma 4 2 2 4" xfId="6613" xr:uid="{00000000-0005-0000-0000-00005E050000}"/>
    <cellStyle name="Komma 4 2 2 4 2" xfId="9290" xr:uid="{D79E44CF-6EF0-4E66-9BEB-A351A8BFE1DB}"/>
    <cellStyle name="Komma 4 2 2 5" xfId="7950" xr:uid="{87872539-9200-4BE8-940B-D0E5611B0B2E}"/>
    <cellStyle name="Komma 4 2 3" xfId="3641" xr:uid="{00000000-0005-0000-0000-00005F050000}"/>
    <cellStyle name="Komma 4 2 3 2" xfId="4277" xr:uid="{00000000-0005-0000-0000-000060050000}"/>
    <cellStyle name="Komma 4 2 3 2 2" xfId="7445" xr:uid="{00000000-0005-0000-0000-000061050000}"/>
    <cellStyle name="Komma 4 2 3 2 2 2" xfId="10113" xr:uid="{4DDED48C-5735-4EF3-AC3E-D32B2AF7B7B7}"/>
    <cellStyle name="Komma 4 2 3 2 3" xfId="8782" xr:uid="{15EC74B9-BC74-4719-A21E-7BF7B2B3EAAB}"/>
    <cellStyle name="Komma 4 2 3 3" xfId="6822" xr:uid="{00000000-0005-0000-0000-000062050000}"/>
    <cellStyle name="Komma 4 2 3 3 2" xfId="9490" xr:uid="{3693CC35-7247-4CEE-8FB7-4F1F12AA47ED}"/>
    <cellStyle name="Komma 4 2 3 4" xfId="8159" xr:uid="{E6B1AFC0-111F-4411-9E07-BEF0DCC68921}"/>
    <cellStyle name="Komma 4 2 4" xfId="3642" xr:uid="{00000000-0005-0000-0000-000063050000}"/>
    <cellStyle name="Komma 4 2 4 2" xfId="4278" xr:uid="{00000000-0005-0000-0000-000064050000}"/>
    <cellStyle name="Komma 4 2 4 2 2" xfId="7446" xr:uid="{00000000-0005-0000-0000-000065050000}"/>
    <cellStyle name="Komma 4 2 4 2 2 2" xfId="10114" xr:uid="{78367A57-5DFA-4F82-9D6C-B792972A3B32}"/>
    <cellStyle name="Komma 4 2 4 2 3" xfId="8783" xr:uid="{8663D90C-6B45-44BC-86DE-1CA32C7F7E92}"/>
    <cellStyle name="Komma 4 2 4 3" xfId="6823" xr:uid="{00000000-0005-0000-0000-000066050000}"/>
    <cellStyle name="Komma 4 2 4 3 2" xfId="9491" xr:uid="{84395BD7-4405-4A32-8E80-8BB97AAC4D4A}"/>
    <cellStyle name="Komma 4 2 4 4" xfId="8160" xr:uid="{EFEB2A15-4962-45A5-8677-01D1BD1673E2}"/>
    <cellStyle name="Komma 4 2 5" xfId="4275" xr:uid="{00000000-0005-0000-0000-000067050000}"/>
    <cellStyle name="Komma 4 2 5 2" xfId="7443" xr:uid="{00000000-0005-0000-0000-000068050000}"/>
    <cellStyle name="Komma 4 2 5 2 2" xfId="10111" xr:uid="{C86D29EC-C3B1-4CF2-93BC-2E5A60256265}"/>
    <cellStyle name="Komma 4 2 5 3" xfId="8780" xr:uid="{1079FCCD-C4DE-46A8-A132-160C4EAC9F14}"/>
    <cellStyle name="Komma 4 2 6" xfId="3639" xr:uid="{00000000-0005-0000-0000-000069050000}"/>
    <cellStyle name="Komma 4 2 6 2" xfId="6820" xr:uid="{00000000-0005-0000-0000-00006A050000}"/>
    <cellStyle name="Komma 4 2 6 2 2" xfId="9488" xr:uid="{66C93302-FD65-4AC1-A06F-830C1A7C3AAF}"/>
    <cellStyle name="Komma 4 2 6 3" xfId="8157" xr:uid="{5A2871A9-1FD0-468D-8E3A-600F0576C2DA}"/>
    <cellStyle name="Komma 4 2 7" xfId="5371" xr:uid="{00000000-0005-0000-0000-00006B050000}"/>
    <cellStyle name="Komma 4 2 7 2" xfId="9250" xr:uid="{BB90418E-A008-4103-BA82-9586144F7C6E}"/>
    <cellStyle name="Komma 4 2 8" xfId="6293" xr:uid="{00000000-0005-0000-0000-00006C050000}"/>
    <cellStyle name="Komma 4 2 8 2" xfId="9270" xr:uid="{62C9A81B-F29B-49CE-AC73-183847DF2D2D}"/>
    <cellStyle name="Komma 4 2 9" xfId="7925" xr:uid="{45244008-7E85-4892-8172-1C5928F2C352}"/>
    <cellStyle name="Komma 4 3" xfId="3284" xr:uid="{00000000-0005-0000-0000-00006D050000}"/>
    <cellStyle name="Komma 4 3 2" xfId="3644" xr:uid="{00000000-0005-0000-0000-00006E050000}"/>
    <cellStyle name="Komma 4 3 2 2" xfId="4280" xr:uid="{00000000-0005-0000-0000-00006F050000}"/>
    <cellStyle name="Komma 4 3 2 2 2" xfId="7448" xr:uid="{00000000-0005-0000-0000-000070050000}"/>
    <cellStyle name="Komma 4 3 2 2 2 2" xfId="10116" xr:uid="{66718BA2-B748-4AAC-8D27-EE34560F0ED4}"/>
    <cellStyle name="Komma 4 3 2 2 3" xfId="8785" xr:uid="{1AD4E3CD-52E5-45EB-9FD7-ADDB6D82858A}"/>
    <cellStyle name="Komma 4 3 2 3" xfId="6825" xr:uid="{00000000-0005-0000-0000-000071050000}"/>
    <cellStyle name="Komma 4 3 2 3 2" xfId="9493" xr:uid="{D213EFAA-8FB7-4F77-92AA-EE194FFDE84C}"/>
    <cellStyle name="Komma 4 3 2 4" xfId="8162" xr:uid="{FA18A7BB-286B-4E44-A269-CE972C849821}"/>
    <cellStyle name="Komma 4 3 3" xfId="3645" xr:uid="{00000000-0005-0000-0000-000072050000}"/>
    <cellStyle name="Komma 4 3 3 2" xfId="4281" xr:uid="{00000000-0005-0000-0000-000073050000}"/>
    <cellStyle name="Komma 4 3 3 2 2" xfId="7449" xr:uid="{00000000-0005-0000-0000-000074050000}"/>
    <cellStyle name="Komma 4 3 3 2 2 2" xfId="10117" xr:uid="{04CF2DAE-ECB2-459F-B995-75D11D73BA54}"/>
    <cellStyle name="Komma 4 3 3 2 3" xfId="8786" xr:uid="{CDF85B1A-564C-4B31-8E9B-3C0B4FCC3CC1}"/>
    <cellStyle name="Komma 4 3 3 3" xfId="6826" xr:uid="{00000000-0005-0000-0000-000075050000}"/>
    <cellStyle name="Komma 4 3 3 3 2" xfId="9494" xr:uid="{DA75A2E4-800A-4357-846E-68124CC2C3FC}"/>
    <cellStyle name="Komma 4 3 3 4" xfId="8163" xr:uid="{9C9E4EE8-B7D8-4570-9E77-C33BDAFAA421}"/>
    <cellStyle name="Komma 4 3 4" xfId="4279" xr:uid="{00000000-0005-0000-0000-000076050000}"/>
    <cellStyle name="Komma 4 3 4 2" xfId="7447" xr:uid="{00000000-0005-0000-0000-000077050000}"/>
    <cellStyle name="Komma 4 3 4 2 2" xfId="10115" xr:uid="{A3F946BA-268B-40CB-B58C-EB418CBCC2DF}"/>
    <cellStyle name="Komma 4 3 4 3" xfId="8784" xr:uid="{54425225-539F-4BD3-887C-1832BAD98E98}"/>
    <cellStyle name="Komma 4 3 5" xfId="3643" xr:uid="{00000000-0005-0000-0000-000078050000}"/>
    <cellStyle name="Komma 4 3 5 2" xfId="6824" xr:uid="{00000000-0005-0000-0000-000079050000}"/>
    <cellStyle name="Komma 4 3 5 2 2" xfId="9492" xr:uid="{0321D0FA-EE8A-4847-BE53-E337716B166A}"/>
    <cellStyle name="Komma 4 3 5 3" xfId="8161" xr:uid="{2E0079DF-FEF0-4D38-A8F4-468935E215D9}"/>
    <cellStyle name="Komma 4 3 6" xfId="6603" xr:uid="{00000000-0005-0000-0000-00007A050000}"/>
    <cellStyle name="Komma 4 3 6 2" xfId="9280" xr:uid="{690AF72C-EFF1-47D6-AAD5-611D82FACB93}"/>
    <cellStyle name="Komma 4 3 7" xfId="7940" xr:uid="{C57F3D8C-6654-4531-B93E-5BD0184414C7}"/>
    <cellStyle name="Komma 4 4" xfId="3646" xr:uid="{00000000-0005-0000-0000-00007B050000}"/>
    <cellStyle name="Komma 4 4 2" xfId="4282" xr:uid="{00000000-0005-0000-0000-00007C050000}"/>
    <cellStyle name="Komma 4 4 2 2" xfId="7450" xr:uid="{00000000-0005-0000-0000-00007D050000}"/>
    <cellStyle name="Komma 4 4 2 2 2" xfId="10118" xr:uid="{F167E9BD-13F8-48CF-9196-9EE3A6C0D21E}"/>
    <cellStyle name="Komma 4 4 2 3" xfId="8787" xr:uid="{9B033F05-3525-4038-9864-435B80E4F80F}"/>
    <cellStyle name="Komma 4 4 3" xfId="6827" xr:uid="{00000000-0005-0000-0000-00007E050000}"/>
    <cellStyle name="Komma 4 4 3 2" xfId="9495" xr:uid="{F82D1F43-6400-424E-8B3D-2F771FDE21D5}"/>
    <cellStyle name="Komma 4 4 4" xfId="8164" xr:uid="{EE13BBB9-97E2-4DB2-BA91-70099B24E1C4}"/>
    <cellStyle name="Komma 4 5" xfId="3647" xr:uid="{00000000-0005-0000-0000-00007F050000}"/>
    <cellStyle name="Komma 4 5 2" xfId="4283" xr:uid="{00000000-0005-0000-0000-000080050000}"/>
    <cellStyle name="Komma 4 5 2 2" xfId="7451" xr:uid="{00000000-0005-0000-0000-000081050000}"/>
    <cellStyle name="Komma 4 5 2 2 2" xfId="10119" xr:uid="{E54B04EC-4A25-4251-A512-5FC2408FC7E7}"/>
    <cellStyle name="Komma 4 5 2 3" xfId="8788" xr:uid="{95EEA90C-1121-4065-92E5-1C67D834FEE6}"/>
    <cellStyle name="Komma 4 5 3" xfId="6828" xr:uid="{00000000-0005-0000-0000-000082050000}"/>
    <cellStyle name="Komma 4 5 3 2" xfId="9496" xr:uid="{10750603-AB5D-44B1-A5D0-8585B3775902}"/>
    <cellStyle name="Komma 4 5 4" xfId="8165" xr:uid="{3A44863D-1327-4B70-96E8-803140DF9D31}"/>
    <cellStyle name="Komma 4 6" xfId="3648" xr:uid="{00000000-0005-0000-0000-000083050000}"/>
    <cellStyle name="Komma 4 6 2" xfId="4284" xr:uid="{00000000-0005-0000-0000-000084050000}"/>
    <cellStyle name="Komma 4 6 2 2" xfId="7452" xr:uid="{00000000-0005-0000-0000-000085050000}"/>
    <cellStyle name="Komma 4 6 2 2 2" xfId="10120" xr:uid="{FA8AD4F7-20D4-46A5-BC7F-42A7A1E6E6F4}"/>
    <cellStyle name="Komma 4 6 2 3" xfId="8789" xr:uid="{E8C34714-957C-4081-BC08-FE72101AAFC1}"/>
    <cellStyle name="Komma 4 6 3" xfId="6829" xr:uid="{00000000-0005-0000-0000-000086050000}"/>
    <cellStyle name="Komma 4 6 3 2" xfId="9497" xr:uid="{A6B77F06-656B-43B9-B877-36F58CD9AC82}"/>
    <cellStyle name="Komma 4 6 4" xfId="8166" xr:uid="{ADF04305-1FB5-4CE5-97D0-240EED4F67B3}"/>
    <cellStyle name="Komma 4 7" xfId="4274" xr:uid="{00000000-0005-0000-0000-000087050000}"/>
    <cellStyle name="Komma 4 7 2" xfId="7442" xr:uid="{00000000-0005-0000-0000-000088050000}"/>
    <cellStyle name="Komma 4 7 2 2" xfId="10110" xr:uid="{84BE8DBB-1874-405B-A002-8C48E5AB5F4E}"/>
    <cellStyle name="Komma 4 7 3" xfId="8779" xr:uid="{FC6579D4-E2F4-4A79-9827-9BEACE44E7EA}"/>
    <cellStyle name="Komma 4 8" xfId="3638" xr:uid="{00000000-0005-0000-0000-000089050000}"/>
    <cellStyle name="Komma 4 8 2" xfId="6819" xr:uid="{00000000-0005-0000-0000-00008A050000}"/>
    <cellStyle name="Komma 4 8 2 2" xfId="9487" xr:uid="{73383DA0-6C55-440F-8062-1E7103446110}"/>
    <cellStyle name="Komma 4 8 3" xfId="8156" xr:uid="{D2DA0CE8-214F-4A3C-B4A7-2991C600EDA3}"/>
    <cellStyle name="Komma 4 9" xfId="4937" xr:uid="{00000000-0005-0000-0000-00008B050000}"/>
    <cellStyle name="Komma 4 9 2" xfId="9240" xr:uid="{EA9131CC-ED4C-424A-BF66-A133B9C2A53E}"/>
    <cellStyle name="Komma 5" xfId="431" xr:uid="{00000000-0005-0000-0000-00008C050000}"/>
    <cellStyle name="Komma 5 2" xfId="2311" xr:uid="{00000000-0005-0000-0000-00008D050000}"/>
    <cellStyle name="Komma 5 2 2" xfId="3304" xr:uid="{00000000-0005-0000-0000-00008E050000}"/>
    <cellStyle name="Komma 5 2 2 2" xfId="4287" xr:uid="{00000000-0005-0000-0000-00008F050000}"/>
    <cellStyle name="Komma 5 2 2 2 2" xfId="7455" xr:uid="{00000000-0005-0000-0000-000090050000}"/>
    <cellStyle name="Komma 5 2 2 2 2 2" xfId="10123" xr:uid="{74CC612F-6F7F-43F3-B894-412A05B03D7D}"/>
    <cellStyle name="Komma 5 2 2 2 3" xfId="8792" xr:uid="{581923A7-255E-4616-BAFD-7CB7377A3ED4}"/>
    <cellStyle name="Komma 5 2 2 3" xfId="3651" xr:uid="{00000000-0005-0000-0000-000091050000}"/>
    <cellStyle name="Komma 5 2 2 3 2" xfId="6832" xr:uid="{00000000-0005-0000-0000-000092050000}"/>
    <cellStyle name="Komma 5 2 2 3 2 2" xfId="9500" xr:uid="{300F1141-6416-4D40-B776-55157F418198}"/>
    <cellStyle name="Komma 5 2 2 3 3" xfId="8169" xr:uid="{556A79F9-B75F-4F39-8D77-A68DCF0AFC32}"/>
    <cellStyle name="Komma 5 2 3" xfId="3652" xr:uid="{00000000-0005-0000-0000-000093050000}"/>
    <cellStyle name="Komma 5 2 3 2" xfId="4288" xr:uid="{00000000-0005-0000-0000-000094050000}"/>
    <cellStyle name="Komma 5 2 3 2 2" xfId="7456" xr:uid="{00000000-0005-0000-0000-000095050000}"/>
    <cellStyle name="Komma 5 2 3 2 2 2" xfId="10124" xr:uid="{4ED0CE93-AAB4-454F-9898-ADA3BEFFF161}"/>
    <cellStyle name="Komma 5 2 3 2 3" xfId="8793" xr:uid="{B2A232FB-402D-45AB-9FD9-F8683914B5C1}"/>
    <cellStyle name="Komma 5 2 3 3" xfId="6833" xr:uid="{00000000-0005-0000-0000-000096050000}"/>
    <cellStyle name="Komma 5 2 3 3 2" xfId="9501" xr:uid="{B1043723-4208-4F9E-A2A4-1AACE2137942}"/>
    <cellStyle name="Komma 5 2 3 4" xfId="8170" xr:uid="{F918763F-36D4-487E-AF16-ADBD4369261C}"/>
    <cellStyle name="Komma 5 2 4" xfId="4286" xr:uid="{00000000-0005-0000-0000-000097050000}"/>
    <cellStyle name="Komma 5 2 4 2" xfId="7454" xr:uid="{00000000-0005-0000-0000-000098050000}"/>
    <cellStyle name="Komma 5 2 4 2 2" xfId="10122" xr:uid="{E80BE1AA-A1BA-4F4A-865A-ADC4096B9C57}"/>
    <cellStyle name="Komma 5 2 4 3" xfId="8791" xr:uid="{E41D16C6-DDA1-4235-8A85-C3637C314EC5}"/>
    <cellStyle name="Komma 5 2 5" xfId="3650" xr:uid="{00000000-0005-0000-0000-000099050000}"/>
    <cellStyle name="Komma 5 2 5 2" xfId="6831" xr:uid="{00000000-0005-0000-0000-00009A050000}"/>
    <cellStyle name="Komma 5 2 5 2 2" xfId="9499" xr:uid="{8B282A05-6435-4A88-92A6-73FD1872CFDF}"/>
    <cellStyle name="Komma 5 2 5 3" xfId="8168" xr:uid="{5478C66F-CC59-43B6-A95E-8C0F2850916F}"/>
    <cellStyle name="Komma 5 3" xfId="3285" xr:uid="{00000000-0005-0000-0000-00009B050000}"/>
    <cellStyle name="Komma 5 3 2" xfId="4289" xr:uid="{00000000-0005-0000-0000-00009C050000}"/>
    <cellStyle name="Komma 5 3 2 2" xfId="7457" xr:uid="{00000000-0005-0000-0000-00009D050000}"/>
    <cellStyle name="Komma 5 3 2 2 2" xfId="10125" xr:uid="{9ACEEA9F-8907-445F-BEA6-66F7A9071BA0}"/>
    <cellStyle name="Komma 5 3 2 3" xfId="8794" xr:uid="{971FAD3E-638D-497C-815B-1277C662F285}"/>
    <cellStyle name="Komma 5 3 3" xfId="3653" xr:uid="{00000000-0005-0000-0000-00009E050000}"/>
    <cellStyle name="Komma 5 3 3 2" xfId="6834" xr:uid="{00000000-0005-0000-0000-00009F050000}"/>
    <cellStyle name="Komma 5 3 3 2 2" xfId="9502" xr:uid="{4B5E0DB3-77AA-46C8-B0A9-EFCEF48371C6}"/>
    <cellStyle name="Komma 5 3 3 3" xfId="8171" xr:uid="{57FF71D8-4A56-43E9-97AD-2C0F89A55430}"/>
    <cellStyle name="Komma 5 4" xfId="3654" xr:uid="{00000000-0005-0000-0000-0000A0050000}"/>
    <cellStyle name="Komma 5 4 2" xfId="4290" xr:uid="{00000000-0005-0000-0000-0000A1050000}"/>
    <cellStyle name="Komma 5 4 2 2" xfId="7458" xr:uid="{00000000-0005-0000-0000-0000A2050000}"/>
    <cellStyle name="Komma 5 4 2 2 2" xfId="10126" xr:uid="{51833E5C-6774-4131-895B-B629CBEB5068}"/>
    <cellStyle name="Komma 5 4 2 3" xfId="8795" xr:uid="{837AA76B-0AFB-4963-9BD4-D9610915FD1A}"/>
    <cellStyle name="Komma 5 4 3" xfId="6835" xr:uid="{00000000-0005-0000-0000-0000A3050000}"/>
    <cellStyle name="Komma 5 4 3 2" xfId="9503" xr:uid="{466EA0C2-491F-4213-8BF0-27340D50A41B}"/>
    <cellStyle name="Komma 5 4 4" xfId="8172" xr:uid="{895C501B-EBC5-406E-A2AE-AF1853CB1C8B}"/>
    <cellStyle name="Komma 5 5" xfId="3655" xr:uid="{00000000-0005-0000-0000-0000A4050000}"/>
    <cellStyle name="Komma 5 5 2" xfId="4291" xr:uid="{00000000-0005-0000-0000-0000A5050000}"/>
    <cellStyle name="Komma 5 5 2 2" xfId="7459" xr:uid="{00000000-0005-0000-0000-0000A6050000}"/>
    <cellStyle name="Komma 5 5 2 2 2" xfId="10127" xr:uid="{92376E92-30C6-45E5-B80D-4195BC93C069}"/>
    <cellStyle name="Komma 5 5 2 3" xfId="8796" xr:uid="{A4830098-23BD-442C-9CB8-5CCF0FBEA935}"/>
    <cellStyle name="Komma 5 5 3" xfId="6836" xr:uid="{00000000-0005-0000-0000-0000A7050000}"/>
    <cellStyle name="Komma 5 5 3 2" xfId="9504" xr:uid="{DDEFA502-694F-43B9-8183-CECEC3585DB9}"/>
    <cellStyle name="Komma 5 5 4" xfId="8173" xr:uid="{F119A52D-5ACE-4552-8404-BC68B0F02E50}"/>
    <cellStyle name="Komma 5 6" xfId="4285" xr:uid="{00000000-0005-0000-0000-0000A8050000}"/>
    <cellStyle name="Komma 5 6 2" xfId="7453" xr:uid="{00000000-0005-0000-0000-0000A9050000}"/>
    <cellStyle name="Komma 5 6 2 2" xfId="10121" xr:uid="{3F40EC52-232E-4AEC-97E4-2CCE3786B81A}"/>
    <cellStyle name="Komma 5 6 3" xfId="8790" xr:uid="{6B3A5D46-51AE-4D50-B091-E935B2FF31B5}"/>
    <cellStyle name="Komma 5 7" xfId="3649" xr:uid="{00000000-0005-0000-0000-0000AA050000}"/>
    <cellStyle name="Komma 5 7 2" xfId="6830" xr:uid="{00000000-0005-0000-0000-0000AB050000}"/>
    <cellStyle name="Komma 5 7 2 2" xfId="9498" xr:uid="{F4210F68-B2A1-442E-A2C7-D9A7128C3A95}"/>
    <cellStyle name="Komma 5 7 3" xfId="8167" xr:uid="{E63F1A9D-DABE-4C73-8A17-57DF26580AFF}"/>
    <cellStyle name="Komma 6" xfId="3363" xr:uid="{00000000-0005-0000-0000-0000AC050000}"/>
    <cellStyle name="Komma 6 2" xfId="3656" xr:uid="{00000000-0005-0000-0000-0000AD050000}"/>
    <cellStyle name="Komma 6 2 2" xfId="3657" xr:uid="{00000000-0005-0000-0000-0000AE050000}"/>
    <cellStyle name="Komma 6 2 2 2" xfId="4294" xr:uid="{00000000-0005-0000-0000-0000AF050000}"/>
    <cellStyle name="Komma 6 2 2 2 2" xfId="7462" xr:uid="{00000000-0005-0000-0000-0000B0050000}"/>
    <cellStyle name="Komma 6 2 2 2 2 2" xfId="10130" xr:uid="{8C48845E-33EF-44A6-A2AD-1094E39FE253}"/>
    <cellStyle name="Komma 6 2 2 2 3" xfId="8799" xr:uid="{001971AC-E90E-4F40-9149-4405CB8885DE}"/>
    <cellStyle name="Komma 6 2 2 3" xfId="6838" xr:uid="{00000000-0005-0000-0000-0000B1050000}"/>
    <cellStyle name="Komma 6 2 2 3 2" xfId="9506" xr:uid="{1B5BE765-2FFA-4475-B7B8-946DBB9D59B3}"/>
    <cellStyle name="Komma 6 2 2 4" xfId="8175" xr:uid="{6B6672CD-C561-48EA-92AC-B49B2108E00E}"/>
    <cellStyle name="Komma 6 2 3" xfId="3658" xr:uid="{00000000-0005-0000-0000-0000B2050000}"/>
    <cellStyle name="Komma 6 2 3 2" xfId="4295" xr:uid="{00000000-0005-0000-0000-0000B3050000}"/>
    <cellStyle name="Komma 6 2 3 2 2" xfId="7463" xr:uid="{00000000-0005-0000-0000-0000B4050000}"/>
    <cellStyle name="Komma 6 2 3 2 2 2" xfId="10131" xr:uid="{6FDF9F24-0F78-40F4-8AF0-52C69BF8D922}"/>
    <cellStyle name="Komma 6 2 3 2 3" xfId="8800" xr:uid="{4B10C9E9-2EDB-441D-9535-3B670856AF15}"/>
    <cellStyle name="Komma 6 2 3 3" xfId="6839" xr:uid="{00000000-0005-0000-0000-0000B5050000}"/>
    <cellStyle name="Komma 6 2 3 3 2" xfId="9507" xr:uid="{EA355FC7-C355-4F30-A3A1-7A144E234072}"/>
    <cellStyle name="Komma 6 2 3 4" xfId="8176" xr:uid="{2D615045-75AC-439E-A293-2CBB50B04D52}"/>
    <cellStyle name="Komma 6 2 4" xfId="4293" xr:uid="{00000000-0005-0000-0000-0000B6050000}"/>
    <cellStyle name="Komma 6 2 4 2" xfId="7461" xr:uid="{00000000-0005-0000-0000-0000B7050000}"/>
    <cellStyle name="Komma 6 2 4 2 2" xfId="10129" xr:uid="{802496AB-AB5F-487D-8B3A-86DA9EF181A6}"/>
    <cellStyle name="Komma 6 2 4 3" xfId="8798" xr:uid="{6CC40759-63C6-4FD3-A3DD-BEB7AAB0F4FD}"/>
    <cellStyle name="Komma 6 2 5" xfId="6837" xr:uid="{00000000-0005-0000-0000-0000B8050000}"/>
    <cellStyle name="Komma 6 2 5 2" xfId="9505" xr:uid="{2BA5923F-5794-4647-84D3-EB09942D11C2}"/>
    <cellStyle name="Komma 6 2 6" xfId="8174" xr:uid="{2BB7F930-0968-4F87-B2A7-DDE0F0221008}"/>
    <cellStyle name="Komma 6 3" xfId="3659" xr:uid="{00000000-0005-0000-0000-0000B9050000}"/>
    <cellStyle name="Komma 6 3 2" xfId="4296" xr:uid="{00000000-0005-0000-0000-0000BA050000}"/>
    <cellStyle name="Komma 6 3 2 2" xfId="7464" xr:uid="{00000000-0005-0000-0000-0000BB050000}"/>
    <cellStyle name="Komma 6 3 2 2 2" xfId="10132" xr:uid="{5E621878-5E0F-48B1-B075-6DECC8098559}"/>
    <cellStyle name="Komma 6 3 2 3" xfId="8801" xr:uid="{EA472A70-C517-4288-A06C-97A53B68CD4A}"/>
    <cellStyle name="Komma 6 3 3" xfId="6840" xr:uid="{00000000-0005-0000-0000-0000BC050000}"/>
    <cellStyle name="Komma 6 3 3 2" xfId="9508" xr:uid="{67400AE0-D411-4B39-8177-8E6DC2110461}"/>
    <cellStyle name="Komma 6 3 4" xfId="8177" xr:uid="{CDCB709C-D809-47BE-A0D0-6171D45C7462}"/>
    <cellStyle name="Komma 6 4" xfId="3660" xr:uid="{00000000-0005-0000-0000-0000BD050000}"/>
    <cellStyle name="Komma 6 4 2" xfId="4297" xr:uid="{00000000-0005-0000-0000-0000BE050000}"/>
    <cellStyle name="Komma 6 4 2 2" xfId="7465" xr:uid="{00000000-0005-0000-0000-0000BF050000}"/>
    <cellStyle name="Komma 6 4 2 2 2" xfId="10133" xr:uid="{7F8BCD72-A4CE-48A7-B977-466D4AC4BCD8}"/>
    <cellStyle name="Komma 6 4 2 3" xfId="8802" xr:uid="{39E86F87-0165-4767-A1B4-62A1A8F0C4BA}"/>
    <cellStyle name="Komma 6 4 3" xfId="6841" xr:uid="{00000000-0005-0000-0000-0000C0050000}"/>
    <cellStyle name="Komma 6 4 3 2" xfId="9509" xr:uid="{7A83D9C8-92F5-4CA1-827C-B4EBC42724E0}"/>
    <cellStyle name="Komma 6 4 4" xfId="8178" xr:uid="{20100AD4-EA05-4FD4-955F-D1EC65F50EDE}"/>
    <cellStyle name="Komma 6 5" xfId="3661" xr:uid="{00000000-0005-0000-0000-0000C1050000}"/>
    <cellStyle name="Komma 6 5 2" xfId="4298" xr:uid="{00000000-0005-0000-0000-0000C2050000}"/>
    <cellStyle name="Komma 6 5 2 2" xfId="7466" xr:uid="{00000000-0005-0000-0000-0000C3050000}"/>
    <cellStyle name="Komma 6 5 2 2 2" xfId="10134" xr:uid="{265D96B0-705E-4878-BB60-671978ED9B3A}"/>
    <cellStyle name="Komma 6 5 2 3" xfId="8803" xr:uid="{0A9DFC40-9A8F-45BF-B381-6C2A7649F603}"/>
    <cellStyle name="Komma 6 5 3" xfId="6842" xr:uid="{00000000-0005-0000-0000-0000C4050000}"/>
    <cellStyle name="Komma 6 5 3 2" xfId="9510" xr:uid="{821D74F8-BE67-43A9-A0F9-F3C96DFA578D}"/>
    <cellStyle name="Komma 6 5 4" xfId="8179" xr:uid="{9532645F-2543-44A0-815B-56C2A2CF9D3B}"/>
    <cellStyle name="Komma 6 6" xfId="4292" xr:uid="{00000000-0005-0000-0000-0000C5050000}"/>
    <cellStyle name="Komma 6 6 2" xfId="7460" xr:uid="{00000000-0005-0000-0000-0000C6050000}"/>
    <cellStyle name="Komma 6 6 2 2" xfId="10128" xr:uid="{6FD05346-D248-4B36-AB7B-65D9FD0F5BF4}"/>
    <cellStyle name="Komma 6 6 3" xfId="8797" xr:uid="{22B232A1-DF8A-4DC7-9D36-7BEDD0825A0F}"/>
    <cellStyle name="Komma 6 7" xfId="6647" xr:uid="{00000000-0005-0000-0000-0000C7050000}"/>
    <cellStyle name="Komma 6 7 2" xfId="9324" xr:uid="{E03FB7EE-B77D-488B-9609-BB38FFFB175B}"/>
    <cellStyle name="Komma 6 8" xfId="7984" xr:uid="{1EADD789-B81E-4A84-8792-10DF0FD31033}"/>
    <cellStyle name="Komma 7" xfId="3662" xr:uid="{00000000-0005-0000-0000-0000C8050000}"/>
    <cellStyle name="Komma 7 2" xfId="3663" xr:uid="{00000000-0005-0000-0000-0000C9050000}"/>
    <cellStyle name="Komma 7 2 2" xfId="3664" xr:uid="{00000000-0005-0000-0000-0000CA050000}"/>
    <cellStyle name="Komma 7 2 2 2" xfId="4301" xr:uid="{00000000-0005-0000-0000-0000CB050000}"/>
    <cellStyle name="Komma 7 2 2 2 2" xfId="7469" xr:uid="{00000000-0005-0000-0000-0000CC050000}"/>
    <cellStyle name="Komma 7 2 2 2 2 2" xfId="10137" xr:uid="{FB62B283-EBC4-4605-AA94-D1BC5C82C318}"/>
    <cellStyle name="Komma 7 2 2 2 3" xfId="8806" xr:uid="{B12D02DA-12AC-41B5-9BC3-2D5D4142DF1B}"/>
    <cellStyle name="Komma 7 2 2 3" xfId="6845" xr:uid="{00000000-0005-0000-0000-0000CD050000}"/>
    <cellStyle name="Komma 7 2 2 3 2" xfId="9513" xr:uid="{AA0F8913-708B-4A89-B2D8-BB8464AE79F4}"/>
    <cellStyle name="Komma 7 2 2 4" xfId="8182" xr:uid="{89EE29A4-92C1-46D1-95EA-09EA0F04A9FC}"/>
    <cellStyle name="Komma 7 2 3" xfId="3665" xr:uid="{00000000-0005-0000-0000-0000CE050000}"/>
    <cellStyle name="Komma 7 2 3 2" xfId="4302" xr:uid="{00000000-0005-0000-0000-0000CF050000}"/>
    <cellStyle name="Komma 7 2 3 2 2" xfId="7470" xr:uid="{00000000-0005-0000-0000-0000D0050000}"/>
    <cellStyle name="Komma 7 2 3 2 2 2" xfId="10138" xr:uid="{D228A02B-1992-49C2-9809-E95482A41F1B}"/>
    <cellStyle name="Komma 7 2 3 2 3" xfId="8807" xr:uid="{C497D334-6869-4BD2-B5EA-B42FC323FB8C}"/>
    <cellStyle name="Komma 7 2 3 3" xfId="6846" xr:uid="{00000000-0005-0000-0000-0000D1050000}"/>
    <cellStyle name="Komma 7 2 3 3 2" xfId="9514" xr:uid="{35065F69-41CA-4F70-8F7D-7FA12BF1738E}"/>
    <cellStyle name="Komma 7 2 3 4" xfId="8183" xr:uid="{54B508F9-D2AE-464B-8BDB-34A4FA06406D}"/>
    <cellStyle name="Komma 7 2 4" xfId="4300" xr:uid="{00000000-0005-0000-0000-0000D2050000}"/>
    <cellStyle name="Komma 7 2 4 2" xfId="7468" xr:uid="{00000000-0005-0000-0000-0000D3050000}"/>
    <cellStyle name="Komma 7 2 4 2 2" xfId="10136" xr:uid="{0C958FC0-45F4-49F5-B942-FC0AF576448E}"/>
    <cellStyle name="Komma 7 2 4 3" xfId="8805" xr:uid="{E49934ED-313D-4294-87B7-9F9081EBA8AE}"/>
    <cellStyle name="Komma 7 2 5" xfId="6844" xr:uid="{00000000-0005-0000-0000-0000D4050000}"/>
    <cellStyle name="Komma 7 2 5 2" xfId="9512" xr:uid="{3E3ADD6D-31FA-4E56-9E2C-80564C88BB42}"/>
    <cellStyle name="Komma 7 2 6" xfId="8181" xr:uid="{B5370D2F-BE4F-4E94-9ACA-97292183597D}"/>
    <cellStyle name="Komma 7 3" xfId="3666" xr:uid="{00000000-0005-0000-0000-0000D5050000}"/>
    <cellStyle name="Komma 7 3 2" xfId="4303" xr:uid="{00000000-0005-0000-0000-0000D6050000}"/>
    <cellStyle name="Komma 7 3 2 2" xfId="7471" xr:uid="{00000000-0005-0000-0000-0000D7050000}"/>
    <cellStyle name="Komma 7 3 2 2 2" xfId="10139" xr:uid="{14524EBD-FC72-471D-86BC-52F38F64A41F}"/>
    <cellStyle name="Komma 7 3 2 3" xfId="8808" xr:uid="{F6414203-BDD9-4985-A86F-ABFD12457724}"/>
    <cellStyle name="Komma 7 3 3" xfId="6847" xr:uid="{00000000-0005-0000-0000-0000D8050000}"/>
    <cellStyle name="Komma 7 3 3 2" xfId="9515" xr:uid="{4ADBC8EA-F1BB-4444-A58F-6180F8E96F3B}"/>
    <cellStyle name="Komma 7 3 4" xfId="8184" xr:uid="{7C4F9DE9-9076-47A6-B1C9-3209376A196F}"/>
    <cellStyle name="Komma 7 4" xfId="3667" xr:uid="{00000000-0005-0000-0000-0000D9050000}"/>
    <cellStyle name="Komma 7 4 2" xfId="4304" xr:uid="{00000000-0005-0000-0000-0000DA050000}"/>
    <cellStyle name="Komma 7 4 2 2" xfId="7472" xr:uid="{00000000-0005-0000-0000-0000DB050000}"/>
    <cellStyle name="Komma 7 4 2 2 2" xfId="10140" xr:uid="{5DF07540-C879-4E9A-B1AD-FB443DB32E60}"/>
    <cellStyle name="Komma 7 4 2 3" xfId="8809" xr:uid="{16F2CAF1-690B-4754-B7D7-C0590B4DFF49}"/>
    <cellStyle name="Komma 7 4 3" xfId="6848" xr:uid="{00000000-0005-0000-0000-0000DC050000}"/>
    <cellStyle name="Komma 7 4 3 2" xfId="9516" xr:uid="{20A34DAD-4FF7-41F6-AAD5-D3302E841334}"/>
    <cellStyle name="Komma 7 4 4" xfId="8185" xr:uid="{49D2F3CE-A64B-438E-AE7E-1D556E933F54}"/>
    <cellStyle name="Komma 7 5" xfId="4299" xr:uid="{00000000-0005-0000-0000-0000DD050000}"/>
    <cellStyle name="Komma 7 5 2" xfId="7467" xr:uid="{00000000-0005-0000-0000-0000DE050000}"/>
    <cellStyle name="Komma 7 5 2 2" xfId="10135" xr:uid="{6A1E42A1-B13B-43AF-B11A-781E38D04DA0}"/>
    <cellStyle name="Komma 7 5 3" xfId="8804" xr:uid="{7F6D23A3-92BB-4058-A65D-48A6CE57CD54}"/>
    <cellStyle name="Komma 7 6" xfId="6843" xr:uid="{00000000-0005-0000-0000-0000DF050000}"/>
    <cellStyle name="Komma 7 6 2" xfId="9511" xr:uid="{A2CDCC09-BC71-4D8C-A47B-EC0E27ADA9DD}"/>
    <cellStyle name="Komma 7 7" xfId="8180" xr:uid="{A64C5680-F6C8-427E-8DA0-7BE8424E8B51}"/>
    <cellStyle name="Komma 8" xfId="3668" xr:uid="{00000000-0005-0000-0000-0000E0050000}"/>
    <cellStyle name="Komma 8 2" xfId="3669" xr:uid="{00000000-0005-0000-0000-0000E1050000}"/>
    <cellStyle name="Komma 8 2 2" xfId="4306" xr:uid="{00000000-0005-0000-0000-0000E2050000}"/>
    <cellStyle name="Komma 8 2 2 2" xfId="7474" xr:uid="{00000000-0005-0000-0000-0000E3050000}"/>
    <cellStyle name="Komma 8 2 2 2 2" xfId="10142" xr:uid="{005ABEAE-204D-44E6-A6B9-5E9770A1A124}"/>
    <cellStyle name="Komma 8 2 2 3" xfId="8811" xr:uid="{521CFA13-4379-486B-9722-CEB1C9E7A26B}"/>
    <cellStyle name="Komma 8 2 3" xfId="6850" xr:uid="{00000000-0005-0000-0000-0000E4050000}"/>
    <cellStyle name="Komma 8 2 3 2" xfId="9518" xr:uid="{0F27F4A0-451F-4563-8D74-381950FF9AD8}"/>
    <cellStyle name="Komma 8 2 4" xfId="8187" xr:uid="{4993655E-5137-4389-954E-A4A2BC88AC78}"/>
    <cellStyle name="Komma 8 3" xfId="3670" xr:uid="{00000000-0005-0000-0000-0000E5050000}"/>
    <cellStyle name="Komma 8 3 2" xfId="4307" xr:uid="{00000000-0005-0000-0000-0000E6050000}"/>
    <cellStyle name="Komma 8 3 2 2" xfId="7475" xr:uid="{00000000-0005-0000-0000-0000E7050000}"/>
    <cellStyle name="Komma 8 3 2 2 2" xfId="10143" xr:uid="{CB51754C-E005-4DC6-925C-7EC0BE8B2FB2}"/>
    <cellStyle name="Komma 8 3 2 3" xfId="8812" xr:uid="{781000D4-7713-4864-A86F-BCF231D4E699}"/>
    <cellStyle name="Komma 8 3 3" xfId="6851" xr:uid="{00000000-0005-0000-0000-0000E8050000}"/>
    <cellStyle name="Komma 8 3 3 2" xfId="9519" xr:uid="{3D81F274-C891-4A59-B5B6-E6640153331D}"/>
    <cellStyle name="Komma 8 3 4" xfId="8188" xr:uid="{0B88A407-A3A7-43CA-9246-3E580DFC5CB9}"/>
    <cellStyle name="Komma 8 4" xfId="4305" xr:uid="{00000000-0005-0000-0000-0000E9050000}"/>
    <cellStyle name="Komma 8 4 2" xfId="7473" xr:uid="{00000000-0005-0000-0000-0000EA050000}"/>
    <cellStyle name="Komma 8 4 2 2" xfId="10141" xr:uid="{4E402329-B68D-449A-9A7A-6DF409A78C04}"/>
    <cellStyle name="Komma 8 4 3" xfId="8810" xr:uid="{5C949E76-AA16-47E9-952B-B1C9836AE24A}"/>
    <cellStyle name="Komma 8 5" xfId="6849" xr:uid="{00000000-0005-0000-0000-0000EB050000}"/>
    <cellStyle name="Komma 8 5 2" xfId="9517" xr:uid="{00E031C6-8B94-468F-A85E-A8795C173699}"/>
    <cellStyle name="Komma 8 6" xfId="8186" xr:uid="{3D511995-4846-4918-A29F-8C5F4EC37A03}"/>
    <cellStyle name="Komma 9" xfId="3671" xr:uid="{00000000-0005-0000-0000-0000EC050000}"/>
    <cellStyle name="Komma 9 2" xfId="4308" xr:uid="{00000000-0005-0000-0000-0000ED050000}"/>
    <cellStyle name="Komma 9 2 2" xfId="7476" xr:uid="{00000000-0005-0000-0000-0000EE050000}"/>
    <cellStyle name="Komma 9 2 2 2" xfId="10144" xr:uid="{6783A716-F410-42A4-B490-E7AA4EFD3BDC}"/>
    <cellStyle name="Komma 9 2 3" xfId="8813" xr:uid="{32A3E59E-563D-47D7-A673-B700A8D38201}"/>
    <cellStyle name="Komma 9 3" xfId="6852" xr:uid="{00000000-0005-0000-0000-0000EF050000}"/>
    <cellStyle name="Komma 9 3 2" xfId="9520" xr:uid="{5924154B-1160-40A4-8909-8CA963D68329}"/>
    <cellStyle name="Komma 9 4" xfId="8189" xr:uid="{34AA521A-7F56-4FD7-9BCF-7F24B07BA3C1}"/>
    <cellStyle name="Link 2" xfId="432" xr:uid="{00000000-0005-0000-0000-0000F0050000}"/>
    <cellStyle name="Link 2 2" xfId="3674" xr:uid="{00000000-0005-0000-0000-0000F1050000}"/>
    <cellStyle name="Link 2 3" xfId="3675" xr:uid="{00000000-0005-0000-0000-0000F2050000}"/>
    <cellStyle name="Link 2 4" xfId="3673" xr:uid="{00000000-0005-0000-0000-0000F3050000}"/>
    <cellStyle name="Link 2 5" xfId="3503" xr:uid="{00000000-0005-0000-0000-0000F4050000}"/>
    <cellStyle name="Link 3" xfId="433" xr:uid="{00000000-0005-0000-0000-0000F5050000}"/>
    <cellStyle name="Link 3 2" xfId="3676" xr:uid="{00000000-0005-0000-0000-0000F6050000}"/>
    <cellStyle name="Link 4" xfId="3672" xr:uid="{00000000-0005-0000-0000-0000F7050000}"/>
    <cellStyle name="Link 5" xfId="3509" xr:uid="{00000000-0005-0000-0000-0000F8050000}"/>
    <cellStyle name="Link 6" xfId="4729" xr:uid="{00000000-0005-0000-0000-0000F9050000}"/>
    <cellStyle name="Linked Cell" xfId="3333" builtinId="24" customBuiltin="1"/>
    <cellStyle name="Linked Cell 2" xfId="3445" xr:uid="{00000000-0005-0000-0000-0000FB050000}"/>
    <cellStyle name="Migliaia [0] 10" xfId="434" xr:uid="{00000000-0005-0000-0000-0000FC050000}"/>
    <cellStyle name="Migliaia [0] 10 2" xfId="2010" xr:uid="{00000000-0005-0000-0000-0000FD050000}"/>
    <cellStyle name="Migliaia [0] 10 2 2" xfId="5309" xr:uid="{00000000-0005-0000-0000-0000FE050000}"/>
    <cellStyle name="Migliaia [0] 10 2 3" xfId="6231" xr:uid="{00000000-0005-0000-0000-0000FF050000}"/>
    <cellStyle name="Migliaia [0] 10 3" xfId="4740" xr:uid="{00000000-0005-0000-0000-000000060000}"/>
    <cellStyle name="Migliaia [0] 10 4" xfId="5685" xr:uid="{00000000-0005-0000-0000-000001060000}"/>
    <cellStyle name="Migliaia [0] 11" xfId="435" xr:uid="{00000000-0005-0000-0000-000002060000}"/>
    <cellStyle name="Migliaia [0] 11 2" xfId="2011" xr:uid="{00000000-0005-0000-0000-000003060000}"/>
    <cellStyle name="Migliaia [0] 11 2 2" xfId="5310" xr:uid="{00000000-0005-0000-0000-000004060000}"/>
    <cellStyle name="Migliaia [0] 11 2 3" xfId="6232" xr:uid="{00000000-0005-0000-0000-000005060000}"/>
    <cellStyle name="Migliaia [0] 11 3" xfId="4741" xr:uid="{00000000-0005-0000-0000-000006060000}"/>
    <cellStyle name="Migliaia [0] 11 4" xfId="5686" xr:uid="{00000000-0005-0000-0000-000007060000}"/>
    <cellStyle name="Migliaia [0] 12" xfId="436" xr:uid="{00000000-0005-0000-0000-000008060000}"/>
    <cellStyle name="Migliaia [0] 12 2" xfId="2012" xr:uid="{00000000-0005-0000-0000-000009060000}"/>
    <cellStyle name="Migliaia [0] 12 2 2" xfId="5311" xr:uid="{00000000-0005-0000-0000-00000A060000}"/>
    <cellStyle name="Migliaia [0] 12 2 3" xfId="6233" xr:uid="{00000000-0005-0000-0000-00000B060000}"/>
    <cellStyle name="Migliaia [0] 12 3" xfId="4742" xr:uid="{00000000-0005-0000-0000-00000C060000}"/>
    <cellStyle name="Migliaia [0] 12 4" xfId="5687" xr:uid="{00000000-0005-0000-0000-00000D060000}"/>
    <cellStyle name="Migliaia [0] 13" xfId="437" xr:uid="{00000000-0005-0000-0000-00000E060000}"/>
    <cellStyle name="Migliaia [0] 13 2" xfId="2013" xr:uid="{00000000-0005-0000-0000-00000F060000}"/>
    <cellStyle name="Migliaia [0] 13 2 2" xfId="5312" xr:uid="{00000000-0005-0000-0000-000010060000}"/>
    <cellStyle name="Migliaia [0] 13 2 3" xfId="6234" xr:uid="{00000000-0005-0000-0000-000011060000}"/>
    <cellStyle name="Migliaia [0] 13 3" xfId="4743" xr:uid="{00000000-0005-0000-0000-000012060000}"/>
    <cellStyle name="Migliaia [0] 13 4" xfId="5688" xr:uid="{00000000-0005-0000-0000-000013060000}"/>
    <cellStyle name="Migliaia [0] 14" xfId="438" xr:uid="{00000000-0005-0000-0000-000014060000}"/>
    <cellStyle name="Migliaia [0] 14 2" xfId="2014" xr:uid="{00000000-0005-0000-0000-000015060000}"/>
    <cellStyle name="Migliaia [0] 14 2 2" xfId="5313" xr:uid="{00000000-0005-0000-0000-000016060000}"/>
    <cellStyle name="Migliaia [0] 14 2 3" xfId="6235" xr:uid="{00000000-0005-0000-0000-000017060000}"/>
    <cellStyle name="Migliaia [0] 14 3" xfId="4744" xr:uid="{00000000-0005-0000-0000-000018060000}"/>
    <cellStyle name="Migliaia [0] 14 4" xfId="5689" xr:uid="{00000000-0005-0000-0000-000019060000}"/>
    <cellStyle name="Migliaia [0] 15" xfId="439" xr:uid="{00000000-0005-0000-0000-00001A060000}"/>
    <cellStyle name="Migliaia [0] 15 2" xfId="2015" xr:uid="{00000000-0005-0000-0000-00001B060000}"/>
    <cellStyle name="Migliaia [0] 15 2 2" xfId="5314" xr:uid="{00000000-0005-0000-0000-00001C060000}"/>
    <cellStyle name="Migliaia [0] 15 2 3" xfId="6236" xr:uid="{00000000-0005-0000-0000-00001D060000}"/>
    <cellStyle name="Migliaia [0] 15 3" xfId="4745" xr:uid="{00000000-0005-0000-0000-00001E060000}"/>
    <cellStyle name="Migliaia [0] 15 4" xfId="5690" xr:uid="{00000000-0005-0000-0000-00001F060000}"/>
    <cellStyle name="Migliaia [0] 16" xfId="440" xr:uid="{00000000-0005-0000-0000-000020060000}"/>
    <cellStyle name="Migliaia [0] 16 2" xfId="2016" xr:uid="{00000000-0005-0000-0000-000021060000}"/>
    <cellStyle name="Migliaia [0] 16 2 2" xfId="5315" xr:uid="{00000000-0005-0000-0000-000022060000}"/>
    <cellStyle name="Migliaia [0] 16 2 3" xfId="6237" xr:uid="{00000000-0005-0000-0000-000023060000}"/>
    <cellStyle name="Migliaia [0] 16 3" xfId="4746" xr:uid="{00000000-0005-0000-0000-000024060000}"/>
    <cellStyle name="Migliaia [0] 16 4" xfId="5691" xr:uid="{00000000-0005-0000-0000-000025060000}"/>
    <cellStyle name="Migliaia [0] 17" xfId="441" xr:uid="{00000000-0005-0000-0000-000026060000}"/>
    <cellStyle name="Migliaia [0] 17 2" xfId="2017" xr:uid="{00000000-0005-0000-0000-000027060000}"/>
    <cellStyle name="Migliaia [0] 17 2 2" xfId="5316" xr:uid="{00000000-0005-0000-0000-000028060000}"/>
    <cellStyle name="Migliaia [0] 17 2 3" xfId="6238" xr:uid="{00000000-0005-0000-0000-000029060000}"/>
    <cellStyle name="Migliaia [0] 17 3" xfId="4747" xr:uid="{00000000-0005-0000-0000-00002A060000}"/>
    <cellStyle name="Migliaia [0] 17 4" xfId="5692" xr:uid="{00000000-0005-0000-0000-00002B060000}"/>
    <cellStyle name="Migliaia [0] 18" xfId="442" xr:uid="{00000000-0005-0000-0000-00002C060000}"/>
    <cellStyle name="Migliaia [0] 18 2" xfId="2018" xr:uid="{00000000-0005-0000-0000-00002D060000}"/>
    <cellStyle name="Migliaia [0] 18 2 2" xfId="5317" xr:uid="{00000000-0005-0000-0000-00002E060000}"/>
    <cellStyle name="Migliaia [0] 18 2 3" xfId="6239" xr:uid="{00000000-0005-0000-0000-00002F060000}"/>
    <cellStyle name="Migliaia [0] 18 3" xfId="4748" xr:uid="{00000000-0005-0000-0000-000030060000}"/>
    <cellStyle name="Migliaia [0] 18 4" xfId="5693" xr:uid="{00000000-0005-0000-0000-000031060000}"/>
    <cellStyle name="Migliaia [0] 19" xfId="443" xr:uid="{00000000-0005-0000-0000-000032060000}"/>
    <cellStyle name="Migliaia [0] 19 2" xfId="2019" xr:uid="{00000000-0005-0000-0000-000033060000}"/>
    <cellStyle name="Migliaia [0] 19 2 2" xfId="5318" xr:uid="{00000000-0005-0000-0000-000034060000}"/>
    <cellStyle name="Migliaia [0] 19 2 3" xfId="6240" xr:uid="{00000000-0005-0000-0000-000035060000}"/>
    <cellStyle name="Migliaia [0] 19 3" xfId="4749" xr:uid="{00000000-0005-0000-0000-000036060000}"/>
    <cellStyle name="Migliaia [0] 19 4" xfId="5694" xr:uid="{00000000-0005-0000-0000-000037060000}"/>
    <cellStyle name="Migliaia [0] 2" xfId="444" xr:uid="{00000000-0005-0000-0000-000038060000}"/>
    <cellStyle name="Migliaia [0] 2 2" xfId="2020" xr:uid="{00000000-0005-0000-0000-000039060000}"/>
    <cellStyle name="Migliaia [0] 2 2 2" xfId="5319" xr:uid="{00000000-0005-0000-0000-00003A060000}"/>
    <cellStyle name="Migliaia [0] 2 2 3" xfId="6241" xr:uid="{00000000-0005-0000-0000-00003B060000}"/>
    <cellStyle name="Migliaia [0] 2 3" xfId="4750" xr:uid="{00000000-0005-0000-0000-00003C060000}"/>
    <cellStyle name="Migliaia [0] 2 4" xfId="5695" xr:uid="{00000000-0005-0000-0000-00003D060000}"/>
    <cellStyle name="Migliaia [0] 20" xfId="445" xr:uid="{00000000-0005-0000-0000-00003E060000}"/>
    <cellStyle name="Migliaia [0] 20 2" xfId="2021" xr:uid="{00000000-0005-0000-0000-00003F060000}"/>
    <cellStyle name="Migliaia [0] 20 2 2" xfId="5320" xr:uid="{00000000-0005-0000-0000-000040060000}"/>
    <cellStyle name="Migliaia [0] 20 2 3" xfId="6242" xr:uid="{00000000-0005-0000-0000-000041060000}"/>
    <cellStyle name="Migliaia [0] 20 3" xfId="4751" xr:uid="{00000000-0005-0000-0000-000042060000}"/>
    <cellStyle name="Migliaia [0] 20 4" xfId="5696" xr:uid="{00000000-0005-0000-0000-000043060000}"/>
    <cellStyle name="Migliaia [0] 21" xfId="446" xr:uid="{00000000-0005-0000-0000-000044060000}"/>
    <cellStyle name="Migliaia [0] 21 2" xfId="2022" xr:uid="{00000000-0005-0000-0000-000045060000}"/>
    <cellStyle name="Migliaia [0] 21 2 2" xfId="5321" xr:uid="{00000000-0005-0000-0000-000046060000}"/>
    <cellStyle name="Migliaia [0] 21 2 3" xfId="6243" xr:uid="{00000000-0005-0000-0000-000047060000}"/>
    <cellStyle name="Migliaia [0] 21 3" xfId="4752" xr:uid="{00000000-0005-0000-0000-000048060000}"/>
    <cellStyle name="Migliaia [0] 21 4" xfId="5697" xr:uid="{00000000-0005-0000-0000-000049060000}"/>
    <cellStyle name="Migliaia [0] 22" xfId="447" xr:uid="{00000000-0005-0000-0000-00004A060000}"/>
    <cellStyle name="Migliaia [0] 22 2" xfId="2023" xr:uid="{00000000-0005-0000-0000-00004B060000}"/>
    <cellStyle name="Migliaia [0] 22 2 2" xfId="5322" xr:uid="{00000000-0005-0000-0000-00004C060000}"/>
    <cellStyle name="Migliaia [0] 22 2 3" xfId="6244" xr:uid="{00000000-0005-0000-0000-00004D060000}"/>
    <cellStyle name="Migliaia [0] 22 3" xfId="4753" xr:uid="{00000000-0005-0000-0000-00004E060000}"/>
    <cellStyle name="Migliaia [0] 22 4" xfId="5698" xr:uid="{00000000-0005-0000-0000-00004F060000}"/>
    <cellStyle name="Migliaia [0] 23" xfId="448" xr:uid="{00000000-0005-0000-0000-000050060000}"/>
    <cellStyle name="Migliaia [0] 23 2" xfId="2024" xr:uid="{00000000-0005-0000-0000-000051060000}"/>
    <cellStyle name="Migliaia [0] 23 2 2" xfId="5323" xr:uid="{00000000-0005-0000-0000-000052060000}"/>
    <cellStyle name="Migliaia [0] 23 2 3" xfId="6245" xr:uid="{00000000-0005-0000-0000-000053060000}"/>
    <cellStyle name="Migliaia [0] 23 3" xfId="4754" xr:uid="{00000000-0005-0000-0000-000054060000}"/>
    <cellStyle name="Migliaia [0] 23 4" xfId="5699" xr:uid="{00000000-0005-0000-0000-000055060000}"/>
    <cellStyle name="Migliaia [0] 24" xfId="449" xr:uid="{00000000-0005-0000-0000-000056060000}"/>
    <cellStyle name="Migliaia [0] 24 2" xfId="2025" xr:uid="{00000000-0005-0000-0000-000057060000}"/>
    <cellStyle name="Migliaia [0] 24 2 2" xfId="5324" xr:uid="{00000000-0005-0000-0000-000058060000}"/>
    <cellStyle name="Migliaia [0] 24 2 3" xfId="6246" xr:uid="{00000000-0005-0000-0000-000059060000}"/>
    <cellStyle name="Migliaia [0] 24 3" xfId="4755" xr:uid="{00000000-0005-0000-0000-00005A060000}"/>
    <cellStyle name="Migliaia [0] 24 4" xfId="5700" xr:uid="{00000000-0005-0000-0000-00005B060000}"/>
    <cellStyle name="Migliaia [0] 25" xfId="450" xr:uid="{00000000-0005-0000-0000-00005C060000}"/>
    <cellStyle name="Migliaia [0] 25 2" xfId="2026" xr:uid="{00000000-0005-0000-0000-00005D060000}"/>
    <cellStyle name="Migliaia [0] 25 2 2" xfId="5325" xr:uid="{00000000-0005-0000-0000-00005E060000}"/>
    <cellStyle name="Migliaia [0] 25 2 3" xfId="6247" xr:uid="{00000000-0005-0000-0000-00005F060000}"/>
    <cellStyle name="Migliaia [0] 25 3" xfId="4756" xr:uid="{00000000-0005-0000-0000-000060060000}"/>
    <cellStyle name="Migliaia [0] 25 4" xfId="5701" xr:uid="{00000000-0005-0000-0000-000061060000}"/>
    <cellStyle name="Migliaia [0] 26" xfId="451" xr:uid="{00000000-0005-0000-0000-000062060000}"/>
    <cellStyle name="Migliaia [0] 26 2" xfId="2027" xr:uid="{00000000-0005-0000-0000-000063060000}"/>
    <cellStyle name="Migliaia [0] 26 2 2" xfId="5326" xr:uid="{00000000-0005-0000-0000-000064060000}"/>
    <cellStyle name="Migliaia [0] 26 2 3" xfId="6248" xr:uid="{00000000-0005-0000-0000-000065060000}"/>
    <cellStyle name="Migliaia [0] 26 3" xfId="4757" xr:uid="{00000000-0005-0000-0000-000066060000}"/>
    <cellStyle name="Migliaia [0] 26 4" xfId="5702" xr:uid="{00000000-0005-0000-0000-000067060000}"/>
    <cellStyle name="Migliaia [0] 27" xfId="452" xr:uid="{00000000-0005-0000-0000-000068060000}"/>
    <cellStyle name="Migliaia [0] 27 2" xfId="2028" xr:uid="{00000000-0005-0000-0000-000069060000}"/>
    <cellStyle name="Migliaia [0] 27 2 2" xfId="5327" xr:uid="{00000000-0005-0000-0000-00006A060000}"/>
    <cellStyle name="Migliaia [0] 27 2 3" xfId="6249" xr:uid="{00000000-0005-0000-0000-00006B060000}"/>
    <cellStyle name="Migliaia [0] 27 3" xfId="4758" xr:uid="{00000000-0005-0000-0000-00006C060000}"/>
    <cellStyle name="Migliaia [0] 27 4" xfId="5703" xr:uid="{00000000-0005-0000-0000-00006D060000}"/>
    <cellStyle name="Migliaia [0] 28" xfId="453" xr:uid="{00000000-0005-0000-0000-00006E060000}"/>
    <cellStyle name="Migliaia [0] 28 2" xfId="2029" xr:uid="{00000000-0005-0000-0000-00006F060000}"/>
    <cellStyle name="Migliaia [0] 28 2 2" xfId="5328" xr:uid="{00000000-0005-0000-0000-000070060000}"/>
    <cellStyle name="Migliaia [0] 28 2 3" xfId="6250" xr:uid="{00000000-0005-0000-0000-000071060000}"/>
    <cellStyle name="Migliaia [0] 28 3" xfId="4759" xr:uid="{00000000-0005-0000-0000-000072060000}"/>
    <cellStyle name="Migliaia [0] 28 4" xfId="5704" xr:uid="{00000000-0005-0000-0000-000073060000}"/>
    <cellStyle name="Migliaia [0] 29" xfId="454" xr:uid="{00000000-0005-0000-0000-000074060000}"/>
    <cellStyle name="Migliaia [0] 29 2" xfId="2030" xr:uid="{00000000-0005-0000-0000-000075060000}"/>
    <cellStyle name="Migliaia [0] 29 2 2" xfId="5329" xr:uid="{00000000-0005-0000-0000-000076060000}"/>
    <cellStyle name="Migliaia [0] 29 2 3" xfId="6251" xr:uid="{00000000-0005-0000-0000-000077060000}"/>
    <cellStyle name="Migliaia [0] 29 3" xfId="4760" xr:uid="{00000000-0005-0000-0000-000078060000}"/>
    <cellStyle name="Migliaia [0] 29 4" xfId="5705" xr:uid="{00000000-0005-0000-0000-000079060000}"/>
    <cellStyle name="Migliaia [0] 3" xfId="455" xr:uid="{00000000-0005-0000-0000-00007A060000}"/>
    <cellStyle name="Migliaia [0] 3 2" xfId="2031" xr:uid="{00000000-0005-0000-0000-00007B060000}"/>
    <cellStyle name="Migliaia [0] 3 2 2" xfId="5330" xr:uid="{00000000-0005-0000-0000-00007C060000}"/>
    <cellStyle name="Migliaia [0] 3 2 3" xfId="6252" xr:uid="{00000000-0005-0000-0000-00007D060000}"/>
    <cellStyle name="Migliaia [0] 3 3" xfId="4761" xr:uid="{00000000-0005-0000-0000-00007E060000}"/>
    <cellStyle name="Migliaia [0] 3 4" xfId="5706" xr:uid="{00000000-0005-0000-0000-00007F060000}"/>
    <cellStyle name="Migliaia [0] 30" xfId="456" xr:uid="{00000000-0005-0000-0000-000080060000}"/>
    <cellStyle name="Migliaia [0] 30 2" xfId="2032" xr:uid="{00000000-0005-0000-0000-000081060000}"/>
    <cellStyle name="Migliaia [0] 30 2 2" xfId="5331" xr:uid="{00000000-0005-0000-0000-000082060000}"/>
    <cellStyle name="Migliaia [0] 30 2 3" xfId="6253" xr:uid="{00000000-0005-0000-0000-000083060000}"/>
    <cellStyle name="Migliaia [0] 30 3" xfId="4762" xr:uid="{00000000-0005-0000-0000-000084060000}"/>
    <cellStyle name="Migliaia [0] 30 4" xfId="5707" xr:uid="{00000000-0005-0000-0000-000085060000}"/>
    <cellStyle name="Migliaia [0] 31" xfId="457" xr:uid="{00000000-0005-0000-0000-000086060000}"/>
    <cellStyle name="Migliaia [0] 31 2" xfId="2033" xr:uid="{00000000-0005-0000-0000-000087060000}"/>
    <cellStyle name="Migliaia [0] 31 2 2" xfId="5332" xr:uid="{00000000-0005-0000-0000-000088060000}"/>
    <cellStyle name="Migliaia [0] 31 2 3" xfId="6254" xr:uid="{00000000-0005-0000-0000-000089060000}"/>
    <cellStyle name="Migliaia [0] 31 3" xfId="4763" xr:uid="{00000000-0005-0000-0000-00008A060000}"/>
    <cellStyle name="Migliaia [0] 31 4" xfId="5708" xr:uid="{00000000-0005-0000-0000-00008B060000}"/>
    <cellStyle name="Migliaia [0] 32" xfId="458" xr:uid="{00000000-0005-0000-0000-00008C060000}"/>
    <cellStyle name="Migliaia [0] 32 2" xfId="2034" xr:uid="{00000000-0005-0000-0000-00008D060000}"/>
    <cellStyle name="Migliaia [0] 32 2 2" xfId="5333" xr:uid="{00000000-0005-0000-0000-00008E060000}"/>
    <cellStyle name="Migliaia [0] 32 2 3" xfId="6255" xr:uid="{00000000-0005-0000-0000-00008F060000}"/>
    <cellStyle name="Migliaia [0] 32 3" xfId="4764" xr:uid="{00000000-0005-0000-0000-000090060000}"/>
    <cellStyle name="Migliaia [0] 32 4" xfId="5709" xr:uid="{00000000-0005-0000-0000-000091060000}"/>
    <cellStyle name="Migliaia [0] 33" xfId="459" xr:uid="{00000000-0005-0000-0000-000092060000}"/>
    <cellStyle name="Migliaia [0] 33 2" xfId="2035" xr:uid="{00000000-0005-0000-0000-000093060000}"/>
    <cellStyle name="Migliaia [0] 33 2 2" xfId="5334" xr:uid="{00000000-0005-0000-0000-000094060000}"/>
    <cellStyle name="Migliaia [0] 33 2 3" xfId="6256" xr:uid="{00000000-0005-0000-0000-000095060000}"/>
    <cellStyle name="Migliaia [0] 33 3" xfId="4765" xr:uid="{00000000-0005-0000-0000-000096060000}"/>
    <cellStyle name="Migliaia [0] 33 4" xfId="5710" xr:uid="{00000000-0005-0000-0000-000097060000}"/>
    <cellStyle name="Migliaia [0] 34" xfId="460" xr:uid="{00000000-0005-0000-0000-000098060000}"/>
    <cellStyle name="Migliaia [0] 34 2" xfId="2036" xr:uid="{00000000-0005-0000-0000-000099060000}"/>
    <cellStyle name="Migliaia [0] 34 2 2" xfId="5335" xr:uid="{00000000-0005-0000-0000-00009A060000}"/>
    <cellStyle name="Migliaia [0] 34 2 3" xfId="6257" xr:uid="{00000000-0005-0000-0000-00009B060000}"/>
    <cellStyle name="Migliaia [0] 34 3" xfId="4766" xr:uid="{00000000-0005-0000-0000-00009C060000}"/>
    <cellStyle name="Migliaia [0] 34 4" xfId="5711" xr:uid="{00000000-0005-0000-0000-00009D060000}"/>
    <cellStyle name="Migliaia [0] 35" xfId="461" xr:uid="{00000000-0005-0000-0000-00009E060000}"/>
    <cellStyle name="Migliaia [0] 35 2" xfId="2037" xr:uid="{00000000-0005-0000-0000-00009F060000}"/>
    <cellStyle name="Migliaia [0] 35 2 2" xfId="5336" xr:uid="{00000000-0005-0000-0000-0000A0060000}"/>
    <cellStyle name="Migliaia [0] 35 2 3" xfId="6258" xr:uid="{00000000-0005-0000-0000-0000A1060000}"/>
    <cellStyle name="Migliaia [0] 35 3" xfId="4767" xr:uid="{00000000-0005-0000-0000-0000A2060000}"/>
    <cellStyle name="Migliaia [0] 35 4" xfId="5712" xr:uid="{00000000-0005-0000-0000-0000A3060000}"/>
    <cellStyle name="Migliaia [0] 36" xfId="462" xr:uid="{00000000-0005-0000-0000-0000A4060000}"/>
    <cellStyle name="Migliaia [0] 36 2" xfId="2038" xr:uid="{00000000-0005-0000-0000-0000A5060000}"/>
    <cellStyle name="Migliaia [0] 36 2 2" xfId="5337" xr:uid="{00000000-0005-0000-0000-0000A6060000}"/>
    <cellStyle name="Migliaia [0] 36 2 3" xfId="6259" xr:uid="{00000000-0005-0000-0000-0000A7060000}"/>
    <cellStyle name="Migliaia [0] 36 3" xfId="4768" xr:uid="{00000000-0005-0000-0000-0000A8060000}"/>
    <cellStyle name="Migliaia [0] 36 4" xfId="5713" xr:uid="{00000000-0005-0000-0000-0000A9060000}"/>
    <cellStyle name="Migliaia [0] 37" xfId="463" xr:uid="{00000000-0005-0000-0000-0000AA060000}"/>
    <cellStyle name="Migliaia [0] 37 2" xfId="2039" xr:uid="{00000000-0005-0000-0000-0000AB060000}"/>
    <cellStyle name="Migliaia [0] 37 2 2" xfId="5338" xr:uid="{00000000-0005-0000-0000-0000AC060000}"/>
    <cellStyle name="Migliaia [0] 37 2 3" xfId="6260" xr:uid="{00000000-0005-0000-0000-0000AD060000}"/>
    <cellStyle name="Migliaia [0] 37 3" xfId="4769" xr:uid="{00000000-0005-0000-0000-0000AE060000}"/>
    <cellStyle name="Migliaia [0] 37 4" xfId="5714" xr:uid="{00000000-0005-0000-0000-0000AF060000}"/>
    <cellStyle name="Migliaia [0] 38" xfId="464" xr:uid="{00000000-0005-0000-0000-0000B0060000}"/>
    <cellStyle name="Migliaia [0] 38 2" xfId="2040" xr:uid="{00000000-0005-0000-0000-0000B1060000}"/>
    <cellStyle name="Migliaia [0] 38 2 2" xfId="5339" xr:uid="{00000000-0005-0000-0000-0000B2060000}"/>
    <cellStyle name="Migliaia [0] 38 2 3" xfId="6261" xr:uid="{00000000-0005-0000-0000-0000B3060000}"/>
    <cellStyle name="Migliaia [0] 38 3" xfId="4770" xr:uid="{00000000-0005-0000-0000-0000B4060000}"/>
    <cellStyle name="Migliaia [0] 38 4" xfId="5715" xr:uid="{00000000-0005-0000-0000-0000B5060000}"/>
    <cellStyle name="Migliaia [0] 39" xfId="465" xr:uid="{00000000-0005-0000-0000-0000B6060000}"/>
    <cellStyle name="Migliaia [0] 39 2" xfId="2041" xr:uid="{00000000-0005-0000-0000-0000B7060000}"/>
    <cellStyle name="Migliaia [0] 39 2 2" xfId="5340" xr:uid="{00000000-0005-0000-0000-0000B8060000}"/>
    <cellStyle name="Migliaia [0] 39 2 3" xfId="6262" xr:uid="{00000000-0005-0000-0000-0000B9060000}"/>
    <cellStyle name="Migliaia [0] 39 3" xfId="4771" xr:uid="{00000000-0005-0000-0000-0000BA060000}"/>
    <cellStyle name="Migliaia [0] 39 4" xfId="5716" xr:uid="{00000000-0005-0000-0000-0000BB060000}"/>
    <cellStyle name="Migliaia [0] 4" xfId="466" xr:uid="{00000000-0005-0000-0000-0000BC060000}"/>
    <cellStyle name="Migliaia [0] 4 2" xfId="2042" xr:uid="{00000000-0005-0000-0000-0000BD060000}"/>
    <cellStyle name="Migliaia [0] 4 2 2" xfId="5341" xr:uid="{00000000-0005-0000-0000-0000BE060000}"/>
    <cellStyle name="Migliaia [0] 4 2 3" xfId="6263" xr:uid="{00000000-0005-0000-0000-0000BF060000}"/>
    <cellStyle name="Migliaia [0] 4 3" xfId="4772" xr:uid="{00000000-0005-0000-0000-0000C0060000}"/>
    <cellStyle name="Migliaia [0] 4 4" xfId="5717" xr:uid="{00000000-0005-0000-0000-0000C1060000}"/>
    <cellStyle name="Migliaia [0] 40" xfId="467" xr:uid="{00000000-0005-0000-0000-0000C2060000}"/>
    <cellStyle name="Migliaia [0] 40 2" xfId="2043" xr:uid="{00000000-0005-0000-0000-0000C3060000}"/>
    <cellStyle name="Migliaia [0] 40 2 2" xfId="5342" xr:uid="{00000000-0005-0000-0000-0000C4060000}"/>
    <cellStyle name="Migliaia [0] 40 2 3" xfId="6264" xr:uid="{00000000-0005-0000-0000-0000C5060000}"/>
    <cellStyle name="Migliaia [0] 40 3" xfId="4773" xr:uid="{00000000-0005-0000-0000-0000C6060000}"/>
    <cellStyle name="Migliaia [0] 40 4" xfId="5718" xr:uid="{00000000-0005-0000-0000-0000C7060000}"/>
    <cellStyle name="Migliaia [0] 41" xfId="468" xr:uid="{00000000-0005-0000-0000-0000C8060000}"/>
    <cellStyle name="Migliaia [0] 41 2" xfId="2044" xr:uid="{00000000-0005-0000-0000-0000C9060000}"/>
    <cellStyle name="Migliaia [0] 41 2 2" xfId="5343" xr:uid="{00000000-0005-0000-0000-0000CA060000}"/>
    <cellStyle name="Migliaia [0] 41 2 3" xfId="6265" xr:uid="{00000000-0005-0000-0000-0000CB060000}"/>
    <cellStyle name="Migliaia [0] 41 3" xfId="4774" xr:uid="{00000000-0005-0000-0000-0000CC060000}"/>
    <cellStyle name="Migliaia [0] 41 4" xfId="5719" xr:uid="{00000000-0005-0000-0000-0000CD060000}"/>
    <cellStyle name="Migliaia [0] 42" xfId="469" xr:uid="{00000000-0005-0000-0000-0000CE060000}"/>
    <cellStyle name="Migliaia [0] 42 2" xfId="2045" xr:uid="{00000000-0005-0000-0000-0000CF060000}"/>
    <cellStyle name="Migliaia [0] 42 2 2" xfId="5344" xr:uid="{00000000-0005-0000-0000-0000D0060000}"/>
    <cellStyle name="Migliaia [0] 42 2 3" xfId="6266" xr:uid="{00000000-0005-0000-0000-0000D1060000}"/>
    <cellStyle name="Migliaia [0] 42 3" xfId="4775" xr:uid="{00000000-0005-0000-0000-0000D2060000}"/>
    <cellStyle name="Migliaia [0] 42 4" xfId="5720" xr:uid="{00000000-0005-0000-0000-0000D3060000}"/>
    <cellStyle name="Migliaia [0] 43" xfId="470" xr:uid="{00000000-0005-0000-0000-0000D4060000}"/>
    <cellStyle name="Migliaia [0] 43 2" xfId="2046" xr:uid="{00000000-0005-0000-0000-0000D5060000}"/>
    <cellStyle name="Migliaia [0] 43 2 2" xfId="5345" xr:uid="{00000000-0005-0000-0000-0000D6060000}"/>
    <cellStyle name="Migliaia [0] 43 2 3" xfId="6267" xr:uid="{00000000-0005-0000-0000-0000D7060000}"/>
    <cellStyle name="Migliaia [0] 43 3" xfId="4776" xr:uid="{00000000-0005-0000-0000-0000D8060000}"/>
    <cellStyle name="Migliaia [0] 43 4" xfId="5721" xr:uid="{00000000-0005-0000-0000-0000D9060000}"/>
    <cellStyle name="Migliaia [0] 44" xfId="471" xr:uid="{00000000-0005-0000-0000-0000DA060000}"/>
    <cellStyle name="Migliaia [0] 44 2" xfId="2047" xr:uid="{00000000-0005-0000-0000-0000DB060000}"/>
    <cellStyle name="Migliaia [0] 44 2 2" xfId="5346" xr:uid="{00000000-0005-0000-0000-0000DC060000}"/>
    <cellStyle name="Migliaia [0] 44 2 3" xfId="6268" xr:uid="{00000000-0005-0000-0000-0000DD060000}"/>
    <cellStyle name="Migliaia [0] 44 3" xfId="4777" xr:uid="{00000000-0005-0000-0000-0000DE060000}"/>
    <cellStyle name="Migliaia [0] 44 4" xfId="5722" xr:uid="{00000000-0005-0000-0000-0000DF060000}"/>
    <cellStyle name="Migliaia [0] 45" xfId="472" xr:uid="{00000000-0005-0000-0000-0000E0060000}"/>
    <cellStyle name="Migliaia [0] 45 2" xfId="2048" xr:uid="{00000000-0005-0000-0000-0000E1060000}"/>
    <cellStyle name="Migliaia [0] 45 2 2" xfId="5347" xr:uid="{00000000-0005-0000-0000-0000E2060000}"/>
    <cellStyle name="Migliaia [0] 45 2 3" xfId="6269" xr:uid="{00000000-0005-0000-0000-0000E3060000}"/>
    <cellStyle name="Migliaia [0] 45 3" xfId="4778" xr:uid="{00000000-0005-0000-0000-0000E4060000}"/>
    <cellStyle name="Migliaia [0] 45 4" xfId="5723" xr:uid="{00000000-0005-0000-0000-0000E5060000}"/>
    <cellStyle name="Migliaia [0] 46" xfId="473" xr:uid="{00000000-0005-0000-0000-0000E6060000}"/>
    <cellStyle name="Migliaia [0] 46 2" xfId="2049" xr:uid="{00000000-0005-0000-0000-0000E7060000}"/>
    <cellStyle name="Migliaia [0] 46 2 2" xfId="5348" xr:uid="{00000000-0005-0000-0000-0000E8060000}"/>
    <cellStyle name="Migliaia [0] 46 2 3" xfId="6270" xr:uid="{00000000-0005-0000-0000-0000E9060000}"/>
    <cellStyle name="Migliaia [0] 46 3" xfId="4779" xr:uid="{00000000-0005-0000-0000-0000EA060000}"/>
    <cellStyle name="Migliaia [0] 46 4" xfId="5724" xr:uid="{00000000-0005-0000-0000-0000EB060000}"/>
    <cellStyle name="Migliaia [0] 47" xfId="474" xr:uid="{00000000-0005-0000-0000-0000EC060000}"/>
    <cellStyle name="Migliaia [0] 47 2" xfId="2050" xr:uid="{00000000-0005-0000-0000-0000ED060000}"/>
    <cellStyle name="Migliaia [0] 47 2 2" xfId="5349" xr:uid="{00000000-0005-0000-0000-0000EE060000}"/>
    <cellStyle name="Migliaia [0] 47 2 3" xfId="6271" xr:uid="{00000000-0005-0000-0000-0000EF060000}"/>
    <cellStyle name="Migliaia [0] 47 3" xfId="4780" xr:uid="{00000000-0005-0000-0000-0000F0060000}"/>
    <cellStyle name="Migliaia [0] 47 4" xfId="5725" xr:uid="{00000000-0005-0000-0000-0000F1060000}"/>
    <cellStyle name="Migliaia [0] 48" xfId="475" xr:uid="{00000000-0005-0000-0000-0000F2060000}"/>
    <cellStyle name="Migliaia [0] 48 2" xfId="2051" xr:uid="{00000000-0005-0000-0000-0000F3060000}"/>
    <cellStyle name="Migliaia [0] 48 2 2" xfId="5350" xr:uid="{00000000-0005-0000-0000-0000F4060000}"/>
    <cellStyle name="Migliaia [0] 48 2 3" xfId="6272" xr:uid="{00000000-0005-0000-0000-0000F5060000}"/>
    <cellStyle name="Migliaia [0] 48 3" xfId="4781" xr:uid="{00000000-0005-0000-0000-0000F6060000}"/>
    <cellStyle name="Migliaia [0] 48 4" xfId="5726" xr:uid="{00000000-0005-0000-0000-0000F7060000}"/>
    <cellStyle name="Migliaia [0] 49" xfId="476" xr:uid="{00000000-0005-0000-0000-0000F8060000}"/>
    <cellStyle name="Migliaia [0] 49 2" xfId="2052" xr:uid="{00000000-0005-0000-0000-0000F9060000}"/>
    <cellStyle name="Migliaia [0] 49 2 2" xfId="5351" xr:uid="{00000000-0005-0000-0000-0000FA060000}"/>
    <cellStyle name="Migliaia [0] 49 2 3" xfId="6273" xr:uid="{00000000-0005-0000-0000-0000FB060000}"/>
    <cellStyle name="Migliaia [0] 49 3" xfId="4782" xr:uid="{00000000-0005-0000-0000-0000FC060000}"/>
    <cellStyle name="Migliaia [0] 49 4" xfId="5727" xr:uid="{00000000-0005-0000-0000-0000FD060000}"/>
    <cellStyle name="Migliaia [0] 5" xfId="477" xr:uid="{00000000-0005-0000-0000-0000FE060000}"/>
    <cellStyle name="Migliaia [0] 5 2" xfId="2053" xr:uid="{00000000-0005-0000-0000-0000FF060000}"/>
    <cellStyle name="Migliaia [0] 5 2 2" xfId="5352" xr:uid="{00000000-0005-0000-0000-000000070000}"/>
    <cellStyle name="Migliaia [0] 5 2 3" xfId="6274" xr:uid="{00000000-0005-0000-0000-000001070000}"/>
    <cellStyle name="Migliaia [0] 5 3" xfId="4783" xr:uid="{00000000-0005-0000-0000-000002070000}"/>
    <cellStyle name="Migliaia [0] 5 4" xfId="5728" xr:uid="{00000000-0005-0000-0000-000003070000}"/>
    <cellStyle name="Migliaia [0] 50" xfId="478" xr:uid="{00000000-0005-0000-0000-000004070000}"/>
    <cellStyle name="Migliaia [0] 50 2" xfId="2054" xr:uid="{00000000-0005-0000-0000-000005070000}"/>
    <cellStyle name="Migliaia [0] 50 2 2" xfId="5353" xr:uid="{00000000-0005-0000-0000-000006070000}"/>
    <cellStyle name="Migliaia [0] 50 2 3" xfId="6275" xr:uid="{00000000-0005-0000-0000-000007070000}"/>
    <cellStyle name="Migliaia [0] 50 3" xfId="4784" xr:uid="{00000000-0005-0000-0000-000008070000}"/>
    <cellStyle name="Migliaia [0] 50 4" xfId="5729" xr:uid="{00000000-0005-0000-0000-000009070000}"/>
    <cellStyle name="Migliaia [0] 51" xfId="479" xr:uid="{00000000-0005-0000-0000-00000A070000}"/>
    <cellStyle name="Migliaia [0] 51 2" xfId="2055" xr:uid="{00000000-0005-0000-0000-00000B070000}"/>
    <cellStyle name="Migliaia [0] 51 2 2" xfId="5354" xr:uid="{00000000-0005-0000-0000-00000C070000}"/>
    <cellStyle name="Migliaia [0] 51 2 3" xfId="6276" xr:uid="{00000000-0005-0000-0000-00000D070000}"/>
    <cellStyle name="Migliaia [0] 51 3" xfId="4785" xr:uid="{00000000-0005-0000-0000-00000E070000}"/>
    <cellStyle name="Migliaia [0] 51 4" xfId="5730" xr:uid="{00000000-0005-0000-0000-00000F070000}"/>
    <cellStyle name="Migliaia [0] 52" xfId="480" xr:uid="{00000000-0005-0000-0000-000010070000}"/>
    <cellStyle name="Migliaia [0] 52 2" xfId="2056" xr:uid="{00000000-0005-0000-0000-000011070000}"/>
    <cellStyle name="Migliaia [0] 52 2 2" xfId="5355" xr:uid="{00000000-0005-0000-0000-000012070000}"/>
    <cellStyle name="Migliaia [0] 52 2 3" xfId="6277" xr:uid="{00000000-0005-0000-0000-000013070000}"/>
    <cellStyle name="Migliaia [0] 52 3" xfId="4786" xr:uid="{00000000-0005-0000-0000-000014070000}"/>
    <cellStyle name="Migliaia [0] 52 4" xfId="5731" xr:uid="{00000000-0005-0000-0000-000015070000}"/>
    <cellStyle name="Migliaia [0] 53" xfId="481" xr:uid="{00000000-0005-0000-0000-000016070000}"/>
    <cellStyle name="Migliaia [0] 53 2" xfId="2057" xr:uid="{00000000-0005-0000-0000-000017070000}"/>
    <cellStyle name="Migliaia [0] 53 2 2" xfId="5356" xr:uid="{00000000-0005-0000-0000-000018070000}"/>
    <cellStyle name="Migliaia [0] 53 2 3" xfId="6278" xr:uid="{00000000-0005-0000-0000-000019070000}"/>
    <cellStyle name="Migliaia [0] 53 3" xfId="4787" xr:uid="{00000000-0005-0000-0000-00001A070000}"/>
    <cellStyle name="Migliaia [0] 53 4" xfId="5732" xr:uid="{00000000-0005-0000-0000-00001B070000}"/>
    <cellStyle name="Migliaia [0] 54" xfId="482" xr:uid="{00000000-0005-0000-0000-00001C070000}"/>
    <cellStyle name="Migliaia [0] 54 2" xfId="2058" xr:uid="{00000000-0005-0000-0000-00001D070000}"/>
    <cellStyle name="Migliaia [0] 54 2 2" xfId="5357" xr:uid="{00000000-0005-0000-0000-00001E070000}"/>
    <cellStyle name="Migliaia [0] 54 2 3" xfId="6279" xr:uid="{00000000-0005-0000-0000-00001F070000}"/>
    <cellStyle name="Migliaia [0] 54 3" xfId="4788" xr:uid="{00000000-0005-0000-0000-000020070000}"/>
    <cellStyle name="Migliaia [0] 54 4" xfId="5733" xr:uid="{00000000-0005-0000-0000-000021070000}"/>
    <cellStyle name="Migliaia [0] 55" xfId="483" xr:uid="{00000000-0005-0000-0000-000022070000}"/>
    <cellStyle name="Migliaia [0] 55 2" xfId="2059" xr:uid="{00000000-0005-0000-0000-000023070000}"/>
    <cellStyle name="Migliaia [0] 55 2 2" xfId="5358" xr:uid="{00000000-0005-0000-0000-000024070000}"/>
    <cellStyle name="Migliaia [0] 55 2 3" xfId="6280" xr:uid="{00000000-0005-0000-0000-000025070000}"/>
    <cellStyle name="Migliaia [0] 55 3" xfId="4789" xr:uid="{00000000-0005-0000-0000-000026070000}"/>
    <cellStyle name="Migliaia [0] 55 4" xfId="5734" xr:uid="{00000000-0005-0000-0000-000027070000}"/>
    <cellStyle name="Migliaia [0] 56" xfId="484" xr:uid="{00000000-0005-0000-0000-000028070000}"/>
    <cellStyle name="Migliaia [0] 56 2" xfId="2060" xr:uid="{00000000-0005-0000-0000-000029070000}"/>
    <cellStyle name="Migliaia [0] 56 2 2" xfId="5359" xr:uid="{00000000-0005-0000-0000-00002A070000}"/>
    <cellStyle name="Migliaia [0] 56 2 3" xfId="6281" xr:uid="{00000000-0005-0000-0000-00002B070000}"/>
    <cellStyle name="Migliaia [0] 56 3" xfId="4790" xr:uid="{00000000-0005-0000-0000-00002C070000}"/>
    <cellStyle name="Migliaia [0] 56 4" xfId="5735" xr:uid="{00000000-0005-0000-0000-00002D070000}"/>
    <cellStyle name="Migliaia [0] 57" xfId="485" xr:uid="{00000000-0005-0000-0000-00002E070000}"/>
    <cellStyle name="Migliaia [0] 57 2" xfId="2061" xr:uid="{00000000-0005-0000-0000-00002F070000}"/>
    <cellStyle name="Migliaia [0] 57 2 2" xfId="5360" xr:uid="{00000000-0005-0000-0000-000030070000}"/>
    <cellStyle name="Migliaia [0] 57 2 3" xfId="6282" xr:uid="{00000000-0005-0000-0000-000031070000}"/>
    <cellStyle name="Migliaia [0] 57 3" xfId="4791" xr:uid="{00000000-0005-0000-0000-000032070000}"/>
    <cellStyle name="Migliaia [0] 57 4" xfId="5736" xr:uid="{00000000-0005-0000-0000-000033070000}"/>
    <cellStyle name="Migliaia [0] 58" xfId="486" xr:uid="{00000000-0005-0000-0000-000034070000}"/>
    <cellStyle name="Migliaia [0] 58 2" xfId="2062" xr:uid="{00000000-0005-0000-0000-000035070000}"/>
    <cellStyle name="Migliaia [0] 58 2 2" xfId="5361" xr:uid="{00000000-0005-0000-0000-000036070000}"/>
    <cellStyle name="Migliaia [0] 58 2 3" xfId="6283" xr:uid="{00000000-0005-0000-0000-000037070000}"/>
    <cellStyle name="Migliaia [0] 58 3" xfId="4792" xr:uid="{00000000-0005-0000-0000-000038070000}"/>
    <cellStyle name="Migliaia [0] 58 4" xfId="5737" xr:uid="{00000000-0005-0000-0000-000039070000}"/>
    <cellStyle name="Migliaia [0] 59" xfId="487" xr:uid="{00000000-0005-0000-0000-00003A070000}"/>
    <cellStyle name="Migliaia [0] 59 2" xfId="2063" xr:uid="{00000000-0005-0000-0000-00003B070000}"/>
    <cellStyle name="Migliaia [0] 59 2 2" xfId="5362" xr:uid="{00000000-0005-0000-0000-00003C070000}"/>
    <cellStyle name="Migliaia [0] 59 2 3" xfId="6284" xr:uid="{00000000-0005-0000-0000-00003D070000}"/>
    <cellStyle name="Migliaia [0] 59 3" xfId="4793" xr:uid="{00000000-0005-0000-0000-00003E070000}"/>
    <cellStyle name="Migliaia [0] 59 4" xfId="5738" xr:uid="{00000000-0005-0000-0000-00003F070000}"/>
    <cellStyle name="Migliaia [0] 6" xfId="488" xr:uid="{00000000-0005-0000-0000-000040070000}"/>
    <cellStyle name="Migliaia [0] 6 2" xfId="2064" xr:uid="{00000000-0005-0000-0000-000041070000}"/>
    <cellStyle name="Migliaia [0] 6 2 2" xfId="5363" xr:uid="{00000000-0005-0000-0000-000042070000}"/>
    <cellStyle name="Migliaia [0] 6 2 3" xfId="6285" xr:uid="{00000000-0005-0000-0000-000043070000}"/>
    <cellStyle name="Migliaia [0] 6 3" xfId="4794" xr:uid="{00000000-0005-0000-0000-000044070000}"/>
    <cellStyle name="Migliaia [0] 6 4" xfId="5739" xr:uid="{00000000-0005-0000-0000-000045070000}"/>
    <cellStyle name="Migliaia [0] 7" xfId="489" xr:uid="{00000000-0005-0000-0000-000046070000}"/>
    <cellStyle name="Migliaia [0] 7 2" xfId="2065" xr:uid="{00000000-0005-0000-0000-000047070000}"/>
    <cellStyle name="Migliaia [0] 7 2 2" xfId="5364" xr:uid="{00000000-0005-0000-0000-000048070000}"/>
    <cellStyle name="Migliaia [0] 7 2 3" xfId="6286" xr:uid="{00000000-0005-0000-0000-000049070000}"/>
    <cellStyle name="Migliaia [0] 7 3" xfId="4795" xr:uid="{00000000-0005-0000-0000-00004A070000}"/>
    <cellStyle name="Migliaia [0] 7 4" xfId="5740" xr:uid="{00000000-0005-0000-0000-00004B070000}"/>
    <cellStyle name="Migliaia [0] 8" xfId="490" xr:uid="{00000000-0005-0000-0000-00004C070000}"/>
    <cellStyle name="Migliaia [0] 8 2" xfId="2066" xr:uid="{00000000-0005-0000-0000-00004D070000}"/>
    <cellStyle name="Migliaia [0] 8 2 2" xfId="5365" xr:uid="{00000000-0005-0000-0000-00004E070000}"/>
    <cellStyle name="Migliaia [0] 8 2 3" xfId="6287" xr:uid="{00000000-0005-0000-0000-00004F070000}"/>
    <cellStyle name="Migliaia [0] 8 3" xfId="4796" xr:uid="{00000000-0005-0000-0000-000050070000}"/>
    <cellStyle name="Migliaia [0] 8 4" xfId="5741" xr:uid="{00000000-0005-0000-0000-000051070000}"/>
    <cellStyle name="Migliaia [0] 9" xfId="491" xr:uid="{00000000-0005-0000-0000-000052070000}"/>
    <cellStyle name="Migliaia [0] 9 2" xfId="2067" xr:uid="{00000000-0005-0000-0000-000053070000}"/>
    <cellStyle name="Migliaia [0] 9 2 2" xfId="5366" xr:uid="{00000000-0005-0000-0000-000054070000}"/>
    <cellStyle name="Migliaia [0] 9 2 3" xfId="6288" xr:uid="{00000000-0005-0000-0000-000055070000}"/>
    <cellStyle name="Migliaia [0] 9 3" xfId="4797" xr:uid="{00000000-0005-0000-0000-000056070000}"/>
    <cellStyle name="Migliaia [0] 9 4" xfId="5742" xr:uid="{00000000-0005-0000-0000-000057070000}"/>
    <cellStyle name="Migliaia 10" xfId="492" xr:uid="{00000000-0005-0000-0000-000058070000}"/>
    <cellStyle name="Migliaia 10 2" xfId="493" xr:uid="{00000000-0005-0000-0000-000059070000}"/>
    <cellStyle name="Migliaia 10 2 2" xfId="2312" xr:uid="{00000000-0005-0000-0000-00005A070000}"/>
    <cellStyle name="Migliaia 10 2 2 2" xfId="5372" xr:uid="{00000000-0005-0000-0000-00005B070000}"/>
    <cellStyle name="Migliaia 10 2 2 3" xfId="6294" xr:uid="{00000000-0005-0000-0000-00005C070000}"/>
    <cellStyle name="Migliaia 10 2 3" xfId="4865" xr:uid="{00000000-0005-0000-0000-00005D070000}"/>
    <cellStyle name="Migliaia 10 2 4" xfId="5744" xr:uid="{00000000-0005-0000-0000-00005E070000}"/>
    <cellStyle name="Migliaia 10 3" xfId="494" xr:uid="{00000000-0005-0000-0000-00005F070000}"/>
    <cellStyle name="Migliaia 10 3 2" xfId="495" xr:uid="{00000000-0005-0000-0000-000060070000}"/>
    <cellStyle name="Migliaia 10 3 2 2" xfId="4939" xr:uid="{00000000-0005-0000-0000-000061070000}"/>
    <cellStyle name="Migliaia 10 3 2 3" xfId="5746" xr:uid="{00000000-0005-0000-0000-000062070000}"/>
    <cellStyle name="Migliaia 10 3 3" xfId="496" xr:uid="{00000000-0005-0000-0000-000063070000}"/>
    <cellStyle name="Migliaia 10 3 3 2" xfId="2314" xr:uid="{00000000-0005-0000-0000-000064070000}"/>
    <cellStyle name="Migliaia 10 3 3 2 2" xfId="5374" xr:uid="{00000000-0005-0000-0000-000065070000}"/>
    <cellStyle name="Migliaia 10 3 3 2 3" xfId="6296" xr:uid="{00000000-0005-0000-0000-000066070000}"/>
    <cellStyle name="Migliaia 10 3 3 3" xfId="4940" xr:uid="{00000000-0005-0000-0000-000067070000}"/>
    <cellStyle name="Migliaia 10 3 3 4" xfId="5747" xr:uid="{00000000-0005-0000-0000-000068070000}"/>
    <cellStyle name="Migliaia 10 3 4" xfId="2313" xr:uid="{00000000-0005-0000-0000-000069070000}"/>
    <cellStyle name="Migliaia 10 3 4 2" xfId="5373" xr:uid="{00000000-0005-0000-0000-00006A070000}"/>
    <cellStyle name="Migliaia 10 3 4 3" xfId="6295" xr:uid="{00000000-0005-0000-0000-00006B070000}"/>
    <cellStyle name="Migliaia 10 3 5" xfId="4938" xr:uid="{00000000-0005-0000-0000-00006C070000}"/>
    <cellStyle name="Migliaia 10 3 6" xfId="5745" xr:uid="{00000000-0005-0000-0000-00006D070000}"/>
    <cellStyle name="Migliaia 10 4" xfId="497" xr:uid="{00000000-0005-0000-0000-00006E070000}"/>
    <cellStyle name="Migliaia 10 4 2" xfId="498" xr:uid="{00000000-0005-0000-0000-00006F070000}"/>
    <cellStyle name="Migliaia 10 4 2 2" xfId="2316" xr:uid="{00000000-0005-0000-0000-000070070000}"/>
    <cellStyle name="Migliaia 10 4 2 2 2" xfId="5376" xr:uid="{00000000-0005-0000-0000-000071070000}"/>
    <cellStyle name="Migliaia 10 4 2 2 3" xfId="6298" xr:uid="{00000000-0005-0000-0000-000072070000}"/>
    <cellStyle name="Migliaia 10 4 2 3" xfId="4942" xr:uid="{00000000-0005-0000-0000-000073070000}"/>
    <cellStyle name="Migliaia 10 4 2 4" xfId="5749" xr:uid="{00000000-0005-0000-0000-000074070000}"/>
    <cellStyle name="Migliaia 10 4 3" xfId="2315" xr:uid="{00000000-0005-0000-0000-000075070000}"/>
    <cellStyle name="Migliaia 10 4 3 2" xfId="5375" xr:uid="{00000000-0005-0000-0000-000076070000}"/>
    <cellStyle name="Migliaia 10 4 3 3" xfId="6297" xr:uid="{00000000-0005-0000-0000-000077070000}"/>
    <cellStyle name="Migliaia 10 4 4" xfId="4941" xr:uid="{00000000-0005-0000-0000-000078070000}"/>
    <cellStyle name="Migliaia 10 4 5" xfId="5748" xr:uid="{00000000-0005-0000-0000-000079070000}"/>
    <cellStyle name="Migliaia 10 5" xfId="499" xr:uid="{00000000-0005-0000-0000-00007A070000}"/>
    <cellStyle name="Migliaia 10 5 2" xfId="4943" xr:uid="{00000000-0005-0000-0000-00007B070000}"/>
    <cellStyle name="Migliaia 10 5 3" xfId="5750" xr:uid="{00000000-0005-0000-0000-00007C070000}"/>
    <cellStyle name="Migliaia 10 6" xfId="4798" xr:uid="{00000000-0005-0000-0000-00007D070000}"/>
    <cellStyle name="Migliaia 10 7" xfId="5743" xr:uid="{00000000-0005-0000-0000-00007E070000}"/>
    <cellStyle name="Migliaia 11" xfId="500" xr:uid="{00000000-0005-0000-0000-00007F070000}"/>
    <cellStyle name="Migliaia 11 2" xfId="501" xr:uid="{00000000-0005-0000-0000-000080070000}"/>
    <cellStyle name="Migliaia 11 2 2" xfId="2317" xr:uid="{00000000-0005-0000-0000-000081070000}"/>
    <cellStyle name="Migliaia 11 2 2 2" xfId="5377" xr:uid="{00000000-0005-0000-0000-000082070000}"/>
    <cellStyle name="Migliaia 11 2 2 3" xfId="6299" xr:uid="{00000000-0005-0000-0000-000083070000}"/>
    <cellStyle name="Migliaia 11 2 3" xfId="4866" xr:uid="{00000000-0005-0000-0000-000084070000}"/>
    <cellStyle name="Migliaia 11 2 4" xfId="5752" xr:uid="{00000000-0005-0000-0000-000085070000}"/>
    <cellStyle name="Migliaia 11 3" xfId="502" xr:uid="{00000000-0005-0000-0000-000086070000}"/>
    <cellStyle name="Migliaia 11 3 2" xfId="503" xr:uid="{00000000-0005-0000-0000-000087070000}"/>
    <cellStyle name="Migliaia 11 3 2 2" xfId="4945" xr:uid="{00000000-0005-0000-0000-000088070000}"/>
    <cellStyle name="Migliaia 11 3 2 3" xfId="5754" xr:uid="{00000000-0005-0000-0000-000089070000}"/>
    <cellStyle name="Migliaia 11 3 3" xfId="504" xr:uid="{00000000-0005-0000-0000-00008A070000}"/>
    <cellStyle name="Migliaia 11 3 3 2" xfId="2319" xr:uid="{00000000-0005-0000-0000-00008B070000}"/>
    <cellStyle name="Migliaia 11 3 3 2 2" xfId="5379" xr:uid="{00000000-0005-0000-0000-00008C070000}"/>
    <cellStyle name="Migliaia 11 3 3 2 3" xfId="6301" xr:uid="{00000000-0005-0000-0000-00008D070000}"/>
    <cellStyle name="Migliaia 11 3 3 3" xfId="4946" xr:uid="{00000000-0005-0000-0000-00008E070000}"/>
    <cellStyle name="Migliaia 11 3 3 4" xfId="5755" xr:uid="{00000000-0005-0000-0000-00008F070000}"/>
    <cellStyle name="Migliaia 11 3 4" xfId="2318" xr:uid="{00000000-0005-0000-0000-000090070000}"/>
    <cellStyle name="Migliaia 11 3 4 2" xfId="5378" xr:uid="{00000000-0005-0000-0000-000091070000}"/>
    <cellStyle name="Migliaia 11 3 4 3" xfId="6300" xr:uid="{00000000-0005-0000-0000-000092070000}"/>
    <cellStyle name="Migliaia 11 3 5" xfId="4944" xr:uid="{00000000-0005-0000-0000-000093070000}"/>
    <cellStyle name="Migliaia 11 3 6" xfId="5753" xr:uid="{00000000-0005-0000-0000-000094070000}"/>
    <cellStyle name="Migliaia 11 4" xfId="505" xr:uid="{00000000-0005-0000-0000-000095070000}"/>
    <cellStyle name="Migliaia 11 4 2" xfId="506" xr:uid="{00000000-0005-0000-0000-000096070000}"/>
    <cellStyle name="Migliaia 11 4 2 2" xfId="2321" xr:uid="{00000000-0005-0000-0000-000097070000}"/>
    <cellStyle name="Migliaia 11 4 2 2 2" xfId="5381" xr:uid="{00000000-0005-0000-0000-000098070000}"/>
    <cellStyle name="Migliaia 11 4 2 2 3" xfId="6303" xr:uid="{00000000-0005-0000-0000-000099070000}"/>
    <cellStyle name="Migliaia 11 4 2 3" xfId="4948" xr:uid="{00000000-0005-0000-0000-00009A070000}"/>
    <cellStyle name="Migliaia 11 4 2 4" xfId="5757" xr:uid="{00000000-0005-0000-0000-00009B070000}"/>
    <cellStyle name="Migliaia 11 4 3" xfId="2320" xr:uid="{00000000-0005-0000-0000-00009C070000}"/>
    <cellStyle name="Migliaia 11 4 3 2" xfId="5380" xr:uid="{00000000-0005-0000-0000-00009D070000}"/>
    <cellStyle name="Migliaia 11 4 3 3" xfId="6302" xr:uid="{00000000-0005-0000-0000-00009E070000}"/>
    <cellStyle name="Migliaia 11 4 4" xfId="4947" xr:uid="{00000000-0005-0000-0000-00009F070000}"/>
    <cellStyle name="Migliaia 11 4 5" xfId="5756" xr:uid="{00000000-0005-0000-0000-0000A0070000}"/>
    <cellStyle name="Migliaia 11 5" xfId="507" xr:uid="{00000000-0005-0000-0000-0000A1070000}"/>
    <cellStyle name="Migliaia 11 5 2" xfId="4949" xr:uid="{00000000-0005-0000-0000-0000A2070000}"/>
    <cellStyle name="Migliaia 11 5 3" xfId="5758" xr:uid="{00000000-0005-0000-0000-0000A3070000}"/>
    <cellStyle name="Migliaia 11 6" xfId="4799" xr:uid="{00000000-0005-0000-0000-0000A4070000}"/>
    <cellStyle name="Migliaia 11 7" xfId="5751" xr:uid="{00000000-0005-0000-0000-0000A5070000}"/>
    <cellStyle name="Migliaia 12" xfId="508" xr:uid="{00000000-0005-0000-0000-0000A6070000}"/>
    <cellStyle name="Migliaia 12 2" xfId="509" xr:uid="{00000000-0005-0000-0000-0000A7070000}"/>
    <cellStyle name="Migliaia 12 2 2" xfId="2322" xr:uid="{00000000-0005-0000-0000-0000A8070000}"/>
    <cellStyle name="Migliaia 12 2 2 2" xfId="5382" xr:uid="{00000000-0005-0000-0000-0000A9070000}"/>
    <cellStyle name="Migliaia 12 2 2 3" xfId="6304" xr:uid="{00000000-0005-0000-0000-0000AA070000}"/>
    <cellStyle name="Migliaia 12 2 3" xfId="4867" xr:uid="{00000000-0005-0000-0000-0000AB070000}"/>
    <cellStyle name="Migliaia 12 2 4" xfId="5760" xr:uid="{00000000-0005-0000-0000-0000AC070000}"/>
    <cellStyle name="Migliaia 12 3" xfId="510" xr:uid="{00000000-0005-0000-0000-0000AD070000}"/>
    <cellStyle name="Migliaia 12 3 2" xfId="511" xr:uid="{00000000-0005-0000-0000-0000AE070000}"/>
    <cellStyle name="Migliaia 12 3 2 2" xfId="4951" xr:uid="{00000000-0005-0000-0000-0000AF070000}"/>
    <cellStyle name="Migliaia 12 3 2 3" xfId="5762" xr:uid="{00000000-0005-0000-0000-0000B0070000}"/>
    <cellStyle name="Migliaia 12 3 3" xfId="512" xr:uid="{00000000-0005-0000-0000-0000B1070000}"/>
    <cellStyle name="Migliaia 12 3 3 2" xfId="2324" xr:uid="{00000000-0005-0000-0000-0000B2070000}"/>
    <cellStyle name="Migliaia 12 3 3 2 2" xfId="5384" xr:uid="{00000000-0005-0000-0000-0000B3070000}"/>
    <cellStyle name="Migliaia 12 3 3 2 3" xfId="6306" xr:uid="{00000000-0005-0000-0000-0000B4070000}"/>
    <cellStyle name="Migliaia 12 3 3 3" xfId="4952" xr:uid="{00000000-0005-0000-0000-0000B5070000}"/>
    <cellStyle name="Migliaia 12 3 3 4" xfId="5763" xr:uid="{00000000-0005-0000-0000-0000B6070000}"/>
    <cellStyle name="Migliaia 12 3 4" xfId="2323" xr:uid="{00000000-0005-0000-0000-0000B7070000}"/>
    <cellStyle name="Migliaia 12 3 4 2" xfId="5383" xr:uid="{00000000-0005-0000-0000-0000B8070000}"/>
    <cellStyle name="Migliaia 12 3 4 3" xfId="6305" xr:uid="{00000000-0005-0000-0000-0000B9070000}"/>
    <cellStyle name="Migliaia 12 3 5" xfId="4950" xr:uid="{00000000-0005-0000-0000-0000BA070000}"/>
    <cellStyle name="Migliaia 12 3 6" xfId="5761" xr:uid="{00000000-0005-0000-0000-0000BB070000}"/>
    <cellStyle name="Migliaia 12 4" xfId="513" xr:uid="{00000000-0005-0000-0000-0000BC070000}"/>
    <cellStyle name="Migliaia 12 4 2" xfId="514" xr:uid="{00000000-0005-0000-0000-0000BD070000}"/>
    <cellStyle name="Migliaia 12 4 2 2" xfId="2326" xr:uid="{00000000-0005-0000-0000-0000BE070000}"/>
    <cellStyle name="Migliaia 12 4 2 2 2" xfId="5386" xr:uid="{00000000-0005-0000-0000-0000BF070000}"/>
    <cellStyle name="Migliaia 12 4 2 2 3" xfId="6308" xr:uid="{00000000-0005-0000-0000-0000C0070000}"/>
    <cellStyle name="Migliaia 12 4 2 3" xfId="4954" xr:uid="{00000000-0005-0000-0000-0000C1070000}"/>
    <cellStyle name="Migliaia 12 4 2 4" xfId="5765" xr:uid="{00000000-0005-0000-0000-0000C2070000}"/>
    <cellStyle name="Migliaia 12 4 3" xfId="2325" xr:uid="{00000000-0005-0000-0000-0000C3070000}"/>
    <cellStyle name="Migliaia 12 4 3 2" xfId="5385" xr:uid="{00000000-0005-0000-0000-0000C4070000}"/>
    <cellStyle name="Migliaia 12 4 3 3" xfId="6307" xr:uid="{00000000-0005-0000-0000-0000C5070000}"/>
    <cellStyle name="Migliaia 12 4 4" xfId="4953" xr:uid="{00000000-0005-0000-0000-0000C6070000}"/>
    <cellStyle name="Migliaia 12 4 5" xfId="5764" xr:uid="{00000000-0005-0000-0000-0000C7070000}"/>
    <cellStyle name="Migliaia 12 5" xfId="515" xr:uid="{00000000-0005-0000-0000-0000C8070000}"/>
    <cellStyle name="Migliaia 12 5 2" xfId="4955" xr:uid="{00000000-0005-0000-0000-0000C9070000}"/>
    <cellStyle name="Migliaia 12 5 3" xfId="5766" xr:uid="{00000000-0005-0000-0000-0000CA070000}"/>
    <cellStyle name="Migliaia 12 6" xfId="4800" xr:uid="{00000000-0005-0000-0000-0000CB070000}"/>
    <cellStyle name="Migliaia 12 7" xfId="5759" xr:uid="{00000000-0005-0000-0000-0000CC070000}"/>
    <cellStyle name="Migliaia 13" xfId="516" xr:uid="{00000000-0005-0000-0000-0000CD070000}"/>
    <cellStyle name="Migliaia 13 2" xfId="517" xr:uid="{00000000-0005-0000-0000-0000CE070000}"/>
    <cellStyle name="Migliaia 13 2 2" xfId="2327" xr:uid="{00000000-0005-0000-0000-0000CF070000}"/>
    <cellStyle name="Migliaia 13 2 2 2" xfId="5387" xr:uid="{00000000-0005-0000-0000-0000D0070000}"/>
    <cellStyle name="Migliaia 13 2 2 3" xfId="6309" xr:uid="{00000000-0005-0000-0000-0000D1070000}"/>
    <cellStyle name="Migliaia 13 2 3" xfId="4868" xr:uid="{00000000-0005-0000-0000-0000D2070000}"/>
    <cellStyle name="Migliaia 13 2 4" xfId="5768" xr:uid="{00000000-0005-0000-0000-0000D3070000}"/>
    <cellStyle name="Migliaia 13 3" xfId="518" xr:uid="{00000000-0005-0000-0000-0000D4070000}"/>
    <cellStyle name="Migliaia 13 3 2" xfId="519" xr:uid="{00000000-0005-0000-0000-0000D5070000}"/>
    <cellStyle name="Migliaia 13 3 2 2" xfId="4957" xr:uid="{00000000-0005-0000-0000-0000D6070000}"/>
    <cellStyle name="Migliaia 13 3 2 3" xfId="5770" xr:uid="{00000000-0005-0000-0000-0000D7070000}"/>
    <cellStyle name="Migliaia 13 3 3" xfId="520" xr:uid="{00000000-0005-0000-0000-0000D8070000}"/>
    <cellStyle name="Migliaia 13 3 3 2" xfId="2329" xr:uid="{00000000-0005-0000-0000-0000D9070000}"/>
    <cellStyle name="Migliaia 13 3 3 2 2" xfId="5389" xr:uid="{00000000-0005-0000-0000-0000DA070000}"/>
    <cellStyle name="Migliaia 13 3 3 2 3" xfId="6311" xr:uid="{00000000-0005-0000-0000-0000DB070000}"/>
    <cellStyle name="Migliaia 13 3 3 3" xfId="4958" xr:uid="{00000000-0005-0000-0000-0000DC070000}"/>
    <cellStyle name="Migliaia 13 3 3 4" xfId="5771" xr:uid="{00000000-0005-0000-0000-0000DD070000}"/>
    <cellStyle name="Migliaia 13 3 4" xfId="2328" xr:uid="{00000000-0005-0000-0000-0000DE070000}"/>
    <cellStyle name="Migliaia 13 3 4 2" xfId="5388" xr:uid="{00000000-0005-0000-0000-0000DF070000}"/>
    <cellStyle name="Migliaia 13 3 4 3" xfId="6310" xr:uid="{00000000-0005-0000-0000-0000E0070000}"/>
    <cellStyle name="Migliaia 13 3 5" xfId="4956" xr:uid="{00000000-0005-0000-0000-0000E1070000}"/>
    <cellStyle name="Migliaia 13 3 6" xfId="5769" xr:uid="{00000000-0005-0000-0000-0000E2070000}"/>
    <cellStyle name="Migliaia 13 4" xfId="521" xr:uid="{00000000-0005-0000-0000-0000E3070000}"/>
    <cellStyle name="Migliaia 13 4 2" xfId="522" xr:uid="{00000000-0005-0000-0000-0000E4070000}"/>
    <cellStyle name="Migliaia 13 4 2 2" xfId="2331" xr:uid="{00000000-0005-0000-0000-0000E5070000}"/>
    <cellStyle name="Migliaia 13 4 2 2 2" xfId="5391" xr:uid="{00000000-0005-0000-0000-0000E6070000}"/>
    <cellStyle name="Migliaia 13 4 2 2 3" xfId="6313" xr:uid="{00000000-0005-0000-0000-0000E7070000}"/>
    <cellStyle name="Migliaia 13 4 2 3" xfId="4960" xr:uid="{00000000-0005-0000-0000-0000E8070000}"/>
    <cellStyle name="Migliaia 13 4 2 4" xfId="5773" xr:uid="{00000000-0005-0000-0000-0000E9070000}"/>
    <cellStyle name="Migliaia 13 4 3" xfId="2330" xr:uid="{00000000-0005-0000-0000-0000EA070000}"/>
    <cellStyle name="Migliaia 13 4 3 2" xfId="5390" xr:uid="{00000000-0005-0000-0000-0000EB070000}"/>
    <cellStyle name="Migliaia 13 4 3 3" xfId="6312" xr:uid="{00000000-0005-0000-0000-0000EC070000}"/>
    <cellStyle name="Migliaia 13 4 4" xfId="4959" xr:uid="{00000000-0005-0000-0000-0000ED070000}"/>
    <cellStyle name="Migliaia 13 4 5" xfId="5772" xr:uid="{00000000-0005-0000-0000-0000EE070000}"/>
    <cellStyle name="Migliaia 13 5" xfId="523" xr:uid="{00000000-0005-0000-0000-0000EF070000}"/>
    <cellStyle name="Migliaia 13 5 2" xfId="4961" xr:uid="{00000000-0005-0000-0000-0000F0070000}"/>
    <cellStyle name="Migliaia 13 5 3" xfId="5774" xr:uid="{00000000-0005-0000-0000-0000F1070000}"/>
    <cellStyle name="Migliaia 13 6" xfId="4801" xr:uid="{00000000-0005-0000-0000-0000F2070000}"/>
    <cellStyle name="Migliaia 13 7" xfId="5767" xr:uid="{00000000-0005-0000-0000-0000F3070000}"/>
    <cellStyle name="Migliaia 14" xfId="524" xr:uid="{00000000-0005-0000-0000-0000F4070000}"/>
    <cellStyle name="Migliaia 14 2" xfId="525" xr:uid="{00000000-0005-0000-0000-0000F5070000}"/>
    <cellStyle name="Migliaia 14 2 2" xfId="2332" xr:uid="{00000000-0005-0000-0000-0000F6070000}"/>
    <cellStyle name="Migliaia 14 2 2 2" xfId="5392" xr:uid="{00000000-0005-0000-0000-0000F7070000}"/>
    <cellStyle name="Migliaia 14 2 2 3" xfId="6314" xr:uid="{00000000-0005-0000-0000-0000F8070000}"/>
    <cellStyle name="Migliaia 14 2 3" xfId="4869" xr:uid="{00000000-0005-0000-0000-0000F9070000}"/>
    <cellStyle name="Migliaia 14 2 4" xfId="5776" xr:uid="{00000000-0005-0000-0000-0000FA070000}"/>
    <cellStyle name="Migliaia 14 3" xfId="526" xr:uid="{00000000-0005-0000-0000-0000FB070000}"/>
    <cellStyle name="Migliaia 14 3 2" xfId="527" xr:uid="{00000000-0005-0000-0000-0000FC070000}"/>
    <cellStyle name="Migliaia 14 3 2 2" xfId="4963" xr:uid="{00000000-0005-0000-0000-0000FD070000}"/>
    <cellStyle name="Migliaia 14 3 2 3" xfId="5778" xr:uid="{00000000-0005-0000-0000-0000FE070000}"/>
    <cellStyle name="Migliaia 14 3 3" xfId="528" xr:uid="{00000000-0005-0000-0000-0000FF070000}"/>
    <cellStyle name="Migliaia 14 3 3 2" xfId="2334" xr:uid="{00000000-0005-0000-0000-000000080000}"/>
    <cellStyle name="Migliaia 14 3 3 2 2" xfId="5394" xr:uid="{00000000-0005-0000-0000-000001080000}"/>
    <cellStyle name="Migliaia 14 3 3 2 3" xfId="6316" xr:uid="{00000000-0005-0000-0000-000002080000}"/>
    <cellStyle name="Migliaia 14 3 3 3" xfId="4964" xr:uid="{00000000-0005-0000-0000-000003080000}"/>
    <cellStyle name="Migliaia 14 3 3 4" xfId="5779" xr:uid="{00000000-0005-0000-0000-000004080000}"/>
    <cellStyle name="Migliaia 14 3 4" xfId="2333" xr:uid="{00000000-0005-0000-0000-000005080000}"/>
    <cellStyle name="Migliaia 14 3 4 2" xfId="5393" xr:uid="{00000000-0005-0000-0000-000006080000}"/>
    <cellStyle name="Migliaia 14 3 4 3" xfId="6315" xr:uid="{00000000-0005-0000-0000-000007080000}"/>
    <cellStyle name="Migliaia 14 3 5" xfId="4962" xr:uid="{00000000-0005-0000-0000-000008080000}"/>
    <cellStyle name="Migliaia 14 3 6" xfId="5777" xr:uid="{00000000-0005-0000-0000-000009080000}"/>
    <cellStyle name="Migliaia 14 4" xfId="529" xr:uid="{00000000-0005-0000-0000-00000A080000}"/>
    <cellStyle name="Migliaia 14 4 2" xfId="530" xr:uid="{00000000-0005-0000-0000-00000B080000}"/>
    <cellStyle name="Migliaia 14 4 2 2" xfId="2336" xr:uid="{00000000-0005-0000-0000-00000C080000}"/>
    <cellStyle name="Migliaia 14 4 2 2 2" xfId="5396" xr:uid="{00000000-0005-0000-0000-00000D080000}"/>
    <cellStyle name="Migliaia 14 4 2 2 3" xfId="6318" xr:uid="{00000000-0005-0000-0000-00000E080000}"/>
    <cellStyle name="Migliaia 14 4 2 3" xfId="4966" xr:uid="{00000000-0005-0000-0000-00000F080000}"/>
    <cellStyle name="Migliaia 14 4 2 4" xfId="5781" xr:uid="{00000000-0005-0000-0000-000010080000}"/>
    <cellStyle name="Migliaia 14 4 3" xfId="2335" xr:uid="{00000000-0005-0000-0000-000011080000}"/>
    <cellStyle name="Migliaia 14 4 3 2" xfId="5395" xr:uid="{00000000-0005-0000-0000-000012080000}"/>
    <cellStyle name="Migliaia 14 4 3 3" xfId="6317" xr:uid="{00000000-0005-0000-0000-000013080000}"/>
    <cellStyle name="Migliaia 14 4 4" xfId="4965" xr:uid="{00000000-0005-0000-0000-000014080000}"/>
    <cellStyle name="Migliaia 14 4 5" xfId="5780" xr:uid="{00000000-0005-0000-0000-000015080000}"/>
    <cellStyle name="Migliaia 14 5" xfId="531" xr:uid="{00000000-0005-0000-0000-000016080000}"/>
    <cellStyle name="Migliaia 14 5 2" xfId="4967" xr:uid="{00000000-0005-0000-0000-000017080000}"/>
    <cellStyle name="Migliaia 14 5 3" xfId="5782" xr:uid="{00000000-0005-0000-0000-000018080000}"/>
    <cellStyle name="Migliaia 14 6" xfId="4802" xr:uid="{00000000-0005-0000-0000-000019080000}"/>
    <cellStyle name="Migliaia 14 7" xfId="5775" xr:uid="{00000000-0005-0000-0000-00001A080000}"/>
    <cellStyle name="Migliaia 15" xfId="532" xr:uid="{00000000-0005-0000-0000-00001B080000}"/>
    <cellStyle name="Migliaia 15 2" xfId="533" xr:uid="{00000000-0005-0000-0000-00001C080000}"/>
    <cellStyle name="Migliaia 15 2 2" xfId="2337" xr:uid="{00000000-0005-0000-0000-00001D080000}"/>
    <cellStyle name="Migliaia 15 2 2 2" xfId="5397" xr:uid="{00000000-0005-0000-0000-00001E080000}"/>
    <cellStyle name="Migliaia 15 2 2 3" xfId="6319" xr:uid="{00000000-0005-0000-0000-00001F080000}"/>
    <cellStyle name="Migliaia 15 2 3" xfId="4870" xr:uid="{00000000-0005-0000-0000-000020080000}"/>
    <cellStyle name="Migliaia 15 2 4" xfId="5784" xr:uid="{00000000-0005-0000-0000-000021080000}"/>
    <cellStyle name="Migliaia 15 3" xfId="534" xr:uid="{00000000-0005-0000-0000-000022080000}"/>
    <cellStyle name="Migliaia 15 3 2" xfId="535" xr:uid="{00000000-0005-0000-0000-000023080000}"/>
    <cellStyle name="Migliaia 15 3 2 2" xfId="4969" xr:uid="{00000000-0005-0000-0000-000024080000}"/>
    <cellStyle name="Migliaia 15 3 2 3" xfId="5786" xr:uid="{00000000-0005-0000-0000-000025080000}"/>
    <cellStyle name="Migliaia 15 3 3" xfId="536" xr:uid="{00000000-0005-0000-0000-000026080000}"/>
    <cellStyle name="Migliaia 15 3 3 2" xfId="2339" xr:uid="{00000000-0005-0000-0000-000027080000}"/>
    <cellStyle name="Migliaia 15 3 3 2 2" xfId="5399" xr:uid="{00000000-0005-0000-0000-000028080000}"/>
    <cellStyle name="Migliaia 15 3 3 2 3" xfId="6321" xr:uid="{00000000-0005-0000-0000-000029080000}"/>
    <cellStyle name="Migliaia 15 3 3 3" xfId="4970" xr:uid="{00000000-0005-0000-0000-00002A080000}"/>
    <cellStyle name="Migliaia 15 3 3 4" xfId="5787" xr:uid="{00000000-0005-0000-0000-00002B080000}"/>
    <cellStyle name="Migliaia 15 3 4" xfId="2338" xr:uid="{00000000-0005-0000-0000-00002C080000}"/>
    <cellStyle name="Migliaia 15 3 4 2" xfId="5398" xr:uid="{00000000-0005-0000-0000-00002D080000}"/>
    <cellStyle name="Migliaia 15 3 4 3" xfId="6320" xr:uid="{00000000-0005-0000-0000-00002E080000}"/>
    <cellStyle name="Migliaia 15 3 5" xfId="4968" xr:uid="{00000000-0005-0000-0000-00002F080000}"/>
    <cellStyle name="Migliaia 15 3 6" xfId="5785" xr:uid="{00000000-0005-0000-0000-000030080000}"/>
    <cellStyle name="Migliaia 15 4" xfId="537" xr:uid="{00000000-0005-0000-0000-000031080000}"/>
    <cellStyle name="Migliaia 15 4 2" xfId="538" xr:uid="{00000000-0005-0000-0000-000032080000}"/>
    <cellStyle name="Migliaia 15 4 2 2" xfId="2341" xr:uid="{00000000-0005-0000-0000-000033080000}"/>
    <cellStyle name="Migliaia 15 4 2 2 2" xfId="5401" xr:uid="{00000000-0005-0000-0000-000034080000}"/>
    <cellStyle name="Migliaia 15 4 2 2 3" xfId="6323" xr:uid="{00000000-0005-0000-0000-000035080000}"/>
    <cellStyle name="Migliaia 15 4 2 3" xfId="4972" xr:uid="{00000000-0005-0000-0000-000036080000}"/>
    <cellStyle name="Migliaia 15 4 2 4" xfId="5789" xr:uid="{00000000-0005-0000-0000-000037080000}"/>
    <cellStyle name="Migliaia 15 4 3" xfId="2340" xr:uid="{00000000-0005-0000-0000-000038080000}"/>
    <cellStyle name="Migliaia 15 4 3 2" xfId="5400" xr:uid="{00000000-0005-0000-0000-000039080000}"/>
    <cellStyle name="Migliaia 15 4 3 3" xfId="6322" xr:uid="{00000000-0005-0000-0000-00003A080000}"/>
    <cellStyle name="Migliaia 15 4 4" xfId="4971" xr:uid="{00000000-0005-0000-0000-00003B080000}"/>
    <cellStyle name="Migliaia 15 4 5" xfId="5788" xr:uid="{00000000-0005-0000-0000-00003C080000}"/>
    <cellStyle name="Migliaia 15 5" xfId="539" xr:uid="{00000000-0005-0000-0000-00003D080000}"/>
    <cellStyle name="Migliaia 15 5 2" xfId="4973" xr:uid="{00000000-0005-0000-0000-00003E080000}"/>
    <cellStyle name="Migliaia 15 5 3" xfId="5790" xr:uid="{00000000-0005-0000-0000-00003F080000}"/>
    <cellStyle name="Migliaia 15 6" xfId="4803" xr:uid="{00000000-0005-0000-0000-000040080000}"/>
    <cellStyle name="Migliaia 15 7" xfId="5783" xr:uid="{00000000-0005-0000-0000-000041080000}"/>
    <cellStyle name="Migliaia 16" xfId="540" xr:uid="{00000000-0005-0000-0000-000042080000}"/>
    <cellStyle name="Migliaia 16 2" xfId="541" xr:uid="{00000000-0005-0000-0000-000043080000}"/>
    <cellStyle name="Migliaia 16 2 2" xfId="2342" xr:uid="{00000000-0005-0000-0000-000044080000}"/>
    <cellStyle name="Migliaia 16 2 2 2" xfId="5402" xr:uid="{00000000-0005-0000-0000-000045080000}"/>
    <cellStyle name="Migliaia 16 2 2 3" xfId="6324" xr:uid="{00000000-0005-0000-0000-000046080000}"/>
    <cellStyle name="Migliaia 16 2 3" xfId="4871" xr:uid="{00000000-0005-0000-0000-000047080000}"/>
    <cellStyle name="Migliaia 16 2 4" xfId="5792" xr:uid="{00000000-0005-0000-0000-000048080000}"/>
    <cellStyle name="Migliaia 16 3" xfId="542" xr:uid="{00000000-0005-0000-0000-000049080000}"/>
    <cellStyle name="Migliaia 16 3 2" xfId="543" xr:uid="{00000000-0005-0000-0000-00004A080000}"/>
    <cellStyle name="Migliaia 16 3 2 2" xfId="4975" xr:uid="{00000000-0005-0000-0000-00004B080000}"/>
    <cellStyle name="Migliaia 16 3 2 3" xfId="5794" xr:uid="{00000000-0005-0000-0000-00004C080000}"/>
    <cellStyle name="Migliaia 16 3 3" xfId="544" xr:uid="{00000000-0005-0000-0000-00004D080000}"/>
    <cellStyle name="Migliaia 16 3 3 2" xfId="2344" xr:uid="{00000000-0005-0000-0000-00004E080000}"/>
    <cellStyle name="Migliaia 16 3 3 2 2" xfId="5404" xr:uid="{00000000-0005-0000-0000-00004F080000}"/>
    <cellStyle name="Migliaia 16 3 3 2 3" xfId="6326" xr:uid="{00000000-0005-0000-0000-000050080000}"/>
    <cellStyle name="Migliaia 16 3 3 3" xfId="4976" xr:uid="{00000000-0005-0000-0000-000051080000}"/>
    <cellStyle name="Migliaia 16 3 3 4" xfId="5795" xr:uid="{00000000-0005-0000-0000-000052080000}"/>
    <cellStyle name="Migliaia 16 3 4" xfId="2343" xr:uid="{00000000-0005-0000-0000-000053080000}"/>
    <cellStyle name="Migliaia 16 3 4 2" xfId="5403" xr:uid="{00000000-0005-0000-0000-000054080000}"/>
    <cellStyle name="Migliaia 16 3 4 3" xfId="6325" xr:uid="{00000000-0005-0000-0000-000055080000}"/>
    <cellStyle name="Migliaia 16 3 5" xfId="4974" xr:uid="{00000000-0005-0000-0000-000056080000}"/>
    <cellStyle name="Migliaia 16 3 6" xfId="5793" xr:uid="{00000000-0005-0000-0000-000057080000}"/>
    <cellStyle name="Migliaia 16 4" xfId="545" xr:uid="{00000000-0005-0000-0000-000058080000}"/>
    <cellStyle name="Migliaia 16 4 2" xfId="546" xr:uid="{00000000-0005-0000-0000-000059080000}"/>
    <cellStyle name="Migliaia 16 4 2 2" xfId="2346" xr:uid="{00000000-0005-0000-0000-00005A080000}"/>
    <cellStyle name="Migliaia 16 4 2 2 2" xfId="5406" xr:uid="{00000000-0005-0000-0000-00005B080000}"/>
    <cellStyle name="Migliaia 16 4 2 2 3" xfId="6328" xr:uid="{00000000-0005-0000-0000-00005C080000}"/>
    <cellStyle name="Migliaia 16 4 2 3" xfId="4978" xr:uid="{00000000-0005-0000-0000-00005D080000}"/>
    <cellStyle name="Migliaia 16 4 2 4" xfId="5797" xr:uid="{00000000-0005-0000-0000-00005E080000}"/>
    <cellStyle name="Migliaia 16 4 3" xfId="2345" xr:uid="{00000000-0005-0000-0000-00005F080000}"/>
    <cellStyle name="Migliaia 16 4 3 2" xfId="5405" xr:uid="{00000000-0005-0000-0000-000060080000}"/>
    <cellStyle name="Migliaia 16 4 3 3" xfId="6327" xr:uid="{00000000-0005-0000-0000-000061080000}"/>
    <cellStyle name="Migliaia 16 4 4" xfId="4977" xr:uid="{00000000-0005-0000-0000-000062080000}"/>
    <cellStyle name="Migliaia 16 4 5" xfId="5796" xr:uid="{00000000-0005-0000-0000-000063080000}"/>
    <cellStyle name="Migliaia 16 5" xfId="547" xr:uid="{00000000-0005-0000-0000-000064080000}"/>
    <cellStyle name="Migliaia 16 5 2" xfId="4979" xr:uid="{00000000-0005-0000-0000-000065080000}"/>
    <cellStyle name="Migliaia 16 5 3" xfId="5798" xr:uid="{00000000-0005-0000-0000-000066080000}"/>
    <cellStyle name="Migliaia 16 6" xfId="4804" xr:uid="{00000000-0005-0000-0000-000067080000}"/>
    <cellStyle name="Migliaia 16 7" xfId="5791" xr:uid="{00000000-0005-0000-0000-000068080000}"/>
    <cellStyle name="Migliaia 17" xfId="548" xr:uid="{00000000-0005-0000-0000-000069080000}"/>
    <cellStyle name="Migliaia 17 2" xfId="549" xr:uid="{00000000-0005-0000-0000-00006A080000}"/>
    <cellStyle name="Migliaia 17 2 2" xfId="2347" xr:uid="{00000000-0005-0000-0000-00006B080000}"/>
    <cellStyle name="Migliaia 17 2 2 2" xfId="5407" xr:uid="{00000000-0005-0000-0000-00006C080000}"/>
    <cellStyle name="Migliaia 17 2 2 3" xfId="6329" xr:uid="{00000000-0005-0000-0000-00006D080000}"/>
    <cellStyle name="Migliaia 17 2 3" xfId="4872" xr:uid="{00000000-0005-0000-0000-00006E080000}"/>
    <cellStyle name="Migliaia 17 2 4" xfId="5800" xr:uid="{00000000-0005-0000-0000-00006F080000}"/>
    <cellStyle name="Migliaia 17 3" xfId="550" xr:uid="{00000000-0005-0000-0000-000070080000}"/>
    <cellStyle name="Migliaia 17 3 2" xfId="551" xr:uid="{00000000-0005-0000-0000-000071080000}"/>
    <cellStyle name="Migliaia 17 3 2 2" xfId="4981" xr:uid="{00000000-0005-0000-0000-000072080000}"/>
    <cellStyle name="Migliaia 17 3 2 3" xfId="5802" xr:uid="{00000000-0005-0000-0000-000073080000}"/>
    <cellStyle name="Migliaia 17 3 3" xfId="552" xr:uid="{00000000-0005-0000-0000-000074080000}"/>
    <cellStyle name="Migliaia 17 3 3 2" xfId="2349" xr:uid="{00000000-0005-0000-0000-000075080000}"/>
    <cellStyle name="Migliaia 17 3 3 2 2" xfId="5409" xr:uid="{00000000-0005-0000-0000-000076080000}"/>
    <cellStyle name="Migliaia 17 3 3 2 3" xfId="6331" xr:uid="{00000000-0005-0000-0000-000077080000}"/>
    <cellStyle name="Migliaia 17 3 3 3" xfId="4982" xr:uid="{00000000-0005-0000-0000-000078080000}"/>
    <cellStyle name="Migliaia 17 3 3 4" xfId="5803" xr:uid="{00000000-0005-0000-0000-000079080000}"/>
    <cellStyle name="Migliaia 17 3 4" xfId="2348" xr:uid="{00000000-0005-0000-0000-00007A080000}"/>
    <cellStyle name="Migliaia 17 3 4 2" xfId="5408" xr:uid="{00000000-0005-0000-0000-00007B080000}"/>
    <cellStyle name="Migliaia 17 3 4 3" xfId="6330" xr:uid="{00000000-0005-0000-0000-00007C080000}"/>
    <cellStyle name="Migliaia 17 3 5" xfId="4980" xr:uid="{00000000-0005-0000-0000-00007D080000}"/>
    <cellStyle name="Migliaia 17 3 6" xfId="5801" xr:uid="{00000000-0005-0000-0000-00007E080000}"/>
    <cellStyle name="Migliaia 17 4" xfId="553" xr:uid="{00000000-0005-0000-0000-00007F080000}"/>
    <cellStyle name="Migliaia 17 4 2" xfId="554" xr:uid="{00000000-0005-0000-0000-000080080000}"/>
    <cellStyle name="Migliaia 17 4 2 2" xfId="2351" xr:uid="{00000000-0005-0000-0000-000081080000}"/>
    <cellStyle name="Migliaia 17 4 2 2 2" xfId="5411" xr:uid="{00000000-0005-0000-0000-000082080000}"/>
    <cellStyle name="Migliaia 17 4 2 2 3" xfId="6333" xr:uid="{00000000-0005-0000-0000-000083080000}"/>
    <cellStyle name="Migliaia 17 4 2 3" xfId="4984" xr:uid="{00000000-0005-0000-0000-000084080000}"/>
    <cellStyle name="Migliaia 17 4 2 4" xfId="5805" xr:uid="{00000000-0005-0000-0000-000085080000}"/>
    <cellStyle name="Migliaia 17 4 3" xfId="2350" xr:uid="{00000000-0005-0000-0000-000086080000}"/>
    <cellStyle name="Migliaia 17 4 3 2" xfId="5410" xr:uid="{00000000-0005-0000-0000-000087080000}"/>
    <cellStyle name="Migliaia 17 4 3 3" xfId="6332" xr:uid="{00000000-0005-0000-0000-000088080000}"/>
    <cellStyle name="Migliaia 17 4 4" xfId="4983" xr:uid="{00000000-0005-0000-0000-000089080000}"/>
    <cellStyle name="Migliaia 17 4 5" xfId="5804" xr:uid="{00000000-0005-0000-0000-00008A080000}"/>
    <cellStyle name="Migliaia 17 5" xfId="555" xr:uid="{00000000-0005-0000-0000-00008B080000}"/>
    <cellStyle name="Migliaia 17 5 2" xfId="4985" xr:uid="{00000000-0005-0000-0000-00008C080000}"/>
    <cellStyle name="Migliaia 17 5 3" xfId="5806" xr:uid="{00000000-0005-0000-0000-00008D080000}"/>
    <cellStyle name="Migliaia 17 6" xfId="4805" xr:uid="{00000000-0005-0000-0000-00008E080000}"/>
    <cellStyle name="Migliaia 17 7" xfId="5799" xr:uid="{00000000-0005-0000-0000-00008F080000}"/>
    <cellStyle name="Migliaia 18" xfId="556" xr:uid="{00000000-0005-0000-0000-000090080000}"/>
    <cellStyle name="Migliaia 18 2" xfId="557" xr:uid="{00000000-0005-0000-0000-000091080000}"/>
    <cellStyle name="Migliaia 18 2 2" xfId="2352" xr:uid="{00000000-0005-0000-0000-000092080000}"/>
    <cellStyle name="Migliaia 18 2 2 2" xfId="5412" xr:uid="{00000000-0005-0000-0000-000093080000}"/>
    <cellStyle name="Migliaia 18 2 2 3" xfId="6334" xr:uid="{00000000-0005-0000-0000-000094080000}"/>
    <cellStyle name="Migliaia 18 2 3" xfId="4873" xr:uid="{00000000-0005-0000-0000-000095080000}"/>
    <cellStyle name="Migliaia 18 2 4" xfId="5808" xr:uid="{00000000-0005-0000-0000-000096080000}"/>
    <cellStyle name="Migliaia 18 3" xfId="558" xr:uid="{00000000-0005-0000-0000-000097080000}"/>
    <cellStyle name="Migliaia 18 3 2" xfId="559" xr:uid="{00000000-0005-0000-0000-000098080000}"/>
    <cellStyle name="Migliaia 18 3 2 2" xfId="4987" xr:uid="{00000000-0005-0000-0000-000099080000}"/>
    <cellStyle name="Migliaia 18 3 2 3" xfId="5810" xr:uid="{00000000-0005-0000-0000-00009A080000}"/>
    <cellStyle name="Migliaia 18 3 3" xfId="560" xr:uid="{00000000-0005-0000-0000-00009B080000}"/>
    <cellStyle name="Migliaia 18 3 3 2" xfId="2354" xr:uid="{00000000-0005-0000-0000-00009C080000}"/>
    <cellStyle name="Migliaia 18 3 3 2 2" xfId="5414" xr:uid="{00000000-0005-0000-0000-00009D080000}"/>
    <cellStyle name="Migliaia 18 3 3 2 3" xfId="6336" xr:uid="{00000000-0005-0000-0000-00009E080000}"/>
    <cellStyle name="Migliaia 18 3 3 3" xfId="4988" xr:uid="{00000000-0005-0000-0000-00009F080000}"/>
    <cellStyle name="Migliaia 18 3 3 4" xfId="5811" xr:uid="{00000000-0005-0000-0000-0000A0080000}"/>
    <cellStyle name="Migliaia 18 3 4" xfId="2353" xr:uid="{00000000-0005-0000-0000-0000A1080000}"/>
    <cellStyle name="Migliaia 18 3 4 2" xfId="5413" xr:uid="{00000000-0005-0000-0000-0000A2080000}"/>
    <cellStyle name="Migliaia 18 3 4 3" xfId="6335" xr:uid="{00000000-0005-0000-0000-0000A3080000}"/>
    <cellStyle name="Migliaia 18 3 5" xfId="4986" xr:uid="{00000000-0005-0000-0000-0000A4080000}"/>
    <cellStyle name="Migliaia 18 3 6" xfId="5809" xr:uid="{00000000-0005-0000-0000-0000A5080000}"/>
    <cellStyle name="Migliaia 18 4" xfId="561" xr:uid="{00000000-0005-0000-0000-0000A6080000}"/>
    <cellStyle name="Migliaia 18 4 2" xfId="562" xr:uid="{00000000-0005-0000-0000-0000A7080000}"/>
    <cellStyle name="Migliaia 18 4 2 2" xfId="2356" xr:uid="{00000000-0005-0000-0000-0000A8080000}"/>
    <cellStyle name="Migliaia 18 4 2 2 2" xfId="5416" xr:uid="{00000000-0005-0000-0000-0000A9080000}"/>
    <cellStyle name="Migliaia 18 4 2 2 3" xfId="6338" xr:uid="{00000000-0005-0000-0000-0000AA080000}"/>
    <cellStyle name="Migliaia 18 4 2 3" xfId="4990" xr:uid="{00000000-0005-0000-0000-0000AB080000}"/>
    <cellStyle name="Migliaia 18 4 2 4" xfId="5813" xr:uid="{00000000-0005-0000-0000-0000AC080000}"/>
    <cellStyle name="Migliaia 18 4 3" xfId="2355" xr:uid="{00000000-0005-0000-0000-0000AD080000}"/>
    <cellStyle name="Migliaia 18 4 3 2" xfId="5415" xr:uid="{00000000-0005-0000-0000-0000AE080000}"/>
    <cellStyle name="Migliaia 18 4 3 3" xfId="6337" xr:uid="{00000000-0005-0000-0000-0000AF080000}"/>
    <cellStyle name="Migliaia 18 4 4" xfId="4989" xr:uid="{00000000-0005-0000-0000-0000B0080000}"/>
    <cellStyle name="Migliaia 18 4 5" xfId="5812" xr:uid="{00000000-0005-0000-0000-0000B1080000}"/>
    <cellStyle name="Migliaia 18 5" xfId="563" xr:uid="{00000000-0005-0000-0000-0000B2080000}"/>
    <cellStyle name="Migliaia 18 5 2" xfId="4991" xr:uid="{00000000-0005-0000-0000-0000B3080000}"/>
    <cellStyle name="Migliaia 18 5 3" xfId="5814" xr:uid="{00000000-0005-0000-0000-0000B4080000}"/>
    <cellStyle name="Migliaia 18 6" xfId="4806" xr:uid="{00000000-0005-0000-0000-0000B5080000}"/>
    <cellStyle name="Migliaia 18 7" xfId="5807" xr:uid="{00000000-0005-0000-0000-0000B6080000}"/>
    <cellStyle name="Migliaia 19" xfId="564" xr:uid="{00000000-0005-0000-0000-0000B7080000}"/>
    <cellStyle name="Migliaia 19 2" xfId="565" xr:uid="{00000000-0005-0000-0000-0000B8080000}"/>
    <cellStyle name="Migliaia 19 2 2" xfId="2357" xr:uid="{00000000-0005-0000-0000-0000B9080000}"/>
    <cellStyle name="Migliaia 19 2 2 2" xfId="5417" xr:uid="{00000000-0005-0000-0000-0000BA080000}"/>
    <cellStyle name="Migliaia 19 2 2 3" xfId="6339" xr:uid="{00000000-0005-0000-0000-0000BB080000}"/>
    <cellStyle name="Migliaia 19 2 3" xfId="4874" xr:uid="{00000000-0005-0000-0000-0000BC080000}"/>
    <cellStyle name="Migliaia 19 2 4" xfId="5816" xr:uid="{00000000-0005-0000-0000-0000BD080000}"/>
    <cellStyle name="Migliaia 19 3" xfId="566" xr:uid="{00000000-0005-0000-0000-0000BE080000}"/>
    <cellStyle name="Migliaia 19 3 2" xfId="567" xr:uid="{00000000-0005-0000-0000-0000BF080000}"/>
    <cellStyle name="Migliaia 19 3 2 2" xfId="4993" xr:uid="{00000000-0005-0000-0000-0000C0080000}"/>
    <cellStyle name="Migliaia 19 3 2 3" xfId="5818" xr:uid="{00000000-0005-0000-0000-0000C1080000}"/>
    <cellStyle name="Migliaia 19 3 3" xfId="568" xr:uid="{00000000-0005-0000-0000-0000C2080000}"/>
    <cellStyle name="Migliaia 19 3 3 2" xfId="2359" xr:uid="{00000000-0005-0000-0000-0000C3080000}"/>
    <cellStyle name="Migliaia 19 3 3 2 2" xfId="5419" xr:uid="{00000000-0005-0000-0000-0000C4080000}"/>
    <cellStyle name="Migliaia 19 3 3 2 3" xfId="6341" xr:uid="{00000000-0005-0000-0000-0000C5080000}"/>
    <cellStyle name="Migliaia 19 3 3 3" xfId="4994" xr:uid="{00000000-0005-0000-0000-0000C6080000}"/>
    <cellStyle name="Migliaia 19 3 3 4" xfId="5819" xr:uid="{00000000-0005-0000-0000-0000C7080000}"/>
    <cellStyle name="Migliaia 19 3 4" xfId="2358" xr:uid="{00000000-0005-0000-0000-0000C8080000}"/>
    <cellStyle name="Migliaia 19 3 4 2" xfId="5418" xr:uid="{00000000-0005-0000-0000-0000C9080000}"/>
    <cellStyle name="Migliaia 19 3 4 3" xfId="6340" xr:uid="{00000000-0005-0000-0000-0000CA080000}"/>
    <cellStyle name="Migliaia 19 3 5" xfId="4992" xr:uid="{00000000-0005-0000-0000-0000CB080000}"/>
    <cellStyle name="Migliaia 19 3 6" xfId="5817" xr:uid="{00000000-0005-0000-0000-0000CC080000}"/>
    <cellStyle name="Migliaia 19 4" xfId="569" xr:uid="{00000000-0005-0000-0000-0000CD080000}"/>
    <cellStyle name="Migliaia 19 4 2" xfId="570" xr:uid="{00000000-0005-0000-0000-0000CE080000}"/>
    <cellStyle name="Migliaia 19 4 2 2" xfId="2361" xr:uid="{00000000-0005-0000-0000-0000CF080000}"/>
    <cellStyle name="Migliaia 19 4 2 2 2" xfId="5421" xr:uid="{00000000-0005-0000-0000-0000D0080000}"/>
    <cellStyle name="Migliaia 19 4 2 2 3" xfId="6343" xr:uid="{00000000-0005-0000-0000-0000D1080000}"/>
    <cellStyle name="Migliaia 19 4 2 3" xfId="4996" xr:uid="{00000000-0005-0000-0000-0000D2080000}"/>
    <cellStyle name="Migliaia 19 4 2 4" xfId="5821" xr:uid="{00000000-0005-0000-0000-0000D3080000}"/>
    <cellStyle name="Migliaia 19 4 3" xfId="2360" xr:uid="{00000000-0005-0000-0000-0000D4080000}"/>
    <cellStyle name="Migliaia 19 4 3 2" xfId="5420" xr:uid="{00000000-0005-0000-0000-0000D5080000}"/>
    <cellStyle name="Migliaia 19 4 3 3" xfId="6342" xr:uid="{00000000-0005-0000-0000-0000D6080000}"/>
    <cellStyle name="Migliaia 19 4 4" xfId="4995" xr:uid="{00000000-0005-0000-0000-0000D7080000}"/>
    <cellStyle name="Migliaia 19 4 5" xfId="5820" xr:uid="{00000000-0005-0000-0000-0000D8080000}"/>
    <cellStyle name="Migliaia 19 5" xfId="571" xr:uid="{00000000-0005-0000-0000-0000D9080000}"/>
    <cellStyle name="Migliaia 19 5 2" xfId="4997" xr:uid="{00000000-0005-0000-0000-0000DA080000}"/>
    <cellStyle name="Migliaia 19 5 3" xfId="5822" xr:uid="{00000000-0005-0000-0000-0000DB080000}"/>
    <cellStyle name="Migliaia 19 6" xfId="4807" xr:uid="{00000000-0005-0000-0000-0000DC080000}"/>
    <cellStyle name="Migliaia 19 7" xfId="5815" xr:uid="{00000000-0005-0000-0000-0000DD080000}"/>
    <cellStyle name="Migliaia 2" xfId="572" xr:uid="{00000000-0005-0000-0000-0000DE080000}"/>
    <cellStyle name="Migliaia 2 2" xfId="573" xr:uid="{00000000-0005-0000-0000-0000DF080000}"/>
    <cellStyle name="Migliaia 2 2 2" xfId="2068" xr:uid="{00000000-0005-0000-0000-0000E0080000}"/>
    <cellStyle name="Migliaia 2 2 2 2" xfId="5367" xr:uid="{00000000-0005-0000-0000-0000E1080000}"/>
    <cellStyle name="Migliaia 2 2 2 3" xfId="6289" xr:uid="{00000000-0005-0000-0000-0000E2080000}"/>
    <cellStyle name="Migliaia 2 2 3" xfId="4809" xr:uid="{00000000-0005-0000-0000-0000E3080000}"/>
    <cellStyle name="Migliaia 2 2 4" xfId="5824" xr:uid="{00000000-0005-0000-0000-0000E4080000}"/>
    <cellStyle name="Migliaia 2 3" xfId="574" xr:uid="{00000000-0005-0000-0000-0000E5080000}"/>
    <cellStyle name="Migliaia 2 3 2" xfId="2069" xr:uid="{00000000-0005-0000-0000-0000E6080000}"/>
    <cellStyle name="Migliaia 2 3 2 2" xfId="5368" xr:uid="{00000000-0005-0000-0000-0000E7080000}"/>
    <cellStyle name="Migliaia 2 3 2 3" xfId="6290" xr:uid="{00000000-0005-0000-0000-0000E8080000}"/>
    <cellStyle name="Migliaia 2 3 3" xfId="4810" xr:uid="{00000000-0005-0000-0000-0000E9080000}"/>
    <cellStyle name="Migliaia 2 3 4" xfId="5825" xr:uid="{00000000-0005-0000-0000-0000EA080000}"/>
    <cellStyle name="Migliaia 2 4" xfId="575" xr:uid="{00000000-0005-0000-0000-0000EB080000}"/>
    <cellStyle name="Migliaia 2 4 2" xfId="576" xr:uid="{00000000-0005-0000-0000-0000EC080000}"/>
    <cellStyle name="Migliaia 2 4 2 2" xfId="4999" xr:uid="{00000000-0005-0000-0000-0000ED080000}"/>
    <cellStyle name="Migliaia 2 4 2 3" xfId="5827" xr:uid="{00000000-0005-0000-0000-0000EE080000}"/>
    <cellStyle name="Migliaia 2 4 3" xfId="577" xr:uid="{00000000-0005-0000-0000-0000EF080000}"/>
    <cellStyle name="Migliaia 2 4 3 2" xfId="2363" xr:uid="{00000000-0005-0000-0000-0000F0080000}"/>
    <cellStyle name="Migliaia 2 4 3 2 2" xfId="5423" xr:uid="{00000000-0005-0000-0000-0000F1080000}"/>
    <cellStyle name="Migliaia 2 4 3 2 3" xfId="6345" xr:uid="{00000000-0005-0000-0000-0000F2080000}"/>
    <cellStyle name="Migliaia 2 4 3 3" xfId="5000" xr:uid="{00000000-0005-0000-0000-0000F3080000}"/>
    <cellStyle name="Migliaia 2 4 3 4" xfId="5828" xr:uid="{00000000-0005-0000-0000-0000F4080000}"/>
    <cellStyle name="Migliaia 2 4 4" xfId="2362" xr:uid="{00000000-0005-0000-0000-0000F5080000}"/>
    <cellStyle name="Migliaia 2 4 4 2" xfId="5422" xr:uid="{00000000-0005-0000-0000-0000F6080000}"/>
    <cellStyle name="Migliaia 2 4 4 3" xfId="6344" xr:uid="{00000000-0005-0000-0000-0000F7080000}"/>
    <cellStyle name="Migliaia 2 4 5" xfId="4998" xr:uid="{00000000-0005-0000-0000-0000F8080000}"/>
    <cellStyle name="Migliaia 2 4 6" xfId="5826" xr:uid="{00000000-0005-0000-0000-0000F9080000}"/>
    <cellStyle name="Migliaia 2 5" xfId="578" xr:uid="{00000000-0005-0000-0000-0000FA080000}"/>
    <cellStyle name="Migliaia 2 5 2" xfId="579" xr:uid="{00000000-0005-0000-0000-0000FB080000}"/>
    <cellStyle name="Migliaia 2 5 2 2" xfId="2365" xr:uid="{00000000-0005-0000-0000-0000FC080000}"/>
    <cellStyle name="Migliaia 2 5 2 2 2" xfId="5425" xr:uid="{00000000-0005-0000-0000-0000FD080000}"/>
    <cellStyle name="Migliaia 2 5 2 2 3" xfId="6347" xr:uid="{00000000-0005-0000-0000-0000FE080000}"/>
    <cellStyle name="Migliaia 2 5 2 3" xfId="5002" xr:uid="{00000000-0005-0000-0000-0000FF080000}"/>
    <cellStyle name="Migliaia 2 5 2 4" xfId="5830" xr:uid="{00000000-0005-0000-0000-000000090000}"/>
    <cellStyle name="Migliaia 2 5 3" xfId="2364" xr:uid="{00000000-0005-0000-0000-000001090000}"/>
    <cellStyle name="Migliaia 2 5 3 2" xfId="5424" xr:uid="{00000000-0005-0000-0000-000002090000}"/>
    <cellStyle name="Migliaia 2 5 3 3" xfId="6346" xr:uid="{00000000-0005-0000-0000-000003090000}"/>
    <cellStyle name="Migliaia 2 5 4" xfId="5001" xr:uid="{00000000-0005-0000-0000-000004090000}"/>
    <cellStyle name="Migliaia 2 5 5" xfId="5829" xr:uid="{00000000-0005-0000-0000-000005090000}"/>
    <cellStyle name="Migliaia 2 6" xfId="580" xr:uid="{00000000-0005-0000-0000-000006090000}"/>
    <cellStyle name="Migliaia 2 6 2" xfId="5003" xr:uid="{00000000-0005-0000-0000-000007090000}"/>
    <cellStyle name="Migliaia 2 6 3" xfId="5831" xr:uid="{00000000-0005-0000-0000-000008090000}"/>
    <cellStyle name="Migliaia 2 7" xfId="4808" xr:uid="{00000000-0005-0000-0000-000009090000}"/>
    <cellStyle name="Migliaia 2 8" xfId="5823" xr:uid="{00000000-0005-0000-0000-00000A090000}"/>
    <cellStyle name="Migliaia 2_Domestico_reg&amp;naz" xfId="581" xr:uid="{00000000-0005-0000-0000-00000B090000}"/>
    <cellStyle name="Migliaia 20" xfId="582" xr:uid="{00000000-0005-0000-0000-00000C090000}"/>
    <cellStyle name="Migliaia 20 2" xfId="583" xr:uid="{00000000-0005-0000-0000-00000D090000}"/>
    <cellStyle name="Migliaia 20 2 2" xfId="2366" xr:uid="{00000000-0005-0000-0000-00000E090000}"/>
    <cellStyle name="Migliaia 20 2 2 2" xfId="5426" xr:uid="{00000000-0005-0000-0000-00000F090000}"/>
    <cellStyle name="Migliaia 20 2 2 3" xfId="6348" xr:uid="{00000000-0005-0000-0000-000010090000}"/>
    <cellStyle name="Migliaia 20 2 3" xfId="4875" xr:uid="{00000000-0005-0000-0000-000011090000}"/>
    <cellStyle name="Migliaia 20 2 4" xfId="5833" xr:uid="{00000000-0005-0000-0000-000012090000}"/>
    <cellStyle name="Migliaia 20 3" xfId="584" xr:uid="{00000000-0005-0000-0000-000013090000}"/>
    <cellStyle name="Migliaia 20 3 2" xfId="585" xr:uid="{00000000-0005-0000-0000-000014090000}"/>
    <cellStyle name="Migliaia 20 3 2 2" xfId="5005" xr:uid="{00000000-0005-0000-0000-000015090000}"/>
    <cellStyle name="Migliaia 20 3 2 3" xfId="5835" xr:uid="{00000000-0005-0000-0000-000016090000}"/>
    <cellStyle name="Migliaia 20 3 3" xfId="586" xr:uid="{00000000-0005-0000-0000-000017090000}"/>
    <cellStyle name="Migliaia 20 3 3 2" xfId="2368" xr:uid="{00000000-0005-0000-0000-000018090000}"/>
    <cellStyle name="Migliaia 20 3 3 2 2" xfId="5428" xr:uid="{00000000-0005-0000-0000-000019090000}"/>
    <cellStyle name="Migliaia 20 3 3 2 3" xfId="6350" xr:uid="{00000000-0005-0000-0000-00001A090000}"/>
    <cellStyle name="Migliaia 20 3 3 3" xfId="5006" xr:uid="{00000000-0005-0000-0000-00001B090000}"/>
    <cellStyle name="Migliaia 20 3 3 4" xfId="5836" xr:uid="{00000000-0005-0000-0000-00001C090000}"/>
    <cellStyle name="Migliaia 20 3 4" xfId="2367" xr:uid="{00000000-0005-0000-0000-00001D090000}"/>
    <cellStyle name="Migliaia 20 3 4 2" xfId="5427" xr:uid="{00000000-0005-0000-0000-00001E090000}"/>
    <cellStyle name="Migliaia 20 3 4 3" xfId="6349" xr:uid="{00000000-0005-0000-0000-00001F090000}"/>
    <cellStyle name="Migliaia 20 3 5" xfId="5004" xr:uid="{00000000-0005-0000-0000-000020090000}"/>
    <cellStyle name="Migliaia 20 3 6" xfId="5834" xr:uid="{00000000-0005-0000-0000-000021090000}"/>
    <cellStyle name="Migliaia 20 4" xfId="587" xr:uid="{00000000-0005-0000-0000-000022090000}"/>
    <cellStyle name="Migliaia 20 4 2" xfId="588" xr:uid="{00000000-0005-0000-0000-000023090000}"/>
    <cellStyle name="Migliaia 20 4 2 2" xfId="2370" xr:uid="{00000000-0005-0000-0000-000024090000}"/>
    <cellStyle name="Migliaia 20 4 2 2 2" xfId="5430" xr:uid="{00000000-0005-0000-0000-000025090000}"/>
    <cellStyle name="Migliaia 20 4 2 2 3" xfId="6352" xr:uid="{00000000-0005-0000-0000-000026090000}"/>
    <cellStyle name="Migliaia 20 4 2 3" xfId="5008" xr:uid="{00000000-0005-0000-0000-000027090000}"/>
    <cellStyle name="Migliaia 20 4 2 4" xfId="5838" xr:uid="{00000000-0005-0000-0000-000028090000}"/>
    <cellStyle name="Migliaia 20 4 3" xfId="2369" xr:uid="{00000000-0005-0000-0000-000029090000}"/>
    <cellStyle name="Migliaia 20 4 3 2" xfId="5429" xr:uid="{00000000-0005-0000-0000-00002A090000}"/>
    <cellStyle name="Migliaia 20 4 3 3" xfId="6351" xr:uid="{00000000-0005-0000-0000-00002B090000}"/>
    <cellStyle name="Migliaia 20 4 4" xfId="5007" xr:uid="{00000000-0005-0000-0000-00002C090000}"/>
    <cellStyle name="Migliaia 20 4 5" xfId="5837" xr:uid="{00000000-0005-0000-0000-00002D090000}"/>
    <cellStyle name="Migliaia 20 5" xfId="589" xr:uid="{00000000-0005-0000-0000-00002E090000}"/>
    <cellStyle name="Migliaia 20 5 2" xfId="5009" xr:uid="{00000000-0005-0000-0000-00002F090000}"/>
    <cellStyle name="Migliaia 20 5 3" xfId="5839" xr:uid="{00000000-0005-0000-0000-000030090000}"/>
    <cellStyle name="Migliaia 20 6" xfId="4811" xr:uid="{00000000-0005-0000-0000-000031090000}"/>
    <cellStyle name="Migliaia 20 7" xfId="5832" xr:uid="{00000000-0005-0000-0000-000032090000}"/>
    <cellStyle name="Migliaia 21" xfId="590" xr:uid="{00000000-0005-0000-0000-000033090000}"/>
    <cellStyle name="Migliaia 21 2" xfId="591" xr:uid="{00000000-0005-0000-0000-000034090000}"/>
    <cellStyle name="Migliaia 21 2 2" xfId="2371" xr:uid="{00000000-0005-0000-0000-000035090000}"/>
    <cellStyle name="Migliaia 21 2 2 2" xfId="5431" xr:uid="{00000000-0005-0000-0000-000036090000}"/>
    <cellStyle name="Migliaia 21 2 2 3" xfId="6353" xr:uid="{00000000-0005-0000-0000-000037090000}"/>
    <cellStyle name="Migliaia 21 2 3" xfId="4876" xr:uid="{00000000-0005-0000-0000-000038090000}"/>
    <cellStyle name="Migliaia 21 2 4" xfId="5841" xr:uid="{00000000-0005-0000-0000-000039090000}"/>
    <cellStyle name="Migliaia 21 3" xfId="592" xr:uid="{00000000-0005-0000-0000-00003A090000}"/>
    <cellStyle name="Migliaia 21 3 2" xfId="593" xr:uid="{00000000-0005-0000-0000-00003B090000}"/>
    <cellStyle name="Migliaia 21 3 2 2" xfId="5011" xr:uid="{00000000-0005-0000-0000-00003C090000}"/>
    <cellStyle name="Migliaia 21 3 2 3" xfId="5843" xr:uid="{00000000-0005-0000-0000-00003D090000}"/>
    <cellStyle name="Migliaia 21 3 3" xfId="594" xr:uid="{00000000-0005-0000-0000-00003E090000}"/>
    <cellStyle name="Migliaia 21 3 3 2" xfId="2373" xr:uid="{00000000-0005-0000-0000-00003F090000}"/>
    <cellStyle name="Migliaia 21 3 3 2 2" xfId="5433" xr:uid="{00000000-0005-0000-0000-000040090000}"/>
    <cellStyle name="Migliaia 21 3 3 2 3" xfId="6355" xr:uid="{00000000-0005-0000-0000-000041090000}"/>
    <cellStyle name="Migliaia 21 3 3 3" xfId="5012" xr:uid="{00000000-0005-0000-0000-000042090000}"/>
    <cellStyle name="Migliaia 21 3 3 4" xfId="5844" xr:uid="{00000000-0005-0000-0000-000043090000}"/>
    <cellStyle name="Migliaia 21 3 4" xfId="2372" xr:uid="{00000000-0005-0000-0000-000044090000}"/>
    <cellStyle name="Migliaia 21 3 4 2" xfId="5432" xr:uid="{00000000-0005-0000-0000-000045090000}"/>
    <cellStyle name="Migliaia 21 3 4 3" xfId="6354" xr:uid="{00000000-0005-0000-0000-000046090000}"/>
    <cellStyle name="Migliaia 21 3 5" xfId="5010" xr:uid="{00000000-0005-0000-0000-000047090000}"/>
    <cellStyle name="Migliaia 21 3 6" xfId="5842" xr:uid="{00000000-0005-0000-0000-000048090000}"/>
    <cellStyle name="Migliaia 21 4" xfId="595" xr:uid="{00000000-0005-0000-0000-000049090000}"/>
    <cellStyle name="Migliaia 21 4 2" xfId="596" xr:uid="{00000000-0005-0000-0000-00004A090000}"/>
    <cellStyle name="Migliaia 21 4 2 2" xfId="2375" xr:uid="{00000000-0005-0000-0000-00004B090000}"/>
    <cellStyle name="Migliaia 21 4 2 2 2" xfId="5435" xr:uid="{00000000-0005-0000-0000-00004C090000}"/>
    <cellStyle name="Migliaia 21 4 2 2 3" xfId="6357" xr:uid="{00000000-0005-0000-0000-00004D090000}"/>
    <cellStyle name="Migliaia 21 4 2 3" xfId="5014" xr:uid="{00000000-0005-0000-0000-00004E090000}"/>
    <cellStyle name="Migliaia 21 4 2 4" xfId="5846" xr:uid="{00000000-0005-0000-0000-00004F090000}"/>
    <cellStyle name="Migliaia 21 4 3" xfId="2374" xr:uid="{00000000-0005-0000-0000-000050090000}"/>
    <cellStyle name="Migliaia 21 4 3 2" xfId="5434" xr:uid="{00000000-0005-0000-0000-000051090000}"/>
    <cellStyle name="Migliaia 21 4 3 3" xfId="6356" xr:uid="{00000000-0005-0000-0000-000052090000}"/>
    <cellStyle name="Migliaia 21 4 4" xfId="5013" xr:uid="{00000000-0005-0000-0000-000053090000}"/>
    <cellStyle name="Migliaia 21 4 5" xfId="5845" xr:uid="{00000000-0005-0000-0000-000054090000}"/>
    <cellStyle name="Migliaia 21 5" xfId="597" xr:uid="{00000000-0005-0000-0000-000055090000}"/>
    <cellStyle name="Migliaia 21 5 2" xfId="5015" xr:uid="{00000000-0005-0000-0000-000056090000}"/>
    <cellStyle name="Migliaia 21 5 3" xfId="5847" xr:uid="{00000000-0005-0000-0000-000057090000}"/>
    <cellStyle name="Migliaia 21 6" xfId="4812" xr:uid="{00000000-0005-0000-0000-000058090000}"/>
    <cellStyle name="Migliaia 21 7" xfId="5840" xr:uid="{00000000-0005-0000-0000-000059090000}"/>
    <cellStyle name="Migliaia 22" xfId="598" xr:uid="{00000000-0005-0000-0000-00005A090000}"/>
    <cellStyle name="Migliaia 22 2" xfId="599" xr:uid="{00000000-0005-0000-0000-00005B090000}"/>
    <cellStyle name="Migliaia 22 2 2" xfId="2376" xr:uid="{00000000-0005-0000-0000-00005C090000}"/>
    <cellStyle name="Migliaia 22 2 2 2" xfId="5436" xr:uid="{00000000-0005-0000-0000-00005D090000}"/>
    <cellStyle name="Migliaia 22 2 2 3" xfId="6358" xr:uid="{00000000-0005-0000-0000-00005E090000}"/>
    <cellStyle name="Migliaia 22 2 3" xfId="4877" xr:uid="{00000000-0005-0000-0000-00005F090000}"/>
    <cellStyle name="Migliaia 22 2 4" xfId="5849" xr:uid="{00000000-0005-0000-0000-000060090000}"/>
    <cellStyle name="Migliaia 22 3" xfId="600" xr:uid="{00000000-0005-0000-0000-000061090000}"/>
    <cellStyle name="Migliaia 22 3 2" xfId="601" xr:uid="{00000000-0005-0000-0000-000062090000}"/>
    <cellStyle name="Migliaia 22 3 2 2" xfId="5017" xr:uid="{00000000-0005-0000-0000-000063090000}"/>
    <cellStyle name="Migliaia 22 3 2 3" xfId="5851" xr:uid="{00000000-0005-0000-0000-000064090000}"/>
    <cellStyle name="Migliaia 22 3 3" xfId="602" xr:uid="{00000000-0005-0000-0000-000065090000}"/>
    <cellStyle name="Migliaia 22 3 3 2" xfId="2378" xr:uid="{00000000-0005-0000-0000-000066090000}"/>
    <cellStyle name="Migliaia 22 3 3 2 2" xfId="5438" xr:uid="{00000000-0005-0000-0000-000067090000}"/>
    <cellStyle name="Migliaia 22 3 3 2 3" xfId="6360" xr:uid="{00000000-0005-0000-0000-000068090000}"/>
    <cellStyle name="Migliaia 22 3 3 3" xfId="5018" xr:uid="{00000000-0005-0000-0000-000069090000}"/>
    <cellStyle name="Migliaia 22 3 3 4" xfId="5852" xr:uid="{00000000-0005-0000-0000-00006A090000}"/>
    <cellStyle name="Migliaia 22 3 4" xfId="2377" xr:uid="{00000000-0005-0000-0000-00006B090000}"/>
    <cellStyle name="Migliaia 22 3 4 2" xfId="5437" xr:uid="{00000000-0005-0000-0000-00006C090000}"/>
    <cellStyle name="Migliaia 22 3 4 3" xfId="6359" xr:uid="{00000000-0005-0000-0000-00006D090000}"/>
    <cellStyle name="Migliaia 22 3 5" xfId="5016" xr:uid="{00000000-0005-0000-0000-00006E090000}"/>
    <cellStyle name="Migliaia 22 3 6" xfId="5850" xr:uid="{00000000-0005-0000-0000-00006F090000}"/>
    <cellStyle name="Migliaia 22 4" xfId="603" xr:uid="{00000000-0005-0000-0000-000070090000}"/>
    <cellStyle name="Migliaia 22 4 2" xfId="604" xr:uid="{00000000-0005-0000-0000-000071090000}"/>
    <cellStyle name="Migliaia 22 4 2 2" xfId="2380" xr:uid="{00000000-0005-0000-0000-000072090000}"/>
    <cellStyle name="Migliaia 22 4 2 2 2" xfId="5440" xr:uid="{00000000-0005-0000-0000-000073090000}"/>
    <cellStyle name="Migliaia 22 4 2 2 3" xfId="6362" xr:uid="{00000000-0005-0000-0000-000074090000}"/>
    <cellStyle name="Migliaia 22 4 2 3" xfId="5020" xr:uid="{00000000-0005-0000-0000-000075090000}"/>
    <cellStyle name="Migliaia 22 4 2 4" xfId="5854" xr:uid="{00000000-0005-0000-0000-000076090000}"/>
    <cellStyle name="Migliaia 22 4 3" xfId="2379" xr:uid="{00000000-0005-0000-0000-000077090000}"/>
    <cellStyle name="Migliaia 22 4 3 2" xfId="5439" xr:uid="{00000000-0005-0000-0000-000078090000}"/>
    <cellStyle name="Migliaia 22 4 3 3" xfId="6361" xr:uid="{00000000-0005-0000-0000-000079090000}"/>
    <cellStyle name="Migliaia 22 4 4" xfId="5019" xr:uid="{00000000-0005-0000-0000-00007A090000}"/>
    <cellStyle name="Migliaia 22 4 5" xfId="5853" xr:uid="{00000000-0005-0000-0000-00007B090000}"/>
    <cellStyle name="Migliaia 22 5" xfId="605" xr:uid="{00000000-0005-0000-0000-00007C090000}"/>
    <cellStyle name="Migliaia 22 5 2" xfId="5021" xr:uid="{00000000-0005-0000-0000-00007D090000}"/>
    <cellStyle name="Migliaia 22 5 3" xfId="5855" xr:uid="{00000000-0005-0000-0000-00007E090000}"/>
    <cellStyle name="Migliaia 22 6" xfId="4813" xr:uid="{00000000-0005-0000-0000-00007F090000}"/>
    <cellStyle name="Migliaia 22 7" xfId="5848" xr:uid="{00000000-0005-0000-0000-000080090000}"/>
    <cellStyle name="Migliaia 23" xfId="606" xr:uid="{00000000-0005-0000-0000-000081090000}"/>
    <cellStyle name="Migliaia 23 2" xfId="607" xr:uid="{00000000-0005-0000-0000-000082090000}"/>
    <cellStyle name="Migliaia 23 2 2" xfId="2381" xr:uid="{00000000-0005-0000-0000-000083090000}"/>
    <cellStyle name="Migliaia 23 2 2 2" xfId="5441" xr:uid="{00000000-0005-0000-0000-000084090000}"/>
    <cellStyle name="Migliaia 23 2 2 3" xfId="6363" xr:uid="{00000000-0005-0000-0000-000085090000}"/>
    <cellStyle name="Migliaia 23 2 3" xfId="4878" xr:uid="{00000000-0005-0000-0000-000086090000}"/>
    <cellStyle name="Migliaia 23 2 4" xfId="5857" xr:uid="{00000000-0005-0000-0000-000087090000}"/>
    <cellStyle name="Migliaia 23 3" xfId="608" xr:uid="{00000000-0005-0000-0000-000088090000}"/>
    <cellStyle name="Migliaia 23 3 2" xfId="609" xr:uid="{00000000-0005-0000-0000-000089090000}"/>
    <cellStyle name="Migliaia 23 3 2 2" xfId="5023" xr:uid="{00000000-0005-0000-0000-00008A090000}"/>
    <cellStyle name="Migliaia 23 3 2 3" xfId="5859" xr:uid="{00000000-0005-0000-0000-00008B090000}"/>
    <cellStyle name="Migliaia 23 3 3" xfId="610" xr:uid="{00000000-0005-0000-0000-00008C090000}"/>
    <cellStyle name="Migliaia 23 3 3 2" xfId="2383" xr:uid="{00000000-0005-0000-0000-00008D090000}"/>
    <cellStyle name="Migliaia 23 3 3 2 2" xfId="5443" xr:uid="{00000000-0005-0000-0000-00008E090000}"/>
    <cellStyle name="Migliaia 23 3 3 2 3" xfId="6365" xr:uid="{00000000-0005-0000-0000-00008F090000}"/>
    <cellStyle name="Migliaia 23 3 3 3" xfId="5024" xr:uid="{00000000-0005-0000-0000-000090090000}"/>
    <cellStyle name="Migliaia 23 3 3 4" xfId="5860" xr:uid="{00000000-0005-0000-0000-000091090000}"/>
    <cellStyle name="Migliaia 23 3 4" xfId="2382" xr:uid="{00000000-0005-0000-0000-000092090000}"/>
    <cellStyle name="Migliaia 23 3 4 2" xfId="5442" xr:uid="{00000000-0005-0000-0000-000093090000}"/>
    <cellStyle name="Migliaia 23 3 4 3" xfId="6364" xr:uid="{00000000-0005-0000-0000-000094090000}"/>
    <cellStyle name="Migliaia 23 3 5" xfId="5022" xr:uid="{00000000-0005-0000-0000-000095090000}"/>
    <cellStyle name="Migliaia 23 3 6" xfId="5858" xr:uid="{00000000-0005-0000-0000-000096090000}"/>
    <cellStyle name="Migliaia 23 4" xfId="611" xr:uid="{00000000-0005-0000-0000-000097090000}"/>
    <cellStyle name="Migliaia 23 4 2" xfId="612" xr:uid="{00000000-0005-0000-0000-000098090000}"/>
    <cellStyle name="Migliaia 23 4 2 2" xfId="2385" xr:uid="{00000000-0005-0000-0000-000099090000}"/>
    <cellStyle name="Migliaia 23 4 2 2 2" xfId="5445" xr:uid="{00000000-0005-0000-0000-00009A090000}"/>
    <cellStyle name="Migliaia 23 4 2 2 3" xfId="6367" xr:uid="{00000000-0005-0000-0000-00009B090000}"/>
    <cellStyle name="Migliaia 23 4 2 3" xfId="5026" xr:uid="{00000000-0005-0000-0000-00009C090000}"/>
    <cellStyle name="Migliaia 23 4 2 4" xfId="5862" xr:uid="{00000000-0005-0000-0000-00009D090000}"/>
    <cellStyle name="Migliaia 23 4 3" xfId="2384" xr:uid="{00000000-0005-0000-0000-00009E090000}"/>
    <cellStyle name="Migliaia 23 4 3 2" xfId="5444" xr:uid="{00000000-0005-0000-0000-00009F090000}"/>
    <cellStyle name="Migliaia 23 4 3 3" xfId="6366" xr:uid="{00000000-0005-0000-0000-0000A0090000}"/>
    <cellStyle name="Migliaia 23 4 4" xfId="5025" xr:uid="{00000000-0005-0000-0000-0000A1090000}"/>
    <cellStyle name="Migliaia 23 4 5" xfId="5861" xr:uid="{00000000-0005-0000-0000-0000A2090000}"/>
    <cellStyle name="Migliaia 23 5" xfId="613" xr:uid="{00000000-0005-0000-0000-0000A3090000}"/>
    <cellStyle name="Migliaia 23 5 2" xfId="5027" xr:uid="{00000000-0005-0000-0000-0000A4090000}"/>
    <cellStyle name="Migliaia 23 5 3" xfId="5863" xr:uid="{00000000-0005-0000-0000-0000A5090000}"/>
    <cellStyle name="Migliaia 23 6" xfId="4814" xr:uid="{00000000-0005-0000-0000-0000A6090000}"/>
    <cellStyle name="Migliaia 23 7" xfId="5856" xr:uid="{00000000-0005-0000-0000-0000A7090000}"/>
    <cellStyle name="Migliaia 24" xfId="614" xr:uid="{00000000-0005-0000-0000-0000A8090000}"/>
    <cellStyle name="Migliaia 24 2" xfId="615" xr:uid="{00000000-0005-0000-0000-0000A9090000}"/>
    <cellStyle name="Migliaia 24 2 2" xfId="2386" xr:uid="{00000000-0005-0000-0000-0000AA090000}"/>
    <cellStyle name="Migliaia 24 2 2 2" xfId="5446" xr:uid="{00000000-0005-0000-0000-0000AB090000}"/>
    <cellStyle name="Migliaia 24 2 2 3" xfId="6368" xr:uid="{00000000-0005-0000-0000-0000AC090000}"/>
    <cellStyle name="Migliaia 24 2 3" xfId="4879" xr:uid="{00000000-0005-0000-0000-0000AD090000}"/>
    <cellStyle name="Migliaia 24 2 4" xfId="5865" xr:uid="{00000000-0005-0000-0000-0000AE090000}"/>
    <cellStyle name="Migliaia 24 3" xfId="616" xr:uid="{00000000-0005-0000-0000-0000AF090000}"/>
    <cellStyle name="Migliaia 24 3 2" xfId="617" xr:uid="{00000000-0005-0000-0000-0000B0090000}"/>
    <cellStyle name="Migliaia 24 3 2 2" xfId="5029" xr:uid="{00000000-0005-0000-0000-0000B1090000}"/>
    <cellStyle name="Migliaia 24 3 2 3" xfId="5867" xr:uid="{00000000-0005-0000-0000-0000B2090000}"/>
    <cellStyle name="Migliaia 24 3 3" xfId="618" xr:uid="{00000000-0005-0000-0000-0000B3090000}"/>
    <cellStyle name="Migliaia 24 3 3 2" xfId="2388" xr:uid="{00000000-0005-0000-0000-0000B4090000}"/>
    <cellStyle name="Migliaia 24 3 3 2 2" xfId="5448" xr:uid="{00000000-0005-0000-0000-0000B5090000}"/>
    <cellStyle name="Migliaia 24 3 3 2 3" xfId="6370" xr:uid="{00000000-0005-0000-0000-0000B6090000}"/>
    <cellStyle name="Migliaia 24 3 3 3" xfId="5030" xr:uid="{00000000-0005-0000-0000-0000B7090000}"/>
    <cellStyle name="Migliaia 24 3 3 4" xfId="5868" xr:uid="{00000000-0005-0000-0000-0000B8090000}"/>
    <cellStyle name="Migliaia 24 3 4" xfId="2387" xr:uid="{00000000-0005-0000-0000-0000B9090000}"/>
    <cellStyle name="Migliaia 24 3 4 2" xfId="5447" xr:uid="{00000000-0005-0000-0000-0000BA090000}"/>
    <cellStyle name="Migliaia 24 3 4 3" xfId="6369" xr:uid="{00000000-0005-0000-0000-0000BB090000}"/>
    <cellStyle name="Migliaia 24 3 5" xfId="5028" xr:uid="{00000000-0005-0000-0000-0000BC090000}"/>
    <cellStyle name="Migliaia 24 3 6" xfId="5866" xr:uid="{00000000-0005-0000-0000-0000BD090000}"/>
    <cellStyle name="Migliaia 24 4" xfId="619" xr:uid="{00000000-0005-0000-0000-0000BE090000}"/>
    <cellStyle name="Migliaia 24 4 2" xfId="620" xr:uid="{00000000-0005-0000-0000-0000BF090000}"/>
    <cellStyle name="Migliaia 24 4 2 2" xfId="2390" xr:uid="{00000000-0005-0000-0000-0000C0090000}"/>
    <cellStyle name="Migliaia 24 4 2 2 2" xfId="5450" xr:uid="{00000000-0005-0000-0000-0000C1090000}"/>
    <cellStyle name="Migliaia 24 4 2 2 3" xfId="6372" xr:uid="{00000000-0005-0000-0000-0000C2090000}"/>
    <cellStyle name="Migliaia 24 4 2 3" xfId="5032" xr:uid="{00000000-0005-0000-0000-0000C3090000}"/>
    <cellStyle name="Migliaia 24 4 2 4" xfId="5870" xr:uid="{00000000-0005-0000-0000-0000C4090000}"/>
    <cellStyle name="Migliaia 24 4 3" xfId="2389" xr:uid="{00000000-0005-0000-0000-0000C5090000}"/>
    <cellStyle name="Migliaia 24 4 3 2" xfId="5449" xr:uid="{00000000-0005-0000-0000-0000C6090000}"/>
    <cellStyle name="Migliaia 24 4 3 3" xfId="6371" xr:uid="{00000000-0005-0000-0000-0000C7090000}"/>
    <cellStyle name="Migliaia 24 4 4" xfId="5031" xr:uid="{00000000-0005-0000-0000-0000C8090000}"/>
    <cellStyle name="Migliaia 24 4 5" xfId="5869" xr:uid="{00000000-0005-0000-0000-0000C9090000}"/>
    <cellStyle name="Migliaia 24 5" xfId="621" xr:uid="{00000000-0005-0000-0000-0000CA090000}"/>
    <cellStyle name="Migliaia 24 5 2" xfId="5033" xr:uid="{00000000-0005-0000-0000-0000CB090000}"/>
    <cellStyle name="Migliaia 24 5 3" xfId="5871" xr:uid="{00000000-0005-0000-0000-0000CC090000}"/>
    <cellStyle name="Migliaia 24 6" xfId="4815" xr:uid="{00000000-0005-0000-0000-0000CD090000}"/>
    <cellStyle name="Migliaia 24 7" xfId="5864" xr:uid="{00000000-0005-0000-0000-0000CE090000}"/>
    <cellStyle name="Migliaia 25" xfId="622" xr:uid="{00000000-0005-0000-0000-0000CF090000}"/>
    <cellStyle name="Migliaia 25 2" xfId="623" xr:uid="{00000000-0005-0000-0000-0000D0090000}"/>
    <cellStyle name="Migliaia 25 2 2" xfId="2391" xr:uid="{00000000-0005-0000-0000-0000D1090000}"/>
    <cellStyle name="Migliaia 25 2 2 2" xfId="5451" xr:uid="{00000000-0005-0000-0000-0000D2090000}"/>
    <cellStyle name="Migliaia 25 2 2 3" xfId="6373" xr:uid="{00000000-0005-0000-0000-0000D3090000}"/>
    <cellStyle name="Migliaia 25 2 3" xfId="4880" xr:uid="{00000000-0005-0000-0000-0000D4090000}"/>
    <cellStyle name="Migliaia 25 2 4" xfId="5873" xr:uid="{00000000-0005-0000-0000-0000D5090000}"/>
    <cellStyle name="Migliaia 25 3" xfId="624" xr:uid="{00000000-0005-0000-0000-0000D6090000}"/>
    <cellStyle name="Migliaia 25 3 2" xfId="625" xr:uid="{00000000-0005-0000-0000-0000D7090000}"/>
    <cellStyle name="Migliaia 25 3 2 2" xfId="5035" xr:uid="{00000000-0005-0000-0000-0000D8090000}"/>
    <cellStyle name="Migliaia 25 3 2 3" xfId="5875" xr:uid="{00000000-0005-0000-0000-0000D9090000}"/>
    <cellStyle name="Migliaia 25 3 3" xfId="626" xr:uid="{00000000-0005-0000-0000-0000DA090000}"/>
    <cellStyle name="Migliaia 25 3 3 2" xfId="2393" xr:uid="{00000000-0005-0000-0000-0000DB090000}"/>
    <cellStyle name="Migliaia 25 3 3 2 2" xfId="5453" xr:uid="{00000000-0005-0000-0000-0000DC090000}"/>
    <cellStyle name="Migliaia 25 3 3 2 3" xfId="6375" xr:uid="{00000000-0005-0000-0000-0000DD090000}"/>
    <cellStyle name="Migliaia 25 3 3 3" xfId="5036" xr:uid="{00000000-0005-0000-0000-0000DE090000}"/>
    <cellStyle name="Migliaia 25 3 3 4" xfId="5876" xr:uid="{00000000-0005-0000-0000-0000DF090000}"/>
    <cellStyle name="Migliaia 25 3 4" xfId="2392" xr:uid="{00000000-0005-0000-0000-0000E0090000}"/>
    <cellStyle name="Migliaia 25 3 4 2" xfId="5452" xr:uid="{00000000-0005-0000-0000-0000E1090000}"/>
    <cellStyle name="Migliaia 25 3 4 3" xfId="6374" xr:uid="{00000000-0005-0000-0000-0000E2090000}"/>
    <cellStyle name="Migliaia 25 3 5" xfId="5034" xr:uid="{00000000-0005-0000-0000-0000E3090000}"/>
    <cellStyle name="Migliaia 25 3 6" xfId="5874" xr:uid="{00000000-0005-0000-0000-0000E4090000}"/>
    <cellStyle name="Migliaia 25 4" xfId="627" xr:uid="{00000000-0005-0000-0000-0000E5090000}"/>
    <cellStyle name="Migliaia 25 4 2" xfId="628" xr:uid="{00000000-0005-0000-0000-0000E6090000}"/>
    <cellStyle name="Migliaia 25 4 2 2" xfId="2395" xr:uid="{00000000-0005-0000-0000-0000E7090000}"/>
    <cellStyle name="Migliaia 25 4 2 2 2" xfId="5455" xr:uid="{00000000-0005-0000-0000-0000E8090000}"/>
    <cellStyle name="Migliaia 25 4 2 2 3" xfId="6377" xr:uid="{00000000-0005-0000-0000-0000E9090000}"/>
    <cellStyle name="Migliaia 25 4 2 3" xfId="5038" xr:uid="{00000000-0005-0000-0000-0000EA090000}"/>
    <cellStyle name="Migliaia 25 4 2 4" xfId="5878" xr:uid="{00000000-0005-0000-0000-0000EB090000}"/>
    <cellStyle name="Migliaia 25 4 3" xfId="2394" xr:uid="{00000000-0005-0000-0000-0000EC090000}"/>
    <cellStyle name="Migliaia 25 4 3 2" xfId="5454" xr:uid="{00000000-0005-0000-0000-0000ED090000}"/>
    <cellStyle name="Migliaia 25 4 3 3" xfId="6376" xr:uid="{00000000-0005-0000-0000-0000EE090000}"/>
    <cellStyle name="Migliaia 25 4 4" xfId="5037" xr:uid="{00000000-0005-0000-0000-0000EF090000}"/>
    <cellStyle name="Migliaia 25 4 5" xfId="5877" xr:uid="{00000000-0005-0000-0000-0000F0090000}"/>
    <cellStyle name="Migliaia 25 5" xfId="629" xr:uid="{00000000-0005-0000-0000-0000F1090000}"/>
    <cellStyle name="Migliaia 25 5 2" xfId="5039" xr:uid="{00000000-0005-0000-0000-0000F2090000}"/>
    <cellStyle name="Migliaia 25 5 3" xfId="5879" xr:uid="{00000000-0005-0000-0000-0000F3090000}"/>
    <cellStyle name="Migliaia 25 6" xfId="4816" xr:uid="{00000000-0005-0000-0000-0000F4090000}"/>
    <cellStyle name="Migliaia 25 7" xfId="5872" xr:uid="{00000000-0005-0000-0000-0000F5090000}"/>
    <cellStyle name="Migliaia 26" xfId="630" xr:uid="{00000000-0005-0000-0000-0000F6090000}"/>
    <cellStyle name="Migliaia 26 2" xfId="631" xr:uid="{00000000-0005-0000-0000-0000F7090000}"/>
    <cellStyle name="Migliaia 26 2 2" xfId="2396" xr:uid="{00000000-0005-0000-0000-0000F8090000}"/>
    <cellStyle name="Migliaia 26 2 2 2" xfId="5456" xr:uid="{00000000-0005-0000-0000-0000F9090000}"/>
    <cellStyle name="Migliaia 26 2 2 3" xfId="6378" xr:uid="{00000000-0005-0000-0000-0000FA090000}"/>
    <cellStyle name="Migliaia 26 2 3" xfId="4881" xr:uid="{00000000-0005-0000-0000-0000FB090000}"/>
    <cellStyle name="Migliaia 26 2 4" xfId="5881" xr:uid="{00000000-0005-0000-0000-0000FC090000}"/>
    <cellStyle name="Migliaia 26 3" xfId="632" xr:uid="{00000000-0005-0000-0000-0000FD090000}"/>
    <cellStyle name="Migliaia 26 3 2" xfId="633" xr:uid="{00000000-0005-0000-0000-0000FE090000}"/>
    <cellStyle name="Migliaia 26 3 2 2" xfId="5041" xr:uid="{00000000-0005-0000-0000-0000FF090000}"/>
    <cellStyle name="Migliaia 26 3 2 3" xfId="5883" xr:uid="{00000000-0005-0000-0000-0000000A0000}"/>
    <cellStyle name="Migliaia 26 3 3" xfId="634" xr:uid="{00000000-0005-0000-0000-0000010A0000}"/>
    <cellStyle name="Migliaia 26 3 3 2" xfId="2398" xr:uid="{00000000-0005-0000-0000-0000020A0000}"/>
    <cellStyle name="Migliaia 26 3 3 2 2" xfId="5458" xr:uid="{00000000-0005-0000-0000-0000030A0000}"/>
    <cellStyle name="Migliaia 26 3 3 2 3" xfId="6380" xr:uid="{00000000-0005-0000-0000-0000040A0000}"/>
    <cellStyle name="Migliaia 26 3 3 3" xfId="5042" xr:uid="{00000000-0005-0000-0000-0000050A0000}"/>
    <cellStyle name="Migliaia 26 3 3 4" xfId="5884" xr:uid="{00000000-0005-0000-0000-0000060A0000}"/>
    <cellStyle name="Migliaia 26 3 4" xfId="2397" xr:uid="{00000000-0005-0000-0000-0000070A0000}"/>
    <cellStyle name="Migliaia 26 3 4 2" xfId="5457" xr:uid="{00000000-0005-0000-0000-0000080A0000}"/>
    <cellStyle name="Migliaia 26 3 4 3" xfId="6379" xr:uid="{00000000-0005-0000-0000-0000090A0000}"/>
    <cellStyle name="Migliaia 26 3 5" xfId="5040" xr:uid="{00000000-0005-0000-0000-00000A0A0000}"/>
    <cellStyle name="Migliaia 26 3 6" xfId="5882" xr:uid="{00000000-0005-0000-0000-00000B0A0000}"/>
    <cellStyle name="Migliaia 26 4" xfId="635" xr:uid="{00000000-0005-0000-0000-00000C0A0000}"/>
    <cellStyle name="Migliaia 26 4 2" xfId="636" xr:uid="{00000000-0005-0000-0000-00000D0A0000}"/>
    <cellStyle name="Migliaia 26 4 2 2" xfId="2400" xr:uid="{00000000-0005-0000-0000-00000E0A0000}"/>
    <cellStyle name="Migliaia 26 4 2 2 2" xfId="5460" xr:uid="{00000000-0005-0000-0000-00000F0A0000}"/>
    <cellStyle name="Migliaia 26 4 2 2 3" xfId="6382" xr:uid="{00000000-0005-0000-0000-0000100A0000}"/>
    <cellStyle name="Migliaia 26 4 2 3" xfId="5044" xr:uid="{00000000-0005-0000-0000-0000110A0000}"/>
    <cellStyle name="Migliaia 26 4 2 4" xfId="5886" xr:uid="{00000000-0005-0000-0000-0000120A0000}"/>
    <cellStyle name="Migliaia 26 4 3" xfId="2399" xr:uid="{00000000-0005-0000-0000-0000130A0000}"/>
    <cellStyle name="Migliaia 26 4 3 2" xfId="5459" xr:uid="{00000000-0005-0000-0000-0000140A0000}"/>
    <cellStyle name="Migliaia 26 4 3 3" xfId="6381" xr:uid="{00000000-0005-0000-0000-0000150A0000}"/>
    <cellStyle name="Migliaia 26 4 4" xfId="5043" xr:uid="{00000000-0005-0000-0000-0000160A0000}"/>
    <cellStyle name="Migliaia 26 4 5" xfId="5885" xr:uid="{00000000-0005-0000-0000-0000170A0000}"/>
    <cellStyle name="Migliaia 26 5" xfId="637" xr:uid="{00000000-0005-0000-0000-0000180A0000}"/>
    <cellStyle name="Migliaia 26 5 2" xfId="5045" xr:uid="{00000000-0005-0000-0000-0000190A0000}"/>
    <cellStyle name="Migliaia 26 5 3" xfId="5887" xr:uid="{00000000-0005-0000-0000-00001A0A0000}"/>
    <cellStyle name="Migliaia 26 6" xfId="4817" xr:uid="{00000000-0005-0000-0000-00001B0A0000}"/>
    <cellStyle name="Migliaia 26 7" xfId="5880" xr:uid="{00000000-0005-0000-0000-00001C0A0000}"/>
    <cellStyle name="Migliaia 27" xfId="638" xr:uid="{00000000-0005-0000-0000-00001D0A0000}"/>
    <cellStyle name="Migliaia 27 2" xfId="639" xr:uid="{00000000-0005-0000-0000-00001E0A0000}"/>
    <cellStyle name="Migliaia 27 2 2" xfId="2401" xr:uid="{00000000-0005-0000-0000-00001F0A0000}"/>
    <cellStyle name="Migliaia 27 2 2 2" xfId="5461" xr:uid="{00000000-0005-0000-0000-0000200A0000}"/>
    <cellStyle name="Migliaia 27 2 2 3" xfId="6383" xr:uid="{00000000-0005-0000-0000-0000210A0000}"/>
    <cellStyle name="Migliaia 27 2 3" xfId="4882" xr:uid="{00000000-0005-0000-0000-0000220A0000}"/>
    <cellStyle name="Migliaia 27 2 4" xfId="5889" xr:uid="{00000000-0005-0000-0000-0000230A0000}"/>
    <cellStyle name="Migliaia 27 3" xfId="640" xr:uid="{00000000-0005-0000-0000-0000240A0000}"/>
    <cellStyle name="Migliaia 27 3 2" xfId="641" xr:uid="{00000000-0005-0000-0000-0000250A0000}"/>
    <cellStyle name="Migliaia 27 3 2 2" xfId="5047" xr:uid="{00000000-0005-0000-0000-0000260A0000}"/>
    <cellStyle name="Migliaia 27 3 2 3" xfId="5891" xr:uid="{00000000-0005-0000-0000-0000270A0000}"/>
    <cellStyle name="Migliaia 27 3 3" xfId="642" xr:uid="{00000000-0005-0000-0000-0000280A0000}"/>
    <cellStyle name="Migliaia 27 3 3 2" xfId="2403" xr:uid="{00000000-0005-0000-0000-0000290A0000}"/>
    <cellStyle name="Migliaia 27 3 3 2 2" xfId="5463" xr:uid="{00000000-0005-0000-0000-00002A0A0000}"/>
    <cellStyle name="Migliaia 27 3 3 2 3" xfId="6385" xr:uid="{00000000-0005-0000-0000-00002B0A0000}"/>
    <cellStyle name="Migliaia 27 3 3 3" xfId="5048" xr:uid="{00000000-0005-0000-0000-00002C0A0000}"/>
    <cellStyle name="Migliaia 27 3 3 4" xfId="5892" xr:uid="{00000000-0005-0000-0000-00002D0A0000}"/>
    <cellStyle name="Migliaia 27 3 4" xfId="2402" xr:uid="{00000000-0005-0000-0000-00002E0A0000}"/>
    <cellStyle name="Migliaia 27 3 4 2" xfId="5462" xr:uid="{00000000-0005-0000-0000-00002F0A0000}"/>
    <cellStyle name="Migliaia 27 3 4 3" xfId="6384" xr:uid="{00000000-0005-0000-0000-0000300A0000}"/>
    <cellStyle name="Migliaia 27 3 5" xfId="5046" xr:uid="{00000000-0005-0000-0000-0000310A0000}"/>
    <cellStyle name="Migliaia 27 3 6" xfId="5890" xr:uid="{00000000-0005-0000-0000-0000320A0000}"/>
    <cellStyle name="Migliaia 27 4" xfId="643" xr:uid="{00000000-0005-0000-0000-0000330A0000}"/>
    <cellStyle name="Migliaia 27 4 2" xfId="644" xr:uid="{00000000-0005-0000-0000-0000340A0000}"/>
    <cellStyle name="Migliaia 27 4 2 2" xfId="2405" xr:uid="{00000000-0005-0000-0000-0000350A0000}"/>
    <cellStyle name="Migliaia 27 4 2 2 2" xfId="5465" xr:uid="{00000000-0005-0000-0000-0000360A0000}"/>
    <cellStyle name="Migliaia 27 4 2 2 3" xfId="6387" xr:uid="{00000000-0005-0000-0000-0000370A0000}"/>
    <cellStyle name="Migliaia 27 4 2 3" xfId="5050" xr:uid="{00000000-0005-0000-0000-0000380A0000}"/>
    <cellStyle name="Migliaia 27 4 2 4" xfId="5894" xr:uid="{00000000-0005-0000-0000-0000390A0000}"/>
    <cellStyle name="Migliaia 27 4 3" xfId="2404" xr:uid="{00000000-0005-0000-0000-00003A0A0000}"/>
    <cellStyle name="Migliaia 27 4 3 2" xfId="5464" xr:uid="{00000000-0005-0000-0000-00003B0A0000}"/>
    <cellStyle name="Migliaia 27 4 3 3" xfId="6386" xr:uid="{00000000-0005-0000-0000-00003C0A0000}"/>
    <cellStyle name="Migliaia 27 4 4" xfId="5049" xr:uid="{00000000-0005-0000-0000-00003D0A0000}"/>
    <cellStyle name="Migliaia 27 4 5" xfId="5893" xr:uid="{00000000-0005-0000-0000-00003E0A0000}"/>
    <cellStyle name="Migliaia 27 5" xfId="645" xr:uid="{00000000-0005-0000-0000-00003F0A0000}"/>
    <cellStyle name="Migliaia 27 5 2" xfId="5051" xr:uid="{00000000-0005-0000-0000-0000400A0000}"/>
    <cellStyle name="Migliaia 27 5 3" xfId="5895" xr:uid="{00000000-0005-0000-0000-0000410A0000}"/>
    <cellStyle name="Migliaia 27 6" xfId="4818" xr:uid="{00000000-0005-0000-0000-0000420A0000}"/>
    <cellStyle name="Migliaia 27 7" xfId="5888" xr:uid="{00000000-0005-0000-0000-0000430A0000}"/>
    <cellStyle name="Migliaia 28" xfId="646" xr:uid="{00000000-0005-0000-0000-0000440A0000}"/>
    <cellStyle name="Migliaia 28 2" xfId="647" xr:uid="{00000000-0005-0000-0000-0000450A0000}"/>
    <cellStyle name="Migliaia 28 2 2" xfId="2406" xr:uid="{00000000-0005-0000-0000-0000460A0000}"/>
    <cellStyle name="Migliaia 28 2 2 2" xfId="5466" xr:uid="{00000000-0005-0000-0000-0000470A0000}"/>
    <cellStyle name="Migliaia 28 2 2 3" xfId="6388" xr:uid="{00000000-0005-0000-0000-0000480A0000}"/>
    <cellStyle name="Migliaia 28 2 3" xfId="4883" xr:uid="{00000000-0005-0000-0000-0000490A0000}"/>
    <cellStyle name="Migliaia 28 2 4" xfId="5897" xr:uid="{00000000-0005-0000-0000-00004A0A0000}"/>
    <cellStyle name="Migliaia 28 3" xfId="648" xr:uid="{00000000-0005-0000-0000-00004B0A0000}"/>
    <cellStyle name="Migliaia 28 3 2" xfId="649" xr:uid="{00000000-0005-0000-0000-00004C0A0000}"/>
    <cellStyle name="Migliaia 28 3 2 2" xfId="5053" xr:uid="{00000000-0005-0000-0000-00004D0A0000}"/>
    <cellStyle name="Migliaia 28 3 2 3" xfId="5899" xr:uid="{00000000-0005-0000-0000-00004E0A0000}"/>
    <cellStyle name="Migliaia 28 3 3" xfId="650" xr:uid="{00000000-0005-0000-0000-00004F0A0000}"/>
    <cellStyle name="Migliaia 28 3 3 2" xfId="2408" xr:uid="{00000000-0005-0000-0000-0000500A0000}"/>
    <cellStyle name="Migliaia 28 3 3 2 2" xfId="5468" xr:uid="{00000000-0005-0000-0000-0000510A0000}"/>
    <cellStyle name="Migliaia 28 3 3 2 3" xfId="6390" xr:uid="{00000000-0005-0000-0000-0000520A0000}"/>
    <cellStyle name="Migliaia 28 3 3 3" xfId="5054" xr:uid="{00000000-0005-0000-0000-0000530A0000}"/>
    <cellStyle name="Migliaia 28 3 3 4" xfId="5900" xr:uid="{00000000-0005-0000-0000-0000540A0000}"/>
    <cellStyle name="Migliaia 28 3 4" xfId="2407" xr:uid="{00000000-0005-0000-0000-0000550A0000}"/>
    <cellStyle name="Migliaia 28 3 4 2" xfId="5467" xr:uid="{00000000-0005-0000-0000-0000560A0000}"/>
    <cellStyle name="Migliaia 28 3 4 3" xfId="6389" xr:uid="{00000000-0005-0000-0000-0000570A0000}"/>
    <cellStyle name="Migliaia 28 3 5" xfId="5052" xr:uid="{00000000-0005-0000-0000-0000580A0000}"/>
    <cellStyle name="Migliaia 28 3 6" xfId="5898" xr:uid="{00000000-0005-0000-0000-0000590A0000}"/>
    <cellStyle name="Migliaia 28 4" xfId="651" xr:uid="{00000000-0005-0000-0000-00005A0A0000}"/>
    <cellStyle name="Migliaia 28 4 2" xfId="652" xr:uid="{00000000-0005-0000-0000-00005B0A0000}"/>
    <cellStyle name="Migliaia 28 4 2 2" xfId="2410" xr:uid="{00000000-0005-0000-0000-00005C0A0000}"/>
    <cellStyle name="Migliaia 28 4 2 2 2" xfId="5470" xr:uid="{00000000-0005-0000-0000-00005D0A0000}"/>
    <cellStyle name="Migliaia 28 4 2 2 3" xfId="6392" xr:uid="{00000000-0005-0000-0000-00005E0A0000}"/>
    <cellStyle name="Migliaia 28 4 2 3" xfId="5056" xr:uid="{00000000-0005-0000-0000-00005F0A0000}"/>
    <cellStyle name="Migliaia 28 4 2 4" xfId="5902" xr:uid="{00000000-0005-0000-0000-0000600A0000}"/>
    <cellStyle name="Migliaia 28 4 3" xfId="2409" xr:uid="{00000000-0005-0000-0000-0000610A0000}"/>
    <cellStyle name="Migliaia 28 4 3 2" xfId="5469" xr:uid="{00000000-0005-0000-0000-0000620A0000}"/>
    <cellStyle name="Migliaia 28 4 3 3" xfId="6391" xr:uid="{00000000-0005-0000-0000-0000630A0000}"/>
    <cellStyle name="Migliaia 28 4 4" xfId="5055" xr:uid="{00000000-0005-0000-0000-0000640A0000}"/>
    <cellStyle name="Migliaia 28 4 5" xfId="5901" xr:uid="{00000000-0005-0000-0000-0000650A0000}"/>
    <cellStyle name="Migliaia 28 5" xfId="653" xr:uid="{00000000-0005-0000-0000-0000660A0000}"/>
    <cellStyle name="Migliaia 28 5 2" xfId="5057" xr:uid="{00000000-0005-0000-0000-0000670A0000}"/>
    <cellStyle name="Migliaia 28 5 3" xfId="5903" xr:uid="{00000000-0005-0000-0000-0000680A0000}"/>
    <cellStyle name="Migliaia 28 6" xfId="4819" xr:uid="{00000000-0005-0000-0000-0000690A0000}"/>
    <cellStyle name="Migliaia 28 7" xfId="5896" xr:uid="{00000000-0005-0000-0000-00006A0A0000}"/>
    <cellStyle name="Migliaia 29" xfId="654" xr:uid="{00000000-0005-0000-0000-00006B0A0000}"/>
    <cellStyle name="Migliaia 29 2" xfId="655" xr:uid="{00000000-0005-0000-0000-00006C0A0000}"/>
    <cellStyle name="Migliaia 29 2 2" xfId="2411" xr:uid="{00000000-0005-0000-0000-00006D0A0000}"/>
    <cellStyle name="Migliaia 29 2 2 2" xfId="5471" xr:uid="{00000000-0005-0000-0000-00006E0A0000}"/>
    <cellStyle name="Migliaia 29 2 2 3" xfId="6393" xr:uid="{00000000-0005-0000-0000-00006F0A0000}"/>
    <cellStyle name="Migliaia 29 2 3" xfId="4884" xr:uid="{00000000-0005-0000-0000-0000700A0000}"/>
    <cellStyle name="Migliaia 29 2 4" xfId="5905" xr:uid="{00000000-0005-0000-0000-0000710A0000}"/>
    <cellStyle name="Migliaia 29 3" xfId="656" xr:uid="{00000000-0005-0000-0000-0000720A0000}"/>
    <cellStyle name="Migliaia 29 3 2" xfId="657" xr:uid="{00000000-0005-0000-0000-0000730A0000}"/>
    <cellStyle name="Migliaia 29 3 2 2" xfId="5059" xr:uid="{00000000-0005-0000-0000-0000740A0000}"/>
    <cellStyle name="Migliaia 29 3 2 3" xfId="5907" xr:uid="{00000000-0005-0000-0000-0000750A0000}"/>
    <cellStyle name="Migliaia 29 3 3" xfId="658" xr:uid="{00000000-0005-0000-0000-0000760A0000}"/>
    <cellStyle name="Migliaia 29 3 3 2" xfId="2413" xr:uid="{00000000-0005-0000-0000-0000770A0000}"/>
    <cellStyle name="Migliaia 29 3 3 2 2" xfId="5473" xr:uid="{00000000-0005-0000-0000-0000780A0000}"/>
    <cellStyle name="Migliaia 29 3 3 2 3" xfId="6395" xr:uid="{00000000-0005-0000-0000-0000790A0000}"/>
    <cellStyle name="Migliaia 29 3 3 3" xfId="5060" xr:uid="{00000000-0005-0000-0000-00007A0A0000}"/>
    <cellStyle name="Migliaia 29 3 3 4" xfId="5908" xr:uid="{00000000-0005-0000-0000-00007B0A0000}"/>
    <cellStyle name="Migliaia 29 3 4" xfId="2412" xr:uid="{00000000-0005-0000-0000-00007C0A0000}"/>
    <cellStyle name="Migliaia 29 3 4 2" xfId="5472" xr:uid="{00000000-0005-0000-0000-00007D0A0000}"/>
    <cellStyle name="Migliaia 29 3 4 3" xfId="6394" xr:uid="{00000000-0005-0000-0000-00007E0A0000}"/>
    <cellStyle name="Migliaia 29 3 5" xfId="5058" xr:uid="{00000000-0005-0000-0000-00007F0A0000}"/>
    <cellStyle name="Migliaia 29 3 6" xfId="5906" xr:uid="{00000000-0005-0000-0000-0000800A0000}"/>
    <cellStyle name="Migliaia 29 4" xfId="659" xr:uid="{00000000-0005-0000-0000-0000810A0000}"/>
    <cellStyle name="Migliaia 29 4 2" xfId="660" xr:uid="{00000000-0005-0000-0000-0000820A0000}"/>
    <cellStyle name="Migliaia 29 4 2 2" xfId="2415" xr:uid="{00000000-0005-0000-0000-0000830A0000}"/>
    <cellStyle name="Migliaia 29 4 2 2 2" xfId="5475" xr:uid="{00000000-0005-0000-0000-0000840A0000}"/>
    <cellStyle name="Migliaia 29 4 2 2 3" xfId="6397" xr:uid="{00000000-0005-0000-0000-0000850A0000}"/>
    <cellStyle name="Migliaia 29 4 2 3" xfId="5062" xr:uid="{00000000-0005-0000-0000-0000860A0000}"/>
    <cellStyle name="Migliaia 29 4 2 4" xfId="5910" xr:uid="{00000000-0005-0000-0000-0000870A0000}"/>
    <cellStyle name="Migliaia 29 4 3" xfId="2414" xr:uid="{00000000-0005-0000-0000-0000880A0000}"/>
    <cellStyle name="Migliaia 29 4 3 2" xfId="5474" xr:uid="{00000000-0005-0000-0000-0000890A0000}"/>
    <cellStyle name="Migliaia 29 4 3 3" xfId="6396" xr:uid="{00000000-0005-0000-0000-00008A0A0000}"/>
    <cellStyle name="Migliaia 29 4 4" xfId="5061" xr:uid="{00000000-0005-0000-0000-00008B0A0000}"/>
    <cellStyle name="Migliaia 29 4 5" xfId="5909" xr:uid="{00000000-0005-0000-0000-00008C0A0000}"/>
    <cellStyle name="Migliaia 29 5" xfId="661" xr:uid="{00000000-0005-0000-0000-00008D0A0000}"/>
    <cellStyle name="Migliaia 29 5 2" xfId="5063" xr:uid="{00000000-0005-0000-0000-00008E0A0000}"/>
    <cellStyle name="Migliaia 29 5 3" xfId="5911" xr:uid="{00000000-0005-0000-0000-00008F0A0000}"/>
    <cellStyle name="Migliaia 29 6" xfId="4820" xr:uid="{00000000-0005-0000-0000-0000900A0000}"/>
    <cellStyle name="Migliaia 29 7" xfId="5904" xr:uid="{00000000-0005-0000-0000-0000910A0000}"/>
    <cellStyle name="Migliaia 3" xfId="662" xr:uid="{00000000-0005-0000-0000-0000920A0000}"/>
    <cellStyle name="Migliaia 3 2" xfId="663" xr:uid="{00000000-0005-0000-0000-0000930A0000}"/>
    <cellStyle name="Migliaia 3 2 2" xfId="2416" xr:uid="{00000000-0005-0000-0000-0000940A0000}"/>
    <cellStyle name="Migliaia 3 2 2 2" xfId="5476" xr:uid="{00000000-0005-0000-0000-0000950A0000}"/>
    <cellStyle name="Migliaia 3 2 2 3" xfId="6398" xr:uid="{00000000-0005-0000-0000-0000960A0000}"/>
    <cellStyle name="Migliaia 3 2 3" xfId="4885" xr:uid="{00000000-0005-0000-0000-0000970A0000}"/>
    <cellStyle name="Migliaia 3 2 4" xfId="5913" xr:uid="{00000000-0005-0000-0000-0000980A0000}"/>
    <cellStyle name="Migliaia 3 3" xfId="664" xr:uid="{00000000-0005-0000-0000-0000990A0000}"/>
    <cellStyle name="Migliaia 3 3 2" xfId="665" xr:uid="{00000000-0005-0000-0000-00009A0A0000}"/>
    <cellStyle name="Migliaia 3 3 2 2" xfId="5065" xr:uid="{00000000-0005-0000-0000-00009B0A0000}"/>
    <cellStyle name="Migliaia 3 3 2 3" xfId="5915" xr:uid="{00000000-0005-0000-0000-00009C0A0000}"/>
    <cellStyle name="Migliaia 3 3 3" xfId="666" xr:uid="{00000000-0005-0000-0000-00009D0A0000}"/>
    <cellStyle name="Migliaia 3 3 3 2" xfId="2418" xr:uid="{00000000-0005-0000-0000-00009E0A0000}"/>
    <cellStyle name="Migliaia 3 3 3 2 2" xfId="5478" xr:uid="{00000000-0005-0000-0000-00009F0A0000}"/>
    <cellStyle name="Migliaia 3 3 3 2 3" xfId="6400" xr:uid="{00000000-0005-0000-0000-0000A00A0000}"/>
    <cellStyle name="Migliaia 3 3 3 3" xfId="5066" xr:uid="{00000000-0005-0000-0000-0000A10A0000}"/>
    <cellStyle name="Migliaia 3 3 3 4" xfId="5916" xr:uid="{00000000-0005-0000-0000-0000A20A0000}"/>
    <cellStyle name="Migliaia 3 3 4" xfId="2417" xr:uid="{00000000-0005-0000-0000-0000A30A0000}"/>
    <cellStyle name="Migliaia 3 3 4 2" xfId="5477" xr:uid="{00000000-0005-0000-0000-0000A40A0000}"/>
    <cellStyle name="Migliaia 3 3 4 3" xfId="6399" xr:uid="{00000000-0005-0000-0000-0000A50A0000}"/>
    <cellStyle name="Migliaia 3 3 5" xfId="5064" xr:uid="{00000000-0005-0000-0000-0000A60A0000}"/>
    <cellStyle name="Migliaia 3 3 6" xfId="5914" xr:uid="{00000000-0005-0000-0000-0000A70A0000}"/>
    <cellStyle name="Migliaia 3 4" xfId="667" xr:uid="{00000000-0005-0000-0000-0000A80A0000}"/>
    <cellStyle name="Migliaia 3 4 2" xfId="668" xr:uid="{00000000-0005-0000-0000-0000A90A0000}"/>
    <cellStyle name="Migliaia 3 4 2 2" xfId="2420" xr:uid="{00000000-0005-0000-0000-0000AA0A0000}"/>
    <cellStyle name="Migliaia 3 4 2 2 2" xfId="5480" xr:uid="{00000000-0005-0000-0000-0000AB0A0000}"/>
    <cellStyle name="Migliaia 3 4 2 2 3" xfId="6402" xr:uid="{00000000-0005-0000-0000-0000AC0A0000}"/>
    <cellStyle name="Migliaia 3 4 2 3" xfId="5068" xr:uid="{00000000-0005-0000-0000-0000AD0A0000}"/>
    <cellStyle name="Migliaia 3 4 2 4" xfId="5918" xr:uid="{00000000-0005-0000-0000-0000AE0A0000}"/>
    <cellStyle name="Migliaia 3 4 3" xfId="2419" xr:uid="{00000000-0005-0000-0000-0000AF0A0000}"/>
    <cellStyle name="Migliaia 3 4 3 2" xfId="5479" xr:uid="{00000000-0005-0000-0000-0000B00A0000}"/>
    <cellStyle name="Migliaia 3 4 3 3" xfId="6401" xr:uid="{00000000-0005-0000-0000-0000B10A0000}"/>
    <cellStyle name="Migliaia 3 4 4" xfId="5067" xr:uid="{00000000-0005-0000-0000-0000B20A0000}"/>
    <cellStyle name="Migliaia 3 4 5" xfId="5917" xr:uid="{00000000-0005-0000-0000-0000B30A0000}"/>
    <cellStyle name="Migliaia 3 5" xfId="669" xr:uid="{00000000-0005-0000-0000-0000B40A0000}"/>
    <cellStyle name="Migliaia 3 5 2" xfId="5069" xr:uid="{00000000-0005-0000-0000-0000B50A0000}"/>
    <cellStyle name="Migliaia 3 5 3" xfId="5919" xr:uid="{00000000-0005-0000-0000-0000B60A0000}"/>
    <cellStyle name="Migliaia 3 6" xfId="4821" xr:uid="{00000000-0005-0000-0000-0000B70A0000}"/>
    <cellStyle name="Migliaia 3 7" xfId="5912" xr:uid="{00000000-0005-0000-0000-0000B80A0000}"/>
    <cellStyle name="Migliaia 30" xfId="670" xr:uid="{00000000-0005-0000-0000-0000B90A0000}"/>
    <cellStyle name="Migliaia 30 2" xfId="671" xr:uid="{00000000-0005-0000-0000-0000BA0A0000}"/>
    <cellStyle name="Migliaia 30 2 2" xfId="2421" xr:uid="{00000000-0005-0000-0000-0000BB0A0000}"/>
    <cellStyle name="Migliaia 30 2 2 2" xfId="5481" xr:uid="{00000000-0005-0000-0000-0000BC0A0000}"/>
    <cellStyle name="Migliaia 30 2 2 3" xfId="6403" xr:uid="{00000000-0005-0000-0000-0000BD0A0000}"/>
    <cellStyle name="Migliaia 30 2 3" xfId="4886" xr:uid="{00000000-0005-0000-0000-0000BE0A0000}"/>
    <cellStyle name="Migliaia 30 2 4" xfId="5921" xr:uid="{00000000-0005-0000-0000-0000BF0A0000}"/>
    <cellStyle name="Migliaia 30 3" xfId="672" xr:uid="{00000000-0005-0000-0000-0000C00A0000}"/>
    <cellStyle name="Migliaia 30 3 2" xfId="673" xr:uid="{00000000-0005-0000-0000-0000C10A0000}"/>
    <cellStyle name="Migliaia 30 3 2 2" xfId="5071" xr:uid="{00000000-0005-0000-0000-0000C20A0000}"/>
    <cellStyle name="Migliaia 30 3 2 3" xfId="5923" xr:uid="{00000000-0005-0000-0000-0000C30A0000}"/>
    <cellStyle name="Migliaia 30 3 3" xfId="674" xr:uid="{00000000-0005-0000-0000-0000C40A0000}"/>
    <cellStyle name="Migliaia 30 3 3 2" xfId="2423" xr:uid="{00000000-0005-0000-0000-0000C50A0000}"/>
    <cellStyle name="Migliaia 30 3 3 2 2" xfId="5483" xr:uid="{00000000-0005-0000-0000-0000C60A0000}"/>
    <cellStyle name="Migliaia 30 3 3 2 3" xfId="6405" xr:uid="{00000000-0005-0000-0000-0000C70A0000}"/>
    <cellStyle name="Migliaia 30 3 3 3" xfId="5072" xr:uid="{00000000-0005-0000-0000-0000C80A0000}"/>
    <cellStyle name="Migliaia 30 3 3 4" xfId="5924" xr:uid="{00000000-0005-0000-0000-0000C90A0000}"/>
    <cellStyle name="Migliaia 30 3 4" xfId="2422" xr:uid="{00000000-0005-0000-0000-0000CA0A0000}"/>
    <cellStyle name="Migliaia 30 3 4 2" xfId="5482" xr:uid="{00000000-0005-0000-0000-0000CB0A0000}"/>
    <cellStyle name="Migliaia 30 3 4 3" xfId="6404" xr:uid="{00000000-0005-0000-0000-0000CC0A0000}"/>
    <cellStyle name="Migliaia 30 3 5" xfId="5070" xr:uid="{00000000-0005-0000-0000-0000CD0A0000}"/>
    <cellStyle name="Migliaia 30 3 6" xfId="5922" xr:uid="{00000000-0005-0000-0000-0000CE0A0000}"/>
    <cellStyle name="Migliaia 30 4" xfId="675" xr:uid="{00000000-0005-0000-0000-0000CF0A0000}"/>
    <cellStyle name="Migliaia 30 4 2" xfId="676" xr:uid="{00000000-0005-0000-0000-0000D00A0000}"/>
    <cellStyle name="Migliaia 30 4 2 2" xfId="2425" xr:uid="{00000000-0005-0000-0000-0000D10A0000}"/>
    <cellStyle name="Migliaia 30 4 2 2 2" xfId="5485" xr:uid="{00000000-0005-0000-0000-0000D20A0000}"/>
    <cellStyle name="Migliaia 30 4 2 2 3" xfId="6407" xr:uid="{00000000-0005-0000-0000-0000D30A0000}"/>
    <cellStyle name="Migliaia 30 4 2 3" xfId="5074" xr:uid="{00000000-0005-0000-0000-0000D40A0000}"/>
    <cellStyle name="Migliaia 30 4 2 4" xfId="5926" xr:uid="{00000000-0005-0000-0000-0000D50A0000}"/>
    <cellStyle name="Migliaia 30 4 3" xfId="2424" xr:uid="{00000000-0005-0000-0000-0000D60A0000}"/>
    <cellStyle name="Migliaia 30 4 3 2" xfId="5484" xr:uid="{00000000-0005-0000-0000-0000D70A0000}"/>
    <cellStyle name="Migliaia 30 4 3 3" xfId="6406" xr:uid="{00000000-0005-0000-0000-0000D80A0000}"/>
    <cellStyle name="Migliaia 30 4 4" xfId="5073" xr:uid="{00000000-0005-0000-0000-0000D90A0000}"/>
    <cellStyle name="Migliaia 30 4 5" xfId="5925" xr:uid="{00000000-0005-0000-0000-0000DA0A0000}"/>
    <cellStyle name="Migliaia 30 5" xfId="677" xr:uid="{00000000-0005-0000-0000-0000DB0A0000}"/>
    <cellStyle name="Migliaia 30 5 2" xfId="5075" xr:uid="{00000000-0005-0000-0000-0000DC0A0000}"/>
    <cellStyle name="Migliaia 30 5 3" xfId="5927" xr:uid="{00000000-0005-0000-0000-0000DD0A0000}"/>
    <cellStyle name="Migliaia 30 6" xfId="4822" xr:uid="{00000000-0005-0000-0000-0000DE0A0000}"/>
    <cellStyle name="Migliaia 30 7" xfId="5920" xr:uid="{00000000-0005-0000-0000-0000DF0A0000}"/>
    <cellStyle name="Migliaia 31" xfId="678" xr:uid="{00000000-0005-0000-0000-0000E00A0000}"/>
    <cellStyle name="Migliaia 31 2" xfId="679" xr:uid="{00000000-0005-0000-0000-0000E10A0000}"/>
    <cellStyle name="Migliaia 31 2 2" xfId="2426" xr:uid="{00000000-0005-0000-0000-0000E20A0000}"/>
    <cellStyle name="Migliaia 31 2 2 2" xfId="5486" xr:uid="{00000000-0005-0000-0000-0000E30A0000}"/>
    <cellStyle name="Migliaia 31 2 2 3" xfId="6408" xr:uid="{00000000-0005-0000-0000-0000E40A0000}"/>
    <cellStyle name="Migliaia 31 2 3" xfId="4887" xr:uid="{00000000-0005-0000-0000-0000E50A0000}"/>
    <cellStyle name="Migliaia 31 2 4" xfId="5929" xr:uid="{00000000-0005-0000-0000-0000E60A0000}"/>
    <cellStyle name="Migliaia 31 3" xfId="680" xr:uid="{00000000-0005-0000-0000-0000E70A0000}"/>
    <cellStyle name="Migliaia 31 3 2" xfId="681" xr:uid="{00000000-0005-0000-0000-0000E80A0000}"/>
    <cellStyle name="Migliaia 31 3 2 2" xfId="5077" xr:uid="{00000000-0005-0000-0000-0000E90A0000}"/>
    <cellStyle name="Migliaia 31 3 2 3" xfId="5931" xr:uid="{00000000-0005-0000-0000-0000EA0A0000}"/>
    <cellStyle name="Migliaia 31 3 3" xfId="682" xr:uid="{00000000-0005-0000-0000-0000EB0A0000}"/>
    <cellStyle name="Migliaia 31 3 3 2" xfId="2428" xr:uid="{00000000-0005-0000-0000-0000EC0A0000}"/>
    <cellStyle name="Migliaia 31 3 3 2 2" xfId="5488" xr:uid="{00000000-0005-0000-0000-0000ED0A0000}"/>
    <cellStyle name="Migliaia 31 3 3 2 3" xfId="6410" xr:uid="{00000000-0005-0000-0000-0000EE0A0000}"/>
    <cellStyle name="Migliaia 31 3 3 3" xfId="5078" xr:uid="{00000000-0005-0000-0000-0000EF0A0000}"/>
    <cellStyle name="Migliaia 31 3 3 4" xfId="5932" xr:uid="{00000000-0005-0000-0000-0000F00A0000}"/>
    <cellStyle name="Migliaia 31 3 4" xfId="2427" xr:uid="{00000000-0005-0000-0000-0000F10A0000}"/>
    <cellStyle name="Migliaia 31 3 4 2" xfId="5487" xr:uid="{00000000-0005-0000-0000-0000F20A0000}"/>
    <cellStyle name="Migliaia 31 3 4 3" xfId="6409" xr:uid="{00000000-0005-0000-0000-0000F30A0000}"/>
    <cellStyle name="Migliaia 31 3 5" xfId="5076" xr:uid="{00000000-0005-0000-0000-0000F40A0000}"/>
    <cellStyle name="Migliaia 31 3 6" xfId="5930" xr:uid="{00000000-0005-0000-0000-0000F50A0000}"/>
    <cellStyle name="Migliaia 31 4" xfId="683" xr:uid="{00000000-0005-0000-0000-0000F60A0000}"/>
    <cellStyle name="Migliaia 31 4 2" xfId="684" xr:uid="{00000000-0005-0000-0000-0000F70A0000}"/>
    <cellStyle name="Migliaia 31 4 2 2" xfId="2430" xr:uid="{00000000-0005-0000-0000-0000F80A0000}"/>
    <cellStyle name="Migliaia 31 4 2 2 2" xfId="5490" xr:uid="{00000000-0005-0000-0000-0000F90A0000}"/>
    <cellStyle name="Migliaia 31 4 2 2 3" xfId="6412" xr:uid="{00000000-0005-0000-0000-0000FA0A0000}"/>
    <cellStyle name="Migliaia 31 4 2 3" xfId="5080" xr:uid="{00000000-0005-0000-0000-0000FB0A0000}"/>
    <cellStyle name="Migliaia 31 4 2 4" xfId="5934" xr:uid="{00000000-0005-0000-0000-0000FC0A0000}"/>
    <cellStyle name="Migliaia 31 4 3" xfId="2429" xr:uid="{00000000-0005-0000-0000-0000FD0A0000}"/>
    <cellStyle name="Migliaia 31 4 3 2" xfId="5489" xr:uid="{00000000-0005-0000-0000-0000FE0A0000}"/>
    <cellStyle name="Migliaia 31 4 3 3" xfId="6411" xr:uid="{00000000-0005-0000-0000-0000FF0A0000}"/>
    <cellStyle name="Migliaia 31 4 4" xfId="5079" xr:uid="{00000000-0005-0000-0000-0000000B0000}"/>
    <cellStyle name="Migliaia 31 4 5" xfId="5933" xr:uid="{00000000-0005-0000-0000-0000010B0000}"/>
    <cellStyle name="Migliaia 31 5" xfId="685" xr:uid="{00000000-0005-0000-0000-0000020B0000}"/>
    <cellStyle name="Migliaia 31 5 2" xfId="5081" xr:uid="{00000000-0005-0000-0000-0000030B0000}"/>
    <cellStyle name="Migliaia 31 5 3" xfId="5935" xr:uid="{00000000-0005-0000-0000-0000040B0000}"/>
    <cellStyle name="Migliaia 31 6" xfId="4823" xr:uid="{00000000-0005-0000-0000-0000050B0000}"/>
    <cellStyle name="Migliaia 31 7" xfId="5928" xr:uid="{00000000-0005-0000-0000-0000060B0000}"/>
    <cellStyle name="Migliaia 32" xfId="686" xr:uid="{00000000-0005-0000-0000-0000070B0000}"/>
    <cellStyle name="Migliaia 32 2" xfId="687" xr:uid="{00000000-0005-0000-0000-0000080B0000}"/>
    <cellStyle name="Migliaia 32 2 2" xfId="2431" xr:uid="{00000000-0005-0000-0000-0000090B0000}"/>
    <cellStyle name="Migliaia 32 2 2 2" xfId="5491" xr:uid="{00000000-0005-0000-0000-00000A0B0000}"/>
    <cellStyle name="Migliaia 32 2 2 3" xfId="6413" xr:uid="{00000000-0005-0000-0000-00000B0B0000}"/>
    <cellStyle name="Migliaia 32 2 3" xfId="4888" xr:uid="{00000000-0005-0000-0000-00000C0B0000}"/>
    <cellStyle name="Migliaia 32 2 4" xfId="5937" xr:uid="{00000000-0005-0000-0000-00000D0B0000}"/>
    <cellStyle name="Migliaia 32 3" xfId="688" xr:uid="{00000000-0005-0000-0000-00000E0B0000}"/>
    <cellStyle name="Migliaia 32 3 2" xfId="689" xr:uid="{00000000-0005-0000-0000-00000F0B0000}"/>
    <cellStyle name="Migliaia 32 3 2 2" xfId="5083" xr:uid="{00000000-0005-0000-0000-0000100B0000}"/>
    <cellStyle name="Migliaia 32 3 2 3" xfId="5939" xr:uid="{00000000-0005-0000-0000-0000110B0000}"/>
    <cellStyle name="Migliaia 32 3 3" xfId="690" xr:uid="{00000000-0005-0000-0000-0000120B0000}"/>
    <cellStyle name="Migliaia 32 3 3 2" xfId="2433" xr:uid="{00000000-0005-0000-0000-0000130B0000}"/>
    <cellStyle name="Migliaia 32 3 3 2 2" xfId="5493" xr:uid="{00000000-0005-0000-0000-0000140B0000}"/>
    <cellStyle name="Migliaia 32 3 3 2 3" xfId="6415" xr:uid="{00000000-0005-0000-0000-0000150B0000}"/>
    <cellStyle name="Migliaia 32 3 3 3" xfId="5084" xr:uid="{00000000-0005-0000-0000-0000160B0000}"/>
    <cellStyle name="Migliaia 32 3 3 4" xfId="5940" xr:uid="{00000000-0005-0000-0000-0000170B0000}"/>
    <cellStyle name="Migliaia 32 3 4" xfId="2432" xr:uid="{00000000-0005-0000-0000-0000180B0000}"/>
    <cellStyle name="Migliaia 32 3 4 2" xfId="5492" xr:uid="{00000000-0005-0000-0000-0000190B0000}"/>
    <cellStyle name="Migliaia 32 3 4 3" xfId="6414" xr:uid="{00000000-0005-0000-0000-00001A0B0000}"/>
    <cellStyle name="Migliaia 32 3 5" xfId="5082" xr:uid="{00000000-0005-0000-0000-00001B0B0000}"/>
    <cellStyle name="Migliaia 32 3 6" xfId="5938" xr:uid="{00000000-0005-0000-0000-00001C0B0000}"/>
    <cellStyle name="Migliaia 32 4" xfId="691" xr:uid="{00000000-0005-0000-0000-00001D0B0000}"/>
    <cellStyle name="Migliaia 32 4 2" xfId="692" xr:uid="{00000000-0005-0000-0000-00001E0B0000}"/>
    <cellStyle name="Migliaia 32 4 2 2" xfId="2435" xr:uid="{00000000-0005-0000-0000-00001F0B0000}"/>
    <cellStyle name="Migliaia 32 4 2 2 2" xfId="5495" xr:uid="{00000000-0005-0000-0000-0000200B0000}"/>
    <cellStyle name="Migliaia 32 4 2 2 3" xfId="6417" xr:uid="{00000000-0005-0000-0000-0000210B0000}"/>
    <cellStyle name="Migliaia 32 4 2 3" xfId="5086" xr:uid="{00000000-0005-0000-0000-0000220B0000}"/>
    <cellStyle name="Migliaia 32 4 2 4" xfId="5942" xr:uid="{00000000-0005-0000-0000-0000230B0000}"/>
    <cellStyle name="Migliaia 32 4 3" xfId="2434" xr:uid="{00000000-0005-0000-0000-0000240B0000}"/>
    <cellStyle name="Migliaia 32 4 3 2" xfId="5494" xr:uid="{00000000-0005-0000-0000-0000250B0000}"/>
    <cellStyle name="Migliaia 32 4 3 3" xfId="6416" xr:uid="{00000000-0005-0000-0000-0000260B0000}"/>
    <cellStyle name="Migliaia 32 4 4" xfId="5085" xr:uid="{00000000-0005-0000-0000-0000270B0000}"/>
    <cellStyle name="Migliaia 32 4 5" xfId="5941" xr:uid="{00000000-0005-0000-0000-0000280B0000}"/>
    <cellStyle name="Migliaia 32 5" xfId="693" xr:uid="{00000000-0005-0000-0000-0000290B0000}"/>
    <cellStyle name="Migliaia 32 5 2" xfId="5087" xr:uid="{00000000-0005-0000-0000-00002A0B0000}"/>
    <cellStyle name="Migliaia 32 5 3" xfId="5943" xr:uid="{00000000-0005-0000-0000-00002B0B0000}"/>
    <cellStyle name="Migliaia 32 6" xfId="4824" xr:uid="{00000000-0005-0000-0000-00002C0B0000}"/>
    <cellStyle name="Migliaia 32 7" xfId="5936" xr:uid="{00000000-0005-0000-0000-00002D0B0000}"/>
    <cellStyle name="Migliaia 33" xfId="694" xr:uid="{00000000-0005-0000-0000-00002E0B0000}"/>
    <cellStyle name="Migliaia 33 2" xfId="695" xr:uid="{00000000-0005-0000-0000-00002F0B0000}"/>
    <cellStyle name="Migliaia 33 2 2" xfId="2436" xr:uid="{00000000-0005-0000-0000-0000300B0000}"/>
    <cellStyle name="Migliaia 33 2 2 2" xfId="5496" xr:uid="{00000000-0005-0000-0000-0000310B0000}"/>
    <cellStyle name="Migliaia 33 2 2 3" xfId="6418" xr:uid="{00000000-0005-0000-0000-0000320B0000}"/>
    <cellStyle name="Migliaia 33 2 3" xfId="4889" xr:uid="{00000000-0005-0000-0000-0000330B0000}"/>
    <cellStyle name="Migliaia 33 2 4" xfId="5945" xr:uid="{00000000-0005-0000-0000-0000340B0000}"/>
    <cellStyle name="Migliaia 33 3" xfId="696" xr:uid="{00000000-0005-0000-0000-0000350B0000}"/>
    <cellStyle name="Migliaia 33 3 2" xfId="697" xr:uid="{00000000-0005-0000-0000-0000360B0000}"/>
    <cellStyle name="Migliaia 33 3 2 2" xfId="5089" xr:uid="{00000000-0005-0000-0000-0000370B0000}"/>
    <cellStyle name="Migliaia 33 3 2 3" xfId="5947" xr:uid="{00000000-0005-0000-0000-0000380B0000}"/>
    <cellStyle name="Migliaia 33 3 3" xfId="698" xr:uid="{00000000-0005-0000-0000-0000390B0000}"/>
    <cellStyle name="Migliaia 33 3 3 2" xfId="2438" xr:uid="{00000000-0005-0000-0000-00003A0B0000}"/>
    <cellStyle name="Migliaia 33 3 3 2 2" xfId="5498" xr:uid="{00000000-0005-0000-0000-00003B0B0000}"/>
    <cellStyle name="Migliaia 33 3 3 2 3" xfId="6420" xr:uid="{00000000-0005-0000-0000-00003C0B0000}"/>
    <cellStyle name="Migliaia 33 3 3 3" xfId="5090" xr:uid="{00000000-0005-0000-0000-00003D0B0000}"/>
    <cellStyle name="Migliaia 33 3 3 4" xfId="5948" xr:uid="{00000000-0005-0000-0000-00003E0B0000}"/>
    <cellStyle name="Migliaia 33 3 4" xfId="2437" xr:uid="{00000000-0005-0000-0000-00003F0B0000}"/>
    <cellStyle name="Migliaia 33 3 4 2" xfId="5497" xr:uid="{00000000-0005-0000-0000-0000400B0000}"/>
    <cellStyle name="Migliaia 33 3 4 3" xfId="6419" xr:uid="{00000000-0005-0000-0000-0000410B0000}"/>
    <cellStyle name="Migliaia 33 3 5" xfId="5088" xr:uid="{00000000-0005-0000-0000-0000420B0000}"/>
    <cellStyle name="Migliaia 33 3 6" xfId="5946" xr:uid="{00000000-0005-0000-0000-0000430B0000}"/>
    <cellStyle name="Migliaia 33 4" xfId="699" xr:uid="{00000000-0005-0000-0000-0000440B0000}"/>
    <cellStyle name="Migliaia 33 4 2" xfId="700" xr:uid="{00000000-0005-0000-0000-0000450B0000}"/>
    <cellStyle name="Migliaia 33 4 2 2" xfId="2440" xr:uid="{00000000-0005-0000-0000-0000460B0000}"/>
    <cellStyle name="Migliaia 33 4 2 2 2" xfId="5500" xr:uid="{00000000-0005-0000-0000-0000470B0000}"/>
    <cellStyle name="Migliaia 33 4 2 2 3" xfId="6422" xr:uid="{00000000-0005-0000-0000-0000480B0000}"/>
    <cellStyle name="Migliaia 33 4 2 3" xfId="5092" xr:uid="{00000000-0005-0000-0000-0000490B0000}"/>
    <cellStyle name="Migliaia 33 4 2 4" xfId="5950" xr:uid="{00000000-0005-0000-0000-00004A0B0000}"/>
    <cellStyle name="Migliaia 33 4 3" xfId="2439" xr:uid="{00000000-0005-0000-0000-00004B0B0000}"/>
    <cellStyle name="Migliaia 33 4 3 2" xfId="5499" xr:uid="{00000000-0005-0000-0000-00004C0B0000}"/>
    <cellStyle name="Migliaia 33 4 3 3" xfId="6421" xr:uid="{00000000-0005-0000-0000-00004D0B0000}"/>
    <cellStyle name="Migliaia 33 4 4" xfId="5091" xr:uid="{00000000-0005-0000-0000-00004E0B0000}"/>
    <cellStyle name="Migliaia 33 4 5" xfId="5949" xr:uid="{00000000-0005-0000-0000-00004F0B0000}"/>
    <cellStyle name="Migliaia 33 5" xfId="701" xr:uid="{00000000-0005-0000-0000-0000500B0000}"/>
    <cellStyle name="Migliaia 33 5 2" xfId="5093" xr:uid="{00000000-0005-0000-0000-0000510B0000}"/>
    <cellStyle name="Migliaia 33 5 3" xfId="5951" xr:uid="{00000000-0005-0000-0000-0000520B0000}"/>
    <cellStyle name="Migliaia 33 6" xfId="4825" xr:uid="{00000000-0005-0000-0000-0000530B0000}"/>
    <cellStyle name="Migliaia 33 7" xfId="5944" xr:uid="{00000000-0005-0000-0000-0000540B0000}"/>
    <cellStyle name="Migliaia 34" xfId="702" xr:uid="{00000000-0005-0000-0000-0000550B0000}"/>
    <cellStyle name="Migliaia 34 2" xfId="703" xr:uid="{00000000-0005-0000-0000-0000560B0000}"/>
    <cellStyle name="Migliaia 34 2 2" xfId="2441" xr:uid="{00000000-0005-0000-0000-0000570B0000}"/>
    <cellStyle name="Migliaia 34 2 2 2" xfId="5501" xr:uid="{00000000-0005-0000-0000-0000580B0000}"/>
    <cellStyle name="Migliaia 34 2 2 3" xfId="6423" xr:uid="{00000000-0005-0000-0000-0000590B0000}"/>
    <cellStyle name="Migliaia 34 2 3" xfId="4890" xr:uid="{00000000-0005-0000-0000-00005A0B0000}"/>
    <cellStyle name="Migliaia 34 2 4" xfId="5953" xr:uid="{00000000-0005-0000-0000-00005B0B0000}"/>
    <cellStyle name="Migliaia 34 3" xfId="704" xr:uid="{00000000-0005-0000-0000-00005C0B0000}"/>
    <cellStyle name="Migliaia 34 3 2" xfId="705" xr:uid="{00000000-0005-0000-0000-00005D0B0000}"/>
    <cellStyle name="Migliaia 34 3 2 2" xfId="5095" xr:uid="{00000000-0005-0000-0000-00005E0B0000}"/>
    <cellStyle name="Migliaia 34 3 2 3" xfId="5955" xr:uid="{00000000-0005-0000-0000-00005F0B0000}"/>
    <cellStyle name="Migliaia 34 3 3" xfId="706" xr:uid="{00000000-0005-0000-0000-0000600B0000}"/>
    <cellStyle name="Migliaia 34 3 3 2" xfId="2443" xr:uid="{00000000-0005-0000-0000-0000610B0000}"/>
    <cellStyle name="Migliaia 34 3 3 2 2" xfId="5503" xr:uid="{00000000-0005-0000-0000-0000620B0000}"/>
    <cellStyle name="Migliaia 34 3 3 2 3" xfId="6425" xr:uid="{00000000-0005-0000-0000-0000630B0000}"/>
    <cellStyle name="Migliaia 34 3 3 3" xfId="5096" xr:uid="{00000000-0005-0000-0000-0000640B0000}"/>
    <cellStyle name="Migliaia 34 3 3 4" xfId="5956" xr:uid="{00000000-0005-0000-0000-0000650B0000}"/>
    <cellStyle name="Migliaia 34 3 4" xfId="2442" xr:uid="{00000000-0005-0000-0000-0000660B0000}"/>
    <cellStyle name="Migliaia 34 3 4 2" xfId="5502" xr:uid="{00000000-0005-0000-0000-0000670B0000}"/>
    <cellStyle name="Migliaia 34 3 4 3" xfId="6424" xr:uid="{00000000-0005-0000-0000-0000680B0000}"/>
    <cellStyle name="Migliaia 34 3 5" xfId="5094" xr:uid="{00000000-0005-0000-0000-0000690B0000}"/>
    <cellStyle name="Migliaia 34 3 6" xfId="5954" xr:uid="{00000000-0005-0000-0000-00006A0B0000}"/>
    <cellStyle name="Migliaia 34 4" xfId="707" xr:uid="{00000000-0005-0000-0000-00006B0B0000}"/>
    <cellStyle name="Migliaia 34 4 2" xfId="708" xr:uid="{00000000-0005-0000-0000-00006C0B0000}"/>
    <cellStyle name="Migliaia 34 4 2 2" xfId="2445" xr:uid="{00000000-0005-0000-0000-00006D0B0000}"/>
    <cellStyle name="Migliaia 34 4 2 2 2" xfId="5505" xr:uid="{00000000-0005-0000-0000-00006E0B0000}"/>
    <cellStyle name="Migliaia 34 4 2 2 3" xfId="6427" xr:uid="{00000000-0005-0000-0000-00006F0B0000}"/>
    <cellStyle name="Migliaia 34 4 2 3" xfId="5098" xr:uid="{00000000-0005-0000-0000-0000700B0000}"/>
    <cellStyle name="Migliaia 34 4 2 4" xfId="5958" xr:uid="{00000000-0005-0000-0000-0000710B0000}"/>
    <cellStyle name="Migliaia 34 4 3" xfId="2444" xr:uid="{00000000-0005-0000-0000-0000720B0000}"/>
    <cellStyle name="Migliaia 34 4 3 2" xfId="5504" xr:uid="{00000000-0005-0000-0000-0000730B0000}"/>
    <cellStyle name="Migliaia 34 4 3 3" xfId="6426" xr:uid="{00000000-0005-0000-0000-0000740B0000}"/>
    <cellStyle name="Migliaia 34 4 4" xfId="5097" xr:uid="{00000000-0005-0000-0000-0000750B0000}"/>
    <cellStyle name="Migliaia 34 4 5" xfId="5957" xr:uid="{00000000-0005-0000-0000-0000760B0000}"/>
    <cellStyle name="Migliaia 34 5" xfId="709" xr:uid="{00000000-0005-0000-0000-0000770B0000}"/>
    <cellStyle name="Migliaia 34 5 2" xfId="5099" xr:uid="{00000000-0005-0000-0000-0000780B0000}"/>
    <cellStyle name="Migliaia 34 5 3" xfId="5959" xr:uid="{00000000-0005-0000-0000-0000790B0000}"/>
    <cellStyle name="Migliaia 34 6" xfId="4826" xr:uid="{00000000-0005-0000-0000-00007A0B0000}"/>
    <cellStyle name="Migliaia 34 7" xfId="5952" xr:uid="{00000000-0005-0000-0000-00007B0B0000}"/>
    <cellStyle name="Migliaia 35" xfId="710" xr:uid="{00000000-0005-0000-0000-00007C0B0000}"/>
    <cellStyle name="Migliaia 35 2" xfId="711" xr:uid="{00000000-0005-0000-0000-00007D0B0000}"/>
    <cellStyle name="Migliaia 35 2 2" xfId="2446" xr:uid="{00000000-0005-0000-0000-00007E0B0000}"/>
    <cellStyle name="Migliaia 35 2 2 2" xfId="5506" xr:uid="{00000000-0005-0000-0000-00007F0B0000}"/>
    <cellStyle name="Migliaia 35 2 2 3" xfId="6428" xr:uid="{00000000-0005-0000-0000-0000800B0000}"/>
    <cellStyle name="Migliaia 35 2 3" xfId="4891" xr:uid="{00000000-0005-0000-0000-0000810B0000}"/>
    <cellStyle name="Migliaia 35 2 4" xfId="5961" xr:uid="{00000000-0005-0000-0000-0000820B0000}"/>
    <cellStyle name="Migliaia 35 3" xfId="712" xr:uid="{00000000-0005-0000-0000-0000830B0000}"/>
    <cellStyle name="Migliaia 35 3 2" xfId="713" xr:uid="{00000000-0005-0000-0000-0000840B0000}"/>
    <cellStyle name="Migliaia 35 3 2 2" xfId="5101" xr:uid="{00000000-0005-0000-0000-0000850B0000}"/>
    <cellStyle name="Migliaia 35 3 2 3" xfId="5963" xr:uid="{00000000-0005-0000-0000-0000860B0000}"/>
    <cellStyle name="Migliaia 35 3 3" xfId="714" xr:uid="{00000000-0005-0000-0000-0000870B0000}"/>
    <cellStyle name="Migliaia 35 3 3 2" xfId="2448" xr:uid="{00000000-0005-0000-0000-0000880B0000}"/>
    <cellStyle name="Migliaia 35 3 3 2 2" xfId="5508" xr:uid="{00000000-0005-0000-0000-0000890B0000}"/>
    <cellStyle name="Migliaia 35 3 3 2 3" xfId="6430" xr:uid="{00000000-0005-0000-0000-00008A0B0000}"/>
    <cellStyle name="Migliaia 35 3 3 3" xfId="5102" xr:uid="{00000000-0005-0000-0000-00008B0B0000}"/>
    <cellStyle name="Migliaia 35 3 3 4" xfId="5964" xr:uid="{00000000-0005-0000-0000-00008C0B0000}"/>
    <cellStyle name="Migliaia 35 3 4" xfId="2447" xr:uid="{00000000-0005-0000-0000-00008D0B0000}"/>
    <cellStyle name="Migliaia 35 3 4 2" xfId="5507" xr:uid="{00000000-0005-0000-0000-00008E0B0000}"/>
    <cellStyle name="Migliaia 35 3 4 3" xfId="6429" xr:uid="{00000000-0005-0000-0000-00008F0B0000}"/>
    <cellStyle name="Migliaia 35 3 5" xfId="5100" xr:uid="{00000000-0005-0000-0000-0000900B0000}"/>
    <cellStyle name="Migliaia 35 3 6" xfId="5962" xr:uid="{00000000-0005-0000-0000-0000910B0000}"/>
    <cellStyle name="Migliaia 35 4" xfId="715" xr:uid="{00000000-0005-0000-0000-0000920B0000}"/>
    <cellStyle name="Migliaia 35 4 2" xfId="716" xr:uid="{00000000-0005-0000-0000-0000930B0000}"/>
    <cellStyle name="Migliaia 35 4 2 2" xfId="2450" xr:uid="{00000000-0005-0000-0000-0000940B0000}"/>
    <cellStyle name="Migliaia 35 4 2 2 2" xfId="5510" xr:uid="{00000000-0005-0000-0000-0000950B0000}"/>
    <cellStyle name="Migliaia 35 4 2 2 3" xfId="6432" xr:uid="{00000000-0005-0000-0000-0000960B0000}"/>
    <cellStyle name="Migliaia 35 4 2 3" xfId="5104" xr:uid="{00000000-0005-0000-0000-0000970B0000}"/>
    <cellStyle name="Migliaia 35 4 2 4" xfId="5966" xr:uid="{00000000-0005-0000-0000-0000980B0000}"/>
    <cellStyle name="Migliaia 35 4 3" xfId="2449" xr:uid="{00000000-0005-0000-0000-0000990B0000}"/>
    <cellStyle name="Migliaia 35 4 3 2" xfId="5509" xr:uid="{00000000-0005-0000-0000-00009A0B0000}"/>
    <cellStyle name="Migliaia 35 4 3 3" xfId="6431" xr:uid="{00000000-0005-0000-0000-00009B0B0000}"/>
    <cellStyle name="Migliaia 35 4 4" xfId="5103" xr:uid="{00000000-0005-0000-0000-00009C0B0000}"/>
    <cellStyle name="Migliaia 35 4 5" xfId="5965" xr:uid="{00000000-0005-0000-0000-00009D0B0000}"/>
    <cellStyle name="Migliaia 35 5" xfId="717" xr:uid="{00000000-0005-0000-0000-00009E0B0000}"/>
    <cellStyle name="Migliaia 35 5 2" xfId="5105" xr:uid="{00000000-0005-0000-0000-00009F0B0000}"/>
    <cellStyle name="Migliaia 35 5 3" xfId="5967" xr:uid="{00000000-0005-0000-0000-0000A00B0000}"/>
    <cellStyle name="Migliaia 35 6" xfId="4827" xr:uid="{00000000-0005-0000-0000-0000A10B0000}"/>
    <cellStyle name="Migliaia 35 7" xfId="5960" xr:uid="{00000000-0005-0000-0000-0000A20B0000}"/>
    <cellStyle name="Migliaia 36" xfId="718" xr:uid="{00000000-0005-0000-0000-0000A30B0000}"/>
    <cellStyle name="Migliaia 36 2" xfId="719" xr:uid="{00000000-0005-0000-0000-0000A40B0000}"/>
    <cellStyle name="Migliaia 36 2 2" xfId="2451" xr:uid="{00000000-0005-0000-0000-0000A50B0000}"/>
    <cellStyle name="Migliaia 36 2 2 2" xfId="5511" xr:uid="{00000000-0005-0000-0000-0000A60B0000}"/>
    <cellStyle name="Migliaia 36 2 2 3" xfId="6433" xr:uid="{00000000-0005-0000-0000-0000A70B0000}"/>
    <cellStyle name="Migliaia 36 2 3" xfId="4892" xr:uid="{00000000-0005-0000-0000-0000A80B0000}"/>
    <cellStyle name="Migliaia 36 2 4" xfId="5969" xr:uid="{00000000-0005-0000-0000-0000A90B0000}"/>
    <cellStyle name="Migliaia 36 3" xfId="720" xr:uid="{00000000-0005-0000-0000-0000AA0B0000}"/>
    <cellStyle name="Migliaia 36 3 2" xfId="721" xr:uid="{00000000-0005-0000-0000-0000AB0B0000}"/>
    <cellStyle name="Migliaia 36 3 2 2" xfId="5107" xr:uid="{00000000-0005-0000-0000-0000AC0B0000}"/>
    <cellStyle name="Migliaia 36 3 2 3" xfId="5971" xr:uid="{00000000-0005-0000-0000-0000AD0B0000}"/>
    <cellStyle name="Migliaia 36 3 3" xfId="722" xr:uid="{00000000-0005-0000-0000-0000AE0B0000}"/>
    <cellStyle name="Migliaia 36 3 3 2" xfId="2453" xr:uid="{00000000-0005-0000-0000-0000AF0B0000}"/>
    <cellStyle name="Migliaia 36 3 3 2 2" xfId="5513" xr:uid="{00000000-0005-0000-0000-0000B00B0000}"/>
    <cellStyle name="Migliaia 36 3 3 2 3" xfId="6435" xr:uid="{00000000-0005-0000-0000-0000B10B0000}"/>
    <cellStyle name="Migliaia 36 3 3 3" xfId="5108" xr:uid="{00000000-0005-0000-0000-0000B20B0000}"/>
    <cellStyle name="Migliaia 36 3 3 4" xfId="5972" xr:uid="{00000000-0005-0000-0000-0000B30B0000}"/>
    <cellStyle name="Migliaia 36 3 4" xfId="2452" xr:uid="{00000000-0005-0000-0000-0000B40B0000}"/>
    <cellStyle name="Migliaia 36 3 4 2" xfId="5512" xr:uid="{00000000-0005-0000-0000-0000B50B0000}"/>
    <cellStyle name="Migliaia 36 3 4 3" xfId="6434" xr:uid="{00000000-0005-0000-0000-0000B60B0000}"/>
    <cellStyle name="Migliaia 36 3 5" xfId="5106" xr:uid="{00000000-0005-0000-0000-0000B70B0000}"/>
    <cellStyle name="Migliaia 36 3 6" xfId="5970" xr:uid="{00000000-0005-0000-0000-0000B80B0000}"/>
    <cellStyle name="Migliaia 36 4" xfId="723" xr:uid="{00000000-0005-0000-0000-0000B90B0000}"/>
    <cellStyle name="Migliaia 36 4 2" xfId="724" xr:uid="{00000000-0005-0000-0000-0000BA0B0000}"/>
    <cellStyle name="Migliaia 36 4 2 2" xfId="2455" xr:uid="{00000000-0005-0000-0000-0000BB0B0000}"/>
    <cellStyle name="Migliaia 36 4 2 2 2" xfId="5515" xr:uid="{00000000-0005-0000-0000-0000BC0B0000}"/>
    <cellStyle name="Migliaia 36 4 2 2 3" xfId="6437" xr:uid="{00000000-0005-0000-0000-0000BD0B0000}"/>
    <cellStyle name="Migliaia 36 4 2 3" xfId="5110" xr:uid="{00000000-0005-0000-0000-0000BE0B0000}"/>
    <cellStyle name="Migliaia 36 4 2 4" xfId="5974" xr:uid="{00000000-0005-0000-0000-0000BF0B0000}"/>
    <cellStyle name="Migliaia 36 4 3" xfId="2454" xr:uid="{00000000-0005-0000-0000-0000C00B0000}"/>
    <cellStyle name="Migliaia 36 4 3 2" xfId="5514" xr:uid="{00000000-0005-0000-0000-0000C10B0000}"/>
    <cellStyle name="Migliaia 36 4 3 3" xfId="6436" xr:uid="{00000000-0005-0000-0000-0000C20B0000}"/>
    <cellStyle name="Migliaia 36 4 4" xfId="5109" xr:uid="{00000000-0005-0000-0000-0000C30B0000}"/>
    <cellStyle name="Migliaia 36 4 5" xfId="5973" xr:uid="{00000000-0005-0000-0000-0000C40B0000}"/>
    <cellStyle name="Migliaia 36 5" xfId="725" xr:uid="{00000000-0005-0000-0000-0000C50B0000}"/>
    <cellStyle name="Migliaia 36 5 2" xfId="5111" xr:uid="{00000000-0005-0000-0000-0000C60B0000}"/>
    <cellStyle name="Migliaia 36 5 3" xfId="5975" xr:uid="{00000000-0005-0000-0000-0000C70B0000}"/>
    <cellStyle name="Migliaia 36 6" xfId="4828" xr:uid="{00000000-0005-0000-0000-0000C80B0000}"/>
    <cellStyle name="Migliaia 36 7" xfId="5968" xr:uid="{00000000-0005-0000-0000-0000C90B0000}"/>
    <cellStyle name="Migliaia 37" xfId="726" xr:uid="{00000000-0005-0000-0000-0000CA0B0000}"/>
    <cellStyle name="Migliaia 37 2" xfId="727" xr:uid="{00000000-0005-0000-0000-0000CB0B0000}"/>
    <cellStyle name="Migliaia 37 2 2" xfId="2456" xr:uid="{00000000-0005-0000-0000-0000CC0B0000}"/>
    <cellStyle name="Migliaia 37 2 2 2" xfId="5516" xr:uid="{00000000-0005-0000-0000-0000CD0B0000}"/>
    <cellStyle name="Migliaia 37 2 2 3" xfId="6438" xr:uid="{00000000-0005-0000-0000-0000CE0B0000}"/>
    <cellStyle name="Migliaia 37 2 3" xfId="4893" xr:uid="{00000000-0005-0000-0000-0000CF0B0000}"/>
    <cellStyle name="Migliaia 37 2 4" xfId="5977" xr:uid="{00000000-0005-0000-0000-0000D00B0000}"/>
    <cellStyle name="Migliaia 37 3" xfId="728" xr:uid="{00000000-0005-0000-0000-0000D10B0000}"/>
    <cellStyle name="Migliaia 37 3 2" xfId="729" xr:uid="{00000000-0005-0000-0000-0000D20B0000}"/>
    <cellStyle name="Migliaia 37 3 2 2" xfId="5113" xr:uid="{00000000-0005-0000-0000-0000D30B0000}"/>
    <cellStyle name="Migliaia 37 3 2 3" xfId="5979" xr:uid="{00000000-0005-0000-0000-0000D40B0000}"/>
    <cellStyle name="Migliaia 37 3 3" xfId="730" xr:uid="{00000000-0005-0000-0000-0000D50B0000}"/>
    <cellStyle name="Migliaia 37 3 3 2" xfId="2458" xr:uid="{00000000-0005-0000-0000-0000D60B0000}"/>
    <cellStyle name="Migliaia 37 3 3 2 2" xfId="5518" xr:uid="{00000000-0005-0000-0000-0000D70B0000}"/>
    <cellStyle name="Migliaia 37 3 3 2 3" xfId="6440" xr:uid="{00000000-0005-0000-0000-0000D80B0000}"/>
    <cellStyle name="Migliaia 37 3 3 3" xfId="5114" xr:uid="{00000000-0005-0000-0000-0000D90B0000}"/>
    <cellStyle name="Migliaia 37 3 3 4" xfId="5980" xr:uid="{00000000-0005-0000-0000-0000DA0B0000}"/>
    <cellStyle name="Migliaia 37 3 4" xfId="2457" xr:uid="{00000000-0005-0000-0000-0000DB0B0000}"/>
    <cellStyle name="Migliaia 37 3 4 2" xfId="5517" xr:uid="{00000000-0005-0000-0000-0000DC0B0000}"/>
    <cellStyle name="Migliaia 37 3 4 3" xfId="6439" xr:uid="{00000000-0005-0000-0000-0000DD0B0000}"/>
    <cellStyle name="Migliaia 37 3 5" xfId="5112" xr:uid="{00000000-0005-0000-0000-0000DE0B0000}"/>
    <cellStyle name="Migliaia 37 3 6" xfId="5978" xr:uid="{00000000-0005-0000-0000-0000DF0B0000}"/>
    <cellStyle name="Migliaia 37 4" xfId="731" xr:uid="{00000000-0005-0000-0000-0000E00B0000}"/>
    <cellStyle name="Migliaia 37 4 2" xfId="732" xr:uid="{00000000-0005-0000-0000-0000E10B0000}"/>
    <cellStyle name="Migliaia 37 4 2 2" xfId="2460" xr:uid="{00000000-0005-0000-0000-0000E20B0000}"/>
    <cellStyle name="Migliaia 37 4 2 2 2" xfId="5520" xr:uid="{00000000-0005-0000-0000-0000E30B0000}"/>
    <cellStyle name="Migliaia 37 4 2 2 3" xfId="6442" xr:uid="{00000000-0005-0000-0000-0000E40B0000}"/>
    <cellStyle name="Migliaia 37 4 2 3" xfId="5116" xr:uid="{00000000-0005-0000-0000-0000E50B0000}"/>
    <cellStyle name="Migliaia 37 4 2 4" xfId="5982" xr:uid="{00000000-0005-0000-0000-0000E60B0000}"/>
    <cellStyle name="Migliaia 37 4 3" xfId="2459" xr:uid="{00000000-0005-0000-0000-0000E70B0000}"/>
    <cellStyle name="Migliaia 37 4 3 2" xfId="5519" xr:uid="{00000000-0005-0000-0000-0000E80B0000}"/>
    <cellStyle name="Migliaia 37 4 3 3" xfId="6441" xr:uid="{00000000-0005-0000-0000-0000E90B0000}"/>
    <cellStyle name="Migliaia 37 4 4" xfId="5115" xr:uid="{00000000-0005-0000-0000-0000EA0B0000}"/>
    <cellStyle name="Migliaia 37 4 5" xfId="5981" xr:uid="{00000000-0005-0000-0000-0000EB0B0000}"/>
    <cellStyle name="Migliaia 37 5" xfId="733" xr:uid="{00000000-0005-0000-0000-0000EC0B0000}"/>
    <cellStyle name="Migliaia 37 5 2" xfId="5117" xr:uid="{00000000-0005-0000-0000-0000ED0B0000}"/>
    <cellStyle name="Migliaia 37 5 3" xfId="5983" xr:uid="{00000000-0005-0000-0000-0000EE0B0000}"/>
    <cellStyle name="Migliaia 37 6" xfId="4829" xr:uid="{00000000-0005-0000-0000-0000EF0B0000}"/>
    <cellStyle name="Migliaia 37 7" xfId="5976" xr:uid="{00000000-0005-0000-0000-0000F00B0000}"/>
    <cellStyle name="Migliaia 38" xfId="734" xr:uid="{00000000-0005-0000-0000-0000F10B0000}"/>
    <cellStyle name="Migliaia 38 2" xfId="735" xr:uid="{00000000-0005-0000-0000-0000F20B0000}"/>
    <cellStyle name="Migliaia 38 2 2" xfId="2461" xr:uid="{00000000-0005-0000-0000-0000F30B0000}"/>
    <cellStyle name="Migliaia 38 2 2 2" xfId="5521" xr:uid="{00000000-0005-0000-0000-0000F40B0000}"/>
    <cellStyle name="Migliaia 38 2 2 3" xfId="6443" xr:uid="{00000000-0005-0000-0000-0000F50B0000}"/>
    <cellStyle name="Migliaia 38 2 3" xfId="4894" xr:uid="{00000000-0005-0000-0000-0000F60B0000}"/>
    <cellStyle name="Migliaia 38 2 4" xfId="5985" xr:uid="{00000000-0005-0000-0000-0000F70B0000}"/>
    <cellStyle name="Migliaia 38 3" xfId="736" xr:uid="{00000000-0005-0000-0000-0000F80B0000}"/>
    <cellStyle name="Migliaia 38 3 2" xfId="737" xr:uid="{00000000-0005-0000-0000-0000F90B0000}"/>
    <cellStyle name="Migliaia 38 3 2 2" xfId="5119" xr:uid="{00000000-0005-0000-0000-0000FA0B0000}"/>
    <cellStyle name="Migliaia 38 3 2 3" xfId="5987" xr:uid="{00000000-0005-0000-0000-0000FB0B0000}"/>
    <cellStyle name="Migliaia 38 3 3" xfId="738" xr:uid="{00000000-0005-0000-0000-0000FC0B0000}"/>
    <cellStyle name="Migliaia 38 3 3 2" xfId="2463" xr:uid="{00000000-0005-0000-0000-0000FD0B0000}"/>
    <cellStyle name="Migliaia 38 3 3 2 2" xfId="5523" xr:uid="{00000000-0005-0000-0000-0000FE0B0000}"/>
    <cellStyle name="Migliaia 38 3 3 2 3" xfId="6445" xr:uid="{00000000-0005-0000-0000-0000FF0B0000}"/>
    <cellStyle name="Migliaia 38 3 3 3" xfId="5120" xr:uid="{00000000-0005-0000-0000-0000000C0000}"/>
    <cellStyle name="Migliaia 38 3 3 4" xfId="5988" xr:uid="{00000000-0005-0000-0000-0000010C0000}"/>
    <cellStyle name="Migliaia 38 3 4" xfId="2462" xr:uid="{00000000-0005-0000-0000-0000020C0000}"/>
    <cellStyle name="Migliaia 38 3 4 2" xfId="5522" xr:uid="{00000000-0005-0000-0000-0000030C0000}"/>
    <cellStyle name="Migliaia 38 3 4 3" xfId="6444" xr:uid="{00000000-0005-0000-0000-0000040C0000}"/>
    <cellStyle name="Migliaia 38 3 5" xfId="5118" xr:uid="{00000000-0005-0000-0000-0000050C0000}"/>
    <cellStyle name="Migliaia 38 3 6" xfId="5986" xr:uid="{00000000-0005-0000-0000-0000060C0000}"/>
    <cellStyle name="Migliaia 38 4" xfId="739" xr:uid="{00000000-0005-0000-0000-0000070C0000}"/>
    <cellStyle name="Migliaia 38 4 2" xfId="740" xr:uid="{00000000-0005-0000-0000-0000080C0000}"/>
    <cellStyle name="Migliaia 38 4 2 2" xfId="2465" xr:uid="{00000000-0005-0000-0000-0000090C0000}"/>
    <cellStyle name="Migliaia 38 4 2 2 2" xfId="5525" xr:uid="{00000000-0005-0000-0000-00000A0C0000}"/>
    <cellStyle name="Migliaia 38 4 2 2 3" xfId="6447" xr:uid="{00000000-0005-0000-0000-00000B0C0000}"/>
    <cellStyle name="Migliaia 38 4 2 3" xfId="5122" xr:uid="{00000000-0005-0000-0000-00000C0C0000}"/>
    <cellStyle name="Migliaia 38 4 2 4" xfId="5990" xr:uid="{00000000-0005-0000-0000-00000D0C0000}"/>
    <cellStyle name="Migliaia 38 4 3" xfId="2464" xr:uid="{00000000-0005-0000-0000-00000E0C0000}"/>
    <cellStyle name="Migliaia 38 4 3 2" xfId="5524" xr:uid="{00000000-0005-0000-0000-00000F0C0000}"/>
    <cellStyle name="Migliaia 38 4 3 3" xfId="6446" xr:uid="{00000000-0005-0000-0000-0000100C0000}"/>
    <cellStyle name="Migliaia 38 4 4" xfId="5121" xr:uid="{00000000-0005-0000-0000-0000110C0000}"/>
    <cellStyle name="Migliaia 38 4 5" xfId="5989" xr:uid="{00000000-0005-0000-0000-0000120C0000}"/>
    <cellStyle name="Migliaia 38 5" xfId="741" xr:uid="{00000000-0005-0000-0000-0000130C0000}"/>
    <cellStyle name="Migliaia 38 5 2" xfId="5123" xr:uid="{00000000-0005-0000-0000-0000140C0000}"/>
    <cellStyle name="Migliaia 38 5 3" xfId="5991" xr:uid="{00000000-0005-0000-0000-0000150C0000}"/>
    <cellStyle name="Migliaia 38 6" xfId="4830" xr:uid="{00000000-0005-0000-0000-0000160C0000}"/>
    <cellStyle name="Migliaia 38 7" xfId="5984" xr:uid="{00000000-0005-0000-0000-0000170C0000}"/>
    <cellStyle name="Migliaia 39" xfId="742" xr:uid="{00000000-0005-0000-0000-0000180C0000}"/>
    <cellStyle name="Migliaia 39 2" xfId="743" xr:uid="{00000000-0005-0000-0000-0000190C0000}"/>
    <cellStyle name="Migliaia 39 2 2" xfId="2466" xr:uid="{00000000-0005-0000-0000-00001A0C0000}"/>
    <cellStyle name="Migliaia 39 2 2 2" xfId="5526" xr:uid="{00000000-0005-0000-0000-00001B0C0000}"/>
    <cellStyle name="Migliaia 39 2 2 3" xfId="6448" xr:uid="{00000000-0005-0000-0000-00001C0C0000}"/>
    <cellStyle name="Migliaia 39 2 3" xfId="4895" xr:uid="{00000000-0005-0000-0000-00001D0C0000}"/>
    <cellStyle name="Migliaia 39 2 4" xfId="5993" xr:uid="{00000000-0005-0000-0000-00001E0C0000}"/>
    <cellStyle name="Migliaia 39 3" xfId="744" xr:uid="{00000000-0005-0000-0000-00001F0C0000}"/>
    <cellStyle name="Migliaia 39 3 2" xfId="745" xr:uid="{00000000-0005-0000-0000-0000200C0000}"/>
    <cellStyle name="Migliaia 39 3 2 2" xfId="5125" xr:uid="{00000000-0005-0000-0000-0000210C0000}"/>
    <cellStyle name="Migliaia 39 3 2 3" xfId="5995" xr:uid="{00000000-0005-0000-0000-0000220C0000}"/>
    <cellStyle name="Migliaia 39 3 3" xfId="746" xr:uid="{00000000-0005-0000-0000-0000230C0000}"/>
    <cellStyle name="Migliaia 39 3 3 2" xfId="2468" xr:uid="{00000000-0005-0000-0000-0000240C0000}"/>
    <cellStyle name="Migliaia 39 3 3 2 2" xfId="5528" xr:uid="{00000000-0005-0000-0000-0000250C0000}"/>
    <cellStyle name="Migliaia 39 3 3 2 3" xfId="6450" xr:uid="{00000000-0005-0000-0000-0000260C0000}"/>
    <cellStyle name="Migliaia 39 3 3 3" xfId="5126" xr:uid="{00000000-0005-0000-0000-0000270C0000}"/>
    <cellStyle name="Migliaia 39 3 3 4" xfId="5996" xr:uid="{00000000-0005-0000-0000-0000280C0000}"/>
    <cellStyle name="Migliaia 39 3 4" xfId="2467" xr:uid="{00000000-0005-0000-0000-0000290C0000}"/>
    <cellStyle name="Migliaia 39 3 4 2" xfId="5527" xr:uid="{00000000-0005-0000-0000-00002A0C0000}"/>
    <cellStyle name="Migliaia 39 3 4 3" xfId="6449" xr:uid="{00000000-0005-0000-0000-00002B0C0000}"/>
    <cellStyle name="Migliaia 39 3 5" xfId="5124" xr:uid="{00000000-0005-0000-0000-00002C0C0000}"/>
    <cellStyle name="Migliaia 39 3 6" xfId="5994" xr:uid="{00000000-0005-0000-0000-00002D0C0000}"/>
    <cellStyle name="Migliaia 39 4" xfId="747" xr:uid="{00000000-0005-0000-0000-00002E0C0000}"/>
    <cellStyle name="Migliaia 39 4 2" xfId="748" xr:uid="{00000000-0005-0000-0000-00002F0C0000}"/>
    <cellStyle name="Migliaia 39 4 2 2" xfId="2470" xr:uid="{00000000-0005-0000-0000-0000300C0000}"/>
    <cellStyle name="Migliaia 39 4 2 2 2" xfId="5530" xr:uid="{00000000-0005-0000-0000-0000310C0000}"/>
    <cellStyle name="Migliaia 39 4 2 2 3" xfId="6452" xr:uid="{00000000-0005-0000-0000-0000320C0000}"/>
    <cellStyle name="Migliaia 39 4 2 3" xfId="5128" xr:uid="{00000000-0005-0000-0000-0000330C0000}"/>
    <cellStyle name="Migliaia 39 4 2 4" xfId="5998" xr:uid="{00000000-0005-0000-0000-0000340C0000}"/>
    <cellStyle name="Migliaia 39 4 3" xfId="2469" xr:uid="{00000000-0005-0000-0000-0000350C0000}"/>
    <cellStyle name="Migliaia 39 4 3 2" xfId="5529" xr:uid="{00000000-0005-0000-0000-0000360C0000}"/>
    <cellStyle name="Migliaia 39 4 3 3" xfId="6451" xr:uid="{00000000-0005-0000-0000-0000370C0000}"/>
    <cellStyle name="Migliaia 39 4 4" xfId="5127" xr:uid="{00000000-0005-0000-0000-0000380C0000}"/>
    <cellStyle name="Migliaia 39 4 5" xfId="5997" xr:uid="{00000000-0005-0000-0000-0000390C0000}"/>
    <cellStyle name="Migliaia 39 5" xfId="749" xr:uid="{00000000-0005-0000-0000-00003A0C0000}"/>
    <cellStyle name="Migliaia 39 5 2" xfId="5129" xr:uid="{00000000-0005-0000-0000-00003B0C0000}"/>
    <cellStyle name="Migliaia 39 5 3" xfId="5999" xr:uid="{00000000-0005-0000-0000-00003C0C0000}"/>
    <cellStyle name="Migliaia 39 6" xfId="4831" xr:uid="{00000000-0005-0000-0000-00003D0C0000}"/>
    <cellStyle name="Migliaia 39 7" xfId="5992" xr:uid="{00000000-0005-0000-0000-00003E0C0000}"/>
    <cellStyle name="Migliaia 4" xfId="750" xr:uid="{00000000-0005-0000-0000-00003F0C0000}"/>
    <cellStyle name="Migliaia 4 2" xfId="751" xr:uid="{00000000-0005-0000-0000-0000400C0000}"/>
    <cellStyle name="Migliaia 4 2 2" xfId="2471" xr:uid="{00000000-0005-0000-0000-0000410C0000}"/>
    <cellStyle name="Migliaia 4 2 2 2" xfId="5531" xr:uid="{00000000-0005-0000-0000-0000420C0000}"/>
    <cellStyle name="Migliaia 4 2 2 3" xfId="6453" xr:uid="{00000000-0005-0000-0000-0000430C0000}"/>
    <cellStyle name="Migliaia 4 2 3" xfId="4896" xr:uid="{00000000-0005-0000-0000-0000440C0000}"/>
    <cellStyle name="Migliaia 4 2 4" xfId="6001" xr:uid="{00000000-0005-0000-0000-0000450C0000}"/>
    <cellStyle name="Migliaia 4 3" xfId="752" xr:uid="{00000000-0005-0000-0000-0000460C0000}"/>
    <cellStyle name="Migliaia 4 3 2" xfId="753" xr:uid="{00000000-0005-0000-0000-0000470C0000}"/>
    <cellStyle name="Migliaia 4 3 2 2" xfId="5131" xr:uid="{00000000-0005-0000-0000-0000480C0000}"/>
    <cellStyle name="Migliaia 4 3 2 3" xfId="6003" xr:uid="{00000000-0005-0000-0000-0000490C0000}"/>
    <cellStyle name="Migliaia 4 3 3" xfId="754" xr:uid="{00000000-0005-0000-0000-00004A0C0000}"/>
    <cellStyle name="Migliaia 4 3 3 2" xfId="2473" xr:uid="{00000000-0005-0000-0000-00004B0C0000}"/>
    <cellStyle name="Migliaia 4 3 3 2 2" xfId="5533" xr:uid="{00000000-0005-0000-0000-00004C0C0000}"/>
    <cellStyle name="Migliaia 4 3 3 2 3" xfId="6455" xr:uid="{00000000-0005-0000-0000-00004D0C0000}"/>
    <cellStyle name="Migliaia 4 3 3 3" xfId="5132" xr:uid="{00000000-0005-0000-0000-00004E0C0000}"/>
    <cellStyle name="Migliaia 4 3 3 4" xfId="6004" xr:uid="{00000000-0005-0000-0000-00004F0C0000}"/>
    <cellStyle name="Migliaia 4 3 4" xfId="2472" xr:uid="{00000000-0005-0000-0000-0000500C0000}"/>
    <cellStyle name="Migliaia 4 3 4 2" xfId="5532" xr:uid="{00000000-0005-0000-0000-0000510C0000}"/>
    <cellStyle name="Migliaia 4 3 4 3" xfId="6454" xr:uid="{00000000-0005-0000-0000-0000520C0000}"/>
    <cellStyle name="Migliaia 4 3 5" xfId="5130" xr:uid="{00000000-0005-0000-0000-0000530C0000}"/>
    <cellStyle name="Migliaia 4 3 6" xfId="6002" xr:uid="{00000000-0005-0000-0000-0000540C0000}"/>
    <cellStyle name="Migliaia 4 4" xfId="755" xr:uid="{00000000-0005-0000-0000-0000550C0000}"/>
    <cellStyle name="Migliaia 4 4 2" xfId="756" xr:uid="{00000000-0005-0000-0000-0000560C0000}"/>
    <cellStyle name="Migliaia 4 4 2 2" xfId="2475" xr:uid="{00000000-0005-0000-0000-0000570C0000}"/>
    <cellStyle name="Migliaia 4 4 2 2 2" xfId="5535" xr:uid="{00000000-0005-0000-0000-0000580C0000}"/>
    <cellStyle name="Migliaia 4 4 2 2 3" xfId="6457" xr:uid="{00000000-0005-0000-0000-0000590C0000}"/>
    <cellStyle name="Migliaia 4 4 2 3" xfId="5134" xr:uid="{00000000-0005-0000-0000-00005A0C0000}"/>
    <cellStyle name="Migliaia 4 4 2 4" xfId="6006" xr:uid="{00000000-0005-0000-0000-00005B0C0000}"/>
    <cellStyle name="Migliaia 4 4 3" xfId="2474" xr:uid="{00000000-0005-0000-0000-00005C0C0000}"/>
    <cellStyle name="Migliaia 4 4 3 2" xfId="5534" xr:uid="{00000000-0005-0000-0000-00005D0C0000}"/>
    <cellStyle name="Migliaia 4 4 3 3" xfId="6456" xr:uid="{00000000-0005-0000-0000-00005E0C0000}"/>
    <cellStyle name="Migliaia 4 4 4" xfId="5133" xr:uid="{00000000-0005-0000-0000-00005F0C0000}"/>
    <cellStyle name="Migliaia 4 4 5" xfId="6005" xr:uid="{00000000-0005-0000-0000-0000600C0000}"/>
    <cellStyle name="Migliaia 4 5" xfId="757" xr:uid="{00000000-0005-0000-0000-0000610C0000}"/>
    <cellStyle name="Migliaia 4 5 2" xfId="5135" xr:uid="{00000000-0005-0000-0000-0000620C0000}"/>
    <cellStyle name="Migliaia 4 5 3" xfId="6007" xr:uid="{00000000-0005-0000-0000-0000630C0000}"/>
    <cellStyle name="Migliaia 4 6" xfId="4832" xr:uid="{00000000-0005-0000-0000-0000640C0000}"/>
    <cellStyle name="Migliaia 4 7" xfId="6000" xr:uid="{00000000-0005-0000-0000-0000650C0000}"/>
    <cellStyle name="Migliaia 40" xfId="758" xr:uid="{00000000-0005-0000-0000-0000660C0000}"/>
    <cellStyle name="Migliaia 40 2" xfId="759" xr:uid="{00000000-0005-0000-0000-0000670C0000}"/>
    <cellStyle name="Migliaia 40 2 2" xfId="2476" xr:uid="{00000000-0005-0000-0000-0000680C0000}"/>
    <cellStyle name="Migliaia 40 2 2 2" xfId="5536" xr:uid="{00000000-0005-0000-0000-0000690C0000}"/>
    <cellStyle name="Migliaia 40 2 2 3" xfId="6458" xr:uid="{00000000-0005-0000-0000-00006A0C0000}"/>
    <cellStyle name="Migliaia 40 2 3" xfId="4897" xr:uid="{00000000-0005-0000-0000-00006B0C0000}"/>
    <cellStyle name="Migliaia 40 2 4" xfId="6009" xr:uid="{00000000-0005-0000-0000-00006C0C0000}"/>
    <cellStyle name="Migliaia 40 3" xfId="760" xr:uid="{00000000-0005-0000-0000-00006D0C0000}"/>
    <cellStyle name="Migliaia 40 3 2" xfId="761" xr:uid="{00000000-0005-0000-0000-00006E0C0000}"/>
    <cellStyle name="Migliaia 40 3 2 2" xfId="5137" xr:uid="{00000000-0005-0000-0000-00006F0C0000}"/>
    <cellStyle name="Migliaia 40 3 2 3" xfId="6011" xr:uid="{00000000-0005-0000-0000-0000700C0000}"/>
    <cellStyle name="Migliaia 40 3 3" xfId="762" xr:uid="{00000000-0005-0000-0000-0000710C0000}"/>
    <cellStyle name="Migliaia 40 3 3 2" xfId="2478" xr:uid="{00000000-0005-0000-0000-0000720C0000}"/>
    <cellStyle name="Migliaia 40 3 3 2 2" xfId="5538" xr:uid="{00000000-0005-0000-0000-0000730C0000}"/>
    <cellStyle name="Migliaia 40 3 3 2 3" xfId="6460" xr:uid="{00000000-0005-0000-0000-0000740C0000}"/>
    <cellStyle name="Migliaia 40 3 3 3" xfId="5138" xr:uid="{00000000-0005-0000-0000-0000750C0000}"/>
    <cellStyle name="Migliaia 40 3 3 4" xfId="6012" xr:uid="{00000000-0005-0000-0000-0000760C0000}"/>
    <cellStyle name="Migliaia 40 3 4" xfId="2477" xr:uid="{00000000-0005-0000-0000-0000770C0000}"/>
    <cellStyle name="Migliaia 40 3 4 2" xfId="5537" xr:uid="{00000000-0005-0000-0000-0000780C0000}"/>
    <cellStyle name="Migliaia 40 3 4 3" xfId="6459" xr:uid="{00000000-0005-0000-0000-0000790C0000}"/>
    <cellStyle name="Migliaia 40 3 5" xfId="5136" xr:uid="{00000000-0005-0000-0000-00007A0C0000}"/>
    <cellStyle name="Migliaia 40 3 6" xfId="6010" xr:uid="{00000000-0005-0000-0000-00007B0C0000}"/>
    <cellStyle name="Migliaia 40 4" xfId="763" xr:uid="{00000000-0005-0000-0000-00007C0C0000}"/>
    <cellStyle name="Migliaia 40 4 2" xfId="764" xr:uid="{00000000-0005-0000-0000-00007D0C0000}"/>
    <cellStyle name="Migliaia 40 4 2 2" xfId="2480" xr:uid="{00000000-0005-0000-0000-00007E0C0000}"/>
    <cellStyle name="Migliaia 40 4 2 2 2" xfId="5540" xr:uid="{00000000-0005-0000-0000-00007F0C0000}"/>
    <cellStyle name="Migliaia 40 4 2 2 3" xfId="6462" xr:uid="{00000000-0005-0000-0000-0000800C0000}"/>
    <cellStyle name="Migliaia 40 4 2 3" xfId="5140" xr:uid="{00000000-0005-0000-0000-0000810C0000}"/>
    <cellStyle name="Migliaia 40 4 2 4" xfId="6014" xr:uid="{00000000-0005-0000-0000-0000820C0000}"/>
    <cellStyle name="Migliaia 40 4 3" xfId="2479" xr:uid="{00000000-0005-0000-0000-0000830C0000}"/>
    <cellStyle name="Migliaia 40 4 3 2" xfId="5539" xr:uid="{00000000-0005-0000-0000-0000840C0000}"/>
    <cellStyle name="Migliaia 40 4 3 3" xfId="6461" xr:uid="{00000000-0005-0000-0000-0000850C0000}"/>
    <cellStyle name="Migliaia 40 4 4" xfId="5139" xr:uid="{00000000-0005-0000-0000-0000860C0000}"/>
    <cellStyle name="Migliaia 40 4 5" xfId="6013" xr:uid="{00000000-0005-0000-0000-0000870C0000}"/>
    <cellStyle name="Migliaia 40 5" xfId="765" xr:uid="{00000000-0005-0000-0000-0000880C0000}"/>
    <cellStyle name="Migliaia 40 5 2" xfId="5141" xr:uid="{00000000-0005-0000-0000-0000890C0000}"/>
    <cellStyle name="Migliaia 40 5 3" xfId="6015" xr:uid="{00000000-0005-0000-0000-00008A0C0000}"/>
    <cellStyle name="Migliaia 40 6" xfId="4833" xr:uid="{00000000-0005-0000-0000-00008B0C0000}"/>
    <cellStyle name="Migliaia 40 7" xfId="6008" xr:uid="{00000000-0005-0000-0000-00008C0C0000}"/>
    <cellStyle name="Migliaia 41" xfId="766" xr:uid="{00000000-0005-0000-0000-00008D0C0000}"/>
    <cellStyle name="Migliaia 41 2" xfId="767" xr:uid="{00000000-0005-0000-0000-00008E0C0000}"/>
    <cellStyle name="Migliaia 41 2 2" xfId="2481" xr:uid="{00000000-0005-0000-0000-00008F0C0000}"/>
    <cellStyle name="Migliaia 41 2 2 2" xfId="5541" xr:uid="{00000000-0005-0000-0000-0000900C0000}"/>
    <cellStyle name="Migliaia 41 2 2 3" xfId="6463" xr:uid="{00000000-0005-0000-0000-0000910C0000}"/>
    <cellStyle name="Migliaia 41 2 3" xfId="4898" xr:uid="{00000000-0005-0000-0000-0000920C0000}"/>
    <cellStyle name="Migliaia 41 2 4" xfId="6017" xr:uid="{00000000-0005-0000-0000-0000930C0000}"/>
    <cellStyle name="Migliaia 41 3" xfId="768" xr:uid="{00000000-0005-0000-0000-0000940C0000}"/>
    <cellStyle name="Migliaia 41 3 2" xfId="769" xr:uid="{00000000-0005-0000-0000-0000950C0000}"/>
    <cellStyle name="Migliaia 41 3 2 2" xfId="5143" xr:uid="{00000000-0005-0000-0000-0000960C0000}"/>
    <cellStyle name="Migliaia 41 3 2 3" xfId="6019" xr:uid="{00000000-0005-0000-0000-0000970C0000}"/>
    <cellStyle name="Migliaia 41 3 3" xfId="770" xr:uid="{00000000-0005-0000-0000-0000980C0000}"/>
    <cellStyle name="Migliaia 41 3 3 2" xfId="2483" xr:uid="{00000000-0005-0000-0000-0000990C0000}"/>
    <cellStyle name="Migliaia 41 3 3 2 2" xfId="5543" xr:uid="{00000000-0005-0000-0000-00009A0C0000}"/>
    <cellStyle name="Migliaia 41 3 3 2 3" xfId="6465" xr:uid="{00000000-0005-0000-0000-00009B0C0000}"/>
    <cellStyle name="Migliaia 41 3 3 3" xfId="5144" xr:uid="{00000000-0005-0000-0000-00009C0C0000}"/>
    <cellStyle name="Migliaia 41 3 3 4" xfId="6020" xr:uid="{00000000-0005-0000-0000-00009D0C0000}"/>
    <cellStyle name="Migliaia 41 3 4" xfId="2482" xr:uid="{00000000-0005-0000-0000-00009E0C0000}"/>
    <cellStyle name="Migliaia 41 3 4 2" xfId="5542" xr:uid="{00000000-0005-0000-0000-00009F0C0000}"/>
    <cellStyle name="Migliaia 41 3 4 3" xfId="6464" xr:uid="{00000000-0005-0000-0000-0000A00C0000}"/>
    <cellStyle name="Migliaia 41 3 5" xfId="5142" xr:uid="{00000000-0005-0000-0000-0000A10C0000}"/>
    <cellStyle name="Migliaia 41 3 6" xfId="6018" xr:uid="{00000000-0005-0000-0000-0000A20C0000}"/>
    <cellStyle name="Migliaia 41 4" xfId="771" xr:uid="{00000000-0005-0000-0000-0000A30C0000}"/>
    <cellStyle name="Migliaia 41 4 2" xfId="772" xr:uid="{00000000-0005-0000-0000-0000A40C0000}"/>
    <cellStyle name="Migliaia 41 4 2 2" xfId="2485" xr:uid="{00000000-0005-0000-0000-0000A50C0000}"/>
    <cellStyle name="Migliaia 41 4 2 2 2" xfId="5545" xr:uid="{00000000-0005-0000-0000-0000A60C0000}"/>
    <cellStyle name="Migliaia 41 4 2 2 3" xfId="6467" xr:uid="{00000000-0005-0000-0000-0000A70C0000}"/>
    <cellStyle name="Migliaia 41 4 2 3" xfId="5146" xr:uid="{00000000-0005-0000-0000-0000A80C0000}"/>
    <cellStyle name="Migliaia 41 4 2 4" xfId="6022" xr:uid="{00000000-0005-0000-0000-0000A90C0000}"/>
    <cellStyle name="Migliaia 41 4 3" xfId="2484" xr:uid="{00000000-0005-0000-0000-0000AA0C0000}"/>
    <cellStyle name="Migliaia 41 4 3 2" xfId="5544" xr:uid="{00000000-0005-0000-0000-0000AB0C0000}"/>
    <cellStyle name="Migliaia 41 4 3 3" xfId="6466" xr:uid="{00000000-0005-0000-0000-0000AC0C0000}"/>
    <cellStyle name="Migliaia 41 4 4" xfId="5145" xr:uid="{00000000-0005-0000-0000-0000AD0C0000}"/>
    <cellStyle name="Migliaia 41 4 5" xfId="6021" xr:uid="{00000000-0005-0000-0000-0000AE0C0000}"/>
    <cellStyle name="Migliaia 41 5" xfId="773" xr:uid="{00000000-0005-0000-0000-0000AF0C0000}"/>
    <cellStyle name="Migliaia 41 5 2" xfId="5147" xr:uid="{00000000-0005-0000-0000-0000B00C0000}"/>
    <cellStyle name="Migliaia 41 5 3" xfId="6023" xr:uid="{00000000-0005-0000-0000-0000B10C0000}"/>
    <cellStyle name="Migliaia 41 6" xfId="4834" xr:uid="{00000000-0005-0000-0000-0000B20C0000}"/>
    <cellStyle name="Migliaia 41 7" xfId="6016" xr:uid="{00000000-0005-0000-0000-0000B30C0000}"/>
    <cellStyle name="Migliaia 42" xfId="774" xr:uid="{00000000-0005-0000-0000-0000B40C0000}"/>
    <cellStyle name="Migliaia 42 2" xfId="775" xr:uid="{00000000-0005-0000-0000-0000B50C0000}"/>
    <cellStyle name="Migliaia 42 2 2" xfId="2486" xr:uid="{00000000-0005-0000-0000-0000B60C0000}"/>
    <cellStyle name="Migliaia 42 2 2 2" xfId="5546" xr:uid="{00000000-0005-0000-0000-0000B70C0000}"/>
    <cellStyle name="Migliaia 42 2 2 3" xfId="6468" xr:uid="{00000000-0005-0000-0000-0000B80C0000}"/>
    <cellStyle name="Migliaia 42 2 3" xfId="4899" xr:uid="{00000000-0005-0000-0000-0000B90C0000}"/>
    <cellStyle name="Migliaia 42 2 4" xfId="6025" xr:uid="{00000000-0005-0000-0000-0000BA0C0000}"/>
    <cellStyle name="Migliaia 42 3" xfId="776" xr:uid="{00000000-0005-0000-0000-0000BB0C0000}"/>
    <cellStyle name="Migliaia 42 3 2" xfId="777" xr:uid="{00000000-0005-0000-0000-0000BC0C0000}"/>
    <cellStyle name="Migliaia 42 3 2 2" xfId="5149" xr:uid="{00000000-0005-0000-0000-0000BD0C0000}"/>
    <cellStyle name="Migliaia 42 3 2 3" xfId="6027" xr:uid="{00000000-0005-0000-0000-0000BE0C0000}"/>
    <cellStyle name="Migliaia 42 3 3" xfId="778" xr:uid="{00000000-0005-0000-0000-0000BF0C0000}"/>
    <cellStyle name="Migliaia 42 3 3 2" xfId="2488" xr:uid="{00000000-0005-0000-0000-0000C00C0000}"/>
    <cellStyle name="Migliaia 42 3 3 2 2" xfId="5548" xr:uid="{00000000-0005-0000-0000-0000C10C0000}"/>
    <cellStyle name="Migliaia 42 3 3 2 3" xfId="6470" xr:uid="{00000000-0005-0000-0000-0000C20C0000}"/>
    <cellStyle name="Migliaia 42 3 3 3" xfId="5150" xr:uid="{00000000-0005-0000-0000-0000C30C0000}"/>
    <cellStyle name="Migliaia 42 3 3 4" xfId="6028" xr:uid="{00000000-0005-0000-0000-0000C40C0000}"/>
    <cellStyle name="Migliaia 42 3 4" xfId="2487" xr:uid="{00000000-0005-0000-0000-0000C50C0000}"/>
    <cellStyle name="Migliaia 42 3 4 2" xfId="5547" xr:uid="{00000000-0005-0000-0000-0000C60C0000}"/>
    <cellStyle name="Migliaia 42 3 4 3" xfId="6469" xr:uid="{00000000-0005-0000-0000-0000C70C0000}"/>
    <cellStyle name="Migliaia 42 3 5" xfId="5148" xr:uid="{00000000-0005-0000-0000-0000C80C0000}"/>
    <cellStyle name="Migliaia 42 3 6" xfId="6026" xr:uid="{00000000-0005-0000-0000-0000C90C0000}"/>
    <cellStyle name="Migliaia 42 4" xfId="779" xr:uid="{00000000-0005-0000-0000-0000CA0C0000}"/>
    <cellStyle name="Migliaia 42 4 2" xfId="780" xr:uid="{00000000-0005-0000-0000-0000CB0C0000}"/>
    <cellStyle name="Migliaia 42 4 2 2" xfId="2490" xr:uid="{00000000-0005-0000-0000-0000CC0C0000}"/>
    <cellStyle name="Migliaia 42 4 2 2 2" xfId="5550" xr:uid="{00000000-0005-0000-0000-0000CD0C0000}"/>
    <cellStyle name="Migliaia 42 4 2 2 3" xfId="6472" xr:uid="{00000000-0005-0000-0000-0000CE0C0000}"/>
    <cellStyle name="Migliaia 42 4 2 3" xfId="5152" xr:uid="{00000000-0005-0000-0000-0000CF0C0000}"/>
    <cellStyle name="Migliaia 42 4 2 4" xfId="6030" xr:uid="{00000000-0005-0000-0000-0000D00C0000}"/>
    <cellStyle name="Migliaia 42 4 3" xfId="2489" xr:uid="{00000000-0005-0000-0000-0000D10C0000}"/>
    <cellStyle name="Migliaia 42 4 3 2" xfId="5549" xr:uid="{00000000-0005-0000-0000-0000D20C0000}"/>
    <cellStyle name="Migliaia 42 4 3 3" xfId="6471" xr:uid="{00000000-0005-0000-0000-0000D30C0000}"/>
    <cellStyle name="Migliaia 42 4 4" xfId="5151" xr:uid="{00000000-0005-0000-0000-0000D40C0000}"/>
    <cellStyle name="Migliaia 42 4 5" xfId="6029" xr:uid="{00000000-0005-0000-0000-0000D50C0000}"/>
    <cellStyle name="Migliaia 42 5" xfId="781" xr:uid="{00000000-0005-0000-0000-0000D60C0000}"/>
    <cellStyle name="Migliaia 42 5 2" xfId="5153" xr:uid="{00000000-0005-0000-0000-0000D70C0000}"/>
    <cellStyle name="Migliaia 42 5 3" xfId="6031" xr:uid="{00000000-0005-0000-0000-0000D80C0000}"/>
    <cellStyle name="Migliaia 42 6" xfId="4835" xr:uid="{00000000-0005-0000-0000-0000D90C0000}"/>
    <cellStyle name="Migliaia 42 7" xfId="6024" xr:uid="{00000000-0005-0000-0000-0000DA0C0000}"/>
    <cellStyle name="Migliaia 43" xfId="782" xr:uid="{00000000-0005-0000-0000-0000DB0C0000}"/>
    <cellStyle name="Migliaia 43 2" xfId="783" xr:uid="{00000000-0005-0000-0000-0000DC0C0000}"/>
    <cellStyle name="Migliaia 43 2 2" xfId="2491" xr:uid="{00000000-0005-0000-0000-0000DD0C0000}"/>
    <cellStyle name="Migliaia 43 2 2 2" xfId="5551" xr:uid="{00000000-0005-0000-0000-0000DE0C0000}"/>
    <cellStyle name="Migliaia 43 2 2 3" xfId="6473" xr:uid="{00000000-0005-0000-0000-0000DF0C0000}"/>
    <cellStyle name="Migliaia 43 2 3" xfId="4900" xr:uid="{00000000-0005-0000-0000-0000E00C0000}"/>
    <cellStyle name="Migliaia 43 2 4" xfId="6033" xr:uid="{00000000-0005-0000-0000-0000E10C0000}"/>
    <cellStyle name="Migliaia 43 3" xfId="784" xr:uid="{00000000-0005-0000-0000-0000E20C0000}"/>
    <cellStyle name="Migliaia 43 3 2" xfId="785" xr:uid="{00000000-0005-0000-0000-0000E30C0000}"/>
    <cellStyle name="Migliaia 43 3 2 2" xfId="5155" xr:uid="{00000000-0005-0000-0000-0000E40C0000}"/>
    <cellStyle name="Migliaia 43 3 2 3" xfId="6035" xr:uid="{00000000-0005-0000-0000-0000E50C0000}"/>
    <cellStyle name="Migliaia 43 3 3" xfId="786" xr:uid="{00000000-0005-0000-0000-0000E60C0000}"/>
    <cellStyle name="Migliaia 43 3 3 2" xfId="2493" xr:uid="{00000000-0005-0000-0000-0000E70C0000}"/>
    <cellStyle name="Migliaia 43 3 3 2 2" xfId="5553" xr:uid="{00000000-0005-0000-0000-0000E80C0000}"/>
    <cellStyle name="Migliaia 43 3 3 2 3" xfId="6475" xr:uid="{00000000-0005-0000-0000-0000E90C0000}"/>
    <cellStyle name="Migliaia 43 3 3 3" xfId="5156" xr:uid="{00000000-0005-0000-0000-0000EA0C0000}"/>
    <cellStyle name="Migliaia 43 3 3 4" xfId="6036" xr:uid="{00000000-0005-0000-0000-0000EB0C0000}"/>
    <cellStyle name="Migliaia 43 3 4" xfId="2492" xr:uid="{00000000-0005-0000-0000-0000EC0C0000}"/>
    <cellStyle name="Migliaia 43 3 4 2" xfId="5552" xr:uid="{00000000-0005-0000-0000-0000ED0C0000}"/>
    <cellStyle name="Migliaia 43 3 4 3" xfId="6474" xr:uid="{00000000-0005-0000-0000-0000EE0C0000}"/>
    <cellStyle name="Migliaia 43 3 5" xfId="5154" xr:uid="{00000000-0005-0000-0000-0000EF0C0000}"/>
    <cellStyle name="Migliaia 43 3 6" xfId="6034" xr:uid="{00000000-0005-0000-0000-0000F00C0000}"/>
    <cellStyle name="Migliaia 43 4" xfId="787" xr:uid="{00000000-0005-0000-0000-0000F10C0000}"/>
    <cellStyle name="Migliaia 43 4 2" xfId="788" xr:uid="{00000000-0005-0000-0000-0000F20C0000}"/>
    <cellStyle name="Migliaia 43 4 2 2" xfId="2495" xr:uid="{00000000-0005-0000-0000-0000F30C0000}"/>
    <cellStyle name="Migliaia 43 4 2 2 2" xfId="5555" xr:uid="{00000000-0005-0000-0000-0000F40C0000}"/>
    <cellStyle name="Migliaia 43 4 2 2 3" xfId="6477" xr:uid="{00000000-0005-0000-0000-0000F50C0000}"/>
    <cellStyle name="Migliaia 43 4 2 3" xfId="5158" xr:uid="{00000000-0005-0000-0000-0000F60C0000}"/>
    <cellStyle name="Migliaia 43 4 2 4" xfId="6038" xr:uid="{00000000-0005-0000-0000-0000F70C0000}"/>
    <cellStyle name="Migliaia 43 4 3" xfId="2494" xr:uid="{00000000-0005-0000-0000-0000F80C0000}"/>
    <cellStyle name="Migliaia 43 4 3 2" xfId="5554" xr:uid="{00000000-0005-0000-0000-0000F90C0000}"/>
    <cellStyle name="Migliaia 43 4 3 3" xfId="6476" xr:uid="{00000000-0005-0000-0000-0000FA0C0000}"/>
    <cellStyle name="Migliaia 43 4 4" xfId="5157" xr:uid="{00000000-0005-0000-0000-0000FB0C0000}"/>
    <cellStyle name="Migliaia 43 4 5" xfId="6037" xr:uid="{00000000-0005-0000-0000-0000FC0C0000}"/>
    <cellStyle name="Migliaia 43 5" xfId="789" xr:uid="{00000000-0005-0000-0000-0000FD0C0000}"/>
    <cellStyle name="Migliaia 43 5 2" xfId="5159" xr:uid="{00000000-0005-0000-0000-0000FE0C0000}"/>
    <cellStyle name="Migliaia 43 5 3" xfId="6039" xr:uid="{00000000-0005-0000-0000-0000FF0C0000}"/>
    <cellStyle name="Migliaia 43 6" xfId="4836" xr:uid="{00000000-0005-0000-0000-0000000D0000}"/>
    <cellStyle name="Migliaia 43 7" xfId="6032" xr:uid="{00000000-0005-0000-0000-0000010D0000}"/>
    <cellStyle name="Migliaia 44" xfId="790" xr:uid="{00000000-0005-0000-0000-0000020D0000}"/>
    <cellStyle name="Migliaia 44 2" xfId="791" xr:uid="{00000000-0005-0000-0000-0000030D0000}"/>
    <cellStyle name="Migliaia 44 2 2" xfId="2496" xr:uid="{00000000-0005-0000-0000-0000040D0000}"/>
    <cellStyle name="Migliaia 44 2 2 2" xfId="5556" xr:uid="{00000000-0005-0000-0000-0000050D0000}"/>
    <cellStyle name="Migliaia 44 2 2 3" xfId="6478" xr:uid="{00000000-0005-0000-0000-0000060D0000}"/>
    <cellStyle name="Migliaia 44 2 3" xfId="4901" xr:uid="{00000000-0005-0000-0000-0000070D0000}"/>
    <cellStyle name="Migliaia 44 2 4" xfId="6041" xr:uid="{00000000-0005-0000-0000-0000080D0000}"/>
    <cellStyle name="Migliaia 44 3" xfId="792" xr:uid="{00000000-0005-0000-0000-0000090D0000}"/>
    <cellStyle name="Migliaia 44 3 2" xfId="793" xr:uid="{00000000-0005-0000-0000-00000A0D0000}"/>
    <cellStyle name="Migliaia 44 3 2 2" xfId="5161" xr:uid="{00000000-0005-0000-0000-00000B0D0000}"/>
    <cellStyle name="Migliaia 44 3 2 3" xfId="6043" xr:uid="{00000000-0005-0000-0000-00000C0D0000}"/>
    <cellStyle name="Migliaia 44 3 3" xfId="794" xr:uid="{00000000-0005-0000-0000-00000D0D0000}"/>
    <cellStyle name="Migliaia 44 3 3 2" xfId="2498" xr:uid="{00000000-0005-0000-0000-00000E0D0000}"/>
    <cellStyle name="Migliaia 44 3 3 2 2" xfId="5558" xr:uid="{00000000-0005-0000-0000-00000F0D0000}"/>
    <cellStyle name="Migliaia 44 3 3 2 3" xfId="6480" xr:uid="{00000000-0005-0000-0000-0000100D0000}"/>
    <cellStyle name="Migliaia 44 3 3 3" xfId="5162" xr:uid="{00000000-0005-0000-0000-0000110D0000}"/>
    <cellStyle name="Migliaia 44 3 3 4" xfId="6044" xr:uid="{00000000-0005-0000-0000-0000120D0000}"/>
    <cellStyle name="Migliaia 44 3 4" xfId="2497" xr:uid="{00000000-0005-0000-0000-0000130D0000}"/>
    <cellStyle name="Migliaia 44 3 4 2" xfId="5557" xr:uid="{00000000-0005-0000-0000-0000140D0000}"/>
    <cellStyle name="Migliaia 44 3 4 3" xfId="6479" xr:uid="{00000000-0005-0000-0000-0000150D0000}"/>
    <cellStyle name="Migliaia 44 3 5" xfId="5160" xr:uid="{00000000-0005-0000-0000-0000160D0000}"/>
    <cellStyle name="Migliaia 44 3 6" xfId="6042" xr:uid="{00000000-0005-0000-0000-0000170D0000}"/>
    <cellStyle name="Migliaia 44 4" xfId="795" xr:uid="{00000000-0005-0000-0000-0000180D0000}"/>
    <cellStyle name="Migliaia 44 4 2" xfId="796" xr:uid="{00000000-0005-0000-0000-0000190D0000}"/>
    <cellStyle name="Migliaia 44 4 2 2" xfId="2500" xr:uid="{00000000-0005-0000-0000-00001A0D0000}"/>
    <cellStyle name="Migliaia 44 4 2 2 2" xfId="5560" xr:uid="{00000000-0005-0000-0000-00001B0D0000}"/>
    <cellStyle name="Migliaia 44 4 2 2 3" xfId="6482" xr:uid="{00000000-0005-0000-0000-00001C0D0000}"/>
    <cellStyle name="Migliaia 44 4 2 3" xfId="5164" xr:uid="{00000000-0005-0000-0000-00001D0D0000}"/>
    <cellStyle name="Migliaia 44 4 2 4" xfId="6046" xr:uid="{00000000-0005-0000-0000-00001E0D0000}"/>
    <cellStyle name="Migliaia 44 4 3" xfId="2499" xr:uid="{00000000-0005-0000-0000-00001F0D0000}"/>
    <cellStyle name="Migliaia 44 4 3 2" xfId="5559" xr:uid="{00000000-0005-0000-0000-0000200D0000}"/>
    <cellStyle name="Migliaia 44 4 3 3" xfId="6481" xr:uid="{00000000-0005-0000-0000-0000210D0000}"/>
    <cellStyle name="Migliaia 44 4 4" xfId="5163" xr:uid="{00000000-0005-0000-0000-0000220D0000}"/>
    <cellStyle name="Migliaia 44 4 5" xfId="6045" xr:uid="{00000000-0005-0000-0000-0000230D0000}"/>
    <cellStyle name="Migliaia 44 5" xfId="797" xr:uid="{00000000-0005-0000-0000-0000240D0000}"/>
    <cellStyle name="Migliaia 44 5 2" xfId="5165" xr:uid="{00000000-0005-0000-0000-0000250D0000}"/>
    <cellStyle name="Migliaia 44 5 3" xfId="6047" xr:uid="{00000000-0005-0000-0000-0000260D0000}"/>
    <cellStyle name="Migliaia 44 6" xfId="4837" xr:uid="{00000000-0005-0000-0000-0000270D0000}"/>
    <cellStyle name="Migliaia 44 7" xfId="6040" xr:uid="{00000000-0005-0000-0000-0000280D0000}"/>
    <cellStyle name="Migliaia 45" xfId="798" xr:uid="{00000000-0005-0000-0000-0000290D0000}"/>
    <cellStyle name="Migliaia 45 2" xfId="799" xr:uid="{00000000-0005-0000-0000-00002A0D0000}"/>
    <cellStyle name="Migliaia 45 2 2" xfId="2501" xr:uid="{00000000-0005-0000-0000-00002B0D0000}"/>
    <cellStyle name="Migliaia 45 2 2 2" xfId="5561" xr:uid="{00000000-0005-0000-0000-00002C0D0000}"/>
    <cellStyle name="Migliaia 45 2 2 3" xfId="6483" xr:uid="{00000000-0005-0000-0000-00002D0D0000}"/>
    <cellStyle name="Migliaia 45 2 3" xfId="4902" xr:uid="{00000000-0005-0000-0000-00002E0D0000}"/>
    <cellStyle name="Migliaia 45 2 4" xfId="6049" xr:uid="{00000000-0005-0000-0000-00002F0D0000}"/>
    <cellStyle name="Migliaia 45 3" xfId="800" xr:uid="{00000000-0005-0000-0000-0000300D0000}"/>
    <cellStyle name="Migliaia 45 3 2" xfId="801" xr:uid="{00000000-0005-0000-0000-0000310D0000}"/>
    <cellStyle name="Migliaia 45 3 2 2" xfId="5167" xr:uid="{00000000-0005-0000-0000-0000320D0000}"/>
    <cellStyle name="Migliaia 45 3 2 3" xfId="6051" xr:uid="{00000000-0005-0000-0000-0000330D0000}"/>
    <cellStyle name="Migliaia 45 3 3" xfId="802" xr:uid="{00000000-0005-0000-0000-0000340D0000}"/>
    <cellStyle name="Migliaia 45 3 3 2" xfId="2503" xr:uid="{00000000-0005-0000-0000-0000350D0000}"/>
    <cellStyle name="Migliaia 45 3 3 2 2" xfId="5563" xr:uid="{00000000-0005-0000-0000-0000360D0000}"/>
    <cellStyle name="Migliaia 45 3 3 2 3" xfId="6485" xr:uid="{00000000-0005-0000-0000-0000370D0000}"/>
    <cellStyle name="Migliaia 45 3 3 3" xfId="5168" xr:uid="{00000000-0005-0000-0000-0000380D0000}"/>
    <cellStyle name="Migliaia 45 3 3 4" xfId="6052" xr:uid="{00000000-0005-0000-0000-0000390D0000}"/>
    <cellStyle name="Migliaia 45 3 4" xfId="2502" xr:uid="{00000000-0005-0000-0000-00003A0D0000}"/>
    <cellStyle name="Migliaia 45 3 4 2" xfId="5562" xr:uid="{00000000-0005-0000-0000-00003B0D0000}"/>
    <cellStyle name="Migliaia 45 3 4 3" xfId="6484" xr:uid="{00000000-0005-0000-0000-00003C0D0000}"/>
    <cellStyle name="Migliaia 45 3 5" xfId="5166" xr:uid="{00000000-0005-0000-0000-00003D0D0000}"/>
    <cellStyle name="Migliaia 45 3 6" xfId="6050" xr:uid="{00000000-0005-0000-0000-00003E0D0000}"/>
    <cellStyle name="Migliaia 45 4" xfId="803" xr:uid="{00000000-0005-0000-0000-00003F0D0000}"/>
    <cellStyle name="Migliaia 45 4 2" xfId="804" xr:uid="{00000000-0005-0000-0000-0000400D0000}"/>
    <cellStyle name="Migliaia 45 4 2 2" xfId="2505" xr:uid="{00000000-0005-0000-0000-0000410D0000}"/>
    <cellStyle name="Migliaia 45 4 2 2 2" xfId="5565" xr:uid="{00000000-0005-0000-0000-0000420D0000}"/>
    <cellStyle name="Migliaia 45 4 2 2 3" xfId="6487" xr:uid="{00000000-0005-0000-0000-0000430D0000}"/>
    <cellStyle name="Migliaia 45 4 2 3" xfId="5170" xr:uid="{00000000-0005-0000-0000-0000440D0000}"/>
    <cellStyle name="Migliaia 45 4 2 4" xfId="6054" xr:uid="{00000000-0005-0000-0000-0000450D0000}"/>
    <cellStyle name="Migliaia 45 4 3" xfId="2504" xr:uid="{00000000-0005-0000-0000-0000460D0000}"/>
    <cellStyle name="Migliaia 45 4 3 2" xfId="5564" xr:uid="{00000000-0005-0000-0000-0000470D0000}"/>
    <cellStyle name="Migliaia 45 4 3 3" xfId="6486" xr:uid="{00000000-0005-0000-0000-0000480D0000}"/>
    <cellStyle name="Migliaia 45 4 4" xfId="5169" xr:uid="{00000000-0005-0000-0000-0000490D0000}"/>
    <cellStyle name="Migliaia 45 4 5" xfId="6053" xr:uid="{00000000-0005-0000-0000-00004A0D0000}"/>
    <cellStyle name="Migliaia 45 5" xfId="805" xr:uid="{00000000-0005-0000-0000-00004B0D0000}"/>
    <cellStyle name="Migliaia 45 5 2" xfId="5171" xr:uid="{00000000-0005-0000-0000-00004C0D0000}"/>
    <cellStyle name="Migliaia 45 5 3" xfId="6055" xr:uid="{00000000-0005-0000-0000-00004D0D0000}"/>
    <cellStyle name="Migliaia 45 6" xfId="4838" xr:uid="{00000000-0005-0000-0000-00004E0D0000}"/>
    <cellStyle name="Migliaia 45 7" xfId="6048" xr:uid="{00000000-0005-0000-0000-00004F0D0000}"/>
    <cellStyle name="Migliaia 46" xfId="806" xr:uid="{00000000-0005-0000-0000-0000500D0000}"/>
    <cellStyle name="Migliaia 46 2" xfId="807" xr:uid="{00000000-0005-0000-0000-0000510D0000}"/>
    <cellStyle name="Migliaia 46 2 2" xfId="2506" xr:uid="{00000000-0005-0000-0000-0000520D0000}"/>
    <cellStyle name="Migliaia 46 2 2 2" xfId="5566" xr:uid="{00000000-0005-0000-0000-0000530D0000}"/>
    <cellStyle name="Migliaia 46 2 2 3" xfId="6488" xr:uid="{00000000-0005-0000-0000-0000540D0000}"/>
    <cellStyle name="Migliaia 46 2 3" xfId="4903" xr:uid="{00000000-0005-0000-0000-0000550D0000}"/>
    <cellStyle name="Migliaia 46 2 4" xfId="6057" xr:uid="{00000000-0005-0000-0000-0000560D0000}"/>
    <cellStyle name="Migliaia 46 3" xfId="808" xr:uid="{00000000-0005-0000-0000-0000570D0000}"/>
    <cellStyle name="Migliaia 46 3 2" xfId="809" xr:uid="{00000000-0005-0000-0000-0000580D0000}"/>
    <cellStyle name="Migliaia 46 3 2 2" xfId="5173" xr:uid="{00000000-0005-0000-0000-0000590D0000}"/>
    <cellStyle name="Migliaia 46 3 2 3" xfId="6059" xr:uid="{00000000-0005-0000-0000-00005A0D0000}"/>
    <cellStyle name="Migliaia 46 3 3" xfId="810" xr:uid="{00000000-0005-0000-0000-00005B0D0000}"/>
    <cellStyle name="Migliaia 46 3 3 2" xfId="2508" xr:uid="{00000000-0005-0000-0000-00005C0D0000}"/>
    <cellStyle name="Migliaia 46 3 3 2 2" xfId="5568" xr:uid="{00000000-0005-0000-0000-00005D0D0000}"/>
    <cellStyle name="Migliaia 46 3 3 2 3" xfId="6490" xr:uid="{00000000-0005-0000-0000-00005E0D0000}"/>
    <cellStyle name="Migliaia 46 3 3 3" xfId="5174" xr:uid="{00000000-0005-0000-0000-00005F0D0000}"/>
    <cellStyle name="Migliaia 46 3 3 4" xfId="6060" xr:uid="{00000000-0005-0000-0000-0000600D0000}"/>
    <cellStyle name="Migliaia 46 3 4" xfId="2507" xr:uid="{00000000-0005-0000-0000-0000610D0000}"/>
    <cellStyle name="Migliaia 46 3 4 2" xfId="5567" xr:uid="{00000000-0005-0000-0000-0000620D0000}"/>
    <cellStyle name="Migliaia 46 3 4 3" xfId="6489" xr:uid="{00000000-0005-0000-0000-0000630D0000}"/>
    <cellStyle name="Migliaia 46 3 5" xfId="5172" xr:uid="{00000000-0005-0000-0000-0000640D0000}"/>
    <cellStyle name="Migliaia 46 3 6" xfId="6058" xr:uid="{00000000-0005-0000-0000-0000650D0000}"/>
    <cellStyle name="Migliaia 46 4" xfId="811" xr:uid="{00000000-0005-0000-0000-0000660D0000}"/>
    <cellStyle name="Migliaia 46 4 2" xfId="812" xr:uid="{00000000-0005-0000-0000-0000670D0000}"/>
    <cellStyle name="Migliaia 46 4 2 2" xfId="2510" xr:uid="{00000000-0005-0000-0000-0000680D0000}"/>
    <cellStyle name="Migliaia 46 4 2 2 2" xfId="5570" xr:uid="{00000000-0005-0000-0000-0000690D0000}"/>
    <cellStyle name="Migliaia 46 4 2 2 3" xfId="6492" xr:uid="{00000000-0005-0000-0000-00006A0D0000}"/>
    <cellStyle name="Migliaia 46 4 2 3" xfId="5176" xr:uid="{00000000-0005-0000-0000-00006B0D0000}"/>
    <cellStyle name="Migliaia 46 4 2 4" xfId="6062" xr:uid="{00000000-0005-0000-0000-00006C0D0000}"/>
    <cellStyle name="Migliaia 46 4 3" xfId="2509" xr:uid="{00000000-0005-0000-0000-00006D0D0000}"/>
    <cellStyle name="Migliaia 46 4 3 2" xfId="5569" xr:uid="{00000000-0005-0000-0000-00006E0D0000}"/>
    <cellStyle name="Migliaia 46 4 3 3" xfId="6491" xr:uid="{00000000-0005-0000-0000-00006F0D0000}"/>
    <cellStyle name="Migliaia 46 4 4" xfId="5175" xr:uid="{00000000-0005-0000-0000-0000700D0000}"/>
    <cellStyle name="Migliaia 46 4 5" xfId="6061" xr:uid="{00000000-0005-0000-0000-0000710D0000}"/>
    <cellStyle name="Migliaia 46 5" xfId="813" xr:uid="{00000000-0005-0000-0000-0000720D0000}"/>
    <cellStyle name="Migliaia 46 5 2" xfId="5177" xr:uid="{00000000-0005-0000-0000-0000730D0000}"/>
    <cellStyle name="Migliaia 46 5 3" xfId="6063" xr:uid="{00000000-0005-0000-0000-0000740D0000}"/>
    <cellStyle name="Migliaia 46 6" xfId="4839" xr:uid="{00000000-0005-0000-0000-0000750D0000}"/>
    <cellStyle name="Migliaia 46 7" xfId="6056" xr:uid="{00000000-0005-0000-0000-0000760D0000}"/>
    <cellStyle name="Migliaia 47" xfId="814" xr:uid="{00000000-0005-0000-0000-0000770D0000}"/>
    <cellStyle name="Migliaia 47 2" xfId="815" xr:uid="{00000000-0005-0000-0000-0000780D0000}"/>
    <cellStyle name="Migliaia 47 2 2" xfId="2511" xr:uid="{00000000-0005-0000-0000-0000790D0000}"/>
    <cellStyle name="Migliaia 47 2 2 2" xfId="5571" xr:uid="{00000000-0005-0000-0000-00007A0D0000}"/>
    <cellStyle name="Migliaia 47 2 2 3" xfId="6493" xr:uid="{00000000-0005-0000-0000-00007B0D0000}"/>
    <cellStyle name="Migliaia 47 2 3" xfId="4904" xr:uid="{00000000-0005-0000-0000-00007C0D0000}"/>
    <cellStyle name="Migliaia 47 2 4" xfId="6065" xr:uid="{00000000-0005-0000-0000-00007D0D0000}"/>
    <cellStyle name="Migliaia 47 3" xfId="816" xr:uid="{00000000-0005-0000-0000-00007E0D0000}"/>
    <cellStyle name="Migliaia 47 3 2" xfId="817" xr:uid="{00000000-0005-0000-0000-00007F0D0000}"/>
    <cellStyle name="Migliaia 47 3 2 2" xfId="5179" xr:uid="{00000000-0005-0000-0000-0000800D0000}"/>
    <cellStyle name="Migliaia 47 3 2 3" xfId="6067" xr:uid="{00000000-0005-0000-0000-0000810D0000}"/>
    <cellStyle name="Migliaia 47 3 3" xfId="818" xr:uid="{00000000-0005-0000-0000-0000820D0000}"/>
    <cellStyle name="Migliaia 47 3 3 2" xfId="2513" xr:uid="{00000000-0005-0000-0000-0000830D0000}"/>
    <cellStyle name="Migliaia 47 3 3 2 2" xfId="5573" xr:uid="{00000000-0005-0000-0000-0000840D0000}"/>
    <cellStyle name="Migliaia 47 3 3 2 3" xfId="6495" xr:uid="{00000000-0005-0000-0000-0000850D0000}"/>
    <cellStyle name="Migliaia 47 3 3 3" xfId="5180" xr:uid="{00000000-0005-0000-0000-0000860D0000}"/>
    <cellStyle name="Migliaia 47 3 3 4" xfId="6068" xr:uid="{00000000-0005-0000-0000-0000870D0000}"/>
    <cellStyle name="Migliaia 47 3 4" xfId="2512" xr:uid="{00000000-0005-0000-0000-0000880D0000}"/>
    <cellStyle name="Migliaia 47 3 4 2" xfId="5572" xr:uid="{00000000-0005-0000-0000-0000890D0000}"/>
    <cellStyle name="Migliaia 47 3 4 3" xfId="6494" xr:uid="{00000000-0005-0000-0000-00008A0D0000}"/>
    <cellStyle name="Migliaia 47 3 5" xfId="5178" xr:uid="{00000000-0005-0000-0000-00008B0D0000}"/>
    <cellStyle name="Migliaia 47 3 6" xfId="6066" xr:uid="{00000000-0005-0000-0000-00008C0D0000}"/>
    <cellStyle name="Migliaia 47 4" xfId="819" xr:uid="{00000000-0005-0000-0000-00008D0D0000}"/>
    <cellStyle name="Migliaia 47 4 2" xfId="820" xr:uid="{00000000-0005-0000-0000-00008E0D0000}"/>
    <cellStyle name="Migliaia 47 4 2 2" xfId="2515" xr:uid="{00000000-0005-0000-0000-00008F0D0000}"/>
    <cellStyle name="Migliaia 47 4 2 2 2" xfId="5575" xr:uid="{00000000-0005-0000-0000-0000900D0000}"/>
    <cellStyle name="Migliaia 47 4 2 2 3" xfId="6497" xr:uid="{00000000-0005-0000-0000-0000910D0000}"/>
    <cellStyle name="Migliaia 47 4 2 3" xfId="5182" xr:uid="{00000000-0005-0000-0000-0000920D0000}"/>
    <cellStyle name="Migliaia 47 4 2 4" xfId="6070" xr:uid="{00000000-0005-0000-0000-0000930D0000}"/>
    <cellStyle name="Migliaia 47 4 3" xfId="2514" xr:uid="{00000000-0005-0000-0000-0000940D0000}"/>
    <cellStyle name="Migliaia 47 4 3 2" xfId="5574" xr:uid="{00000000-0005-0000-0000-0000950D0000}"/>
    <cellStyle name="Migliaia 47 4 3 3" xfId="6496" xr:uid="{00000000-0005-0000-0000-0000960D0000}"/>
    <cellStyle name="Migliaia 47 4 4" xfId="5181" xr:uid="{00000000-0005-0000-0000-0000970D0000}"/>
    <cellStyle name="Migliaia 47 4 5" xfId="6069" xr:uid="{00000000-0005-0000-0000-0000980D0000}"/>
    <cellStyle name="Migliaia 47 5" xfId="821" xr:uid="{00000000-0005-0000-0000-0000990D0000}"/>
    <cellStyle name="Migliaia 47 5 2" xfId="5183" xr:uid="{00000000-0005-0000-0000-00009A0D0000}"/>
    <cellStyle name="Migliaia 47 5 3" xfId="6071" xr:uid="{00000000-0005-0000-0000-00009B0D0000}"/>
    <cellStyle name="Migliaia 47 6" xfId="4840" xr:uid="{00000000-0005-0000-0000-00009C0D0000}"/>
    <cellStyle name="Migliaia 47 7" xfId="6064" xr:uid="{00000000-0005-0000-0000-00009D0D0000}"/>
    <cellStyle name="Migliaia 48" xfId="822" xr:uid="{00000000-0005-0000-0000-00009E0D0000}"/>
    <cellStyle name="Migliaia 48 2" xfId="823" xr:uid="{00000000-0005-0000-0000-00009F0D0000}"/>
    <cellStyle name="Migliaia 48 2 2" xfId="2516" xr:uid="{00000000-0005-0000-0000-0000A00D0000}"/>
    <cellStyle name="Migliaia 48 2 2 2" xfId="5576" xr:uid="{00000000-0005-0000-0000-0000A10D0000}"/>
    <cellStyle name="Migliaia 48 2 2 3" xfId="6498" xr:uid="{00000000-0005-0000-0000-0000A20D0000}"/>
    <cellStyle name="Migliaia 48 2 3" xfId="4905" xr:uid="{00000000-0005-0000-0000-0000A30D0000}"/>
    <cellStyle name="Migliaia 48 2 4" xfId="6073" xr:uid="{00000000-0005-0000-0000-0000A40D0000}"/>
    <cellStyle name="Migliaia 48 3" xfId="824" xr:uid="{00000000-0005-0000-0000-0000A50D0000}"/>
    <cellStyle name="Migliaia 48 3 2" xfId="825" xr:uid="{00000000-0005-0000-0000-0000A60D0000}"/>
    <cellStyle name="Migliaia 48 3 2 2" xfId="5185" xr:uid="{00000000-0005-0000-0000-0000A70D0000}"/>
    <cellStyle name="Migliaia 48 3 2 3" xfId="6075" xr:uid="{00000000-0005-0000-0000-0000A80D0000}"/>
    <cellStyle name="Migliaia 48 3 3" xfId="826" xr:uid="{00000000-0005-0000-0000-0000A90D0000}"/>
    <cellStyle name="Migliaia 48 3 3 2" xfId="2518" xr:uid="{00000000-0005-0000-0000-0000AA0D0000}"/>
    <cellStyle name="Migliaia 48 3 3 2 2" xfId="5578" xr:uid="{00000000-0005-0000-0000-0000AB0D0000}"/>
    <cellStyle name="Migliaia 48 3 3 2 3" xfId="6500" xr:uid="{00000000-0005-0000-0000-0000AC0D0000}"/>
    <cellStyle name="Migliaia 48 3 3 3" xfId="5186" xr:uid="{00000000-0005-0000-0000-0000AD0D0000}"/>
    <cellStyle name="Migliaia 48 3 3 4" xfId="6076" xr:uid="{00000000-0005-0000-0000-0000AE0D0000}"/>
    <cellStyle name="Migliaia 48 3 4" xfId="2517" xr:uid="{00000000-0005-0000-0000-0000AF0D0000}"/>
    <cellStyle name="Migliaia 48 3 4 2" xfId="5577" xr:uid="{00000000-0005-0000-0000-0000B00D0000}"/>
    <cellStyle name="Migliaia 48 3 4 3" xfId="6499" xr:uid="{00000000-0005-0000-0000-0000B10D0000}"/>
    <cellStyle name="Migliaia 48 3 5" xfId="5184" xr:uid="{00000000-0005-0000-0000-0000B20D0000}"/>
    <cellStyle name="Migliaia 48 3 6" xfId="6074" xr:uid="{00000000-0005-0000-0000-0000B30D0000}"/>
    <cellStyle name="Migliaia 48 4" xfId="827" xr:uid="{00000000-0005-0000-0000-0000B40D0000}"/>
    <cellStyle name="Migliaia 48 4 2" xfId="828" xr:uid="{00000000-0005-0000-0000-0000B50D0000}"/>
    <cellStyle name="Migliaia 48 4 2 2" xfId="2520" xr:uid="{00000000-0005-0000-0000-0000B60D0000}"/>
    <cellStyle name="Migliaia 48 4 2 2 2" xfId="5580" xr:uid="{00000000-0005-0000-0000-0000B70D0000}"/>
    <cellStyle name="Migliaia 48 4 2 2 3" xfId="6502" xr:uid="{00000000-0005-0000-0000-0000B80D0000}"/>
    <cellStyle name="Migliaia 48 4 2 3" xfId="5188" xr:uid="{00000000-0005-0000-0000-0000B90D0000}"/>
    <cellStyle name="Migliaia 48 4 2 4" xfId="6078" xr:uid="{00000000-0005-0000-0000-0000BA0D0000}"/>
    <cellStyle name="Migliaia 48 4 3" xfId="2519" xr:uid="{00000000-0005-0000-0000-0000BB0D0000}"/>
    <cellStyle name="Migliaia 48 4 3 2" xfId="5579" xr:uid="{00000000-0005-0000-0000-0000BC0D0000}"/>
    <cellStyle name="Migliaia 48 4 3 3" xfId="6501" xr:uid="{00000000-0005-0000-0000-0000BD0D0000}"/>
    <cellStyle name="Migliaia 48 4 4" xfId="5187" xr:uid="{00000000-0005-0000-0000-0000BE0D0000}"/>
    <cellStyle name="Migliaia 48 4 5" xfId="6077" xr:uid="{00000000-0005-0000-0000-0000BF0D0000}"/>
    <cellStyle name="Migliaia 48 5" xfId="829" xr:uid="{00000000-0005-0000-0000-0000C00D0000}"/>
    <cellStyle name="Migliaia 48 5 2" xfId="5189" xr:uid="{00000000-0005-0000-0000-0000C10D0000}"/>
    <cellStyle name="Migliaia 48 5 3" xfId="6079" xr:uid="{00000000-0005-0000-0000-0000C20D0000}"/>
    <cellStyle name="Migliaia 48 6" xfId="4841" xr:uid="{00000000-0005-0000-0000-0000C30D0000}"/>
    <cellStyle name="Migliaia 48 7" xfId="6072" xr:uid="{00000000-0005-0000-0000-0000C40D0000}"/>
    <cellStyle name="Migliaia 49" xfId="830" xr:uid="{00000000-0005-0000-0000-0000C50D0000}"/>
    <cellStyle name="Migliaia 49 2" xfId="831" xr:uid="{00000000-0005-0000-0000-0000C60D0000}"/>
    <cellStyle name="Migliaia 49 2 2" xfId="2521" xr:uid="{00000000-0005-0000-0000-0000C70D0000}"/>
    <cellStyle name="Migliaia 49 2 2 2" xfId="5581" xr:uid="{00000000-0005-0000-0000-0000C80D0000}"/>
    <cellStyle name="Migliaia 49 2 2 3" xfId="6503" xr:uid="{00000000-0005-0000-0000-0000C90D0000}"/>
    <cellStyle name="Migliaia 49 2 3" xfId="4906" xr:uid="{00000000-0005-0000-0000-0000CA0D0000}"/>
    <cellStyle name="Migliaia 49 2 4" xfId="6081" xr:uid="{00000000-0005-0000-0000-0000CB0D0000}"/>
    <cellStyle name="Migliaia 49 3" xfId="832" xr:uid="{00000000-0005-0000-0000-0000CC0D0000}"/>
    <cellStyle name="Migliaia 49 3 2" xfId="833" xr:uid="{00000000-0005-0000-0000-0000CD0D0000}"/>
    <cellStyle name="Migliaia 49 3 2 2" xfId="5191" xr:uid="{00000000-0005-0000-0000-0000CE0D0000}"/>
    <cellStyle name="Migliaia 49 3 2 3" xfId="6083" xr:uid="{00000000-0005-0000-0000-0000CF0D0000}"/>
    <cellStyle name="Migliaia 49 3 3" xfId="834" xr:uid="{00000000-0005-0000-0000-0000D00D0000}"/>
    <cellStyle name="Migliaia 49 3 3 2" xfId="2523" xr:uid="{00000000-0005-0000-0000-0000D10D0000}"/>
    <cellStyle name="Migliaia 49 3 3 2 2" xfId="5583" xr:uid="{00000000-0005-0000-0000-0000D20D0000}"/>
    <cellStyle name="Migliaia 49 3 3 2 3" xfId="6505" xr:uid="{00000000-0005-0000-0000-0000D30D0000}"/>
    <cellStyle name="Migliaia 49 3 3 3" xfId="5192" xr:uid="{00000000-0005-0000-0000-0000D40D0000}"/>
    <cellStyle name="Migliaia 49 3 3 4" xfId="6084" xr:uid="{00000000-0005-0000-0000-0000D50D0000}"/>
    <cellStyle name="Migliaia 49 3 4" xfId="2522" xr:uid="{00000000-0005-0000-0000-0000D60D0000}"/>
    <cellStyle name="Migliaia 49 3 4 2" xfId="5582" xr:uid="{00000000-0005-0000-0000-0000D70D0000}"/>
    <cellStyle name="Migliaia 49 3 4 3" xfId="6504" xr:uid="{00000000-0005-0000-0000-0000D80D0000}"/>
    <cellStyle name="Migliaia 49 3 5" xfId="5190" xr:uid="{00000000-0005-0000-0000-0000D90D0000}"/>
    <cellStyle name="Migliaia 49 3 6" xfId="6082" xr:uid="{00000000-0005-0000-0000-0000DA0D0000}"/>
    <cellStyle name="Migliaia 49 4" xfId="835" xr:uid="{00000000-0005-0000-0000-0000DB0D0000}"/>
    <cellStyle name="Migliaia 49 4 2" xfId="836" xr:uid="{00000000-0005-0000-0000-0000DC0D0000}"/>
    <cellStyle name="Migliaia 49 4 2 2" xfId="2525" xr:uid="{00000000-0005-0000-0000-0000DD0D0000}"/>
    <cellStyle name="Migliaia 49 4 2 2 2" xfId="5585" xr:uid="{00000000-0005-0000-0000-0000DE0D0000}"/>
    <cellStyle name="Migliaia 49 4 2 2 3" xfId="6507" xr:uid="{00000000-0005-0000-0000-0000DF0D0000}"/>
    <cellStyle name="Migliaia 49 4 2 3" xfId="5194" xr:uid="{00000000-0005-0000-0000-0000E00D0000}"/>
    <cellStyle name="Migliaia 49 4 2 4" xfId="6086" xr:uid="{00000000-0005-0000-0000-0000E10D0000}"/>
    <cellStyle name="Migliaia 49 4 3" xfId="2524" xr:uid="{00000000-0005-0000-0000-0000E20D0000}"/>
    <cellStyle name="Migliaia 49 4 3 2" xfId="5584" xr:uid="{00000000-0005-0000-0000-0000E30D0000}"/>
    <cellStyle name="Migliaia 49 4 3 3" xfId="6506" xr:uid="{00000000-0005-0000-0000-0000E40D0000}"/>
    <cellStyle name="Migliaia 49 4 4" xfId="5193" xr:uid="{00000000-0005-0000-0000-0000E50D0000}"/>
    <cellStyle name="Migliaia 49 4 5" xfId="6085" xr:uid="{00000000-0005-0000-0000-0000E60D0000}"/>
    <cellStyle name="Migliaia 49 5" xfId="837" xr:uid="{00000000-0005-0000-0000-0000E70D0000}"/>
    <cellStyle name="Migliaia 49 5 2" xfId="5195" xr:uid="{00000000-0005-0000-0000-0000E80D0000}"/>
    <cellStyle name="Migliaia 49 5 3" xfId="6087" xr:uid="{00000000-0005-0000-0000-0000E90D0000}"/>
    <cellStyle name="Migliaia 49 6" xfId="4842" xr:uid="{00000000-0005-0000-0000-0000EA0D0000}"/>
    <cellStyle name="Migliaia 49 7" xfId="6080" xr:uid="{00000000-0005-0000-0000-0000EB0D0000}"/>
    <cellStyle name="Migliaia 5" xfId="838" xr:uid="{00000000-0005-0000-0000-0000EC0D0000}"/>
    <cellStyle name="Migliaia 5 2" xfId="839" xr:uid="{00000000-0005-0000-0000-0000ED0D0000}"/>
    <cellStyle name="Migliaia 5 2 2" xfId="2526" xr:uid="{00000000-0005-0000-0000-0000EE0D0000}"/>
    <cellStyle name="Migliaia 5 2 2 2" xfId="5586" xr:uid="{00000000-0005-0000-0000-0000EF0D0000}"/>
    <cellStyle name="Migliaia 5 2 2 3" xfId="6508" xr:uid="{00000000-0005-0000-0000-0000F00D0000}"/>
    <cellStyle name="Migliaia 5 2 3" xfId="4907" xr:uid="{00000000-0005-0000-0000-0000F10D0000}"/>
    <cellStyle name="Migliaia 5 2 4" xfId="6089" xr:uid="{00000000-0005-0000-0000-0000F20D0000}"/>
    <cellStyle name="Migliaia 5 3" xfId="840" xr:uid="{00000000-0005-0000-0000-0000F30D0000}"/>
    <cellStyle name="Migliaia 5 3 2" xfId="841" xr:uid="{00000000-0005-0000-0000-0000F40D0000}"/>
    <cellStyle name="Migliaia 5 3 2 2" xfId="5197" xr:uid="{00000000-0005-0000-0000-0000F50D0000}"/>
    <cellStyle name="Migliaia 5 3 2 3" xfId="6091" xr:uid="{00000000-0005-0000-0000-0000F60D0000}"/>
    <cellStyle name="Migliaia 5 3 3" xfId="842" xr:uid="{00000000-0005-0000-0000-0000F70D0000}"/>
    <cellStyle name="Migliaia 5 3 3 2" xfId="2528" xr:uid="{00000000-0005-0000-0000-0000F80D0000}"/>
    <cellStyle name="Migliaia 5 3 3 2 2" xfId="5588" xr:uid="{00000000-0005-0000-0000-0000F90D0000}"/>
    <cellStyle name="Migliaia 5 3 3 2 3" xfId="6510" xr:uid="{00000000-0005-0000-0000-0000FA0D0000}"/>
    <cellStyle name="Migliaia 5 3 3 3" xfId="5198" xr:uid="{00000000-0005-0000-0000-0000FB0D0000}"/>
    <cellStyle name="Migliaia 5 3 3 4" xfId="6092" xr:uid="{00000000-0005-0000-0000-0000FC0D0000}"/>
    <cellStyle name="Migliaia 5 3 4" xfId="2527" xr:uid="{00000000-0005-0000-0000-0000FD0D0000}"/>
    <cellStyle name="Migliaia 5 3 4 2" xfId="5587" xr:uid="{00000000-0005-0000-0000-0000FE0D0000}"/>
    <cellStyle name="Migliaia 5 3 4 3" xfId="6509" xr:uid="{00000000-0005-0000-0000-0000FF0D0000}"/>
    <cellStyle name="Migliaia 5 3 5" xfId="5196" xr:uid="{00000000-0005-0000-0000-0000000E0000}"/>
    <cellStyle name="Migliaia 5 3 6" xfId="6090" xr:uid="{00000000-0005-0000-0000-0000010E0000}"/>
    <cellStyle name="Migliaia 5 4" xfId="843" xr:uid="{00000000-0005-0000-0000-0000020E0000}"/>
    <cellStyle name="Migliaia 5 4 2" xfId="844" xr:uid="{00000000-0005-0000-0000-0000030E0000}"/>
    <cellStyle name="Migliaia 5 4 2 2" xfId="2530" xr:uid="{00000000-0005-0000-0000-0000040E0000}"/>
    <cellStyle name="Migliaia 5 4 2 2 2" xfId="5590" xr:uid="{00000000-0005-0000-0000-0000050E0000}"/>
    <cellStyle name="Migliaia 5 4 2 2 3" xfId="6512" xr:uid="{00000000-0005-0000-0000-0000060E0000}"/>
    <cellStyle name="Migliaia 5 4 2 3" xfId="5200" xr:uid="{00000000-0005-0000-0000-0000070E0000}"/>
    <cellStyle name="Migliaia 5 4 2 4" xfId="6094" xr:uid="{00000000-0005-0000-0000-0000080E0000}"/>
    <cellStyle name="Migliaia 5 4 3" xfId="2529" xr:uid="{00000000-0005-0000-0000-0000090E0000}"/>
    <cellStyle name="Migliaia 5 4 3 2" xfId="5589" xr:uid="{00000000-0005-0000-0000-00000A0E0000}"/>
    <cellStyle name="Migliaia 5 4 3 3" xfId="6511" xr:uid="{00000000-0005-0000-0000-00000B0E0000}"/>
    <cellStyle name="Migliaia 5 4 4" xfId="5199" xr:uid="{00000000-0005-0000-0000-00000C0E0000}"/>
    <cellStyle name="Migliaia 5 4 5" xfId="6093" xr:uid="{00000000-0005-0000-0000-00000D0E0000}"/>
    <cellStyle name="Migliaia 5 5" xfId="845" xr:uid="{00000000-0005-0000-0000-00000E0E0000}"/>
    <cellStyle name="Migliaia 5 5 2" xfId="5201" xr:uid="{00000000-0005-0000-0000-00000F0E0000}"/>
    <cellStyle name="Migliaia 5 5 3" xfId="6095" xr:uid="{00000000-0005-0000-0000-0000100E0000}"/>
    <cellStyle name="Migliaia 5 6" xfId="4843" xr:uid="{00000000-0005-0000-0000-0000110E0000}"/>
    <cellStyle name="Migliaia 5 7" xfId="6088" xr:uid="{00000000-0005-0000-0000-0000120E0000}"/>
    <cellStyle name="Migliaia 50" xfId="846" xr:uid="{00000000-0005-0000-0000-0000130E0000}"/>
    <cellStyle name="Migliaia 50 2" xfId="847" xr:uid="{00000000-0005-0000-0000-0000140E0000}"/>
    <cellStyle name="Migliaia 50 2 2" xfId="2531" xr:uid="{00000000-0005-0000-0000-0000150E0000}"/>
    <cellStyle name="Migliaia 50 2 2 2" xfId="5591" xr:uid="{00000000-0005-0000-0000-0000160E0000}"/>
    <cellStyle name="Migliaia 50 2 2 3" xfId="6513" xr:uid="{00000000-0005-0000-0000-0000170E0000}"/>
    <cellStyle name="Migliaia 50 2 3" xfId="4908" xr:uid="{00000000-0005-0000-0000-0000180E0000}"/>
    <cellStyle name="Migliaia 50 2 4" xfId="6097" xr:uid="{00000000-0005-0000-0000-0000190E0000}"/>
    <cellStyle name="Migliaia 50 3" xfId="848" xr:uid="{00000000-0005-0000-0000-00001A0E0000}"/>
    <cellStyle name="Migliaia 50 3 2" xfId="849" xr:uid="{00000000-0005-0000-0000-00001B0E0000}"/>
    <cellStyle name="Migliaia 50 3 2 2" xfId="5203" xr:uid="{00000000-0005-0000-0000-00001C0E0000}"/>
    <cellStyle name="Migliaia 50 3 2 3" xfId="6099" xr:uid="{00000000-0005-0000-0000-00001D0E0000}"/>
    <cellStyle name="Migliaia 50 3 3" xfId="850" xr:uid="{00000000-0005-0000-0000-00001E0E0000}"/>
    <cellStyle name="Migliaia 50 3 3 2" xfId="2533" xr:uid="{00000000-0005-0000-0000-00001F0E0000}"/>
    <cellStyle name="Migliaia 50 3 3 2 2" xfId="5593" xr:uid="{00000000-0005-0000-0000-0000200E0000}"/>
    <cellStyle name="Migliaia 50 3 3 2 3" xfId="6515" xr:uid="{00000000-0005-0000-0000-0000210E0000}"/>
    <cellStyle name="Migliaia 50 3 3 3" xfId="5204" xr:uid="{00000000-0005-0000-0000-0000220E0000}"/>
    <cellStyle name="Migliaia 50 3 3 4" xfId="6100" xr:uid="{00000000-0005-0000-0000-0000230E0000}"/>
    <cellStyle name="Migliaia 50 3 4" xfId="2532" xr:uid="{00000000-0005-0000-0000-0000240E0000}"/>
    <cellStyle name="Migliaia 50 3 4 2" xfId="5592" xr:uid="{00000000-0005-0000-0000-0000250E0000}"/>
    <cellStyle name="Migliaia 50 3 4 3" xfId="6514" xr:uid="{00000000-0005-0000-0000-0000260E0000}"/>
    <cellStyle name="Migliaia 50 3 5" xfId="5202" xr:uid="{00000000-0005-0000-0000-0000270E0000}"/>
    <cellStyle name="Migliaia 50 3 6" xfId="6098" xr:uid="{00000000-0005-0000-0000-0000280E0000}"/>
    <cellStyle name="Migliaia 50 4" xfId="851" xr:uid="{00000000-0005-0000-0000-0000290E0000}"/>
    <cellStyle name="Migliaia 50 4 2" xfId="852" xr:uid="{00000000-0005-0000-0000-00002A0E0000}"/>
    <cellStyle name="Migliaia 50 4 2 2" xfId="2535" xr:uid="{00000000-0005-0000-0000-00002B0E0000}"/>
    <cellStyle name="Migliaia 50 4 2 2 2" xfId="5595" xr:uid="{00000000-0005-0000-0000-00002C0E0000}"/>
    <cellStyle name="Migliaia 50 4 2 2 3" xfId="6517" xr:uid="{00000000-0005-0000-0000-00002D0E0000}"/>
    <cellStyle name="Migliaia 50 4 2 3" xfId="5206" xr:uid="{00000000-0005-0000-0000-00002E0E0000}"/>
    <cellStyle name="Migliaia 50 4 2 4" xfId="6102" xr:uid="{00000000-0005-0000-0000-00002F0E0000}"/>
    <cellStyle name="Migliaia 50 4 3" xfId="2534" xr:uid="{00000000-0005-0000-0000-0000300E0000}"/>
    <cellStyle name="Migliaia 50 4 3 2" xfId="5594" xr:uid="{00000000-0005-0000-0000-0000310E0000}"/>
    <cellStyle name="Migliaia 50 4 3 3" xfId="6516" xr:uid="{00000000-0005-0000-0000-0000320E0000}"/>
    <cellStyle name="Migliaia 50 4 4" xfId="5205" xr:uid="{00000000-0005-0000-0000-0000330E0000}"/>
    <cellStyle name="Migliaia 50 4 5" xfId="6101" xr:uid="{00000000-0005-0000-0000-0000340E0000}"/>
    <cellStyle name="Migliaia 50 5" xfId="853" xr:uid="{00000000-0005-0000-0000-0000350E0000}"/>
    <cellStyle name="Migliaia 50 5 2" xfId="5207" xr:uid="{00000000-0005-0000-0000-0000360E0000}"/>
    <cellStyle name="Migliaia 50 5 3" xfId="6103" xr:uid="{00000000-0005-0000-0000-0000370E0000}"/>
    <cellStyle name="Migliaia 50 6" xfId="4844" xr:uid="{00000000-0005-0000-0000-0000380E0000}"/>
    <cellStyle name="Migliaia 50 7" xfId="6096" xr:uid="{00000000-0005-0000-0000-0000390E0000}"/>
    <cellStyle name="Migliaia 51" xfId="854" xr:uid="{00000000-0005-0000-0000-00003A0E0000}"/>
    <cellStyle name="Migliaia 51 2" xfId="855" xr:uid="{00000000-0005-0000-0000-00003B0E0000}"/>
    <cellStyle name="Migliaia 51 2 2" xfId="2536" xr:uid="{00000000-0005-0000-0000-00003C0E0000}"/>
    <cellStyle name="Migliaia 51 2 2 2" xfId="5596" xr:uid="{00000000-0005-0000-0000-00003D0E0000}"/>
    <cellStyle name="Migliaia 51 2 2 3" xfId="6518" xr:uid="{00000000-0005-0000-0000-00003E0E0000}"/>
    <cellStyle name="Migliaia 51 2 3" xfId="4909" xr:uid="{00000000-0005-0000-0000-00003F0E0000}"/>
    <cellStyle name="Migliaia 51 2 4" xfId="6105" xr:uid="{00000000-0005-0000-0000-0000400E0000}"/>
    <cellStyle name="Migliaia 51 3" xfId="856" xr:uid="{00000000-0005-0000-0000-0000410E0000}"/>
    <cellStyle name="Migliaia 51 3 2" xfId="857" xr:uid="{00000000-0005-0000-0000-0000420E0000}"/>
    <cellStyle name="Migliaia 51 3 2 2" xfId="5209" xr:uid="{00000000-0005-0000-0000-0000430E0000}"/>
    <cellStyle name="Migliaia 51 3 2 3" xfId="6107" xr:uid="{00000000-0005-0000-0000-0000440E0000}"/>
    <cellStyle name="Migliaia 51 3 3" xfId="858" xr:uid="{00000000-0005-0000-0000-0000450E0000}"/>
    <cellStyle name="Migliaia 51 3 3 2" xfId="2538" xr:uid="{00000000-0005-0000-0000-0000460E0000}"/>
    <cellStyle name="Migliaia 51 3 3 2 2" xfId="5598" xr:uid="{00000000-0005-0000-0000-0000470E0000}"/>
    <cellStyle name="Migliaia 51 3 3 2 3" xfId="6520" xr:uid="{00000000-0005-0000-0000-0000480E0000}"/>
    <cellStyle name="Migliaia 51 3 3 3" xfId="5210" xr:uid="{00000000-0005-0000-0000-0000490E0000}"/>
    <cellStyle name="Migliaia 51 3 3 4" xfId="6108" xr:uid="{00000000-0005-0000-0000-00004A0E0000}"/>
    <cellStyle name="Migliaia 51 3 4" xfId="2537" xr:uid="{00000000-0005-0000-0000-00004B0E0000}"/>
    <cellStyle name="Migliaia 51 3 4 2" xfId="5597" xr:uid="{00000000-0005-0000-0000-00004C0E0000}"/>
    <cellStyle name="Migliaia 51 3 4 3" xfId="6519" xr:uid="{00000000-0005-0000-0000-00004D0E0000}"/>
    <cellStyle name="Migliaia 51 3 5" xfId="5208" xr:uid="{00000000-0005-0000-0000-00004E0E0000}"/>
    <cellStyle name="Migliaia 51 3 6" xfId="6106" xr:uid="{00000000-0005-0000-0000-00004F0E0000}"/>
    <cellStyle name="Migliaia 51 4" xfId="859" xr:uid="{00000000-0005-0000-0000-0000500E0000}"/>
    <cellStyle name="Migliaia 51 4 2" xfId="860" xr:uid="{00000000-0005-0000-0000-0000510E0000}"/>
    <cellStyle name="Migliaia 51 4 2 2" xfId="2540" xr:uid="{00000000-0005-0000-0000-0000520E0000}"/>
    <cellStyle name="Migliaia 51 4 2 2 2" xfId="5600" xr:uid="{00000000-0005-0000-0000-0000530E0000}"/>
    <cellStyle name="Migliaia 51 4 2 2 3" xfId="6522" xr:uid="{00000000-0005-0000-0000-0000540E0000}"/>
    <cellStyle name="Migliaia 51 4 2 3" xfId="5212" xr:uid="{00000000-0005-0000-0000-0000550E0000}"/>
    <cellStyle name="Migliaia 51 4 2 4" xfId="6110" xr:uid="{00000000-0005-0000-0000-0000560E0000}"/>
    <cellStyle name="Migliaia 51 4 3" xfId="2539" xr:uid="{00000000-0005-0000-0000-0000570E0000}"/>
    <cellStyle name="Migliaia 51 4 3 2" xfId="5599" xr:uid="{00000000-0005-0000-0000-0000580E0000}"/>
    <cellStyle name="Migliaia 51 4 3 3" xfId="6521" xr:uid="{00000000-0005-0000-0000-0000590E0000}"/>
    <cellStyle name="Migliaia 51 4 4" xfId="5211" xr:uid="{00000000-0005-0000-0000-00005A0E0000}"/>
    <cellStyle name="Migliaia 51 4 5" xfId="6109" xr:uid="{00000000-0005-0000-0000-00005B0E0000}"/>
    <cellStyle name="Migliaia 51 5" xfId="861" xr:uid="{00000000-0005-0000-0000-00005C0E0000}"/>
    <cellStyle name="Migliaia 51 5 2" xfId="5213" xr:uid="{00000000-0005-0000-0000-00005D0E0000}"/>
    <cellStyle name="Migliaia 51 5 3" xfId="6111" xr:uid="{00000000-0005-0000-0000-00005E0E0000}"/>
    <cellStyle name="Migliaia 51 6" xfId="4845" xr:uid="{00000000-0005-0000-0000-00005F0E0000}"/>
    <cellStyle name="Migliaia 51 7" xfId="6104" xr:uid="{00000000-0005-0000-0000-0000600E0000}"/>
    <cellStyle name="Migliaia 52" xfId="862" xr:uid="{00000000-0005-0000-0000-0000610E0000}"/>
    <cellStyle name="Migliaia 52 2" xfId="863" xr:uid="{00000000-0005-0000-0000-0000620E0000}"/>
    <cellStyle name="Migliaia 52 2 2" xfId="2541" xr:uid="{00000000-0005-0000-0000-0000630E0000}"/>
    <cellStyle name="Migliaia 52 2 2 2" xfId="5601" xr:uid="{00000000-0005-0000-0000-0000640E0000}"/>
    <cellStyle name="Migliaia 52 2 2 3" xfId="6523" xr:uid="{00000000-0005-0000-0000-0000650E0000}"/>
    <cellStyle name="Migliaia 52 2 3" xfId="4910" xr:uid="{00000000-0005-0000-0000-0000660E0000}"/>
    <cellStyle name="Migliaia 52 2 4" xfId="6113" xr:uid="{00000000-0005-0000-0000-0000670E0000}"/>
    <cellStyle name="Migliaia 52 3" xfId="864" xr:uid="{00000000-0005-0000-0000-0000680E0000}"/>
    <cellStyle name="Migliaia 52 3 2" xfId="865" xr:uid="{00000000-0005-0000-0000-0000690E0000}"/>
    <cellStyle name="Migliaia 52 3 2 2" xfId="5215" xr:uid="{00000000-0005-0000-0000-00006A0E0000}"/>
    <cellStyle name="Migliaia 52 3 2 3" xfId="6115" xr:uid="{00000000-0005-0000-0000-00006B0E0000}"/>
    <cellStyle name="Migliaia 52 3 3" xfId="866" xr:uid="{00000000-0005-0000-0000-00006C0E0000}"/>
    <cellStyle name="Migliaia 52 3 3 2" xfId="2543" xr:uid="{00000000-0005-0000-0000-00006D0E0000}"/>
    <cellStyle name="Migliaia 52 3 3 2 2" xfId="5603" xr:uid="{00000000-0005-0000-0000-00006E0E0000}"/>
    <cellStyle name="Migliaia 52 3 3 2 3" xfId="6525" xr:uid="{00000000-0005-0000-0000-00006F0E0000}"/>
    <cellStyle name="Migliaia 52 3 3 3" xfId="5216" xr:uid="{00000000-0005-0000-0000-0000700E0000}"/>
    <cellStyle name="Migliaia 52 3 3 4" xfId="6116" xr:uid="{00000000-0005-0000-0000-0000710E0000}"/>
    <cellStyle name="Migliaia 52 3 4" xfId="2542" xr:uid="{00000000-0005-0000-0000-0000720E0000}"/>
    <cellStyle name="Migliaia 52 3 4 2" xfId="5602" xr:uid="{00000000-0005-0000-0000-0000730E0000}"/>
    <cellStyle name="Migliaia 52 3 4 3" xfId="6524" xr:uid="{00000000-0005-0000-0000-0000740E0000}"/>
    <cellStyle name="Migliaia 52 3 5" xfId="5214" xr:uid="{00000000-0005-0000-0000-0000750E0000}"/>
    <cellStyle name="Migliaia 52 3 6" xfId="6114" xr:uid="{00000000-0005-0000-0000-0000760E0000}"/>
    <cellStyle name="Migliaia 52 4" xfId="867" xr:uid="{00000000-0005-0000-0000-0000770E0000}"/>
    <cellStyle name="Migliaia 52 4 2" xfId="868" xr:uid="{00000000-0005-0000-0000-0000780E0000}"/>
    <cellStyle name="Migliaia 52 4 2 2" xfId="2545" xr:uid="{00000000-0005-0000-0000-0000790E0000}"/>
    <cellStyle name="Migliaia 52 4 2 2 2" xfId="5605" xr:uid="{00000000-0005-0000-0000-00007A0E0000}"/>
    <cellStyle name="Migliaia 52 4 2 2 3" xfId="6527" xr:uid="{00000000-0005-0000-0000-00007B0E0000}"/>
    <cellStyle name="Migliaia 52 4 2 3" xfId="5218" xr:uid="{00000000-0005-0000-0000-00007C0E0000}"/>
    <cellStyle name="Migliaia 52 4 2 4" xfId="6118" xr:uid="{00000000-0005-0000-0000-00007D0E0000}"/>
    <cellStyle name="Migliaia 52 4 3" xfId="2544" xr:uid="{00000000-0005-0000-0000-00007E0E0000}"/>
    <cellStyle name="Migliaia 52 4 3 2" xfId="5604" xr:uid="{00000000-0005-0000-0000-00007F0E0000}"/>
    <cellStyle name="Migliaia 52 4 3 3" xfId="6526" xr:uid="{00000000-0005-0000-0000-0000800E0000}"/>
    <cellStyle name="Migliaia 52 4 4" xfId="5217" xr:uid="{00000000-0005-0000-0000-0000810E0000}"/>
    <cellStyle name="Migliaia 52 4 5" xfId="6117" xr:uid="{00000000-0005-0000-0000-0000820E0000}"/>
    <cellStyle name="Migliaia 52 5" xfId="869" xr:uid="{00000000-0005-0000-0000-0000830E0000}"/>
    <cellStyle name="Migliaia 52 5 2" xfId="5219" xr:uid="{00000000-0005-0000-0000-0000840E0000}"/>
    <cellStyle name="Migliaia 52 5 3" xfId="6119" xr:uid="{00000000-0005-0000-0000-0000850E0000}"/>
    <cellStyle name="Migliaia 52 6" xfId="4846" xr:uid="{00000000-0005-0000-0000-0000860E0000}"/>
    <cellStyle name="Migliaia 52 7" xfId="6112" xr:uid="{00000000-0005-0000-0000-0000870E0000}"/>
    <cellStyle name="Migliaia 53" xfId="870" xr:uid="{00000000-0005-0000-0000-0000880E0000}"/>
    <cellStyle name="Migliaia 53 2" xfId="871" xr:uid="{00000000-0005-0000-0000-0000890E0000}"/>
    <cellStyle name="Migliaia 53 2 2" xfId="2546" xr:uid="{00000000-0005-0000-0000-00008A0E0000}"/>
    <cellStyle name="Migliaia 53 2 2 2" xfId="5606" xr:uid="{00000000-0005-0000-0000-00008B0E0000}"/>
    <cellStyle name="Migliaia 53 2 2 3" xfId="6528" xr:uid="{00000000-0005-0000-0000-00008C0E0000}"/>
    <cellStyle name="Migliaia 53 2 3" xfId="4911" xr:uid="{00000000-0005-0000-0000-00008D0E0000}"/>
    <cellStyle name="Migliaia 53 2 4" xfId="6121" xr:uid="{00000000-0005-0000-0000-00008E0E0000}"/>
    <cellStyle name="Migliaia 53 3" xfId="872" xr:uid="{00000000-0005-0000-0000-00008F0E0000}"/>
    <cellStyle name="Migliaia 53 3 2" xfId="873" xr:uid="{00000000-0005-0000-0000-0000900E0000}"/>
    <cellStyle name="Migliaia 53 3 2 2" xfId="5221" xr:uid="{00000000-0005-0000-0000-0000910E0000}"/>
    <cellStyle name="Migliaia 53 3 2 3" xfId="6123" xr:uid="{00000000-0005-0000-0000-0000920E0000}"/>
    <cellStyle name="Migliaia 53 3 3" xfId="874" xr:uid="{00000000-0005-0000-0000-0000930E0000}"/>
    <cellStyle name="Migliaia 53 3 3 2" xfId="2548" xr:uid="{00000000-0005-0000-0000-0000940E0000}"/>
    <cellStyle name="Migliaia 53 3 3 2 2" xfId="5608" xr:uid="{00000000-0005-0000-0000-0000950E0000}"/>
    <cellStyle name="Migliaia 53 3 3 2 3" xfId="6530" xr:uid="{00000000-0005-0000-0000-0000960E0000}"/>
    <cellStyle name="Migliaia 53 3 3 3" xfId="5222" xr:uid="{00000000-0005-0000-0000-0000970E0000}"/>
    <cellStyle name="Migliaia 53 3 3 4" xfId="6124" xr:uid="{00000000-0005-0000-0000-0000980E0000}"/>
    <cellStyle name="Migliaia 53 3 4" xfId="2547" xr:uid="{00000000-0005-0000-0000-0000990E0000}"/>
    <cellStyle name="Migliaia 53 3 4 2" xfId="5607" xr:uid="{00000000-0005-0000-0000-00009A0E0000}"/>
    <cellStyle name="Migliaia 53 3 4 3" xfId="6529" xr:uid="{00000000-0005-0000-0000-00009B0E0000}"/>
    <cellStyle name="Migliaia 53 3 5" xfId="5220" xr:uid="{00000000-0005-0000-0000-00009C0E0000}"/>
    <cellStyle name="Migliaia 53 3 6" xfId="6122" xr:uid="{00000000-0005-0000-0000-00009D0E0000}"/>
    <cellStyle name="Migliaia 53 4" xfId="875" xr:uid="{00000000-0005-0000-0000-00009E0E0000}"/>
    <cellStyle name="Migliaia 53 4 2" xfId="876" xr:uid="{00000000-0005-0000-0000-00009F0E0000}"/>
    <cellStyle name="Migliaia 53 4 2 2" xfId="2550" xr:uid="{00000000-0005-0000-0000-0000A00E0000}"/>
    <cellStyle name="Migliaia 53 4 2 2 2" xfId="5610" xr:uid="{00000000-0005-0000-0000-0000A10E0000}"/>
    <cellStyle name="Migliaia 53 4 2 2 3" xfId="6532" xr:uid="{00000000-0005-0000-0000-0000A20E0000}"/>
    <cellStyle name="Migliaia 53 4 2 3" xfId="5224" xr:uid="{00000000-0005-0000-0000-0000A30E0000}"/>
    <cellStyle name="Migliaia 53 4 2 4" xfId="6126" xr:uid="{00000000-0005-0000-0000-0000A40E0000}"/>
    <cellStyle name="Migliaia 53 4 3" xfId="2549" xr:uid="{00000000-0005-0000-0000-0000A50E0000}"/>
    <cellStyle name="Migliaia 53 4 3 2" xfId="5609" xr:uid="{00000000-0005-0000-0000-0000A60E0000}"/>
    <cellStyle name="Migliaia 53 4 3 3" xfId="6531" xr:uid="{00000000-0005-0000-0000-0000A70E0000}"/>
    <cellStyle name="Migliaia 53 4 4" xfId="5223" xr:uid="{00000000-0005-0000-0000-0000A80E0000}"/>
    <cellStyle name="Migliaia 53 4 5" xfId="6125" xr:uid="{00000000-0005-0000-0000-0000A90E0000}"/>
    <cellStyle name="Migliaia 53 5" xfId="877" xr:uid="{00000000-0005-0000-0000-0000AA0E0000}"/>
    <cellStyle name="Migliaia 53 5 2" xfId="5225" xr:uid="{00000000-0005-0000-0000-0000AB0E0000}"/>
    <cellStyle name="Migliaia 53 5 3" xfId="6127" xr:uid="{00000000-0005-0000-0000-0000AC0E0000}"/>
    <cellStyle name="Migliaia 53 6" xfId="4847" xr:uid="{00000000-0005-0000-0000-0000AD0E0000}"/>
    <cellStyle name="Migliaia 53 7" xfId="6120" xr:uid="{00000000-0005-0000-0000-0000AE0E0000}"/>
    <cellStyle name="Migliaia 54" xfId="878" xr:uid="{00000000-0005-0000-0000-0000AF0E0000}"/>
    <cellStyle name="Migliaia 54 2" xfId="879" xr:uid="{00000000-0005-0000-0000-0000B00E0000}"/>
    <cellStyle name="Migliaia 54 2 2" xfId="2551" xr:uid="{00000000-0005-0000-0000-0000B10E0000}"/>
    <cellStyle name="Migliaia 54 2 2 2" xfId="5611" xr:uid="{00000000-0005-0000-0000-0000B20E0000}"/>
    <cellStyle name="Migliaia 54 2 2 3" xfId="6533" xr:uid="{00000000-0005-0000-0000-0000B30E0000}"/>
    <cellStyle name="Migliaia 54 2 3" xfId="4912" xr:uid="{00000000-0005-0000-0000-0000B40E0000}"/>
    <cellStyle name="Migliaia 54 2 4" xfId="6129" xr:uid="{00000000-0005-0000-0000-0000B50E0000}"/>
    <cellStyle name="Migliaia 54 3" xfId="880" xr:uid="{00000000-0005-0000-0000-0000B60E0000}"/>
    <cellStyle name="Migliaia 54 3 2" xfId="881" xr:uid="{00000000-0005-0000-0000-0000B70E0000}"/>
    <cellStyle name="Migliaia 54 3 2 2" xfId="5227" xr:uid="{00000000-0005-0000-0000-0000B80E0000}"/>
    <cellStyle name="Migliaia 54 3 2 3" xfId="6131" xr:uid="{00000000-0005-0000-0000-0000B90E0000}"/>
    <cellStyle name="Migliaia 54 3 3" xfId="882" xr:uid="{00000000-0005-0000-0000-0000BA0E0000}"/>
    <cellStyle name="Migliaia 54 3 3 2" xfId="2553" xr:uid="{00000000-0005-0000-0000-0000BB0E0000}"/>
    <cellStyle name="Migliaia 54 3 3 2 2" xfId="5613" xr:uid="{00000000-0005-0000-0000-0000BC0E0000}"/>
    <cellStyle name="Migliaia 54 3 3 2 3" xfId="6535" xr:uid="{00000000-0005-0000-0000-0000BD0E0000}"/>
    <cellStyle name="Migliaia 54 3 3 3" xfId="5228" xr:uid="{00000000-0005-0000-0000-0000BE0E0000}"/>
    <cellStyle name="Migliaia 54 3 3 4" xfId="6132" xr:uid="{00000000-0005-0000-0000-0000BF0E0000}"/>
    <cellStyle name="Migliaia 54 3 4" xfId="2552" xr:uid="{00000000-0005-0000-0000-0000C00E0000}"/>
    <cellStyle name="Migliaia 54 3 4 2" xfId="5612" xr:uid="{00000000-0005-0000-0000-0000C10E0000}"/>
    <cellStyle name="Migliaia 54 3 4 3" xfId="6534" xr:uid="{00000000-0005-0000-0000-0000C20E0000}"/>
    <cellStyle name="Migliaia 54 3 5" xfId="5226" xr:uid="{00000000-0005-0000-0000-0000C30E0000}"/>
    <cellStyle name="Migliaia 54 3 6" xfId="6130" xr:uid="{00000000-0005-0000-0000-0000C40E0000}"/>
    <cellStyle name="Migliaia 54 4" xfId="883" xr:uid="{00000000-0005-0000-0000-0000C50E0000}"/>
    <cellStyle name="Migliaia 54 4 2" xfId="884" xr:uid="{00000000-0005-0000-0000-0000C60E0000}"/>
    <cellStyle name="Migliaia 54 4 2 2" xfId="2555" xr:uid="{00000000-0005-0000-0000-0000C70E0000}"/>
    <cellStyle name="Migliaia 54 4 2 2 2" xfId="5615" xr:uid="{00000000-0005-0000-0000-0000C80E0000}"/>
    <cellStyle name="Migliaia 54 4 2 2 3" xfId="6537" xr:uid="{00000000-0005-0000-0000-0000C90E0000}"/>
    <cellStyle name="Migliaia 54 4 2 3" xfId="5230" xr:uid="{00000000-0005-0000-0000-0000CA0E0000}"/>
    <cellStyle name="Migliaia 54 4 2 4" xfId="6134" xr:uid="{00000000-0005-0000-0000-0000CB0E0000}"/>
    <cellStyle name="Migliaia 54 4 3" xfId="2554" xr:uid="{00000000-0005-0000-0000-0000CC0E0000}"/>
    <cellStyle name="Migliaia 54 4 3 2" xfId="5614" xr:uid="{00000000-0005-0000-0000-0000CD0E0000}"/>
    <cellStyle name="Migliaia 54 4 3 3" xfId="6536" xr:uid="{00000000-0005-0000-0000-0000CE0E0000}"/>
    <cellStyle name="Migliaia 54 4 4" xfId="5229" xr:uid="{00000000-0005-0000-0000-0000CF0E0000}"/>
    <cellStyle name="Migliaia 54 4 5" xfId="6133" xr:uid="{00000000-0005-0000-0000-0000D00E0000}"/>
    <cellStyle name="Migliaia 54 5" xfId="885" xr:uid="{00000000-0005-0000-0000-0000D10E0000}"/>
    <cellStyle name="Migliaia 54 5 2" xfId="5231" xr:uid="{00000000-0005-0000-0000-0000D20E0000}"/>
    <cellStyle name="Migliaia 54 5 3" xfId="6135" xr:uid="{00000000-0005-0000-0000-0000D30E0000}"/>
    <cellStyle name="Migliaia 54 6" xfId="4848" xr:uid="{00000000-0005-0000-0000-0000D40E0000}"/>
    <cellStyle name="Migliaia 54 7" xfId="6128" xr:uid="{00000000-0005-0000-0000-0000D50E0000}"/>
    <cellStyle name="Migliaia 55" xfId="886" xr:uid="{00000000-0005-0000-0000-0000D60E0000}"/>
    <cellStyle name="Migliaia 55 2" xfId="887" xr:uid="{00000000-0005-0000-0000-0000D70E0000}"/>
    <cellStyle name="Migliaia 55 2 2" xfId="2556" xr:uid="{00000000-0005-0000-0000-0000D80E0000}"/>
    <cellStyle name="Migliaia 55 2 2 2" xfId="5616" xr:uid="{00000000-0005-0000-0000-0000D90E0000}"/>
    <cellStyle name="Migliaia 55 2 2 3" xfId="6538" xr:uid="{00000000-0005-0000-0000-0000DA0E0000}"/>
    <cellStyle name="Migliaia 55 2 3" xfId="4913" xr:uid="{00000000-0005-0000-0000-0000DB0E0000}"/>
    <cellStyle name="Migliaia 55 2 4" xfId="6137" xr:uid="{00000000-0005-0000-0000-0000DC0E0000}"/>
    <cellStyle name="Migliaia 55 3" xfId="888" xr:uid="{00000000-0005-0000-0000-0000DD0E0000}"/>
    <cellStyle name="Migliaia 55 3 2" xfId="889" xr:uid="{00000000-0005-0000-0000-0000DE0E0000}"/>
    <cellStyle name="Migliaia 55 3 2 2" xfId="5233" xr:uid="{00000000-0005-0000-0000-0000DF0E0000}"/>
    <cellStyle name="Migliaia 55 3 2 3" xfId="6139" xr:uid="{00000000-0005-0000-0000-0000E00E0000}"/>
    <cellStyle name="Migliaia 55 3 3" xfId="890" xr:uid="{00000000-0005-0000-0000-0000E10E0000}"/>
    <cellStyle name="Migliaia 55 3 3 2" xfId="2558" xr:uid="{00000000-0005-0000-0000-0000E20E0000}"/>
    <cellStyle name="Migliaia 55 3 3 2 2" xfId="5618" xr:uid="{00000000-0005-0000-0000-0000E30E0000}"/>
    <cellStyle name="Migliaia 55 3 3 2 3" xfId="6540" xr:uid="{00000000-0005-0000-0000-0000E40E0000}"/>
    <cellStyle name="Migliaia 55 3 3 3" xfId="5234" xr:uid="{00000000-0005-0000-0000-0000E50E0000}"/>
    <cellStyle name="Migliaia 55 3 3 4" xfId="6140" xr:uid="{00000000-0005-0000-0000-0000E60E0000}"/>
    <cellStyle name="Migliaia 55 3 4" xfId="2557" xr:uid="{00000000-0005-0000-0000-0000E70E0000}"/>
    <cellStyle name="Migliaia 55 3 4 2" xfId="5617" xr:uid="{00000000-0005-0000-0000-0000E80E0000}"/>
    <cellStyle name="Migliaia 55 3 4 3" xfId="6539" xr:uid="{00000000-0005-0000-0000-0000E90E0000}"/>
    <cellStyle name="Migliaia 55 3 5" xfId="5232" xr:uid="{00000000-0005-0000-0000-0000EA0E0000}"/>
    <cellStyle name="Migliaia 55 3 6" xfId="6138" xr:uid="{00000000-0005-0000-0000-0000EB0E0000}"/>
    <cellStyle name="Migliaia 55 4" xfId="891" xr:uid="{00000000-0005-0000-0000-0000EC0E0000}"/>
    <cellStyle name="Migliaia 55 4 2" xfId="892" xr:uid="{00000000-0005-0000-0000-0000ED0E0000}"/>
    <cellStyle name="Migliaia 55 4 2 2" xfId="2560" xr:uid="{00000000-0005-0000-0000-0000EE0E0000}"/>
    <cellStyle name="Migliaia 55 4 2 2 2" xfId="5620" xr:uid="{00000000-0005-0000-0000-0000EF0E0000}"/>
    <cellStyle name="Migliaia 55 4 2 2 3" xfId="6542" xr:uid="{00000000-0005-0000-0000-0000F00E0000}"/>
    <cellStyle name="Migliaia 55 4 2 3" xfId="5236" xr:uid="{00000000-0005-0000-0000-0000F10E0000}"/>
    <cellStyle name="Migliaia 55 4 2 4" xfId="6142" xr:uid="{00000000-0005-0000-0000-0000F20E0000}"/>
    <cellStyle name="Migliaia 55 4 3" xfId="2559" xr:uid="{00000000-0005-0000-0000-0000F30E0000}"/>
    <cellStyle name="Migliaia 55 4 3 2" xfId="5619" xr:uid="{00000000-0005-0000-0000-0000F40E0000}"/>
    <cellStyle name="Migliaia 55 4 3 3" xfId="6541" xr:uid="{00000000-0005-0000-0000-0000F50E0000}"/>
    <cellStyle name="Migliaia 55 4 4" xfId="5235" xr:uid="{00000000-0005-0000-0000-0000F60E0000}"/>
    <cellStyle name="Migliaia 55 4 5" xfId="6141" xr:uid="{00000000-0005-0000-0000-0000F70E0000}"/>
    <cellStyle name="Migliaia 55 5" xfId="893" xr:uid="{00000000-0005-0000-0000-0000F80E0000}"/>
    <cellStyle name="Migliaia 55 5 2" xfId="5237" xr:uid="{00000000-0005-0000-0000-0000F90E0000}"/>
    <cellStyle name="Migliaia 55 5 3" xfId="6143" xr:uid="{00000000-0005-0000-0000-0000FA0E0000}"/>
    <cellStyle name="Migliaia 55 6" xfId="4849" xr:uid="{00000000-0005-0000-0000-0000FB0E0000}"/>
    <cellStyle name="Migliaia 55 7" xfId="6136" xr:uid="{00000000-0005-0000-0000-0000FC0E0000}"/>
    <cellStyle name="Migliaia 56" xfId="894" xr:uid="{00000000-0005-0000-0000-0000FD0E0000}"/>
    <cellStyle name="Migliaia 56 2" xfId="895" xr:uid="{00000000-0005-0000-0000-0000FE0E0000}"/>
    <cellStyle name="Migliaia 56 2 2" xfId="2561" xr:uid="{00000000-0005-0000-0000-0000FF0E0000}"/>
    <cellStyle name="Migliaia 56 2 2 2" xfId="5621" xr:uid="{00000000-0005-0000-0000-0000000F0000}"/>
    <cellStyle name="Migliaia 56 2 2 3" xfId="6543" xr:uid="{00000000-0005-0000-0000-0000010F0000}"/>
    <cellStyle name="Migliaia 56 2 3" xfId="4914" xr:uid="{00000000-0005-0000-0000-0000020F0000}"/>
    <cellStyle name="Migliaia 56 2 4" xfId="6145" xr:uid="{00000000-0005-0000-0000-0000030F0000}"/>
    <cellStyle name="Migliaia 56 3" xfId="896" xr:uid="{00000000-0005-0000-0000-0000040F0000}"/>
    <cellStyle name="Migliaia 56 3 2" xfId="897" xr:uid="{00000000-0005-0000-0000-0000050F0000}"/>
    <cellStyle name="Migliaia 56 3 2 2" xfId="5239" xr:uid="{00000000-0005-0000-0000-0000060F0000}"/>
    <cellStyle name="Migliaia 56 3 2 3" xfId="6147" xr:uid="{00000000-0005-0000-0000-0000070F0000}"/>
    <cellStyle name="Migliaia 56 3 3" xfId="898" xr:uid="{00000000-0005-0000-0000-0000080F0000}"/>
    <cellStyle name="Migliaia 56 3 3 2" xfId="2563" xr:uid="{00000000-0005-0000-0000-0000090F0000}"/>
    <cellStyle name="Migliaia 56 3 3 2 2" xfId="5623" xr:uid="{00000000-0005-0000-0000-00000A0F0000}"/>
    <cellStyle name="Migliaia 56 3 3 2 3" xfId="6545" xr:uid="{00000000-0005-0000-0000-00000B0F0000}"/>
    <cellStyle name="Migliaia 56 3 3 3" xfId="5240" xr:uid="{00000000-0005-0000-0000-00000C0F0000}"/>
    <cellStyle name="Migliaia 56 3 3 4" xfId="6148" xr:uid="{00000000-0005-0000-0000-00000D0F0000}"/>
    <cellStyle name="Migliaia 56 3 4" xfId="2562" xr:uid="{00000000-0005-0000-0000-00000E0F0000}"/>
    <cellStyle name="Migliaia 56 3 4 2" xfId="5622" xr:uid="{00000000-0005-0000-0000-00000F0F0000}"/>
    <cellStyle name="Migliaia 56 3 4 3" xfId="6544" xr:uid="{00000000-0005-0000-0000-0000100F0000}"/>
    <cellStyle name="Migliaia 56 3 5" xfId="5238" xr:uid="{00000000-0005-0000-0000-0000110F0000}"/>
    <cellStyle name="Migliaia 56 3 6" xfId="6146" xr:uid="{00000000-0005-0000-0000-0000120F0000}"/>
    <cellStyle name="Migliaia 56 4" xfId="899" xr:uid="{00000000-0005-0000-0000-0000130F0000}"/>
    <cellStyle name="Migliaia 56 4 2" xfId="900" xr:uid="{00000000-0005-0000-0000-0000140F0000}"/>
    <cellStyle name="Migliaia 56 4 2 2" xfId="2565" xr:uid="{00000000-0005-0000-0000-0000150F0000}"/>
    <cellStyle name="Migliaia 56 4 2 2 2" xfId="5625" xr:uid="{00000000-0005-0000-0000-0000160F0000}"/>
    <cellStyle name="Migliaia 56 4 2 2 3" xfId="6547" xr:uid="{00000000-0005-0000-0000-0000170F0000}"/>
    <cellStyle name="Migliaia 56 4 2 3" xfId="5242" xr:uid="{00000000-0005-0000-0000-0000180F0000}"/>
    <cellStyle name="Migliaia 56 4 2 4" xfId="6150" xr:uid="{00000000-0005-0000-0000-0000190F0000}"/>
    <cellStyle name="Migliaia 56 4 3" xfId="2564" xr:uid="{00000000-0005-0000-0000-00001A0F0000}"/>
    <cellStyle name="Migliaia 56 4 3 2" xfId="5624" xr:uid="{00000000-0005-0000-0000-00001B0F0000}"/>
    <cellStyle name="Migliaia 56 4 3 3" xfId="6546" xr:uid="{00000000-0005-0000-0000-00001C0F0000}"/>
    <cellStyle name="Migliaia 56 4 4" xfId="5241" xr:uid="{00000000-0005-0000-0000-00001D0F0000}"/>
    <cellStyle name="Migliaia 56 4 5" xfId="6149" xr:uid="{00000000-0005-0000-0000-00001E0F0000}"/>
    <cellStyle name="Migliaia 56 5" xfId="901" xr:uid="{00000000-0005-0000-0000-00001F0F0000}"/>
    <cellStyle name="Migliaia 56 5 2" xfId="5243" xr:uid="{00000000-0005-0000-0000-0000200F0000}"/>
    <cellStyle name="Migliaia 56 5 3" xfId="6151" xr:uid="{00000000-0005-0000-0000-0000210F0000}"/>
    <cellStyle name="Migliaia 56 6" xfId="4850" xr:uid="{00000000-0005-0000-0000-0000220F0000}"/>
    <cellStyle name="Migliaia 56 7" xfId="6144" xr:uid="{00000000-0005-0000-0000-0000230F0000}"/>
    <cellStyle name="Migliaia 57" xfId="902" xr:uid="{00000000-0005-0000-0000-0000240F0000}"/>
    <cellStyle name="Migliaia 57 2" xfId="903" xr:uid="{00000000-0005-0000-0000-0000250F0000}"/>
    <cellStyle name="Migliaia 57 2 2" xfId="2566" xr:uid="{00000000-0005-0000-0000-0000260F0000}"/>
    <cellStyle name="Migliaia 57 2 2 2" xfId="5626" xr:uid="{00000000-0005-0000-0000-0000270F0000}"/>
    <cellStyle name="Migliaia 57 2 2 3" xfId="6548" xr:uid="{00000000-0005-0000-0000-0000280F0000}"/>
    <cellStyle name="Migliaia 57 2 3" xfId="4915" xr:uid="{00000000-0005-0000-0000-0000290F0000}"/>
    <cellStyle name="Migliaia 57 2 4" xfId="6153" xr:uid="{00000000-0005-0000-0000-00002A0F0000}"/>
    <cellStyle name="Migliaia 57 3" xfId="904" xr:uid="{00000000-0005-0000-0000-00002B0F0000}"/>
    <cellStyle name="Migliaia 57 3 2" xfId="905" xr:uid="{00000000-0005-0000-0000-00002C0F0000}"/>
    <cellStyle name="Migliaia 57 3 2 2" xfId="5245" xr:uid="{00000000-0005-0000-0000-00002D0F0000}"/>
    <cellStyle name="Migliaia 57 3 2 3" xfId="6155" xr:uid="{00000000-0005-0000-0000-00002E0F0000}"/>
    <cellStyle name="Migliaia 57 3 3" xfId="906" xr:uid="{00000000-0005-0000-0000-00002F0F0000}"/>
    <cellStyle name="Migliaia 57 3 3 2" xfId="2568" xr:uid="{00000000-0005-0000-0000-0000300F0000}"/>
    <cellStyle name="Migliaia 57 3 3 2 2" xfId="5628" xr:uid="{00000000-0005-0000-0000-0000310F0000}"/>
    <cellStyle name="Migliaia 57 3 3 2 3" xfId="6550" xr:uid="{00000000-0005-0000-0000-0000320F0000}"/>
    <cellStyle name="Migliaia 57 3 3 3" xfId="5246" xr:uid="{00000000-0005-0000-0000-0000330F0000}"/>
    <cellStyle name="Migliaia 57 3 3 4" xfId="6156" xr:uid="{00000000-0005-0000-0000-0000340F0000}"/>
    <cellStyle name="Migliaia 57 3 4" xfId="2567" xr:uid="{00000000-0005-0000-0000-0000350F0000}"/>
    <cellStyle name="Migliaia 57 3 4 2" xfId="5627" xr:uid="{00000000-0005-0000-0000-0000360F0000}"/>
    <cellStyle name="Migliaia 57 3 4 3" xfId="6549" xr:uid="{00000000-0005-0000-0000-0000370F0000}"/>
    <cellStyle name="Migliaia 57 3 5" xfId="5244" xr:uid="{00000000-0005-0000-0000-0000380F0000}"/>
    <cellStyle name="Migliaia 57 3 6" xfId="6154" xr:uid="{00000000-0005-0000-0000-0000390F0000}"/>
    <cellStyle name="Migliaia 57 4" xfId="907" xr:uid="{00000000-0005-0000-0000-00003A0F0000}"/>
    <cellStyle name="Migliaia 57 4 2" xfId="908" xr:uid="{00000000-0005-0000-0000-00003B0F0000}"/>
    <cellStyle name="Migliaia 57 4 2 2" xfId="2570" xr:uid="{00000000-0005-0000-0000-00003C0F0000}"/>
    <cellStyle name="Migliaia 57 4 2 2 2" xfId="5630" xr:uid="{00000000-0005-0000-0000-00003D0F0000}"/>
    <cellStyle name="Migliaia 57 4 2 2 3" xfId="6552" xr:uid="{00000000-0005-0000-0000-00003E0F0000}"/>
    <cellStyle name="Migliaia 57 4 2 3" xfId="5248" xr:uid="{00000000-0005-0000-0000-00003F0F0000}"/>
    <cellStyle name="Migliaia 57 4 2 4" xfId="6158" xr:uid="{00000000-0005-0000-0000-0000400F0000}"/>
    <cellStyle name="Migliaia 57 4 3" xfId="2569" xr:uid="{00000000-0005-0000-0000-0000410F0000}"/>
    <cellStyle name="Migliaia 57 4 3 2" xfId="5629" xr:uid="{00000000-0005-0000-0000-0000420F0000}"/>
    <cellStyle name="Migliaia 57 4 3 3" xfId="6551" xr:uid="{00000000-0005-0000-0000-0000430F0000}"/>
    <cellStyle name="Migliaia 57 4 4" xfId="5247" xr:uid="{00000000-0005-0000-0000-0000440F0000}"/>
    <cellStyle name="Migliaia 57 4 5" xfId="6157" xr:uid="{00000000-0005-0000-0000-0000450F0000}"/>
    <cellStyle name="Migliaia 57 5" xfId="909" xr:uid="{00000000-0005-0000-0000-0000460F0000}"/>
    <cellStyle name="Migliaia 57 5 2" xfId="5249" xr:uid="{00000000-0005-0000-0000-0000470F0000}"/>
    <cellStyle name="Migliaia 57 5 3" xfId="6159" xr:uid="{00000000-0005-0000-0000-0000480F0000}"/>
    <cellStyle name="Migliaia 57 6" xfId="4851" xr:uid="{00000000-0005-0000-0000-0000490F0000}"/>
    <cellStyle name="Migliaia 57 7" xfId="6152" xr:uid="{00000000-0005-0000-0000-00004A0F0000}"/>
    <cellStyle name="Migliaia 58" xfId="910" xr:uid="{00000000-0005-0000-0000-00004B0F0000}"/>
    <cellStyle name="Migliaia 58 2" xfId="911" xr:uid="{00000000-0005-0000-0000-00004C0F0000}"/>
    <cellStyle name="Migliaia 58 2 2" xfId="2571" xr:uid="{00000000-0005-0000-0000-00004D0F0000}"/>
    <cellStyle name="Migliaia 58 2 2 2" xfId="5631" xr:uid="{00000000-0005-0000-0000-00004E0F0000}"/>
    <cellStyle name="Migliaia 58 2 2 3" xfId="6553" xr:uid="{00000000-0005-0000-0000-00004F0F0000}"/>
    <cellStyle name="Migliaia 58 2 3" xfId="4916" xr:uid="{00000000-0005-0000-0000-0000500F0000}"/>
    <cellStyle name="Migliaia 58 2 4" xfId="6161" xr:uid="{00000000-0005-0000-0000-0000510F0000}"/>
    <cellStyle name="Migliaia 58 3" xfId="912" xr:uid="{00000000-0005-0000-0000-0000520F0000}"/>
    <cellStyle name="Migliaia 58 3 2" xfId="913" xr:uid="{00000000-0005-0000-0000-0000530F0000}"/>
    <cellStyle name="Migliaia 58 3 2 2" xfId="5251" xr:uid="{00000000-0005-0000-0000-0000540F0000}"/>
    <cellStyle name="Migliaia 58 3 2 3" xfId="6163" xr:uid="{00000000-0005-0000-0000-0000550F0000}"/>
    <cellStyle name="Migliaia 58 3 3" xfId="914" xr:uid="{00000000-0005-0000-0000-0000560F0000}"/>
    <cellStyle name="Migliaia 58 3 3 2" xfId="2573" xr:uid="{00000000-0005-0000-0000-0000570F0000}"/>
    <cellStyle name="Migliaia 58 3 3 2 2" xfId="5633" xr:uid="{00000000-0005-0000-0000-0000580F0000}"/>
    <cellStyle name="Migliaia 58 3 3 2 3" xfId="6555" xr:uid="{00000000-0005-0000-0000-0000590F0000}"/>
    <cellStyle name="Migliaia 58 3 3 3" xfId="5252" xr:uid="{00000000-0005-0000-0000-00005A0F0000}"/>
    <cellStyle name="Migliaia 58 3 3 4" xfId="6164" xr:uid="{00000000-0005-0000-0000-00005B0F0000}"/>
    <cellStyle name="Migliaia 58 3 4" xfId="2572" xr:uid="{00000000-0005-0000-0000-00005C0F0000}"/>
    <cellStyle name="Migliaia 58 3 4 2" xfId="5632" xr:uid="{00000000-0005-0000-0000-00005D0F0000}"/>
    <cellStyle name="Migliaia 58 3 4 3" xfId="6554" xr:uid="{00000000-0005-0000-0000-00005E0F0000}"/>
    <cellStyle name="Migliaia 58 3 5" xfId="5250" xr:uid="{00000000-0005-0000-0000-00005F0F0000}"/>
    <cellStyle name="Migliaia 58 3 6" xfId="6162" xr:uid="{00000000-0005-0000-0000-0000600F0000}"/>
    <cellStyle name="Migliaia 58 4" xfId="915" xr:uid="{00000000-0005-0000-0000-0000610F0000}"/>
    <cellStyle name="Migliaia 58 4 2" xfId="916" xr:uid="{00000000-0005-0000-0000-0000620F0000}"/>
    <cellStyle name="Migliaia 58 4 2 2" xfId="2575" xr:uid="{00000000-0005-0000-0000-0000630F0000}"/>
    <cellStyle name="Migliaia 58 4 2 2 2" xfId="5635" xr:uid="{00000000-0005-0000-0000-0000640F0000}"/>
    <cellStyle name="Migliaia 58 4 2 2 3" xfId="6557" xr:uid="{00000000-0005-0000-0000-0000650F0000}"/>
    <cellStyle name="Migliaia 58 4 2 3" xfId="5254" xr:uid="{00000000-0005-0000-0000-0000660F0000}"/>
    <cellStyle name="Migliaia 58 4 2 4" xfId="6166" xr:uid="{00000000-0005-0000-0000-0000670F0000}"/>
    <cellStyle name="Migliaia 58 4 3" xfId="2574" xr:uid="{00000000-0005-0000-0000-0000680F0000}"/>
    <cellStyle name="Migliaia 58 4 3 2" xfId="5634" xr:uid="{00000000-0005-0000-0000-0000690F0000}"/>
    <cellStyle name="Migliaia 58 4 3 3" xfId="6556" xr:uid="{00000000-0005-0000-0000-00006A0F0000}"/>
    <cellStyle name="Migliaia 58 4 4" xfId="5253" xr:uid="{00000000-0005-0000-0000-00006B0F0000}"/>
    <cellStyle name="Migliaia 58 4 5" xfId="6165" xr:uid="{00000000-0005-0000-0000-00006C0F0000}"/>
    <cellStyle name="Migliaia 58 5" xfId="917" xr:uid="{00000000-0005-0000-0000-00006D0F0000}"/>
    <cellStyle name="Migliaia 58 5 2" xfId="5255" xr:uid="{00000000-0005-0000-0000-00006E0F0000}"/>
    <cellStyle name="Migliaia 58 5 3" xfId="6167" xr:uid="{00000000-0005-0000-0000-00006F0F0000}"/>
    <cellStyle name="Migliaia 58 6" xfId="4852" xr:uid="{00000000-0005-0000-0000-0000700F0000}"/>
    <cellStyle name="Migliaia 58 7" xfId="6160" xr:uid="{00000000-0005-0000-0000-0000710F0000}"/>
    <cellStyle name="Migliaia 59" xfId="918" xr:uid="{00000000-0005-0000-0000-0000720F0000}"/>
    <cellStyle name="Migliaia 59 2" xfId="919" xr:uid="{00000000-0005-0000-0000-0000730F0000}"/>
    <cellStyle name="Migliaia 59 2 2" xfId="2576" xr:uid="{00000000-0005-0000-0000-0000740F0000}"/>
    <cellStyle name="Migliaia 59 2 2 2" xfId="5636" xr:uid="{00000000-0005-0000-0000-0000750F0000}"/>
    <cellStyle name="Migliaia 59 2 2 3" xfId="6558" xr:uid="{00000000-0005-0000-0000-0000760F0000}"/>
    <cellStyle name="Migliaia 59 2 3" xfId="4917" xr:uid="{00000000-0005-0000-0000-0000770F0000}"/>
    <cellStyle name="Migliaia 59 2 4" xfId="6169" xr:uid="{00000000-0005-0000-0000-0000780F0000}"/>
    <cellStyle name="Migliaia 59 3" xfId="920" xr:uid="{00000000-0005-0000-0000-0000790F0000}"/>
    <cellStyle name="Migliaia 59 3 2" xfId="921" xr:uid="{00000000-0005-0000-0000-00007A0F0000}"/>
    <cellStyle name="Migliaia 59 3 2 2" xfId="5257" xr:uid="{00000000-0005-0000-0000-00007B0F0000}"/>
    <cellStyle name="Migliaia 59 3 2 3" xfId="6171" xr:uid="{00000000-0005-0000-0000-00007C0F0000}"/>
    <cellStyle name="Migliaia 59 3 3" xfId="922" xr:uid="{00000000-0005-0000-0000-00007D0F0000}"/>
    <cellStyle name="Migliaia 59 3 3 2" xfId="2578" xr:uid="{00000000-0005-0000-0000-00007E0F0000}"/>
    <cellStyle name="Migliaia 59 3 3 2 2" xfId="5638" xr:uid="{00000000-0005-0000-0000-00007F0F0000}"/>
    <cellStyle name="Migliaia 59 3 3 2 3" xfId="6560" xr:uid="{00000000-0005-0000-0000-0000800F0000}"/>
    <cellStyle name="Migliaia 59 3 3 3" xfId="5258" xr:uid="{00000000-0005-0000-0000-0000810F0000}"/>
    <cellStyle name="Migliaia 59 3 3 4" xfId="6172" xr:uid="{00000000-0005-0000-0000-0000820F0000}"/>
    <cellStyle name="Migliaia 59 3 4" xfId="2577" xr:uid="{00000000-0005-0000-0000-0000830F0000}"/>
    <cellStyle name="Migliaia 59 3 4 2" xfId="5637" xr:uid="{00000000-0005-0000-0000-0000840F0000}"/>
    <cellStyle name="Migliaia 59 3 4 3" xfId="6559" xr:uid="{00000000-0005-0000-0000-0000850F0000}"/>
    <cellStyle name="Migliaia 59 3 5" xfId="5256" xr:uid="{00000000-0005-0000-0000-0000860F0000}"/>
    <cellStyle name="Migliaia 59 3 6" xfId="6170" xr:uid="{00000000-0005-0000-0000-0000870F0000}"/>
    <cellStyle name="Migliaia 59 4" xfId="923" xr:uid="{00000000-0005-0000-0000-0000880F0000}"/>
    <cellStyle name="Migliaia 59 4 2" xfId="924" xr:uid="{00000000-0005-0000-0000-0000890F0000}"/>
    <cellStyle name="Migliaia 59 4 2 2" xfId="2580" xr:uid="{00000000-0005-0000-0000-00008A0F0000}"/>
    <cellStyle name="Migliaia 59 4 2 2 2" xfId="5640" xr:uid="{00000000-0005-0000-0000-00008B0F0000}"/>
    <cellStyle name="Migliaia 59 4 2 2 3" xfId="6562" xr:uid="{00000000-0005-0000-0000-00008C0F0000}"/>
    <cellStyle name="Migliaia 59 4 2 3" xfId="5260" xr:uid="{00000000-0005-0000-0000-00008D0F0000}"/>
    <cellStyle name="Migliaia 59 4 2 4" xfId="6174" xr:uid="{00000000-0005-0000-0000-00008E0F0000}"/>
    <cellStyle name="Migliaia 59 4 3" xfId="2579" xr:uid="{00000000-0005-0000-0000-00008F0F0000}"/>
    <cellStyle name="Migliaia 59 4 3 2" xfId="5639" xr:uid="{00000000-0005-0000-0000-0000900F0000}"/>
    <cellStyle name="Migliaia 59 4 3 3" xfId="6561" xr:uid="{00000000-0005-0000-0000-0000910F0000}"/>
    <cellStyle name="Migliaia 59 4 4" xfId="5259" xr:uid="{00000000-0005-0000-0000-0000920F0000}"/>
    <cellStyle name="Migliaia 59 4 5" xfId="6173" xr:uid="{00000000-0005-0000-0000-0000930F0000}"/>
    <cellStyle name="Migliaia 59 5" xfId="925" xr:uid="{00000000-0005-0000-0000-0000940F0000}"/>
    <cellStyle name="Migliaia 59 5 2" xfId="5261" xr:uid="{00000000-0005-0000-0000-0000950F0000}"/>
    <cellStyle name="Migliaia 59 5 3" xfId="6175" xr:uid="{00000000-0005-0000-0000-0000960F0000}"/>
    <cellStyle name="Migliaia 59 6" xfId="4853" xr:uid="{00000000-0005-0000-0000-0000970F0000}"/>
    <cellStyle name="Migliaia 59 7" xfId="6168" xr:uid="{00000000-0005-0000-0000-0000980F0000}"/>
    <cellStyle name="Migliaia 6" xfId="926" xr:uid="{00000000-0005-0000-0000-0000990F0000}"/>
    <cellStyle name="Migliaia 6 2" xfId="927" xr:uid="{00000000-0005-0000-0000-00009A0F0000}"/>
    <cellStyle name="Migliaia 6 2 2" xfId="2581" xr:uid="{00000000-0005-0000-0000-00009B0F0000}"/>
    <cellStyle name="Migliaia 6 2 2 2" xfId="5641" xr:uid="{00000000-0005-0000-0000-00009C0F0000}"/>
    <cellStyle name="Migliaia 6 2 2 3" xfId="6563" xr:uid="{00000000-0005-0000-0000-00009D0F0000}"/>
    <cellStyle name="Migliaia 6 2 3" xfId="4918" xr:uid="{00000000-0005-0000-0000-00009E0F0000}"/>
    <cellStyle name="Migliaia 6 2 4" xfId="6177" xr:uid="{00000000-0005-0000-0000-00009F0F0000}"/>
    <cellStyle name="Migliaia 6 3" xfId="928" xr:uid="{00000000-0005-0000-0000-0000A00F0000}"/>
    <cellStyle name="Migliaia 6 3 2" xfId="929" xr:uid="{00000000-0005-0000-0000-0000A10F0000}"/>
    <cellStyle name="Migliaia 6 3 2 2" xfId="5263" xr:uid="{00000000-0005-0000-0000-0000A20F0000}"/>
    <cellStyle name="Migliaia 6 3 2 3" xfId="6179" xr:uid="{00000000-0005-0000-0000-0000A30F0000}"/>
    <cellStyle name="Migliaia 6 3 3" xfId="930" xr:uid="{00000000-0005-0000-0000-0000A40F0000}"/>
    <cellStyle name="Migliaia 6 3 3 2" xfId="2583" xr:uid="{00000000-0005-0000-0000-0000A50F0000}"/>
    <cellStyle name="Migliaia 6 3 3 2 2" xfId="5643" xr:uid="{00000000-0005-0000-0000-0000A60F0000}"/>
    <cellStyle name="Migliaia 6 3 3 2 3" xfId="6565" xr:uid="{00000000-0005-0000-0000-0000A70F0000}"/>
    <cellStyle name="Migliaia 6 3 3 3" xfId="5264" xr:uid="{00000000-0005-0000-0000-0000A80F0000}"/>
    <cellStyle name="Migliaia 6 3 3 4" xfId="6180" xr:uid="{00000000-0005-0000-0000-0000A90F0000}"/>
    <cellStyle name="Migliaia 6 3 4" xfId="2582" xr:uid="{00000000-0005-0000-0000-0000AA0F0000}"/>
    <cellStyle name="Migliaia 6 3 4 2" xfId="5642" xr:uid="{00000000-0005-0000-0000-0000AB0F0000}"/>
    <cellStyle name="Migliaia 6 3 4 3" xfId="6564" xr:uid="{00000000-0005-0000-0000-0000AC0F0000}"/>
    <cellStyle name="Migliaia 6 3 5" xfId="5262" xr:uid="{00000000-0005-0000-0000-0000AD0F0000}"/>
    <cellStyle name="Migliaia 6 3 6" xfId="6178" xr:uid="{00000000-0005-0000-0000-0000AE0F0000}"/>
    <cellStyle name="Migliaia 6 4" xfId="931" xr:uid="{00000000-0005-0000-0000-0000AF0F0000}"/>
    <cellStyle name="Migliaia 6 4 2" xfId="932" xr:uid="{00000000-0005-0000-0000-0000B00F0000}"/>
    <cellStyle name="Migliaia 6 4 2 2" xfId="2585" xr:uid="{00000000-0005-0000-0000-0000B10F0000}"/>
    <cellStyle name="Migliaia 6 4 2 2 2" xfId="5645" xr:uid="{00000000-0005-0000-0000-0000B20F0000}"/>
    <cellStyle name="Migliaia 6 4 2 2 3" xfId="6567" xr:uid="{00000000-0005-0000-0000-0000B30F0000}"/>
    <cellStyle name="Migliaia 6 4 2 3" xfId="5266" xr:uid="{00000000-0005-0000-0000-0000B40F0000}"/>
    <cellStyle name="Migliaia 6 4 2 4" xfId="6182" xr:uid="{00000000-0005-0000-0000-0000B50F0000}"/>
    <cellStyle name="Migliaia 6 4 3" xfId="2584" xr:uid="{00000000-0005-0000-0000-0000B60F0000}"/>
    <cellStyle name="Migliaia 6 4 3 2" xfId="5644" xr:uid="{00000000-0005-0000-0000-0000B70F0000}"/>
    <cellStyle name="Migliaia 6 4 3 3" xfId="6566" xr:uid="{00000000-0005-0000-0000-0000B80F0000}"/>
    <cellStyle name="Migliaia 6 4 4" xfId="5265" xr:uid="{00000000-0005-0000-0000-0000B90F0000}"/>
    <cellStyle name="Migliaia 6 4 5" xfId="6181" xr:uid="{00000000-0005-0000-0000-0000BA0F0000}"/>
    <cellStyle name="Migliaia 6 5" xfId="933" xr:uid="{00000000-0005-0000-0000-0000BB0F0000}"/>
    <cellStyle name="Migliaia 6 5 2" xfId="5267" xr:uid="{00000000-0005-0000-0000-0000BC0F0000}"/>
    <cellStyle name="Migliaia 6 5 3" xfId="6183" xr:uid="{00000000-0005-0000-0000-0000BD0F0000}"/>
    <cellStyle name="Migliaia 6 6" xfId="4854" xr:uid="{00000000-0005-0000-0000-0000BE0F0000}"/>
    <cellStyle name="Migliaia 6 7" xfId="6176" xr:uid="{00000000-0005-0000-0000-0000BF0F0000}"/>
    <cellStyle name="Migliaia 60" xfId="934" xr:uid="{00000000-0005-0000-0000-0000C00F0000}"/>
    <cellStyle name="Migliaia 60 2" xfId="935" xr:uid="{00000000-0005-0000-0000-0000C10F0000}"/>
    <cellStyle name="Migliaia 60 2 2" xfId="2586" xr:uid="{00000000-0005-0000-0000-0000C20F0000}"/>
    <cellStyle name="Migliaia 60 2 2 2" xfId="5646" xr:uid="{00000000-0005-0000-0000-0000C30F0000}"/>
    <cellStyle name="Migliaia 60 2 2 3" xfId="6568" xr:uid="{00000000-0005-0000-0000-0000C40F0000}"/>
    <cellStyle name="Migliaia 60 2 3" xfId="4919" xr:uid="{00000000-0005-0000-0000-0000C50F0000}"/>
    <cellStyle name="Migliaia 60 2 4" xfId="6185" xr:uid="{00000000-0005-0000-0000-0000C60F0000}"/>
    <cellStyle name="Migliaia 60 3" xfId="936" xr:uid="{00000000-0005-0000-0000-0000C70F0000}"/>
    <cellStyle name="Migliaia 60 3 2" xfId="937" xr:uid="{00000000-0005-0000-0000-0000C80F0000}"/>
    <cellStyle name="Migliaia 60 3 2 2" xfId="5269" xr:uid="{00000000-0005-0000-0000-0000C90F0000}"/>
    <cellStyle name="Migliaia 60 3 2 3" xfId="6187" xr:uid="{00000000-0005-0000-0000-0000CA0F0000}"/>
    <cellStyle name="Migliaia 60 3 3" xfId="938" xr:uid="{00000000-0005-0000-0000-0000CB0F0000}"/>
    <cellStyle name="Migliaia 60 3 3 2" xfId="2588" xr:uid="{00000000-0005-0000-0000-0000CC0F0000}"/>
    <cellStyle name="Migliaia 60 3 3 2 2" xfId="5648" xr:uid="{00000000-0005-0000-0000-0000CD0F0000}"/>
    <cellStyle name="Migliaia 60 3 3 2 3" xfId="6570" xr:uid="{00000000-0005-0000-0000-0000CE0F0000}"/>
    <cellStyle name="Migliaia 60 3 3 3" xfId="5270" xr:uid="{00000000-0005-0000-0000-0000CF0F0000}"/>
    <cellStyle name="Migliaia 60 3 3 4" xfId="6188" xr:uid="{00000000-0005-0000-0000-0000D00F0000}"/>
    <cellStyle name="Migliaia 60 3 4" xfId="2587" xr:uid="{00000000-0005-0000-0000-0000D10F0000}"/>
    <cellStyle name="Migliaia 60 3 4 2" xfId="5647" xr:uid="{00000000-0005-0000-0000-0000D20F0000}"/>
    <cellStyle name="Migliaia 60 3 4 3" xfId="6569" xr:uid="{00000000-0005-0000-0000-0000D30F0000}"/>
    <cellStyle name="Migliaia 60 3 5" xfId="5268" xr:uid="{00000000-0005-0000-0000-0000D40F0000}"/>
    <cellStyle name="Migliaia 60 3 6" xfId="6186" xr:uid="{00000000-0005-0000-0000-0000D50F0000}"/>
    <cellStyle name="Migliaia 60 4" xfId="939" xr:uid="{00000000-0005-0000-0000-0000D60F0000}"/>
    <cellStyle name="Migliaia 60 4 2" xfId="940" xr:uid="{00000000-0005-0000-0000-0000D70F0000}"/>
    <cellStyle name="Migliaia 60 4 2 2" xfId="2590" xr:uid="{00000000-0005-0000-0000-0000D80F0000}"/>
    <cellStyle name="Migliaia 60 4 2 2 2" xfId="5650" xr:uid="{00000000-0005-0000-0000-0000D90F0000}"/>
    <cellStyle name="Migliaia 60 4 2 2 3" xfId="6572" xr:uid="{00000000-0005-0000-0000-0000DA0F0000}"/>
    <cellStyle name="Migliaia 60 4 2 3" xfId="5272" xr:uid="{00000000-0005-0000-0000-0000DB0F0000}"/>
    <cellStyle name="Migliaia 60 4 2 4" xfId="6190" xr:uid="{00000000-0005-0000-0000-0000DC0F0000}"/>
    <cellStyle name="Migliaia 60 4 3" xfId="2589" xr:uid="{00000000-0005-0000-0000-0000DD0F0000}"/>
    <cellStyle name="Migliaia 60 4 3 2" xfId="5649" xr:uid="{00000000-0005-0000-0000-0000DE0F0000}"/>
    <cellStyle name="Migliaia 60 4 3 3" xfId="6571" xr:uid="{00000000-0005-0000-0000-0000DF0F0000}"/>
    <cellStyle name="Migliaia 60 4 4" xfId="5271" xr:uid="{00000000-0005-0000-0000-0000E00F0000}"/>
    <cellStyle name="Migliaia 60 4 5" xfId="6189" xr:uid="{00000000-0005-0000-0000-0000E10F0000}"/>
    <cellStyle name="Migliaia 60 5" xfId="941" xr:uid="{00000000-0005-0000-0000-0000E20F0000}"/>
    <cellStyle name="Migliaia 60 5 2" xfId="5273" xr:uid="{00000000-0005-0000-0000-0000E30F0000}"/>
    <cellStyle name="Migliaia 60 5 3" xfId="6191" xr:uid="{00000000-0005-0000-0000-0000E40F0000}"/>
    <cellStyle name="Migliaia 60 6" xfId="4855" xr:uid="{00000000-0005-0000-0000-0000E50F0000}"/>
    <cellStyle name="Migliaia 60 7" xfId="6184" xr:uid="{00000000-0005-0000-0000-0000E60F0000}"/>
    <cellStyle name="Migliaia 61" xfId="942" xr:uid="{00000000-0005-0000-0000-0000E70F0000}"/>
    <cellStyle name="Migliaia 61 2" xfId="943" xr:uid="{00000000-0005-0000-0000-0000E80F0000}"/>
    <cellStyle name="Migliaia 61 2 2" xfId="2591" xr:uid="{00000000-0005-0000-0000-0000E90F0000}"/>
    <cellStyle name="Migliaia 61 2 2 2" xfId="5651" xr:uid="{00000000-0005-0000-0000-0000EA0F0000}"/>
    <cellStyle name="Migliaia 61 2 2 3" xfId="6573" xr:uid="{00000000-0005-0000-0000-0000EB0F0000}"/>
    <cellStyle name="Migliaia 61 2 3" xfId="4920" xr:uid="{00000000-0005-0000-0000-0000EC0F0000}"/>
    <cellStyle name="Migliaia 61 2 4" xfId="6193" xr:uid="{00000000-0005-0000-0000-0000ED0F0000}"/>
    <cellStyle name="Migliaia 61 3" xfId="944" xr:uid="{00000000-0005-0000-0000-0000EE0F0000}"/>
    <cellStyle name="Migliaia 61 3 2" xfId="945" xr:uid="{00000000-0005-0000-0000-0000EF0F0000}"/>
    <cellStyle name="Migliaia 61 3 2 2" xfId="5275" xr:uid="{00000000-0005-0000-0000-0000F00F0000}"/>
    <cellStyle name="Migliaia 61 3 2 3" xfId="6195" xr:uid="{00000000-0005-0000-0000-0000F10F0000}"/>
    <cellStyle name="Migliaia 61 3 3" xfId="946" xr:uid="{00000000-0005-0000-0000-0000F20F0000}"/>
    <cellStyle name="Migliaia 61 3 3 2" xfId="2593" xr:uid="{00000000-0005-0000-0000-0000F30F0000}"/>
    <cellStyle name="Migliaia 61 3 3 2 2" xfId="5653" xr:uid="{00000000-0005-0000-0000-0000F40F0000}"/>
    <cellStyle name="Migliaia 61 3 3 2 3" xfId="6575" xr:uid="{00000000-0005-0000-0000-0000F50F0000}"/>
    <cellStyle name="Migliaia 61 3 3 3" xfId="5276" xr:uid="{00000000-0005-0000-0000-0000F60F0000}"/>
    <cellStyle name="Migliaia 61 3 3 4" xfId="6196" xr:uid="{00000000-0005-0000-0000-0000F70F0000}"/>
    <cellStyle name="Migliaia 61 3 4" xfId="2592" xr:uid="{00000000-0005-0000-0000-0000F80F0000}"/>
    <cellStyle name="Migliaia 61 3 4 2" xfId="5652" xr:uid="{00000000-0005-0000-0000-0000F90F0000}"/>
    <cellStyle name="Migliaia 61 3 4 3" xfId="6574" xr:uid="{00000000-0005-0000-0000-0000FA0F0000}"/>
    <cellStyle name="Migliaia 61 3 5" xfId="5274" xr:uid="{00000000-0005-0000-0000-0000FB0F0000}"/>
    <cellStyle name="Migliaia 61 3 6" xfId="6194" xr:uid="{00000000-0005-0000-0000-0000FC0F0000}"/>
    <cellStyle name="Migliaia 61 4" xfId="947" xr:uid="{00000000-0005-0000-0000-0000FD0F0000}"/>
    <cellStyle name="Migliaia 61 4 2" xfId="948" xr:uid="{00000000-0005-0000-0000-0000FE0F0000}"/>
    <cellStyle name="Migliaia 61 4 2 2" xfId="2595" xr:uid="{00000000-0005-0000-0000-0000FF0F0000}"/>
    <cellStyle name="Migliaia 61 4 2 2 2" xfId="5655" xr:uid="{00000000-0005-0000-0000-000000100000}"/>
    <cellStyle name="Migliaia 61 4 2 2 3" xfId="6577" xr:uid="{00000000-0005-0000-0000-000001100000}"/>
    <cellStyle name="Migliaia 61 4 2 3" xfId="5278" xr:uid="{00000000-0005-0000-0000-000002100000}"/>
    <cellStyle name="Migliaia 61 4 2 4" xfId="6198" xr:uid="{00000000-0005-0000-0000-000003100000}"/>
    <cellStyle name="Migliaia 61 4 3" xfId="2594" xr:uid="{00000000-0005-0000-0000-000004100000}"/>
    <cellStyle name="Migliaia 61 4 3 2" xfId="5654" xr:uid="{00000000-0005-0000-0000-000005100000}"/>
    <cellStyle name="Migliaia 61 4 3 3" xfId="6576" xr:uid="{00000000-0005-0000-0000-000006100000}"/>
    <cellStyle name="Migliaia 61 4 4" xfId="5277" xr:uid="{00000000-0005-0000-0000-000007100000}"/>
    <cellStyle name="Migliaia 61 4 5" xfId="6197" xr:uid="{00000000-0005-0000-0000-000008100000}"/>
    <cellStyle name="Migliaia 61 5" xfId="949" xr:uid="{00000000-0005-0000-0000-000009100000}"/>
    <cellStyle name="Migliaia 61 5 2" xfId="5279" xr:uid="{00000000-0005-0000-0000-00000A100000}"/>
    <cellStyle name="Migliaia 61 5 3" xfId="6199" xr:uid="{00000000-0005-0000-0000-00000B100000}"/>
    <cellStyle name="Migliaia 61 6" xfId="4856" xr:uid="{00000000-0005-0000-0000-00000C100000}"/>
    <cellStyle name="Migliaia 61 7" xfId="6192" xr:uid="{00000000-0005-0000-0000-00000D100000}"/>
    <cellStyle name="Migliaia 7" xfId="950" xr:uid="{00000000-0005-0000-0000-00000E100000}"/>
    <cellStyle name="Migliaia 7 2" xfId="951" xr:uid="{00000000-0005-0000-0000-00000F100000}"/>
    <cellStyle name="Migliaia 7 2 2" xfId="2596" xr:uid="{00000000-0005-0000-0000-000010100000}"/>
    <cellStyle name="Migliaia 7 2 2 2" xfId="5656" xr:uid="{00000000-0005-0000-0000-000011100000}"/>
    <cellStyle name="Migliaia 7 2 2 3" xfId="6578" xr:uid="{00000000-0005-0000-0000-000012100000}"/>
    <cellStyle name="Migliaia 7 2 3" xfId="4921" xr:uid="{00000000-0005-0000-0000-000013100000}"/>
    <cellStyle name="Migliaia 7 2 4" xfId="6201" xr:uid="{00000000-0005-0000-0000-000014100000}"/>
    <cellStyle name="Migliaia 7 3" xfId="952" xr:uid="{00000000-0005-0000-0000-000015100000}"/>
    <cellStyle name="Migliaia 7 3 2" xfId="953" xr:uid="{00000000-0005-0000-0000-000016100000}"/>
    <cellStyle name="Migliaia 7 3 2 2" xfId="5281" xr:uid="{00000000-0005-0000-0000-000017100000}"/>
    <cellStyle name="Migliaia 7 3 2 3" xfId="6203" xr:uid="{00000000-0005-0000-0000-000018100000}"/>
    <cellStyle name="Migliaia 7 3 3" xfId="954" xr:uid="{00000000-0005-0000-0000-000019100000}"/>
    <cellStyle name="Migliaia 7 3 3 2" xfId="2598" xr:uid="{00000000-0005-0000-0000-00001A100000}"/>
    <cellStyle name="Migliaia 7 3 3 2 2" xfId="5658" xr:uid="{00000000-0005-0000-0000-00001B100000}"/>
    <cellStyle name="Migliaia 7 3 3 2 3" xfId="6580" xr:uid="{00000000-0005-0000-0000-00001C100000}"/>
    <cellStyle name="Migliaia 7 3 3 3" xfId="5282" xr:uid="{00000000-0005-0000-0000-00001D100000}"/>
    <cellStyle name="Migliaia 7 3 3 4" xfId="6204" xr:uid="{00000000-0005-0000-0000-00001E100000}"/>
    <cellStyle name="Migliaia 7 3 4" xfId="2597" xr:uid="{00000000-0005-0000-0000-00001F100000}"/>
    <cellStyle name="Migliaia 7 3 4 2" xfId="5657" xr:uid="{00000000-0005-0000-0000-000020100000}"/>
    <cellStyle name="Migliaia 7 3 4 3" xfId="6579" xr:uid="{00000000-0005-0000-0000-000021100000}"/>
    <cellStyle name="Migliaia 7 3 5" xfId="5280" xr:uid="{00000000-0005-0000-0000-000022100000}"/>
    <cellStyle name="Migliaia 7 3 6" xfId="6202" xr:uid="{00000000-0005-0000-0000-000023100000}"/>
    <cellStyle name="Migliaia 7 4" xfId="955" xr:uid="{00000000-0005-0000-0000-000024100000}"/>
    <cellStyle name="Migliaia 7 4 2" xfId="956" xr:uid="{00000000-0005-0000-0000-000025100000}"/>
    <cellStyle name="Migliaia 7 4 2 2" xfId="2600" xr:uid="{00000000-0005-0000-0000-000026100000}"/>
    <cellStyle name="Migliaia 7 4 2 2 2" xfId="5660" xr:uid="{00000000-0005-0000-0000-000027100000}"/>
    <cellStyle name="Migliaia 7 4 2 2 3" xfId="6582" xr:uid="{00000000-0005-0000-0000-000028100000}"/>
    <cellStyle name="Migliaia 7 4 2 3" xfId="5284" xr:uid="{00000000-0005-0000-0000-000029100000}"/>
    <cellStyle name="Migliaia 7 4 2 4" xfId="6206" xr:uid="{00000000-0005-0000-0000-00002A100000}"/>
    <cellStyle name="Migliaia 7 4 3" xfId="2599" xr:uid="{00000000-0005-0000-0000-00002B100000}"/>
    <cellStyle name="Migliaia 7 4 3 2" xfId="5659" xr:uid="{00000000-0005-0000-0000-00002C100000}"/>
    <cellStyle name="Migliaia 7 4 3 3" xfId="6581" xr:uid="{00000000-0005-0000-0000-00002D100000}"/>
    <cellStyle name="Migliaia 7 4 4" xfId="5283" xr:uid="{00000000-0005-0000-0000-00002E100000}"/>
    <cellStyle name="Migliaia 7 4 5" xfId="6205" xr:uid="{00000000-0005-0000-0000-00002F100000}"/>
    <cellStyle name="Migliaia 7 5" xfId="957" xr:uid="{00000000-0005-0000-0000-000030100000}"/>
    <cellStyle name="Migliaia 7 5 2" xfId="5285" xr:uid="{00000000-0005-0000-0000-000031100000}"/>
    <cellStyle name="Migliaia 7 5 3" xfId="6207" xr:uid="{00000000-0005-0000-0000-000032100000}"/>
    <cellStyle name="Migliaia 7 6" xfId="4857" xr:uid="{00000000-0005-0000-0000-000033100000}"/>
    <cellStyle name="Migliaia 7 7" xfId="6200" xr:uid="{00000000-0005-0000-0000-000034100000}"/>
    <cellStyle name="Migliaia 8" xfId="958" xr:uid="{00000000-0005-0000-0000-000035100000}"/>
    <cellStyle name="Migliaia 8 2" xfId="959" xr:uid="{00000000-0005-0000-0000-000036100000}"/>
    <cellStyle name="Migliaia 8 2 2" xfId="2601" xr:uid="{00000000-0005-0000-0000-000037100000}"/>
    <cellStyle name="Migliaia 8 2 2 2" xfId="5661" xr:uid="{00000000-0005-0000-0000-000038100000}"/>
    <cellStyle name="Migliaia 8 2 2 3" xfId="6583" xr:uid="{00000000-0005-0000-0000-000039100000}"/>
    <cellStyle name="Migliaia 8 2 3" xfId="4922" xr:uid="{00000000-0005-0000-0000-00003A100000}"/>
    <cellStyle name="Migliaia 8 2 4" xfId="6209" xr:uid="{00000000-0005-0000-0000-00003B100000}"/>
    <cellStyle name="Migliaia 8 3" xfId="960" xr:uid="{00000000-0005-0000-0000-00003C100000}"/>
    <cellStyle name="Migliaia 8 3 2" xfId="961" xr:uid="{00000000-0005-0000-0000-00003D100000}"/>
    <cellStyle name="Migliaia 8 3 2 2" xfId="5287" xr:uid="{00000000-0005-0000-0000-00003E100000}"/>
    <cellStyle name="Migliaia 8 3 2 3" xfId="6211" xr:uid="{00000000-0005-0000-0000-00003F100000}"/>
    <cellStyle name="Migliaia 8 3 3" xfId="962" xr:uid="{00000000-0005-0000-0000-000040100000}"/>
    <cellStyle name="Migliaia 8 3 3 2" xfId="2603" xr:uid="{00000000-0005-0000-0000-000041100000}"/>
    <cellStyle name="Migliaia 8 3 3 2 2" xfId="5663" xr:uid="{00000000-0005-0000-0000-000042100000}"/>
    <cellStyle name="Migliaia 8 3 3 2 3" xfId="6585" xr:uid="{00000000-0005-0000-0000-000043100000}"/>
    <cellStyle name="Migliaia 8 3 3 3" xfId="5288" xr:uid="{00000000-0005-0000-0000-000044100000}"/>
    <cellStyle name="Migliaia 8 3 3 4" xfId="6212" xr:uid="{00000000-0005-0000-0000-000045100000}"/>
    <cellStyle name="Migliaia 8 3 4" xfId="2602" xr:uid="{00000000-0005-0000-0000-000046100000}"/>
    <cellStyle name="Migliaia 8 3 4 2" xfId="5662" xr:uid="{00000000-0005-0000-0000-000047100000}"/>
    <cellStyle name="Migliaia 8 3 4 3" xfId="6584" xr:uid="{00000000-0005-0000-0000-000048100000}"/>
    <cellStyle name="Migliaia 8 3 5" xfId="5286" xr:uid="{00000000-0005-0000-0000-000049100000}"/>
    <cellStyle name="Migliaia 8 3 6" xfId="6210" xr:uid="{00000000-0005-0000-0000-00004A100000}"/>
    <cellStyle name="Migliaia 8 4" xfId="963" xr:uid="{00000000-0005-0000-0000-00004B100000}"/>
    <cellStyle name="Migliaia 8 4 2" xfId="964" xr:uid="{00000000-0005-0000-0000-00004C100000}"/>
    <cellStyle name="Migliaia 8 4 2 2" xfId="2605" xr:uid="{00000000-0005-0000-0000-00004D100000}"/>
    <cellStyle name="Migliaia 8 4 2 2 2" xfId="5665" xr:uid="{00000000-0005-0000-0000-00004E100000}"/>
    <cellStyle name="Migliaia 8 4 2 2 3" xfId="6587" xr:uid="{00000000-0005-0000-0000-00004F100000}"/>
    <cellStyle name="Migliaia 8 4 2 3" xfId="5290" xr:uid="{00000000-0005-0000-0000-000050100000}"/>
    <cellStyle name="Migliaia 8 4 2 4" xfId="6214" xr:uid="{00000000-0005-0000-0000-000051100000}"/>
    <cellStyle name="Migliaia 8 4 3" xfId="2604" xr:uid="{00000000-0005-0000-0000-000052100000}"/>
    <cellStyle name="Migliaia 8 4 3 2" xfId="5664" xr:uid="{00000000-0005-0000-0000-000053100000}"/>
    <cellStyle name="Migliaia 8 4 3 3" xfId="6586" xr:uid="{00000000-0005-0000-0000-000054100000}"/>
    <cellStyle name="Migliaia 8 4 4" xfId="5289" xr:uid="{00000000-0005-0000-0000-000055100000}"/>
    <cellStyle name="Migliaia 8 4 5" xfId="6213" xr:uid="{00000000-0005-0000-0000-000056100000}"/>
    <cellStyle name="Migliaia 8 5" xfId="965" xr:uid="{00000000-0005-0000-0000-000057100000}"/>
    <cellStyle name="Migliaia 8 5 2" xfId="5291" xr:uid="{00000000-0005-0000-0000-000058100000}"/>
    <cellStyle name="Migliaia 8 5 3" xfId="6215" xr:uid="{00000000-0005-0000-0000-000059100000}"/>
    <cellStyle name="Migliaia 8 6" xfId="4858" xr:uid="{00000000-0005-0000-0000-00005A100000}"/>
    <cellStyle name="Migliaia 8 7" xfId="6208" xr:uid="{00000000-0005-0000-0000-00005B100000}"/>
    <cellStyle name="Migliaia 9" xfId="966" xr:uid="{00000000-0005-0000-0000-00005C100000}"/>
    <cellStyle name="Migliaia 9 2" xfId="967" xr:uid="{00000000-0005-0000-0000-00005D100000}"/>
    <cellStyle name="Migliaia 9 2 2" xfId="2606" xr:uid="{00000000-0005-0000-0000-00005E100000}"/>
    <cellStyle name="Migliaia 9 2 2 2" xfId="5666" xr:uid="{00000000-0005-0000-0000-00005F100000}"/>
    <cellStyle name="Migliaia 9 2 2 3" xfId="6588" xr:uid="{00000000-0005-0000-0000-000060100000}"/>
    <cellStyle name="Migliaia 9 2 3" xfId="4923" xr:uid="{00000000-0005-0000-0000-000061100000}"/>
    <cellStyle name="Migliaia 9 2 4" xfId="6217" xr:uid="{00000000-0005-0000-0000-000062100000}"/>
    <cellStyle name="Migliaia 9 3" xfId="968" xr:uid="{00000000-0005-0000-0000-000063100000}"/>
    <cellStyle name="Migliaia 9 3 2" xfId="969" xr:uid="{00000000-0005-0000-0000-000064100000}"/>
    <cellStyle name="Migliaia 9 3 2 2" xfId="5293" xr:uid="{00000000-0005-0000-0000-000065100000}"/>
    <cellStyle name="Migliaia 9 3 2 3" xfId="6219" xr:uid="{00000000-0005-0000-0000-000066100000}"/>
    <cellStyle name="Migliaia 9 3 3" xfId="970" xr:uid="{00000000-0005-0000-0000-000067100000}"/>
    <cellStyle name="Migliaia 9 3 3 2" xfId="2608" xr:uid="{00000000-0005-0000-0000-000068100000}"/>
    <cellStyle name="Migliaia 9 3 3 2 2" xfId="5668" xr:uid="{00000000-0005-0000-0000-000069100000}"/>
    <cellStyle name="Migliaia 9 3 3 2 3" xfId="6590" xr:uid="{00000000-0005-0000-0000-00006A100000}"/>
    <cellStyle name="Migliaia 9 3 3 3" xfId="5294" xr:uid="{00000000-0005-0000-0000-00006B100000}"/>
    <cellStyle name="Migliaia 9 3 3 4" xfId="6220" xr:uid="{00000000-0005-0000-0000-00006C100000}"/>
    <cellStyle name="Migliaia 9 3 4" xfId="2607" xr:uid="{00000000-0005-0000-0000-00006D100000}"/>
    <cellStyle name="Migliaia 9 3 4 2" xfId="5667" xr:uid="{00000000-0005-0000-0000-00006E100000}"/>
    <cellStyle name="Migliaia 9 3 4 3" xfId="6589" xr:uid="{00000000-0005-0000-0000-00006F100000}"/>
    <cellStyle name="Migliaia 9 3 5" xfId="5292" xr:uid="{00000000-0005-0000-0000-000070100000}"/>
    <cellStyle name="Migliaia 9 3 6" xfId="6218" xr:uid="{00000000-0005-0000-0000-000071100000}"/>
    <cellStyle name="Migliaia 9 4" xfId="971" xr:uid="{00000000-0005-0000-0000-000072100000}"/>
    <cellStyle name="Migliaia 9 4 2" xfId="972" xr:uid="{00000000-0005-0000-0000-000073100000}"/>
    <cellStyle name="Migliaia 9 4 2 2" xfId="2610" xr:uid="{00000000-0005-0000-0000-000074100000}"/>
    <cellStyle name="Migliaia 9 4 2 2 2" xfId="5670" xr:uid="{00000000-0005-0000-0000-000075100000}"/>
    <cellStyle name="Migliaia 9 4 2 2 3" xfId="6592" xr:uid="{00000000-0005-0000-0000-000076100000}"/>
    <cellStyle name="Migliaia 9 4 2 3" xfId="5296" xr:uid="{00000000-0005-0000-0000-000077100000}"/>
    <cellStyle name="Migliaia 9 4 2 4" xfId="6222" xr:uid="{00000000-0005-0000-0000-000078100000}"/>
    <cellStyle name="Migliaia 9 4 3" xfId="2609" xr:uid="{00000000-0005-0000-0000-000079100000}"/>
    <cellStyle name="Migliaia 9 4 3 2" xfId="5669" xr:uid="{00000000-0005-0000-0000-00007A100000}"/>
    <cellStyle name="Migliaia 9 4 3 3" xfId="6591" xr:uid="{00000000-0005-0000-0000-00007B100000}"/>
    <cellStyle name="Migliaia 9 4 4" xfId="5295" xr:uid="{00000000-0005-0000-0000-00007C100000}"/>
    <cellStyle name="Migliaia 9 4 5" xfId="6221" xr:uid="{00000000-0005-0000-0000-00007D100000}"/>
    <cellStyle name="Migliaia 9 5" xfId="973" xr:uid="{00000000-0005-0000-0000-00007E100000}"/>
    <cellStyle name="Migliaia 9 5 2" xfId="5297" xr:uid="{00000000-0005-0000-0000-00007F100000}"/>
    <cellStyle name="Migliaia 9 5 3" xfId="6223" xr:uid="{00000000-0005-0000-0000-000080100000}"/>
    <cellStyle name="Migliaia 9 6" xfId="4859" xr:uid="{00000000-0005-0000-0000-000081100000}"/>
    <cellStyle name="Migliaia 9 7" xfId="6216" xr:uid="{00000000-0005-0000-0000-000082100000}"/>
    <cellStyle name="Neutral" xfId="3332" builtinId="28" customBuiltin="1"/>
    <cellStyle name="Neutral 2" xfId="3446" xr:uid="{00000000-0005-0000-0000-000084100000}"/>
    <cellStyle name="Neutrale" xfId="974" xr:uid="{00000000-0005-0000-0000-000085100000}"/>
    <cellStyle name="Normal" xfId="0" builtinId="0"/>
    <cellStyle name="Normal 10" xfId="975" xr:uid="{00000000-0005-0000-0000-000087100000}"/>
    <cellStyle name="Normal 10 2" xfId="2611" xr:uid="{00000000-0005-0000-0000-000088100000}"/>
    <cellStyle name="Normal 10 2 2" xfId="3679" xr:uid="{00000000-0005-0000-0000-000089100000}"/>
    <cellStyle name="Normal 10 2 2 2" xfId="4311" xr:uid="{00000000-0005-0000-0000-00008A100000}"/>
    <cellStyle name="Normal 10 2 2 2 2" xfId="7479" xr:uid="{00000000-0005-0000-0000-00008B100000}"/>
    <cellStyle name="Normal 10 2 2 2 2 2" xfId="10147" xr:uid="{E087BF17-061C-43C8-A731-6F140A368B68}"/>
    <cellStyle name="Normal 10 2 2 2 3" xfId="8816" xr:uid="{D3687B48-432E-4B09-A8DF-34E9CF9342B9}"/>
    <cellStyle name="Normal 10 2 2 3" xfId="6855" xr:uid="{00000000-0005-0000-0000-00008C100000}"/>
    <cellStyle name="Normal 10 2 2 3 2" xfId="9523" xr:uid="{2394A064-D015-473F-A6AE-1416645D55A1}"/>
    <cellStyle name="Normal 10 2 2 4" xfId="8192" xr:uid="{12824D8B-EDC5-4C31-8C73-B64FEE5E5860}"/>
    <cellStyle name="Normal 10 2 3" xfId="3680" xr:uid="{00000000-0005-0000-0000-00008D100000}"/>
    <cellStyle name="Normal 10 2 3 2" xfId="4312" xr:uid="{00000000-0005-0000-0000-00008E100000}"/>
    <cellStyle name="Normal 10 2 3 2 2" xfId="7480" xr:uid="{00000000-0005-0000-0000-00008F100000}"/>
    <cellStyle name="Normal 10 2 3 2 2 2" xfId="10148" xr:uid="{5AD9CE46-9FC5-4B7A-8CE8-E944C7254C01}"/>
    <cellStyle name="Normal 10 2 3 2 3" xfId="8817" xr:uid="{FDA98FCD-E512-48AA-92CC-DF43DE9F22FF}"/>
    <cellStyle name="Normal 10 2 3 3" xfId="6856" xr:uid="{00000000-0005-0000-0000-000090100000}"/>
    <cellStyle name="Normal 10 2 3 3 2" xfId="9524" xr:uid="{B4D0F7FF-5250-494A-8B93-E80FCF364C18}"/>
    <cellStyle name="Normal 10 2 3 4" xfId="8193" xr:uid="{77CD8112-8E51-4268-B6A9-3803D664D387}"/>
    <cellStyle name="Normal 10 2 4" xfId="4310" xr:uid="{00000000-0005-0000-0000-000091100000}"/>
    <cellStyle name="Normal 10 2 4 2" xfId="7478" xr:uid="{00000000-0005-0000-0000-000092100000}"/>
    <cellStyle name="Normal 10 2 4 2 2" xfId="10146" xr:uid="{31320084-574E-4E54-91EB-AD3339E980CF}"/>
    <cellStyle name="Normal 10 2 4 3" xfId="8815" xr:uid="{355195AD-1FED-41C6-B2EE-F7BFB577A026}"/>
    <cellStyle name="Normal 10 2 5" xfId="3678" xr:uid="{00000000-0005-0000-0000-000093100000}"/>
    <cellStyle name="Normal 10 2 5 2" xfId="6854" xr:uid="{00000000-0005-0000-0000-000094100000}"/>
    <cellStyle name="Normal 10 2 5 2 2" xfId="9522" xr:uid="{B490E6CC-5917-4BA2-85F6-4F76C692C95E}"/>
    <cellStyle name="Normal 10 2 5 3" xfId="8191" xr:uid="{AD9FC792-E82B-4FBB-A98B-CB4CB10C852B}"/>
    <cellStyle name="Normal 10 3" xfId="3317" xr:uid="{00000000-0005-0000-0000-000095100000}"/>
    <cellStyle name="Normal 10 3 2" xfId="4313" xr:uid="{00000000-0005-0000-0000-000096100000}"/>
    <cellStyle name="Normal 10 3 2 2" xfId="7481" xr:uid="{00000000-0005-0000-0000-000097100000}"/>
    <cellStyle name="Normal 10 3 2 2 2" xfId="10149" xr:uid="{A6FD3809-6DEE-44C5-9B17-AD91AA005515}"/>
    <cellStyle name="Normal 10 3 2 3" xfId="8818" xr:uid="{EA3232EC-0C7E-4BDF-8756-A0F84066974A}"/>
    <cellStyle name="Normal 10 3 3" xfId="3681" xr:uid="{00000000-0005-0000-0000-000098100000}"/>
    <cellStyle name="Normal 10 3 3 2" xfId="6857" xr:uid="{00000000-0005-0000-0000-000099100000}"/>
    <cellStyle name="Normal 10 3 3 2 2" xfId="9525" xr:uid="{5ED1023A-9D02-418C-A065-2A44FF8BBF2B}"/>
    <cellStyle name="Normal 10 3 3 3" xfId="8194" xr:uid="{59A9A55E-768A-46EF-B4C1-73C78BFA736A}"/>
    <cellStyle name="Normal 10 4" xfId="3682" xr:uid="{00000000-0005-0000-0000-00009A100000}"/>
    <cellStyle name="Normal 10 4 2" xfId="4314" xr:uid="{00000000-0005-0000-0000-00009B100000}"/>
    <cellStyle name="Normal 10 4 2 2" xfId="7482" xr:uid="{00000000-0005-0000-0000-00009C100000}"/>
    <cellStyle name="Normal 10 4 2 2 2" xfId="10150" xr:uid="{1442A726-7BFB-42BD-BEC9-BAE55F1CAD10}"/>
    <cellStyle name="Normal 10 4 2 3" xfId="8819" xr:uid="{0444036C-3BF0-4A3A-A126-76A00DD82E3D}"/>
    <cellStyle name="Normal 10 4 3" xfId="6858" xr:uid="{00000000-0005-0000-0000-00009D100000}"/>
    <cellStyle name="Normal 10 4 3 2" xfId="9526" xr:uid="{7BD0A237-85D1-4D60-A920-38EFA3042495}"/>
    <cellStyle name="Normal 10 4 4" xfId="8195" xr:uid="{D4579743-F49E-446A-BD0A-33CA6E149A99}"/>
    <cellStyle name="Normal 10 5" xfId="3683" xr:uid="{00000000-0005-0000-0000-00009E100000}"/>
    <cellStyle name="Normal 10 5 2" xfId="4315" xr:uid="{00000000-0005-0000-0000-00009F100000}"/>
    <cellStyle name="Normal 10 5 2 2" xfId="7483" xr:uid="{00000000-0005-0000-0000-0000A0100000}"/>
    <cellStyle name="Normal 10 5 2 2 2" xfId="10151" xr:uid="{4AEF075B-0BFB-4741-800A-458EAE265D27}"/>
    <cellStyle name="Normal 10 5 2 3" xfId="8820" xr:uid="{DB78B969-D29D-4C1F-A7E7-0FA0CED15C0D}"/>
    <cellStyle name="Normal 10 5 3" xfId="6859" xr:uid="{00000000-0005-0000-0000-0000A1100000}"/>
    <cellStyle name="Normal 10 5 3 2" xfId="9527" xr:uid="{F1E988A0-879F-47CC-B718-D6919BED9110}"/>
    <cellStyle name="Normal 10 5 4" xfId="8196" xr:uid="{2B7B1891-F816-4F9C-BC43-87555FBEFC9F}"/>
    <cellStyle name="Normal 10 6" xfId="4309" xr:uid="{00000000-0005-0000-0000-0000A2100000}"/>
    <cellStyle name="Normal 10 6 2" xfId="7477" xr:uid="{00000000-0005-0000-0000-0000A3100000}"/>
    <cellStyle name="Normal 10 6 2 2" xfId="10145" xr:uid="{8B6759F1-D37C-4A4D-9ECD-11D803C99388}"/>
    <cellStyle name="Normal 10 6 3" xfId="8814" xr:uid="{003AE7EC-328E-4B34-8BE9-7185B16B0829}"/>
    <cellStyle name="Normal 10 7" xfId="3677" xr:uid="{00000000-0005-0000-0000-0000A4100000}"/>
    <cellStyle name="Normal 10 7 2" xfId="6853" xr:uid="{00000000-0005-0000-0000-0000A5100000}"/>
    <cellStyle name="Normal 10 7 2 2" xfId="9521" xr:uid="{D48A29CB-ECCA-4254-B174-A33C00F50285}"/>
    <cellStyle name="Normal 10 7 3" xfId="8190" xr:uid="{5B0E998C-BDE2-492F-B282-E45D9AEB601F}"/>
    <cellStyle name="Normal 11" xfId="2005" xr:uid="{00000000-0005-0000-0000-0000A6100000}"/>
    <cellStyle name="Normal 11 10" xfId="6229" xr:uid="{00000000-0005-0000-0000-0000A7100000}"/>
    <cellStyle name="Normal 11 10 2" xfId="9266" xr:uid="{C0D8B2EA-3511-4352-9125-F8B746AE28FA}"/>
    <cellStyle name="Normal 11 11" xfId="7921" xr:uid="{EA090DE3-4029-4B9E-B332-F973D6DEE62C}"/>
    <cellStyle name="Normal 11 2" xfId="3261" xr:uid="{00000000-0005-0000-0000-0000A8100000}"/>
    <cellStyle name="Normal 11 2 2" xfId="3310" xr:uid="{00000000-0005-0000-0000-0000A9100000}"/>
    <cellStyle name="Normal 11 2 2 2" xfId="4318" xr:uid="{00000000-0005-0000-0000-0000AA100000}"/>
    <cellStyle name="Normal 11 2 2 2 2" xfId="7486" xr:uid="{00000000-0005-0000-0000-0000AB100000}"/>
    <cellStyle name="Normal 11 2 2 2 2 2" xfId="10154" xr:uid="{178D9548-3EFF-4279-B6B3-2EAA70C97BA9}"/>
    <cellStyle name="Normal 11 2 2 2 3" xfId="8823" xr:uid="{EAE9D972-FEEA-4F3C-B348-FBF9A0BBB4BC}"/>
    <cellStyle name="Normal 11 2 2 3" xfId="3686" xr:uid="{00000000-0005-0000-0000-0000AC100000}"/>
    <cellStyle name="Normal 11 2 2 3 2" xfId="6862" xr:uid="{00000000-0005-0000-0000-0000AD100000}"/>
    <cellStyle name="Normal 11 2 2 3 2 2" xfId="9530" xr:uid="{13CD9549-0435-4622-95DA-684ABCE3DD5C}"/>
    <cellStyle name="Normal 11 2 2 3 3" xfId="8199" xr:uid="{8BD5B3DC-54E4-4E93-9D23-739A660CB156}"/>
    <cellStyle name="Normal 11 2 2 4" xfId="6619" xr:uid="{00000000-0005-0000-0000-0000AE100000}"/>
    <cellStyle name="Normal 11 2 2 4 2" xfId="9296" xr:uid="{62A75DFD-BA83-4EA2-AFBB-0C122C12DEFA}"/>
    <cellStyle name="Normal 11 2 2 5" xfId="7956" xr:uid="{927B31DE-D95C-4CCC-8664-505BAE79D751}"/>
    <cellStyle name="Normal 11 2 3" xfId="3687" xr:uid="{00000000-0005-0000-0000-0000AF100000}"/>
    <cellStyle name="Normal 11 2 3 2" xfId="4319" xr:uid="{00000000-0005-0000-0000-0000B0100000}"/>
    <cellStyle name="Normal 11 2 3 2 2" xfId="7487" xr:uid="{00000000-0005-0000-0000-0000B1100000}"/>
    <cellStyle name="Normal 11 2 3 2 2 2" xfId="10155" xr:uid="{BE30D93F-743E-462D-9AFD-70BC01A2A8D2}"/>
    <cellStyle name="Normal 11 2 3 2 3" xfId="8824" xr:uid="{3BBB5648-0BE5-40C4-B990-9E495E59AB7C}"/>
    <cellStyle name="Normal 11 2 3 3" xfId="6863" xr:uid="{00000000-0005-0000-0000-0000B2100000}"/>
    <cellStyle name="Normal 11 2 3 3 2" xfId="9531" xr:uid="{0AFC5054-4C6F-4079-94FF-D95039419362}"/>
    <cellStyle name="Normal 11 2 3 4" xfId="8200" xr:uid="{FCE96C69-675E-4A1E-8811-70DDC8FD9899}"/>
    <cellStyle name="Normal 11 2 4" xfId="3688" xr:uid="{00000000-0005-0000-0000-0000B3100000}"/>
    <cellStyle name="Normal 11 2 4 2" xfId="4320" xr:uid="{00000000-0005-0000-0000-0000B4100000}"/>
    <cellStyle name="Normal 11 2 4 2 2" xfId="7488" xr:uid="{00000000-0005-0000-0000-0000B5100000}"/>
    <cellStyle name="Normal 11 2 4 2 2 2" xfId="10156" xr:uid="{1B197B69-B801-4111-ADB4-53EA95DBDF66}"/>
    <cellStyle name="Normal 11 2 4 2 3" xfId="8825" xr:uid="{084ED02B-71D7-4D3A-AB9E-A1755E3C5DA8}"/>
    <cellStyle name="Normal 11 2 4 3" xfId="6864" xr:uid="{00000000-0005-0000-0000-0000B6100000}"/>
    <cellStyle name="Normal 11 2 4 3 2" xfId="9532" xr:uid="{865A0732-8D45-416B-8E51-27A690B944DD}"/>
    <cellStyle name="Normal 11 2 4 4" xfId="8201" xr:uid="{F7A943CC-BB77-401F-A9A5-EDCA98F715FB}"/>
    <cellStyle name="Normal 11 2 5" xfId="4317" xr:uid="{00000000-0005-0000-0000-0000B7100000}"/>
    <cellStyle name="Normal 11 2 5 2" xfId="7485" xr:uid="{00000000-0005-0000-0000-0000B8100000}"/>
    <cellStyle name="Normal 11 2 5 2 2" xfId="10153" xr:uid="{F54329FF-6F23-4D78-87D7-BE2E4B971CAD}"/>
    <cellStyle name="Normal 11 2 5 3" xfId="8822" xr:uid="{645B5795-CC01-4899-9343-7C82E1A741B9}"/>
    <cellStyle name="Normal 11 2 6" xfId="3685" xr:uid="{00000000-0005-0000-0000-0000B9100000}"/>
    <cellStyle name="Normal 11 2 6 2" xfId="6861" xr:uid="{00000000-0005-0000-0000-0000BA100000}"/>
    <cellStyle name="Normal 11 2 6 2 2" xfId="9529" xr:uid="{69A6AD0E-FCEC-4F45-92BA-B74E98496A6F}"/>
    <cellStyle name="Normal 11 2 6 3" xfId="8198" xr:uid="{C7ED420C-33EB-455E-90E7-599A1F0D3E07}"/>
    <cellStyle name="Normal 11 2 7" xfId="5676" xr:uid="{00000000-0005-0000-0000-0000BB100000}"/>
    <cellStyle name="Normal 11 2 7 2" xfId="9256" xr:uid="{7B23B56E-0F2E-4FE3-9DA6-FF6B61AB9A21}"/>
    <cellStyle name="Normal 11 2 8" xfId="6598" xr:uid="{00000000-0005-0000-0000-0000BC100000}"/>
    <cellStyle name="Normal 11 2 8 2" xfId="9276" xr:uid="{C0C4C010-2407-42E4-91AE-E74611887EC2}"/>
    <cellStyle name="Normal 11 2 9" xfId="7936" xr:uid="{9A6C46C9-F0EF-480B-AF29-190D5078A92C}"/>
    <cellStyle name="Normal 11 3" xfId="3291" xr:uid="{00000000-0005-0000-0000-0000BD100000}"/>
    <cellStyle name="Normal 11 3 2" xfId="3690" xr:uid="{00000000-0005-0000-0000-0000BE100000}"/>
    <cellStyle name="Normal 11 3 2 2" xfId="4322" xr:uid="{00000000-0005-0000-0000-0000BF100000}"/>
    <cellStyle name="Normal 11 3 2 2 2" xfId="7490" xr:uid="{00000000-0005-0000-0000-0000C0100000}"/>
    <cellStyle name="Normal 11 3 2 2 2 2" xfId="10158" xr:uid="{9A92563F-4A0D-477F-A230-67590312BF0B}"/>
    <cellStyle name="Normal 11 3 2 2 3" xfId="8827" xr:uid="{92D3F55A-48E2-426F-9DD3-E0F4693291AB}"/>
    <cellStyle name="Normal 11 3 2 3" xfId="6866" xr:uid="{00000000-0005-0000-0000-0000C1100000}"/>
    <cellStyle name="Normal 11 3 2 3 2" xfId="9534" xr:uid="{611E5C79-1A14-4539-97F1-C48B8E422E58}"/>
    <cellStyle name="Normal 11 3 2 4" xfId="8203" xr:uid="{5BBA6DD6-1BD4-41D8-994F-EE64019DC937}"/>
    <cellStyle name="Normal 11 3 3" xfId="3691" xr:uid="{00000000-0005-0000-0000-0000C2100000}"/>
    <cellStyle name="Normal 11 3 3 2" xfId="4323" xr:uid="{00000000-0005-0000-0000-0000C3100000}"/>
    <cellStyle name="Normal 11 3 3 2 2" xfId="7491" xr:uid="{00000000-0005-0000-0000-0000C4100000}"/>
    <cellStyle name="Normal 11 3 3 2 2 2" xfId="10159" xr:uid="{5779BC21-FECD-4968-A0ED-74060A8B2B9B}"/>
    <cellStyle name="Normal 11 3 3 2 3" xfId="8828" xr:uid="{3446246E-DCB9-4621-AC15-119CDF1248B5}"/>
    <cellStyle name="Normal 11 3 3 3" xfId="6867" xr:uid="{00000000-0005-0000-0000-0000C5100000}"/>
    <cellStyle name="Normal 11 3 3 3 2" xfId="9535" xr:uid="{E27F7FDA-BBB7-42D6-80A4-149C9914EA80}"/>
    <cellStyle name="Normal 11 3 3 4" xfId="8204" xr:uid="{52E8C4F4-3A31-449D-A04A-168E3626146A}"/>
    <cellStyle name="Normal 11 3 4" xfId="4321" xr:uid="{00000000-0005-0000-0000-0000C6100000}"/>
    <cellStyle name="Normal 11 3 4 2" xfId="7489" xr:uid="{00000000-0005-0000-0000-0000C7100000}"/>
    <cellStyle name="Normal 11 3 4 2 2" xfId="10157" xr:uid="{C10D9D14-A413-4682-A3DC-97F91E5C5AFA}"/>
    <cellStyle name="Normal 11 3 4 3" xfId="8826" xr:uid="{CD73FA88-C41A-412B-AA4F-5037A5B9280C}"/>
    <cellStyle name="Normal 11 3 5" xfId="3689" xr:uid="{00000000-0005-0000-0000-0000C8100000}"/>
    <cellStyle name="Normal 11 3 5 2" xfId="6865" xr:uid="{00000000-0005-0000-0000-0000C9100000}"/>
    <cellStyle name="Normal 11 3 5 2 2" xfId="9533" xr:uid="{52378087-95E5-4FE8-8F5B-8B4E666C533D}"/>
    <cellStyle name="Normal 11 3 5 3" xfId="8202" xr:uid="{FE75CEF7-99AD-426A-9447-4C1B25946C4F}"/>
    <cellStyle name="Normal 11 3 6" xfId="6609" xr:uid="{00000000-0005-0000-0000-0000CA100000}"/>
    <cellStyle name="Normal 11 3 6 2" xfId="9286" xr:uid="{30E58E66-AC58-4EBE-B251-B61BD60D968D}"/>
    <cellStyle name="Normal 11 3 7" xfId="7946" xr:uid="{C19B8C8F-E877-49F1-858E-6F874F4C909C}"/>
    <cellStyle name="Normal 11 4" xfId="3692" xr:uid="{00000000-0005-0000-0000-0000CB100000}"/>
    <cellStyle name="Normal 11 4 2" xfId="4324" xr:uid="{00000000-0005-0000-0000-0000CC100000}"/>
    <cellStyle name="Normal 11 4 2 2" xfId="7492" xr:uid="{00000000-0005-0000-0000-0000CD100000}"/>
    <cellStyle name="Normal 11 4 2 2 2" xfId="10160" xr:uid="{535F3827-52B6-419C-A84B-78F9105A6030}"/>
    <cellStyle name="Normal 11 4 2 3" xfId="8829" xr:uid="{C6D10975-091D-47EB-B698-DAB059B7AA71}"/>
    <cellStyle name="Normal 11 4 3" xfId="6868" xr:uid="{00000000-0005-0000-0000-0000CE100000}"/>
    <cellStyle name="Normal 11 4 3 2" xfId="9536" xr:uid="{8BF9F102-FE1C-4FDE-BCBA-40167286E237}"/>
    <cellStyle name="Normal 11 4 4" xfId="8205" xr:uid="{B4A0943D-DC0C-4283-8783-1148FCD40375}"/>
    <cellStyle name="Normal 11 4 4 2" xfId="10572" xr:uid="{51EAD220-2333-4662-A628-D62CFADD6F41}"/>
    <cellStyle name="Normal 11 5" xfId="3693" xr:uid="{00000000-0005-0000-0000-0000CF100000}"/>
    <cellStyle name="Normal 11 5 2" xfId="4325" xr:uid="{00000000-0005-0000-0000-0000D0100000}"/>
    <cellStyle name="Normal 11 5 2 2" xfId="7493" xr:uid="{00000000-0005-0000-0000-0000D1100000}"/>
    <cellStyle name="Normal 11 5 2 2 2" xfId="10161" xr:uid="{B2C9CC2C-DFFC-4177-992B-2351AC702993}"/>
    <cellStyle name="Normal 11 5 2 3" xfId="8830" xr:uid="{AAC5E89C-12F6-497C-811E-88AF49998E07}"/>
    <cellStyle name="Normal 11 5 3" xfId="6869" xr:uid="{00000000-0005-0000-0000-0000D2100000}"/>
    <cellStyle name="Normal 11 5 3 2" xfId="9537" xr:uid="{73E07FCA-1B39-4F01-97D7-3DD7369137A4}"/>
    <cellStyle name="Normal 11 5 4" xfId="8206" xr:uid="{341C53CB-7A35-4708-A24E-DA7C93C2244E}"/>
    <cellStyle name="Normal 11 6" xfId="3694" xr:uid="{00000000-0005-0000-0000-0000D3100000}"/>
    <cellStyle name="Normal 11 6 2" xfId="4326" xr:uid="{00000000-0005-0000-0000-0000D4100000}"/>
    <cellStyle name="Normal 11 6 2 2" xfId="7494" xr:uid="{00000000-0005-0000-0000-0000D5100000}"/>
    <cellStyle name="Normal 11 6 2 2 2" xfId="10162" xr:uid="{63BFB2E7-D6B6-46F8-8279-D01D09A4A496}"/>
    <cellStyle name="Normal 11 6 2 3" xfId="8831" xr:uid="{1A698397-79E3-4F74-9339-7D95882E5DF0}"/>
    <cellStyle name="Normal 11 6 3" xfId="6870" xr:uid="{00000000-0005-0000-0000-0000D6100000}"/>
    <cellStyle name="Normal 11 6 3 2" xfId="9538" xr:uid="{2579C94D-AAB1-4542-8BCB-719480AC8CAB}"/>
    <cellStyle name="Normal 11 6 4" xfId="8207" xr:uid="{2A4023C5-3AFB-46E6-90EB-1E3F664B585D}"/>
    <cellStyle name="Normal 11 7" xfId="4316" xr:uid="{00000000-0005-0000-0000-0000D7100000}"/>
    <cellStyle name="Normal 11 7 2" xfId="7484" xr:uid="{00000000-0005-0000-0000-0000D8100000}"/>
    <cellStyle name="Normal 11 7 2 2" xfId="10152" xr:uid="{E0FE5E65-DBF4-4626-84CE-2F9FE6E2AAB9}"/>
    <cellStyle name="Normal 11 7 3" xfId="8821" xr:uid="{881F71CD-D5A1-442B-A9F4-AC94196C5BC4}"/>
    <cellStyle name="Normal 11 8" xfId="3684" xr:uid="{00000000-0005-0000-0000-0000D9100000}"/>
    <cellStyle name="Normal 11 8 2" xfId="6860" xr:uid="{00000000-0005-0000-0000-0000DA100000}"/>
    <cellStyle name="Normal 11 8 2 2" xfId="9528" xr:uid="{ED0404E4-4652-45A5-A0FF-88DFE762E4B1}"/>
    <cellStyle name="Normal 11 8 3" xfId="8197" xr:uid="{67A6630A-46D6-4D27-90C8-286847449CFA}"/>
    <cellStyle name="Normal 11 9" xfId="5307" xr:uid="{00000000-0005-0000-0000-0000DB100000}"/>
    <cellStyle name="Normal 11 9 2" xfId="9246" xr:uid="{0B92D9B7-9DA3-48BE-B104-E25504569C72}"/>
    <cellStyle name="Normal 12" xfId="2007" xr:uid="{00000000-0005-0000-0000-0000DC100000}"/>
    <cellStyle name="Normal 12 2" xfId="3696" xr:uid="{00000000-0005-0000-0000-0000DD100000}"/>
    <cellStyle name="Normal 12 2 2" xfId="3697" xr:uid="{00000000-0005-0000-0000-0000DE100000}"/>
    <cellStyle name="Normal 12 2 2 2" xfId="4329" xr:uid="{00000000-0005-0000-0000-0000DF100000}"/>
    <cellStyle name="Normal 12 2 2 2 2" xfId="7497" xr:uid="{00000000-0005-0000-0000-0000E0100000}"/>
    <cellStyle name="Normal 12 2 2 2 2 2" xfId="10165" xr:uid="{98BB3452-F047-471B-B6DA-75E72BD6EA58}"/>
    <cellStyle name="Normal 12 2 2 2 3" xfId="8834" xr:uid="{E492ADCE-CB50-4B2E-B40F-9EAE6CF2BE4B}"/>
    <cellStyle name="Normal 12 2 2 3" xfId="6873" xr:uid="{00000000-0005-0000-0000-0000E1100000}"/>
    <cellStyle name="Normal 12 2 2 3 2" xfId="9541" xr:uid="{CB9633AD-FE7B-4BA5-8CE3-E1B35102DCD6}"/>
    <cellStyle name="Normal 12 2 2 4" xfId="8210" xr:uid="{97D8EDCB-78DE-4FFF-B473-4B01EED86AAE}"/>
    <cellStyle name="Normal 12 2 3" xfId="3698" xr:uid="{00000000-0005-0000-0000-0000E2100000}"/>
    <cellStyle name="Normal 12 2 3 2" xfId="4330" xr:uid="{00000000-0005-0000-0000-0000E3100000}"/>
    <cellStyle name="Normal 12 2 3 2 2" xfId="7498" xr:uid="{00000000-0005-0000-0000-0000E4100000}"/>
    <cellStyle name="Normal 12 2 3 2 2 2" xfId="10166" xr:uid="{DB42FB18-55B6-4B0B-B2D8-C881C58F558C}"/>
    <cellStyle name="Normal 12 2 3 2 3" xfId="8835" xr:uid="{5961ACED-2572-417B-89A1-08692DA5A821}"/>
    <cellStyle name="Normal 12 2 3 3" xfId="6874" xr:uid="{00000000-0005-0000-0000-0000E5100000}"/>
    <cellStyle name="Normal 12 2 3 3 2" xfId="9542" xr:uid="{003C0EF0-B4D2-4931-9BEA-6182F8350C05}"/>
    <cellStyle name="Normal 12 2 3 4" xfId="8211" xr:uid="{F2DBA119-37A6-4B78-87BA-E9C0D2AE1A1C}"/>
    <cellStyle name="Normal 12 2 4" xfId="4328" xr:uid="{00000000-0005-0000-0000-0000E6100000}"/>
    <cellStyle name="Normal 12 2 4 2" xfId="7496" xr:uid="{00000000-0005-0000-0000-0000E7100000}"/>
    <cellStyle name="Normal 12 2 4 2 2" xfId="10164" xr:uid="{56BC0AE9-F85C-47EE-B232-5870373BA8D8}"/>
    <cellStyle name="Normal 12 2 4 3" xfId="8833" xr:uid="{FF53B79A-3918-4971-8C16-D6B09CAA5112}"/>
    <cellStyle name="Normal 12 2 5" xfId="6872" xr:uid="{00000000-0005-0000-0000-0000E8100000}"/>
    <cellStyle name="Normal 12 2 5 2" xfId="9540" xr:uid="{BADB339A-7345-4C71-BBD5-3EFECE5D73BB}"/>
    <cellStyle name="Normal 12 2 6" xfId="8209" xr:uid="{64D0DCA6-E691-465B-8DFF-C0E329F21DC6}"/>
    <cellStyle name="Normal 12 3" xfId="3699" xr:uid="{00000000-0005-0000-0000-0000E9100000}"/>
    <cellStyle name="Normal 12 3 2" xfId="4331" xr:uid="{00000000-0005-0000-0000-0000EA100000}"/>
    <cellStyle name="Normal 12 3 2 2" xfId="7499" xr:uid="{00000000-0005-0000-0000-0000EB100000}"/>
    <cellStyle name="Normal 12 3 2 2 2" xfId="10167" xr:uid="{CC254FFE-3A93-4468-8EA6-6518A024ABBA}"/>
    <cellStyle name="Normal 12 3 2 3" xfId="8836" xr:uid="{572D81F5-361A-4AC7-A1A2-FBA569896613}"/>
    <cellStyle name="Normal 12 3 3" xfId="6875" xr:uid="{00000000-0005-0000-0000-0000EC100000}"/>
    <cellStyle name="Normal 12 3 3 2" xfId="9543" xr:uid="{BBAD54A0-E396-48A4-9BFC-36C45BE13ABA}"/>
    <cellStyle name="Normal 12 3 4" xfId="8212" xr:uid="{E97562EB-FDC7-4519-823B-0B91E96E5844}"/>
    <cellStyle name="Normal 12 4" xfId="3700" xr:uid="{00000000-0005-0000-0000-0000ED100000}"/>
    <cellStyle name="Normal 12 4 2" xfId="4332" xr:uid="{00000000-0005-0000-0000-0000EE100000}"/>
    <cellStyle name="Normal 12 4 2 2" xfId="7500" xr:uid="{00000000-0005-0000-0000-0000EF100000}"/>
    <cellStyle name="Normal 12 4 2 2 2" xfId="10168" xr:uid="{71E33582-1C1E-4608-BD51-2F7ACF52583A}"/>
    <cellStyle name="Normal 12 4 2 3" xfId="8837" xr:uid="{051C3F17-FB1B-4A4F-AAE4-514C370AFE27}"/>
    <cellStyle name="Normal 12 4 3" xfId="6876" xr:uid="{00000000-0005-0000-0000-0000F0100000}"/>
    <cellStyle name="Normal 12 4 3 2" xfId="9544" xr:uid="{5DC10467-77AA-4B2A-B884-964A4FA819F1}"/>
    <cellStyle name="Normal 12 4 4" xfId="8213" xr:uid="{CCCCD7C6-C672-4BA2-9429-507986625E7C}"/>
    <cellStyle name="Normal 12 5" xfId="3701" xr:uid="{00000000-0005-0000-0000-0000F1100000}"/>
    <cellStyle name="Normal 12 5 2" xfId="4333" xr:uid="{00000000-0005-0000-0000-0000F2100000}"/>
    <cellStyle name="Normal 12 5 2 2" xfId="7501" xr:uid="{00000000-0005-0000-0000-0000F3100000}"/>
    <cellStyle name="Normal 12 5 2 2 2" xfId="10169" xr:uid="{471B0B1F-E924-43E0-ACCA-482FBF3C6F34}"/>
    <cellStyle name="Normal 12 5 2 3" xfId="8838" xr:uid="{5C8D3159-1C03-47F5-80DC-125EB38A6CE4}"/>
    <cellStyle name="Normal 12 5 3" xfId="6877" xr:uid="{00000000-0005-0000-0000-0000F4100000}"/>
    <cellStyle name="Normal 12 5 3 2" xfId="9545" xr:uid="{83376912-5EE8-4F70-982E-AC095D6292D5}"/>
    <cellStyle name="Normal 12 5 4" xfId="8214" xr:uid="{A4F4C275-86CE-4704-B968-549E44B9402D}"/>
    <cellStyle name="Normal 12 6" xfId="4327" xr:uid="{00000000-0005-0000-0000-0000F5100000}"/>
    <cellStyle name="Normal 12 6 2" xfId="7495" xr:uid="{00000000-0005-0000-0000-0000F6100000}"/>
    <cellStyle name="Normal 12 6 2 2" xfId="10163" xr:uid="{7B630157-3F8A-4860-9214-E83969777C69}"/>
    <cellStyle name="Normal 12 6 3" xfId="8832" xr:uid="{774BE52D-F970-437A-A3EC-C6EBC2A522FE}"/>
    <cellStyle name="Normal 12 7" xfId="3695" xr:uid="{00000000-0005-0000-0000-0000F7100000}"/>
    <cellStyle name="Normal 12 7 2" xfId="6871" xr:uid="{00000000-0005-0000-0000-0000F8100000}"/>
    <cellStyle name="Normal 12 7 2 2" xfId="9539" xr:uid="{FC63FA39-4A3A-4220-A872-EFAB6857D9FE}"/>
    <cellStyle name="Normal 12 7 3" xfId="8208" xr:uid="{830D0D6C-276F-4BC2-97E2-0C97869ACB1A}"/>
    <cellStyle name="Normal 13" xfId="3312" xr:uid="{00000000-0005-0000-0000-0000F9100000}"/>
    <cellStyle name="Normal 13 10" xfId="7958" xr:uid="{D1263131-BDC5-4BD3-80F4-578F5CE1FC70}"/>
    <cellStyle name="Normal 13 2" xfId="3703" xr:uid="{00000000-0005-0000-0000-0000FA100000}"/>
    <cellStyle name="Normal 13 2 2" xfId="3704" xr:uid="{00000000-0005-0000-0000-0000FB100000}"/>
    <cellStyle name="Normal 13 2 2 2" xfId="4336" xr:uid="{00000000-0005-0000-0000-0000FC100000}"/>
    <cellStyle name="Normal 13 2 2 2 2" xfId="7504" xr:uid="{00000000-0005-0000-0000-0000FD100000}"/>
    <cellStyle name="Normal 13 2 2 2 2 2" xfId="10172" xr:uid="{AA20976D-A0F7-426E-8476-FE00EED1B45C}"/>
    <cellStyle name="Normal 13 2 2 2 3" xfId="8841" xr:uid="{7D1803B4-52F9-479D-B6FF-13AA29BCC12C}"/>
    <cellStyle name="Normal 13 2 2 3" xfId="6880" xr:uid="{00000000-0005-0000-0000-0000FE100000}"/>
    <cellStyle name="Normal 13 2 2 3 2" xfId="9548" xr:uid="{279F88D6-6674-482E-B326-443DA504E155}"/>
    <cellStyle name="Normal 13 2 2 4" xfId="8217" xr:uid="{C577EB46-E8EC-43BF-9B29-C95B53A6BB0C}"/>
    <cellStyle name="Normal 13 2 3" xfId="3705" xr:uid="{00000000-0005-0000-0000-0000FF100000}"/>
    <cellStyle name="Normal 13 2 3 2" xfId="4337" xr:uid="{00000000-0005-0000-0000-000000110000}"/>
    <cellStyle name="Normal 13 2 3 2 2" xfId="7505" xr:uid="{00000000-0005-0000-0000-000001110000}"/>
    <cellStyle name="Normal 13 2 3 2 2 2" xfId="10173" xr:uid="{5241F8D4-37D5-48FA-830D-E608B0124A37}"/>
    <cellStyle name="Normal 13 2 3 2 3" xfId="8842" xr:uid="{9FD69318-1BF8-4B17-BA1C-06503331879E}"/>
    <cellStyle name="Normal 13 2 3 3" xfId="6881" xr:uid="{00000000-0005-0000-0000-000002110000}"/>
    <cellStyle name="Normal 13 2 3 3 2" xfId="9549" xr:uid="{DC2F005C-6B5F-49D3-AA29-C743CDAE94A7}"/>
    <cellStyle name="Normal 13 2 3 4" xfId="8218" xr:uid="{2D29E8B3-0D4A-435B-9ED8-B7CAA09281B4}"/>
    <cellStyle name="Normal 13 2 4" xfId="4335" xr:uid="{00000000-0005-0000-0000-000003110000}"/>
    <cellStyle name="Normal 13 2 4 2" xfId="7503" xr:uid="{00000000-0005-0000-0000-000004110000}"/>
    <cellStyle name="Normal 13 2 4 2 2" xfId="10171" xr:uid="{DB6ADA5B-86F1-44D5-B4E4-3854AFDEE08C}"/>
    <cellStyle name="Normal 13 2 4 3" xfId="8840" xr:uid="{8514E070-F599-41B9-8945-27889EEF6152}"/>
    <cellStyle name="Normal 13 2 5" xfId="6879" xr:uid="{00000000-0005-0000-0000-000005110000}"/>
    <cellStyle name="Normal 13 2 5 2" xfId="9547" xr:uid="{A60B1E69-4DE0-4AAD-94A7-D53132C94F68}"/>
    <cellStyle name="Normal 13 2 6" xfId="8216" xr:uid="{F384FD0A-E8FF-47BF-B6B0-269E2B6220BF}"/>
    <cellStyle name="Normal 13 3" xfId="3706" xr:uid="{00000000-0005-0000-0000-000006110000}"/>
    <cellStyle name="Normal 13 3 2" xfId="4338" xr:uid="{00000000-0005-0000-0000-000007110000}"/>
    <cellStyle name="Normal 13 3 2 2" xfId="7506" xr:uid="{00000000-0005-0000-0000-000008110000}"/>
    <cellStyle name="Normal 13 3 2 2 2" xfId="10174" xr:uid="{C7A537B3-4DAF-400B-BD3C-9330E3C21665}"/>
    <cellStyle name="Normal 13 3 2 3" xfId="8843" xr:uid="{FFE1508A-F352-40D4-BD15-4A9D85501903}"/>
    <cellStyle name="Normal 13 3 3" xfId="6882" xr:uid="{00000000-0005-0000-0000-000009110000}"/>
    <cellStyle name="Normal 13 3 3 2" xfId="9550" xr:uid="{D05B9FFB-D9D4-46FE-B20D-A474C3C061B7}"/>
    <cellStyle name="Normal 13 3 4" xfId="8219" xr:uid="{E0B0E38A-2F95-48C1-9622-7D95E880DBA8}"/>
    <cellStyle name="Normal 13 4" xfId="3707" xr:uid="{00000000-0005-0000-0000-00000A110000}"/>
    <cellStyle name="Normal 13 4 2" xfId="4339" xr:uid="{00000000-0005-0000-0000-00000B110000}"/>
    <cellStyle name="Normal 13 4 2 2" xfId="7507" xr:uid="{00000000-0005-0000-0000-00000C110000}"/>
    <cellStyle name="Normal 13 4 2 2 2" xfId="10175" xr:uid="{024B4C22-D19F-473C-84D2-077A4CF41B74}"/>
    <cellStyle name="Normal 13 4 2 3" xfId="8844" xr:uid="{BE6B7E0C-69DF-41F3-8D2F-D26FD3482581}"/>
    <cellStyle name="Normal 13 4 3" xfId="6883" xr:uid="{00000000-0005-0000-0000-00000D110000}"/>
    <cellStyle name="Normal 13 4 3 2" xfId="9551" xr:uid="{3D38C2AA-0E23-44E4-B97F-75FC551A2299}"/>
    <cellStyle name="Normal 13 4 4" xfId="8220" xr:uid="{12337E2F-2EF8-4D9C-9289-8EF3C8241661}"/>
    <cellStyle name="Normal 13 5" xfId="3708" xr:uid="{00000000-0005-0000-0000-00000E110000}"/>
    <cellStyle name="Normal 13 5 2" xfId="4340" xr:uid="{00000000-0005-0000-0000-00000F110000}"/>
    <cellStyle name="Normal 13 5 2 2" xfId="7508" xr:uid="{00000000-0005-0000-0000-000010110000}"/>
    <cellStyle name="Normal 13 5 2 2 2" xfId="10176" xr:uid="{9F956376-64CD-476C-9D7D-691812772EBA}"/>
    <cellStyle name="Normal 13 5 2 3" xfId="8845" xr:uid="{9701D718-4F83-402D-8E2E-ECEA12F65E95}"/>
    <cellStyle name="Normal 13 5 3" xfId="6884" xr:uid="{00000000-0005-0000-0000-000011110000}"/>
    <cellStyle name="Normal 13 5 3 2" xfId="9552" xr:uid="{DE388DC5-515D-4BAB-87EB-447C98A02F28}"/>
    <cellStyle name="Normal 13 5 4" xfId="8221" xr:uid="{88830583-507F-49FC-8324-B41618BECB7A}"/>
    <cellStyle name="Normal 13 6" xfId="4334" xr:uid="{00000000-0005-0000-0000-000012110000}"/>
    <cellStyle name="Normal 13 6 2" xfId="7502" xr:uid="{00000000-0005-0000-0000-000013110000}"/>
    <cellStyle name="Normal 13 6 2 2" xfId="10170" xr:uid="{95311322-DE7B-41BF-9A9A-4198ADF443AB}"/>
    <cellStyle name="Normal 13 6 3" xfId="8839" xr:uid="{AC62DE2D-B19F-452D-AA09-7A3B3DCB3F55}"/>
    <cellStyle name="Normal 13 7" xfId="3702" xr:uid="{00000000-0005-0000-0000-000014110000}"/>
    <cellStyle name="Normal 13 7 2" xfId="6878" xr:uid="{00000000-0005-0000-0000-000015110000}"/>
    <cellStyle name="Normal 13 7 2 2" xfId="9546" xr:uid="{13004953-8578-44E5-96E3-238D9BEEBDAB}"/>
    <cellStyle name="Normal 13 7 3" xfId="8215" xr:uid="{C628E45A-8271-49A9-A996-D41CAB121340}"/>
    <cellStyle name="Normal 13 8" xfId="4925" xr:uid="{00000000-0005-0000-0000-000016110000}"/>
    <cellStyle name="Normal 13 9" xfId="6621" xr:uid="{00000000-0005-0000-0000-000017110000}"/>
    <cellStyle name="Normal 13 9 2" xfId="9298" xr:uid="{DDB137E8-6300-4F47-93CB-9A99EAF05C0E}"/>
    <cellStyle name="Normal 14" xfId="3362" xr:uid="{00000000-0005-0000-0000-000018110000}"/>
    <cellStyle name="Normal 14 2" xfId="3709" xr:uid="{00000000-0005-0000-0000-000019110000}"/>
    <cellStyle name="Normal 14 3" xfId="6646" xr:uid="{00000000-0005-0000-0000-00001A110000}"/>
    <cellStyle name="Normal 14 3 2" xfId="9323" xr:uid="{E91CF499-50A0-4729-8B56-A5B407E28D71}"/>
    <cellStyle name="Normal 14 4" xfId="7983" xr:uid="{8F05004B-B16C-4D4F-BC03-D4DE68BAC572}"/>
    <cellStyle name="Normal 14 4 2" xfId="10567" xr:uid="{38313B4F-6E4A-41FE-9191-F2F509B18DB9}"/>
    <cellStyle name="Normal 15" xfId="3710" xr:uid="{00000000-0005-0000-0000-00001B110000}"/>
    <cellStyle name="Normal 15 2" xfId="3711" xr:uid="{00000000-0005-0000-0000-00001C110000}"/>
    <cellStyle name="Normal 15 2 2" xfId="3712" xr:uid="{00000000-0005-0000-0000-00001D110000}"/>
    <cellStyle name="Normal 15 2 2 2" xfId="3713" xr:uid="{00000000-0005-0000-0000-00001E110000}"/>
    <cellStyle name="Normal 15 2 2 2 2" xfId="4343" xr:uid="{00000000-0005-0000-0000-00001F110000}"/>
    <cellStyle name="Normal 15 2 2 2 2 2" xfId="7511" xr:uid="{00000000-0005-0000-0000-000020110000}"/>
    <cellStyle name="Normal 15 2 2 2 2 2 2" xfId="10179" xr:uid="{0E7153FA-0E20-4DAD-BB0D-9BEBE77EA68C}"/>
    <cellStyle name="Normal 15 2 2 2 2 3" xfId="8848" xr:uid="{E8AE3576-76EB-4CB8-95BC-62AA240AC756}"/>
    <cellStyle name="Normal 15 2 2 2 3" xfId="6887" xr:uid="{00000000-0005-0000-0000-000021110000}"/>
    <cellStyle name="Normal 15 2 2 2 3 2" xfId="9555" xr:uid="{E6985AF8-FBDA-4653-81C9-8B2E5D2FFB76}"/>
    <cellStyle name="Normal 15 2 2 2 4" xfId="8224" xr:uid="{659E2B5C-CCA2-43E0-8B94-B7A4C08F9718}"/>
    <cellStyle name="Normal 15 2 2 3" xfId="3714" xr:uid="{00000000-0005-0000-0000-000022110000}"/>
    <cellStyle name="Normal 15 2 2 3 2" xfId="4344" xr:uid="{00000000-0005-0000-0000-000023110000}"/>
    <cellStyle name="Normal 15 2 2 3 2 2" xfId="7512" xr:uid="{00000000-0005-0000-0000-000024110000}"/>
    <cellStyle name="Normal 15 2 2 3 2 2 2" xfId="10180" xr:uid="{41E3534F-6642-45DF-AC6F-DFDCBDF5650D}"/>
    <cellStyle name="Normal 15 2 2 3 2 3" xfId="8849" xr:uid="{B21C0C68-17C8-4242-9F09-0743BF7A7DA0}"/>
    <cellStyle name="Normal 15 2 2 3 3" xfId="6888" xr:uid="{00000000-0005-0000-0000-000025110000}"/>
    <cellStyle name="Normal 15 2 2 3 3 2" xfId="9556" xr:uid="{E6FFC55B-AECE-4B10-A231-EE307906996B}"/>
    <cellStyle name="Normal 15 2 2 3 4" xfId="8225" xr:uid="{2EA1C63A-1DB8-4E95-B29C-24A7978021AF}"/>
    <cellStyle name="Normal 15 2 2 4" xfId="3715" xr:uid="{00000000-0005-0000-0000-000026110000}"/>
    <cellStyle name="Normal 15 2 2 4 2" xfId="4345" xr:uid="{00000000-0005-0000-0000-000027110000}"/>
    <cellStyle name="Normal 15 2 2 4 2 2" xfId="7513" xr:uid="{00000000-0005-0000-0000-000028110000}"/>
    <cellStyle name="Normal 15 2 2 4 2 2 2" xfId="10181" xr:uid="{61BDBA26-AD61-4D9D-AD40-84251D10866C}"/>
    <cellStyle name="Normal 15 2 2 4 2 3" xfId="8850" xr:uid="{B72C60A0-92FE-4A6A-8CE8-000FE47CD51C}"/>
    <cellStyle name="Normal 15 2 2 4 3" xfId="6889" xr:uid="{00000000-0005-0000-0000-000029110000}"/>
    <cellStyle name="Normal 15 2 2 4 3 2" xfId="9557" xr:uid="{8FAFF170-2080-4F38-9FE4-5A70A4EF8841}"/>
    <cellStyle name="Normal 15 2 2 4 4" xfId="8226" xr:uid="{E0A69052-1108-49F2-AEA0-7A0894EB76A0}"/>
    <cellStyle name="Normal 15 2 2 5" xfId="4342" xr:uid="{00000000-0005-0000-0000-00002A110000}"/>
    <cellStyle name="Normal 15 2 2 5 2" xfId="7510" xr:uid="{00000000-0005-0000-0000-00002B110000}"/>
    <cellStyle name="Normal 15 2 2 5 2 2" xfId="10178" xr:uid="{886E9ADA-C7BB-404D-94BA-33418B1D1B84}"/>
    <cellStyle name="Normal 15 2 2 5 3" xfId="8847" xr:uid="{3C8F5F91-17D5-4235-BF8A-5C0DF136D6E8}"/>
    <cellStyle name="Normal 15 2 2 6" xfId="6886" xr:uid="{00000000-0005-0000-0000-00002C110000}"/>
    <cellStyle name="Normal 15 2 2 6 2" xfId="9554" xr:uid="{4DE35423-5B44-47B3-A5E0-07E4F8F7515D}"/>
    <cellStyle name="Normal 15 2 2 7" xfId="8223" xr:uid="{5C413774-B0D2-4857-8A1C-39337EEFC33F}"/>
    <cellStyle name="Normal 15 2 3" xfId="3716" xr:uid="{00000000-0005-0000-0000-00002D110000}"/>
    <cellStyle name="Normal 15 2 3 2" xfId="3717" xr:uid="{00000000-0005-0000-0000-00002E110000}"/>
    <cellStyle name="Normal 15 2 3 2 2" xfId="4347" xr:uid="{00000000-0005-0000-0000-00002F110000}"/>
    <cellStyle name="Normal 15 2 3 2 2 2" xfId="7515" xr:uid="{00000000-0005-0000-0000-000030110000}"/>
    <cellStyle name="Normal 15 2 3 2 2 2 2" xfId="10183" xr:uid="{39827533-159B-42E5-950C-9DA7A77C59C2}"/>
    <cellStyle name="Normal 15 2 3 2 2 3" xfId="8852" xr:uid="{17A1A5E0-FD8F-439E-8061-3BE3143EA884}"/>
    <cellStyle name="Normal 15 2 3 2 3" xfId="6891" xr:uid="{00000000-0005-0000-0000-000031110000}"/>
    <cellStyle name="Normal 15 2 3 2 3 2" xfId="9559" xr:uid="{08285F03-B1EB-48C7-8DF2-C4DD1B18B778}"/>
    <cellStyle name="Normal 15 2 3 2 4" xfId="8228" xr:uid="{03A755E4-C650-472B-BC03-FED280D4512A}"/>
    <cellStyle name="Normal 15 2 3 3" xfId="3718" xr:uid="{00000000-0005-0000-0000-000032110000}"/>
    <cellStyle name="Normal 15 2 3 3 2" xfId="4348" xr:uid="{00000000-0005-0000-0000-000033110000}"/>
    <cellStyle name="Normal 15 2 3 3 2 2" xfId="7516" xr:uid="{00000000-0005-0000-0000-000034110000}"/>
    <cellStyle name="Normal 15 2 3 3 2 2 2" xfId="10184" xr:uid="{38BAB240-EEE7-4447-A112-F00AEA6084D1}"/>
    <cellStyle name="Normal 15 2 3 3 2 3" xfId="8853" xr:uid="{B9526956-5696-4A68-95D0-9DE4220F4729}"/>
    <cellStyle name="Normal 15 2 3 3 3" xfId="6892" xr:uid="{00000000-0005-0000-0000-000035110000}"/>
    <cellStyle name="Normal 15 2 3 3 3 2" xfId="9560" xr:uid="{073D65CC-B69C-41AC-9EC2-A4DD511A5986}"/>
    <cellStyle name="Normal 15 2 3 3 4" xfId="8229" xr:uid="{B929996A-5AB5-49AF-ACD5-D62785B4799E}"/>
    <cellStyle name="Normal 15 2 3 4" xfId="3719" xr:uid="{00000000-0005-0000-0000-000036110000}"/>
    <cellStyle name="Normal 15 2 3 4 2" xfId="4349" xr:uid="{00000000-0005-0000-0000-000037110000}"/>
    <cellStyle name="Normal 15 2 3 4 2 2" xfId="7517" xr:uid="{00000000-0005-0000-0000-000038110000}"/>
    <cellStyle name="Normal 15 2 3 4 2 2 2" xfId="10185" xr:uid="{92E7A0A1-A5CF-490E-99DE-0FC9D97B93C5}"/>
    <cellStyle name="Normal 15 2 3 4 2 3" xfId="8854" xr:uid="{8897C979-338C-4C08-AFAB-FCEBC450538C}"/>
    <cellStyle name="Normal 15 2 3 4 3" xfId="6893" xr:uid="{00000000-0005-0000-0000-000039110000}"/>
    <cellStyle name="Normal 15 2 3 4 3 2" xfId="9561" xr:uid="{7BC6C3D3-9A08-4315-84FE-A6CFBC709F45}"/>
    <cellStyle name="Normal 15 2 3 4 4" xfId="8230" xr:uid="{1FC638DC-7F0B-4871-AF47-8B13F6E19DA1}"/>
    <cellStyle name="Normal 15 2 3 5" xfId="4346" xr:uid="{00000000-0005-0000-0000-00003A110000}"/>
    <cellStyle name="Normal 15 2 3 5 2" xfId="7514" xr:uid="{00000000-0005-0000-0000-00003B110000}"/>
    <cellStyle name="Normal 15 2 3 5 2 2" xfId="10182" xr:uid="{B848D7D0-DFE7-4A7D-8D01-31828B8BCCB1}"/>
    <cellStyle name="Normal 15 2 3 5 3" xfId="8851" xr:uid="{BE9785D3-E461-45BC-84E2-52D5E683DED6}"/>
    <cellStyle name="Normal 15 2 3 6" xfId="6890" xr:uid="{00000000-0005-0000-0000-00003C110000}"/>
    <cellStyle name="Normal 15 2 3 6 2" xfId="9558" xr:uid="{184BEC2A-440E-4C3D-B3BF-C233E990DD05}"/>
    <cellStyle name="Normal 15 2 3 7" xfId="8227" xr:uid="{A1EF805F-7DC8-4868-9855-1C4E4042E41A}"/>
    <cellStyle name="Normal 15 3" xfId="3720" xr:uid="{00000000-0005-0000-0000-00003D110000}"/>
    <cellStyle name="Normal 15 4" xfId="3721" xr:uid="{00000000-0005-0000-0000-00003E110000}"/>
    <cellStyle name="Normal 15 4 2" xfId="4350" xr:uid="{00000000-0005-0000-0000-00003F110000}"/>
    <cellStyle name="Normal 15 4 2 2" xfId="7518" xr:uid="{00000000-0005-0000-0000-000040110000}"/>
    <cellStyle name="Normal 15 4 2 2 2" xfId="10186" xr:uid="{8EF0526F-35EE-4D36-997A-EAA0D67E1E52}"/>
    <cellStyle name="Normal 15 4 2 3" xfId="8855" xr:uid="{14294B64-20CA-4C0E-87FB-F60DA77E2DAD}"/>
    <cellStyle name="Normal 15 4 3" xfId="6894" xr:uid="{00000000-0005-0000-0000-000041110000}"/>
    <cellStyle name="Normal 15 4 3 2" xfId="9562" xr:uid="{A0EEA49A-686D-4C83-90FE-24FDD1EC549B}"/>
    <cellStyle name="Normal 15 4 4" xfId="8231" xr:uid="{F9940E0F-A825-4490-9C69-934F40F4C634}"/>
    <cellStyle name="Normal 15 5" xfId="3722" xr:uid="{00000000-0005-0000-0000-000042110000}"/>
    <cellStyle name="Normal 15 5 2" xfId="4351" xr:uid="{00000000-0005-0000-0000-000043110000}"/>
    <cellStyle name="Normal 15 5 2 2" xfId="7519" xr:uid="{00000000-0005-0000-0000-000044110000}"/>
    <cellStyle name="Normal 15 5 2 2 2" xfId="10187" xr:uid="{ECA6D134-E75B-401B-B8BB-CB577B49AC07}"/>
    <cellStyle name="Normal 15 5 2 3" xfId="8856" xr:uid="{3CAE2D35-71D3-4414-92DF-1568C0536B1E}"/>
    <cellStyle name="Normal 15 5 3" xfId="6895" xr:uid="{00000000-0005-0000-0000-000045110000}"/>
    <cellStyle name="Normal 15 5 3 2" xfId="9563" xr:uid="{94C60024-E833-4298-A9FD-3100BC660ED8}"/>
    <cellStyle name="Normal 15 5 4" xfId="8232" xr:uid="{874DC45B-95AA-42F4-88BD-16FE64618735}"/>
    <cellStyle name="Normal 15 6" xfId="4341" xr:uid="{00000000-0005-0000-0000-000046110000}"/>
    <cellStyle name="Normal 15 6 2" xfId="7509" xr:uid="{00000000-0005-0000-0000-000047110000}"/>
    <cellStyle name="Normal 15 6 2 2" xfId="10177" xr:uid="{F674E8AB-3D5C-4357-AEA4-9AA5C83492F4}"/>
    <cellStyle name="Normal 15 6 3" xfId="8846" xr:uid="{605C0881-0640-4A68-A8F6-8B02093AD502}"/>
    <cellStyle name="Normal 15 7" xfId="6885" xr:uid="{00000000-0005-0000-0000-000048110000}"/>
    <cellStyle name="Normal 15 7 2" xfId="9553" xr:uid="{BF299311-D734-4148-A3B4-A8D738C4D343}"/>
    <cellStyle name="Normal 15 8" xfId="8222" xr:uid="{89971F67-3BB6-4542-8F57-199793521648}"/>
    <cellStyle name="Normal 15_Trends fuels" xfId="3723" xr:uid="{00000000-0005-0000-0000-000049110000}"/>
    <cellStyle name="Normal 16" xfId="3724" xr:uid="{00000000-0005-0000-0000-00004A110000}"/>
    <cellStyle name="Normal 16 2" xfId="3725" xr:uid="{00000000-0005-0000-0000-00004B110000}"/>
    <cellStyle name="Normal 16 2 2" xfId="4353" xr:uid="{00000000-0005-0000-0000-00004C110000}"/>
    <cellStyle name="Normal 16 2 2 2" xfId="7521" xr:uid="{00000000-0005-0000-0000-00004D110000}"/>
    <cellStyle name="Normal 16 2 2 2 2" xfId="10189" xr:uid="{92B1CF42-D5B6-4D12-98C0-1A2733B14BB1}"/>
    <cellStyle name="Normal 16 2 2 3" xfId="8858" xr:uid="{14D6DE80-F66F-4F3F-B56A-3654FAE66FE9}"/>
    <cellStyle name="Normal 16 2 3" xfId="6897" xr:uid="{00000000-0005-0000-0000-00004E110000}"/>
    <cellStyle name="Normal 16 2 3 2" xfId="9565" xr:uid="{96F04D3C-6B96-4069-9ED3-84D5B9E6B9B9}"/>
    <cellStyle name="Normal 16 2 4" xfId="8234" xr:uid="{EF8C8914-B51B-4F0B-9AFB-6175639EC2DB}"/>
    <cellStyle name="Normal 16 3" xfId="3726" xr:uid="{00000000-0005-0000-0000-00004F110000}"/>
    <cellStyle name="Normal 16 3 2" xfId="4354" xr:uid="{00000000-0005-0000-0000-000050110000}"/>
    <cellStyle name="Normal 16 3 2 2" xfId="7522" xr:uid="{00000000-0005-0000-0000-000051110000}"/>
    <cellStyle name="Normal 16 3 2 2 2" xfId="10190" xr:uid="{2610154E-D179-4E03-94DA-B3A911A0997A}"/>
    <cellStyle name="Normal 16 3 2 3" xfId="8859" xr:uid="{2DB1AC00-620E-421D-B33B-279BEAF85FD9}"/>
    <cellStyle name="Normal 16 3 3" xfId="6898" xr:uid="{00000000-0005-0000-0000-000052110000}"/>
    <cellStyle name="Normal 16 3 3 2" xfId="9566" xr:uid="{0B843033-CD9E-4A96-9F78-C2610A6775A8}"/>
    <cellStyle name="Normal 16 3 4" xfId="8235" xr:uid="{391EB66F-EF5A-4856-A046-D383B370E690}"/>
    <cellStyle name="Normal 16 3 4 2" xfId="10570" xr:uid="{A72BE0C8-F0A8-4167-AD62-892BBF67A4E9}"/>
    <cellStyle name="Normal 16 4" xfId="3727" xr:uid="{00000000-0005-0000-0000-000053110000}"/>
    <cellStyle name="Normal 16 4 2" xfId="4355" xr:uid="{00000000-0005-0000-0000-000054110000}"/>
    <cellStyle name="Normal 16 4 2 2" xfId="7523" xr:uid="{00000000-0005-0000-0000-000055110000}"/>
    <cellStyle name="Normal 16 4 2 2 2" xfId="10191" xr:uid="{3F2C630F-F5C5-4E32-A6A3-5F70C19C8B2D}"/>
    <cellStyle name="Normal 16 4 2 3" xfId="8860" xr:uid="{5850E772-C212-4999-8AA2-F52632EB60FF}"/>
    <cellStyle name="Normal 16 4 3" xfId="6899" xr:uid="{00000000-0005-0000-0000-000056110000}"/>
    <cellStyle name="Normal 16 4 3 2" xfId="9567" xr:uid="{306C660D-39FB-4D03-86D1-8454BBC8FA41}"/>
    <cellStyle name="Normal 16 4 4" xfId="8236" xr:uid="{5FCE2C15-E567-4DC2-9BE6-AEFB1FA33128}"/>
    <cellStyle name="Normal 16 5" xfId="4352" xr:uid="{00000000-0005-0000-0000-000057110000}"/>
    <cellStyle name="Normal 16 5 2" xfId="7520" xr:uid="{00000000-0005-0000-0000-000058110000}"/>
    <cellStyle name="Normal 16 5 2 2" xfId="10188" xr:uid="{8F29E0C6-F25F-4A79-880C-0C6AF956B0CD}"/>
    <cellStyle name="Normal 16 5 3" xfId="8857" xr:uid="{047E2FA9-9757-4E23-9F09-CFA2DC0D6EF8}"/>
    <cellStyle name="Normal 16 6" xfId="6896" xr:uid="{00000000-0005-0000-0000-000059110000}"/>
    <cellStyle name="Normal 16 6 2" xfId="9564" xr:uid="{C3BA6B46-DAA7-472E-80EA-BA080AC647BF}"/>
    <cellStyle name="Normal 16 7" xfId="8233" xr:uid="{C7F40240-02CE-422B-9C6B-DE60CD2F581A}"/>
    <cellStyle name="Normal 17" xfId="3728" xr:uid="{00000000-0005-0000-0000-00005A110000}"/>
    <cellStyle name="Normal 17 2" xfId="3729" xr:uid="{00000000-0005-0000-0000-00005B110000}"/>
    <cellStyle name="Normal 17 2 2" xfId="4357" xr:uid="{00000000-0005-0000-0000-00005C110000}"/>
    <cellStyle name="Normal 17 2 2 2" xfId="7525" xr:uid="{00000000-0005-0000-0000-00005D110000}"/>
    <cellStyle name="Normal 17 2 2 2 2" xfId="10193" xr:uid="{798E4FBB-E1B2-4D74-9E8A-2EA1774DD46E}"/>
    <cellStyle name="Normal 17 2 2 3" xfId="8862" xr:uid="{A5E08F92-3CD3-4F0A-A469-02E0BCC17A25}"/>
    <cellStyle name="Normal 17 2 3" xfId="6901" xr:uid="{00000000-0005-0000-0000-00005E110000}"/>
    <cellStyle name="Normal 17 2 3 2" xfId="9569" xr:uid="{A0C399A2-7054-46A0-AD58-60A786834E8A}"/>
    <cellStyle name="Normal 17 2 4" xfId="8238" xr:uid="{9CB50B26-D6E1-418F-A8E4-930DFEF805A3}"/>
    <cellStyle name="Normal 17 3" xfId="3730" xr:uid="{00000000-0005-0000-0000-00005F110000}"/>
    <cellStyle name="Normal 17 3 2" xfId="4358" xr:uid="{00000000-0005-0000-0000-000060110000}"/>
    <cellStyle name="Normal 17 3 2 2" xfId="7526" xr:uid="{00000000-0005-0000-0000-000061110000}"/>
    <cellStyle name="Normal 17 3 2 2 2" xfId="10194" xr:uid="{7B37346A-649B-4513-8B29-548360A35168}"/>
    <cellStyle name="Normal 17 3 2 3" xfId="8863" xr:uid="{1A3A282E-95CA-408C-9DB9-59E28E6DCCF5}"/>
    <cellStyle name="Normal 17 3 3" xfId="6902" xr:uid="{00000000-0005-0000-0000-000062110000}"/>
    <cellStyle name="Normal 17 3 3 2" xfId="9570" xr:uid="{AFB53E67-4EDD-4007-BA7E-8B338B3D5C11}"/>
    <cellStyle name="Normal 17 3 4" xfId="8239" xr:uid="{1EDC0F1A-2078-49DC-8A82-27B8435CFA9D}"/>
    <cellStyle name="Normal 17 4" xfId="3731" xr:uid="{00000000-0005-0000-0000-000063110000}"/>
    <cellStyle name="Normal 17 4 2" xfId="4359" xr:uid="{00000000-0005-0000-0000-000064110000}"/>
    <cellStyle name="Normal 17 4 2 2" xfId="7527" xr:uid="{00000000-0005-0000-0000-000065110000}"/>
    <cellStyle name="Normal 17 4 2 2 2" xfId="10195" xr:uid="{3A920360-65F2-481A-816D-77DB4A34B88B}"/>
    <cellStyle name="Normal 17 4 2 3" xfId="8864" xr:uid="{7391F57B-C12B-499C-B8D9-9763226EED82}"/>
    <cellStyle name="Normal 17 4 3" xfId="6903" xr:uid="{00000000-0005-0000-0000-000066110000}"/>
    <cellStyle name="Normal 17 4 3 2" xfId="9571" xr:uid="{5D25EE79-165F-4A68-957D-C740F2168790}"/>
    <cellStyle name="Normal 17 4 4" xfId="8240" xr:uid="{56F054D4-9BD3-475D-9D5D-49AB2E7224B7}"/>
    <cellStyle name="Normal 17 5" xfId="4356" xr:uid="{00000000-0005-0000-0000-000067110000}"/>
    <cellStyle name="Normal 17 5 2" xfId="7524" xr:uid="{00000000-0005-0000-0000-000068110000}"/>
    <cellStyle name="Normal 17 5 2 2" xfId="10192" xr:uid="{5602EE97-08CB-49EA-952E-C2EB935CF3A6}"/>
    <cellStyle name="Normal 17 5 3" xfId="8861" xr:uid="{85858B25-1F28-4A8D-8791-72C8F1AEF1B8}"/>
    <cellStyle name="Normal 17 6" xfId="6900" xr:uid="{00000000-0005-0000-0000-000069110000}"/>
    <cellStyle name="Normal 17 6 2" xfId="9568" xr:uid="{A58D5CB2-D055-4575-8A2E-E5020434A60D}"/>
    <cellStyle name="Normal 17 7" xfId="8237" xr:uid="{9927856F-C9D6-4B8E-8B9E-38C72C98DC86}"/>
    <cellStyle name="Normal 18" xfId="3732" xr:uid="{00000000-0005-0000-0000-00006A110000}"/>
    <cellStyle name="Normal 18 2" xfId="3733" xr:uid="{00000000-0005-0000-0000-00006B110000}"/>
    <cellStyle name="Normal 18 2 2" xfId="4361" xr:uid="{00000000-0005-0000-0000-00006C110000}"/>
    <cellStyle name="Normal 18 2 2 2" xfId="7529" xr:uid="{00000000-0005-0000-0000-00006D110000}"/>
    <cellStyle name="Normal 18 2 2 2 2" xfId="10197" xr:uid="{79643BFA-6A43-463F-A8C8-228DF212B69C}"/>
    <cellStyle name="Normal 18 2 2 3" xfId="8866" xr:uid="{32221F19-9EE3-4EC4-BE0E-457E1856F630}"/>
    <cellStyle name="Normal 18 2 3" xfId="6905" xr:uid="{00000000-0005-0000-0000-00006E110000}"/>
    <cellStyle name="Normal 18 2 3 2" xfId="9573" xr:uid="{5C6FAB1C-3073-41C1-8D6C-4C56C9CCB5F3}"/>
    <cellStyle name="Normal 18 2 4" xfId="8242" xr:uid="{E069F03E-0B90-4B7B-BF05-7BECBCFB481A}"/>
    <cellStyle name="Normal 18 3" xfId="3734" xr:uid="{00000000-0005-0000-0000-00006F110000}"/>
    <cellStyle name="Normal 18 3 2" xfId="4362" xr:uid="{00000000-0005-0000-0000-000070110000}"/>
    <cellStyle name="Normal 18 3 2 2" xfId="7530" xr:uid="{00000000-0005-0000-0000-000071110000}"/>
    <cellStyle name="Normal 18 3 2 2 2" xfId="10198" xr:uid="{2E73BC34-7999-4563-A7D0-9EF372AC0E31}"/>
    <cellStyle name="Normal 18 3 2 3" xfId="8867" xr:uid="{BA6C5EE5-5F72-4839-8E92-1D1ECF9239A2}"/>
    <cellStyle name="Normal 18 3 3" xfId="6906" xr:uid="{00000000-0005-0000-0000-000072110000}"/>
    <cellStyle name="Normal 18 3 3 2" xfId="9574" xr:uid="{9F35066D-5245-48E4-88CA-7EA3A2DE9502}"/>
    <cellStyle name="Normal 18 3 4" xfId="8243" xr:uid="{AD525BD7-EB0E-4CF9-851C-B91BA941BA43}"/>
    <cellStyle name="Normal 18 4" xfId="3735" xr:uid="{00000000-0005-0000-0000-000073110000}"/>
    <cellStyle name="Normal 18 4 2" xfId="4363" xr:uid="{00000000-0005-0000-0000-000074110000}"/>
    <cellStyle name="Normal 18 4 2 2" xfId="7531" xr:uid="{00000000-0005-0000-0000-000075110000}"/>
    <cellStyle name="Normal 18 4 2 2 2" xfId="10199" xr:uid="{B7F8F286-76FA-40F7-AE5B-F3282A77C3C8}"/>
    <cellStyle name="Normal 18 4 2 3" xfId="8868" xr:uid="{E70AB8C3-32CD-4EDA-AB0D-108ED0A99FFB}"/>
    <cellStyle name="Normal 18 4 3" xfId="6907" xr:uid="{00000000-0005-0000-0000-000076110000}"/>
    <cellStyle name="Normal 18 4 3 2" xfId="9575" xr:uid="{4A5E3F7D-B832-44B4-9487-756484383FF6}"/>
    <cellStyle name="Normal 18 4 4" xfId="8244" xr:uid="{260B02A2-2389-4F45-94B1-CCD9370842E5}"/>
    <cellStyle name="Normal 18 5" xfId="4360" xr:uid="{00000000-0005-0000-0000-000077110000}"/>
    <cellStyle name="Normal 18 5 2" xfId="7528" xr:uid="{00000000-0005-0000-0000-000078110000}"/>
    <cellStyle name="Normal 18 5 2 2" xfId="10196" xr:uid="{1E720568-70F1-4009-BE7D-0F4908968D12}"/>
    <cellStyle name="Normal 18 5 3" xfId="8865" xr:uid="{21745B36-9876-4472-8C03-BB126055A8B7}"/>
    <cellStyle name="Normal 18 6" xfId="6904" xr:uid="{00000000-0005-0000-0000-000079110000}"/>
    <cellStyle name="Normal 18 6 2" xfId="9572" xr:uid="{99BB9F55-BA33-4BFE-8E80-B4B9F894AE7A}"/>
    <cellStyle name="Normal 18 7" xfId="8241" xr:uid="{0E083EF7-9155-4218-AFF6-20DBDBE93352}"/>
    <cellStyle name="Normal 19" xfId="3736" xr:uid="{00000000-0005-0000-0000-00007A110000}"/>
    <cellStyle name="Normal 19 2" xfId="3737" xr:uid="{00000000-0005-0000-0000-00007B110000}"/>
    <cellStyle name="Normal 19 2 2" xfId="4364" xr:uid="{00000000-0005-0000-0000-00007C110000}"/>
    <cellStyle name="Normal 19 2 2 2" xfId="7532" xr:uid="{00000000-0005-0000-0000-00007D110000}"/>
    <cellStyle name="Normal 19 2 2 2 2" xfId="10200" xr:uid="{7D53C20D-6E8B-48C3-B2D2-A2074C8B1A59}"/>
    <cellStyle name="Normal 19 2 2 3" xfId="8869" xr:uid="{79805664-1706-401C-AB1E-18BABC663663}"/>
    <cellStyle name="Normal 19 2 3" xfId="6908" xr:uid="{00000000-0005-0000-0000-00007E110000}"/>
    <cellStyle name="Normal 19 2 3 2" xfId="9576" xr:uid="{010FFE27-37FF-426F-A0A0-1AE1CFF71C48}"/>
    <cellStyle name="Normal 19 2 4" xfId="8245" xr:uid="{6C432FD4-655A-47C8-9813-E182B44831F0}"/>
    <cellStyle name="Normal 2" xfId="976" xr:uid="{00000000-0005-0000-0000-00007F110000}"/>
    <cellStyle name="Normal 2 10" xfId="3738" xr:uid="{00000000-0005-0000-0000-000080110000}"/>
    <cellStyle name="Normal 2 11" xfId="3739" xr:uid="{00000000-0005-0000-0000-000081110000}"/>
    <cellStyle name="Normal 2 11 2" xfId="3740" xr:uid="{00000000-0005-0000-0000-000082110000}"/>
    <cellStyle name="Normal 2 11 2 2" xfId="4366" xr:uid="{00000000-0005-0000-0000-000083110000}"/>
    <cellStyle name="Normal 2 11 2 2 2" xfId="7534" xr:uid="{00000000-0005-0000-0000-000084110000}"/>
    <cellStyle name="Normal 2 11 2 2 2 2" xfId="10202" xr:uid="{0C2FED5E-3357-4386-B6CF-BA6854B4A5E5}"/>
    <cellStyle name="Normal 2 11 2 2 3" xfId="8871" xr:uid="{7346AA7A-3500-44F1-8F3E-6CBD126ED025}"/>
    <cellStyle name="Normal 2 11 2 3" xfId="6910" xr:uid="{00000000-0005-0000-0000-000085110000}"/>
    <cellStyle name="Normal 2 11 2 3 2" xfId="9578" xr:uid="{F229FEA6-FA5B-478E-81BC-A150DB5CD26A}"/>
    <cellStyle name="Normal 2 11 2 4" xfId="8247" xr:uid="{1B541586-B069-4C89-91AD-4740649A54BE}"/>
    <cellStyle name="Normal 2 11 3" xfId="4365" xr:uid="{00000000-0005-0000-0000-000086110000}"/>
    <cellStyle name="Normal 2 11 3 2" xfId="7533" xr:uid="{00000000-0005-0000-0000-000087110000}"/>
    <cellStyle name="Normal 2 11 3 2 2" xfId="10201" xr:uid="{05EC5424-4CA8-4BE1-B07C-534DD539AC22}"/>
    <cellStyle name="Normal 2 11 3 3" xfId="8870" xr:uid="{B5862272-0465-4573-A947-23739B023E88}"/>
    <cellStyle name="Normal 2 11 4" xfId="6909" xr:uid="{00000000-0005-0000-0000-000088110000}"/>
    <cellStyle name="Normal 2 11 4 2" xfId="9577" xr:uid="{148F594F-9DDB-4899-996F-1E1D6C2A80F0}"/>
    <cellStyle name="Normal 2 11 5" xfId="8246" xr:uid="{55BA5574-5992-472F-8E6B-DC32E54382FF}"/>
    <cellStyle name="Normal 2 12" xfId="3741" xr:uid="{00000000-0005-0000-0000-000089110000}"/>
    <cellStyle name="Normal 2 12 2" xfId="4367" xr:uid="{00000000-0005-0000-0000-00008A110000}"/>
    <cellStyle name="Normal 2 12 2 2" xfId="7535" xr:uid="{00000000-0005-0000-0000-00008B110000}"/>
    <cellStyle name="Normal 2 12 2 2 2" xfId="10203" xr:uid="{C63D8BF7-EEF7-41FD-91FA-542D28F817E7}"/>
    <cellStyle name="Normal 2 12 2 3" xfId="8872" xr:uid="{D4E3E65F-7409-4959-A2A8-89C5BC21FDCF}"/>
    <cellStyle name="Normal 2 12 3" xfId="6911" xr:uid="{00000000-0005-0000-0000-00008C110000}"/>
    <cellStyle name="Normal 2 12 3 2" xfId="9579" xr:uid="{66D0EC28-6825-411D-9A80-F83C2608E527}"/>
    <cellStyle name="Normal 2 12 4" xfId="8248" xr:uid="{818EEB6A-6596-49A6-B03E-0B9623A89902}"/>
    <cellStyle name="Normal 2 13" xfId="3742" xr:uid="{00000000-0005-0000-0000-00008D110000}"/>
    <cellStyle name="Normal 2 13 2" xfId="4368" xr:uid="{00000000-0005-0000-0000-00008E110000}"/>
    <cellStyle name="Normal 2 13 2 2" xfId="7536" xr:uid="{00000000-0005-0000-0000-00008F110000}"/>
    <cellStyle name="Normal 2 13 2 2 2" xfId="10204" xr:uid="{B8089598-73B4-4457-9B9B-58029BF93D92}"/>
    <cellStyle name="Normal 2 13 2 3" xfId="8873" xr:uid="{222793F1-631A-4C52-A3E2-1E62495CD76F}"/>
    <cellStyle name="Normal 2 13 3" xfId="6912" xr:uid="{00000000-0005-0000-0000-000090110000}"/>
    <cellStyle name="Normal 2 13 3 2" xfId="9580" xr:uid="{AED0CE04-C3D3-43D2-9E3B-7A29E96C6D4F}"/>
    <cellStyle name="Normal 2 13 4" xfId="8249" xr:uid="{25EAA857-3778-4DBD-A27F-D2242342442A}"/>
    <cellStyle name="Normal 2 14" xfId="3512" xr:uid="{00000000-0005-0000-0000-000091110000}"/>
    <cellStyle name="Normal 2 14 2" xfId="4153" xr:uid="{00000000-0005-0000-0000-000092110000}"/>
    <cellStyle name="Normal 2 14 2 2" xfId="7321" xr:uid="{00000000-0005-0000-0000-000093110000}"/>
    <cellStyle name="Normal 2 14 2 2 2" xfId="9989" xr:uid="{716DA976-ACB9-4DBB-8168-14E494716256}"/>
    <cellStyle name="Normal 2 14 2 3" xfId="8658" xr:uid="{2810C45A-F3CD-4AC5-81E8-3DCA77AB828D}"/>
    <cellStyle name="Normal 2 14 3" xfId="6710" xr:uid="{00000000-0005-0000-0000-000094110000}"/>
    <cellStyle name="Normal 2 14 3 2" xfId="9378" xr:uid="{58E1907D-0CCB-4297-B6DD-4BB01AB0A1C2}"/>
    <cellStyle name="Normal 2 14 4" xfId="8042" xr:uid="{9A08CB6E-DFE4-4020-80C8-24FCDE85E0AD}"/>
    <cellStyle name="Normal 2 15" xfId="3372" xr:uid="{00000000-0005-0000-0000-000095110000}"/>
    <cellStyle name="Normal 2 2" xfId="977" xr:uid="{00000000-0005-0000-0000-000096110000}"/>
    <cellStyle name="Normal 2 2 10" xfId="10568" xr:uid="{D2AD0F11-3F2E-4222-8006-E6D8CC0A6457}"/>
    <cellStyle name="Normal 2 2 2" xfId="978" xr:uid="{00000000-0005-0000-0000-000097110000}"/>
    <cellStyle name="Normal 2 2 2 2" xfId="979" xr:uid="{00000000-0005-0000-0000-000098110000}"/>
    <cellStyle name="Normal 2 2 2 2 2" xfId="3743" xr:uid="{00000000-0005-0000-0000-000099110000}"/>
    <cellStyle name="Normal 2 2 2 2 2 2" xfId="4369" xr:uid="{00000000-0005-0000-0000-00009A110000}"/>
    <cellStyle name="Normal 2 2 2 2 2 2 2" xfId="7537" xr:uid="{00000000-0005-0000-0000-00009B110000}"/>
    <cellStyle name="Normal 2 2 2 2 2 2 2 2" xfId="10205" xr:uid="{8566C253-9184-49E6-86D0-47E9351469F7}"/>
    <cellStyle name="Normal 2 2 2 2 2 2 3" xfId="8874" xr:uid="{9B573B75-4870-4C92-99D5-7BF520D72AE9}"/>
    <cellStyle name="Normal 2 2 2 2 2 3" xfId="6913" xr:uid="{00000000-0005-0000-0000-00009C110000}"/>
    <cellStyle name="Normal 2 2 2 2 2 3 2" xfId="9581" xr:uid="{2DAE8433-CEE3-48FD-9CCF-82A41CD59D15}"/>
    <cellStyle name="Normal 2 2 2 2 2 4" xfId="8250" xr:uid="{14CDF373-D928-4D66-A97D-96C1E1E96FE3}"/>
    <cellStyle name="Normal 2 2 2 2 3" xfId="4132" xr:uid="{00000000-0005-0000-0000-00009D110000}"/>
    <cellStyle name="Normal 2 2 2 2 3 2" xfId="7300" xr:uid="{00000000-0005-0000-0000-00009E110000}"/>
    <cellStyle name="Normal 2 2 2 2 3 2 2" xfId="9968" xr:uid="{A36B3AC4-0379-4367-8BD8-ABC40D3E8B56}"/>
    <cellStyle name="Normal 2 2 2 2 3 3" xfId="8637" xr:uid="{8FB8F6F2-F5BA-45F6-B774-6589D120C928}"/>
    <cellStyle name="Normal 2 2 2 2 4" xfId="3481" xr:uid="{00000000-0005-0000-0000-00009F110000}"/>
    <cellStyle name="Normal 2 2 2 2 4 2" xfId="6689" xr:uid="{00000000-0005-0000-0000-0000A0110000}"/>
    <cellStyle name="Normal 2 2 2 2 4 2 2" xfId="9357" xr:uid="{A25B3E6D-4C15-462B-82B4-DEC6D9385E9C}"/>
    <cellStyle name="Normal 2 2 2 2 4 3" xfId="8021" xr:uid="{F89EFAB4-EB25-45B4-9340-B70900279F34}"/>
    <cellStyle name="Normal 2 2 2 3" xfId="2613" xr:uid="{00000000-0005-0000-0000-0000A1110000}"/>
    <cellStyle name="Normal 2 2 2 3 2" xfId="3744" xr:uid="{00000000-0005-0000-0000-0000A2110000}"/>
    <cellStyle name="Normal 2 2 2 3 2 2" xfId="4370" xr:uid="{00000000-0005-0000-0000-0000A3110000}"/>
    <cellStyle name="Normal 2 2 2 3 2 2 2" xfId="7538" xr:uid="{00000000-0005-0000-0000-0000A4110000}"/>
    <cellStyle name="Normal 2 2 2 3 2 2 2 2" xfId="10206" xr:uid="{EC5A2487-66D2-4CE1-9F9E-99BB06AD3975}"/>
    <cellStyle name="Normal 2 2 2 3 2 2 3" xfId="8875" xr:uid="{A7CE67D0-CD81-41CB-9777-241DEB763C38}"/>
    <cellStyle name="Normal 2 2 2 3 2 3" xfId="6914" xr:uid="{00000000-0005-0000-0000-0000A5110000}"/>
    <cellStyle name="Normal 2 2 2 3 2 3 2" xfId="9582" xr:uid="{E4E95D7A-3F79-4FFD-B576-6E077150E0B3}"/>
    <cellStyle name="Normal 2 2 2 3 2 4" xfId="8251" xr:uid="{BA23DF82-B0FB-48D2-B5DE-75B6A5AADA6E}"/>
    <cellStyle name="Normal 2 2 2 3 3" xfId="4148" xr:uid="{00000000-0005-0000-0000-0000A6110000}"/>
    <cellStyle name="Normal 2 2 2 3 3 2" xfId="7316" xr:uid="{00000000-0005-0000-0000-0000A7110000}"/>
    <cellStyle name="Normal 2 2 2 3 3 2 2" xfId="9984" xr:uid="{5D7B5148-8BB8-41F6-8681-F0399CDEA3DD}"/>
    <cellStyle name="Normal 2 2 2 3 3 3" xfId="8653" xr:uid="{D3E98E82-86FF-4D9B-8ACF-C1B1580FEDE8}"/>
    <cellStyle name="Normal 2 2 2 3 4" xfId="3497" xr:uid="{00000000-0005-0000-0000-0000A8110000}"/>
    <cellStyle name="Normal 2 2 2 3 4 2" xfId="6705" xr:uid="{00000000-0005-0000-0000-0000A9110000}"/>
    <cellStyle name="Normal 2 2 2 3 4 2 2" xfId="9373" xr:uid="{5FF50E7D-29F6-4CBF-89F9-43C18763BA34}"/>
    <cellStyle name="Normal 2 2 2 3 4 3" xfId="8037" xr:uid="{379FA4D7-499A-45A0-A083-038B6A806BC6}"/>
    <cellStyle name="Normal 2 2 2 4" xfId="3326" xr:uid="{00000000-0005-0000-0000-0000AA110000}"/>
    <cellStyle name="Normal 2 2 2 4 2" xfId="4371" xr:uid="{00000000-0005-0000-0000-0000AB110000}"/>
    <cellStyle name="Normal 2 2 2 4 2 2" xfId="7539" xr:uid="{00000000-0005-0000-0000-0000AC110000}"/>
    <cellStyle name="Normal 2 2 2 4 2 2 2" xfId="10207" xr:uid="{0EBC7CEC-D5C3-4703-8D4D-E161CD839F8D}"/>
    <cellStyle name="Normal 2 2 2 4 2 3" xfId="8876" xr:uid="{99B35D41-3B04-4440-91C6-BA1286D029A1}"/>
    <cellStyle name="Normal 2 2 2 4 3" xfId="3745" xr:uid="{00000000-0005-0000-0000-0000AD110000}"/>
    <cellStyle name="Normal 2 2 2 4 3 2" xfId="6915" xr:uid="{00000000-0005-0000-0000-0000AE110000}"/>
    <cellStyle name="Normal 2 2 2 4 3 2 2" xfId="9583" xr:uid="{A47546F7-A6BB-4CA0-AF3A-7DE5DF74FD13}"/>
    <cellStyle name="Normal 2 2 2 4 3 3" xfId="8252" xr:uid="{201D7E29-8247-4901-8056-928D8B5F1E68}"/>
    <cellStyle name="Normal 2 2 2 4 4" xfId="6630" xr:uid="{00000000-0005-0000-0000-0000AF110000}"/>
    <cellStyle name="Normal 2 2 2 4 4 2" xfId="9307" xr:uid="{7A85D4C3-B98A-486F-A6EA-A57C9635C435}"/>
    <cellStyle name="Normal 2 2 2 4 5" xfId="7967" xr:uid="{BBD401EB-BB32-4E43-8766-9113A430243B}"/>
    <cellStyle name="Normal 2 2 2 5" xfId="3517" xr:uid="{00000000-0005-0000-0000-0000B0110000}"/>
    <cellStyle name="Normal 2 2 2 5 2" xfId="4158" xr:uid="{00000000-0005-0000-0000-0000B1110000}"/>
    <cellStyle name="Normal 2 2 2 5 2 2" xfId="7326" xr:uid="{00000000-0005-0000-0000-0000B2110000}"/>
    <cellStyle name="Normal 2 2 2 5 2 2 2" xfId="9994" xr:uid="{C299D088-4011-4CB2-9CA3-59142A461E70}"/>
    <cellStyle name="Normal 2 2 2 5 2 3" xfId="8663" xr:uid="{6ABC3EA9-1772-4433-8AEF-44FDC4A97C73}"/>
    <cellStyle name="Normal 2 2 2 5 3" xfId="6715" xr:uid="{00000000-0005-0000-0000-0000B3110000}"/>
    <cellStyle name="Normal 2 2 2 5 3 2" xfId="9383" xr:uid="{81469428-ADF3-45E8-B749-D1EF65A8D505}"/>
    <cellStyle name="Normal 2 2 2 5 4" xfId="8047" xr:uid="{CE19C332-D740-4D37-82BD-9AB9D13EA45B}"/>
    <cellStyle name="Normal 2 2 2 6" xfId="4116" xr:uid="{00000000-0005-0000-0000-0000B4110000}"/>
    <cellStyle name="Normal 2 2 2 6 2" xfId="7284" xr:uid="{00000000-0005-0000-0000-0000B5110000}"/>
    <cellStyle name="Normal 2 2 2 6 2 2" xfId="9952" xr:uid="{2504CFA7-6AB0-49EB-A7B5-172BE170CD7D}"/>
    <cellStyle name="Normal 2 2 2 6 3" xfId="8621" xr:uid="{6845B90D-E363-490B-8531-C2BC58A5CFBD}"/>
    <cellStyle name="Normal 2 2 2 7" xfId="3465" xr:uid="{00000000-0005-0000-0000-0000B6110000}"/>
    <cellStyle name="Normal 2 2 2 7 2" xfId="6673" xr:uid="{00000000-0005-0000-0000-0000B7110000}"/>
    <cellStyle name="Normal 2 2 2 7 2 2" xfId="9341" xr:uid="{4251F2E1-96C3-456D-881C-E1A719342C83}"/>
    <cellStyle name="Normal 2 2 2 7 3" xfId="8005" xr:uid="{88547A51-48D2-4446-ACDF-AF5C99C26E62}"/>
    <cellStyle name="Normal 2 2 3" xfId="3319" xr:uid="{00000000-0005-0000-0000-0000B8110000}"/>
    <cellStyle name="Normal 2 2 3 2" xfId="3746" xr:uid="{00000000-0005-0000-0000-0000B9110000}"/>
    <cellStyle name="Normal 2 2 3 2 2" xfId="4372" xr:uid="{00000000-0005-0000-0000-0000BA110000}"/>
    <cellStyle name="Normal 2 2 3 2 2 2" xfId="7540" xr:uid="{00000000-0005-0000-0000-0000BB110000}"/>
    <cellStyle name="Normal 2 2 3 2 2 2 2" xfId="10208" xr:uid="{AD8719F6-70E1-4F56-BC17-C6C031D9FEB4}"/>
    <cellStyle name="Normal 2 2 3 2 2 3" xfId="8877" xr:uid="{76F20DFF-51CF-4F12-B586-40AAF8B05383}"/>
    <cellStyle name="Normal 2 2 3 2 3" xfId="6916" xr:uid="{00000000-0005-0000-0000-0000BC110000}"/>
    <cellStyle name="Normal 2 2 3 2 3 2" xfId="9584" xr:uid="{BBCD4CF4-5C63-49B5-BB10-2296178EFF7E}"/>
    <cellStyle name="Normal 2 2 3 2 4" xfId="8253" xr:uid="{E6F15EE8-3666-4740-B4AF-D1DF4473390D}"/>
    <cellStyle name="Normal 2 2 3 3" xfId="4124" xr:uid="{00000000-0005-0000-0000-0000BD110000}"/>
    <cellStyle name="Normal 2 2 3 3 2" xfId="7292" xr:uid="{00000000-0005-0000-0000-0000BE110000}"/>
    <cellStyle name="Normal 2 2 3 3 2 2" xfId="9960" xr:uid="{AAEA3221-0D5B-4626-9CE4-9D5AA4C8BD6D}"/>
    <cellStyle name="Normal 2 2 3 3 3" xfId="8629" xr:uid="{C1AD5657-CD30-4BAD-A3BE-D15EEBEEFE50}"/>
    <cellStyle name="Normal 2 2 3 4" xfId="3473" xr:uid="{00000000-0005-0000-0000-0000BF110000}"/>
    <cellStyle name="Normal 2 2 3 4 2" xfId="6681" xr:uid="{00000000-0005-0000-0000-0000C0110000}"/>
    <cellStyle name="Normal 2 2 3 4 2 2" xfId="9349" xr:uid="{EBAEFF0E-A320-4911-B2A8-51CBA35DD440}"/>
    <cellStyle name="Normal 2 2 3 4 3" xfId="8013" xr:uid="{5EC2D24D-015F-4AA9-8341-BE3DBFCAB300}"/>
    <cellStyle name="Normal 2 2 3 5" xfId="6626" xr:uid="{00000000-0005-0000-0000-0000C1110000}"/>
    <cellStyle name="Normal 2 2 3 5 2" xfId="9303" xr:uid="{7739BB4C-8023-4EC2-8365-D5070EEF0E20}"/>
    <cellStyle name="Normal 2 2 3 6" xfId="7963" xr:uid="{FB288428-E00F-4C2A-A14F-E7F8A08566E3}"/>
    <cellStyle name="Normal 2 2 4" xfId="3489" xr:uid="{00000000-0005-0000-0000-0000C2110000}"/>
    <cellStyle name="Normal 2 2 4 2" xfId="3747" xr:uid="{00000000-0005-0000-0000-0000C3110000}"/>
    <cellStyle name="Normal 2 2 4 2 2" xfId="4373" xr:uid="{00000000-0005-0000-0000-0000C4110000}"/>
    <cellStyle name="Normal 2 2 4 2 2 2" xfId="7541" xr:uid="{00000000-0005-0000-0000-0000C5110000}"/>
    <cellStyle name="Normal 2 2 4 2 2 2 2" xfId="10209" xr:uid="{080601B4-DF8A-4639-8483-AE9FFC095EDD}"/>
    <cellStyle name="Normal 2 2 4 2 2 3" xfId="8878" xr:uid="{CAF6FF13-ECFE-4253-BD59-55211A17C53F}"/>
    <cellStyle name="Normal 2 2 4 2 3" xfId="6917" xr:uid="{00000000-0005-0000-0000-0000C6110000}"/>
    <cellStyle name="Normal 2 2 4 2 3 2" xfId="9585" xr:uid="{DDF71B28-D4C3-4CDE-999B-3F7589270100}"/>
    <cellStyle name="Normal 2 2 4 2 4" xfId="8254" xr:uid="{605D0DDD-5E7B-4443-9287-81FFF4F4555A}"/>
    <cellStyle name="Normal 2 2 4 3" xfId="4140" xr:uid="{00000000-0005-0000-0000-0000C7110000}"/>
    <cellStyle name="Normal 2 2 4 3 2" xfId="7308" xr:uid="{00000000-0005-0000-0000-0000C8110000}"/>
    <cellStyle name="Normal 2 2 4 3 2 2" xfId="9976" xr:uid="{CE144F35-A16C-4B2C-BCD7-0E7ED88023DC}"/>
    <cellStyle name="Normal 2 2 4 3 3" xfId="8645" xr:uid="{F6556F0D-7823-4C37-862E-9FA7C2A6FC46}"/>
    <cellStyle name="Normal 2 2 4 4" xfId="6697" xr:uid="{00000000-0005-0000-0000-0000C9110000}"/>
    <cellStyle name="Normal 2 2 4 4 2" xfId="9365" xr:uid="{3F4BEBE0-337F-4356-B37E-B7BC87C20659}"/>
    <cellStyle name="Normal 2 2 4 5" xfId="8029" xr:uid="{5E3B7700-0F48-4AF4-96C3-8BEAE50ABF73}"/>
    <cellStyle name="Normal 2 2 5" xfId="3748" xr:uid="{00000000-0005-0000-0000-0000CA110000}"/>
    <cellStyle name="Normal 2 2 5 2" xfId="4374" xr:uid="{00000000-0005-0000-0000-0000CB110000}"/>
    <cellStyle name="Normal 2 2 5 2 2" xfId="7542" xr:uid="{00000000-0005-0000-0000-0000CC110000}"/>
    <cellStyle name="Normal 2 2 5 2 2 2" xfId="10210" xr:uid="{9B07A686-EAC0-4737-A9CC-02E3A807DE39}"/>
    <cellStyle name="Normal 2 2 5 2 3" xfId="8879" xr:uid="{F5F00D3A-FDBF-4F80-9442-E973EC453F34}"/>
    <cellStyle name="Normal 2 2 5 3" xfId="6918" xr:uid="{00000000-0005-0000-0000-0000CD110000}"/>
    <cellStyle name="Normal 2 2 5 3 2" xfId="9586" xr:uid="{4BBC32B1-A616-4BA3-AEC5-669C28F67C1A}"/>
    <cellStyle name="Normal 2 2 5 4" xfId="8255" xr:uid="{2E389586-CB67-43C9-B787-923BC6267820}"/>
    <cellStyle name="Normal 2 2 6" xfId="3749" xr:uid="{00000000-0005-0000-0000-0000CE110000}"/>
    <cellStyle name="Normal 2 2 6 2" xfId="4375" xr:uid="{00000000-0005-0000-0000-0000CF110000}"/>
    <cellStyle name="Normal 2 2 6 2 2" xfId="7543" xr:uid="{00000000-0005-0000-0000-0000D0110000}"/>
    <cellStyle name="Normal 2 2 6 2 2 2" xfId="10211" xr:uid="{42DD4CF8-BC14-46DB-A4D5-5F36D06EF53B}"/>
    <cellStyle name="Normal 2 2 6 2 3" xfId="8880" xr:uid="{BB5B25A8-4EA0-461B-8253-59E0203783CE}"/>
    <cellStyle name="Normal 2 2 6 3" xfId="6919" xr:uid="{00000000-0005-0000-0000-0000D1110000}"/>
    <cellStyle name="Normal 2 2 6 3 2" xfId="9587" xr:uid="{870FDA27-88DD-4D46-ABCC-1181F7A74C96}"/>
    <cellStyle name="Normal 2 2 6 4" xfId="8256" xr:uid="{E0E83BA8-55E6-4CFD-B071-9741996DA4C5}"/>
    <cellStyle name="Normal 2 2 7" xfId="3506" xr:uid="{00000000-0005-0000-0000-0000D2110000}"/>
    <cellStyle name="Normal 2 2 8" xfId="4108" xr:uid="{00000000-0005-0000-0000-0000D3110000}"/>
    <cellStyle name="Normal 2 2 8 2" xfId="7276" xr:uid="{00000000-0005-0000-0000-0000D4110000}"/>
    <cellStyle name="Normal 2 2 8 2 2" xfId="9944" xr:uid="{18DAC123-986C-4D07-BB48-465D218EC7C2}"/>
    <cellStyle name="Normal 2 2 8 3" xfId="8613" xr:uid="{8195D128-F4AE-4D6E-965F-8CA55F64DF0B}"/>
    <cellStyle name="Normal 2 2 9" xfId="3447" xr:uid="{00000000-0005-0000-0000-0000D5110000}"/>
    <cellStyle name="Normal 2 2 9 2" xfId="6664" xr:uid="{00000000-0005-0000-0000-0000D6110000}"/>
    <cellStyle name="Normal 2 2 9 2 2" xfId="9333" xr:uid="{37BA0485-9E3B-4A79-B26C-ED810E947C7B}"/>
    <cellStyle name="Normal 2 2 9 3" xfId="7995" xr:uid="{9A4FAC78-040A-4E4A-81F2-37F579474B17}"/>
    <cellStyle name="Normal 2 3" xfId="980" xr:uid="{00000000-0005-0000-0000-0000D7110000}"/>
    <cellStyle name="Normal 2 3 2" xfId="3751" xr:uid="{00000000-0005-0000-0000-0000D8110000}"/>
    <cellStyle name="Normal 2 3 2 2" xfId="3752" xr:uid="{00000000-0005-0000-0000-0000D9110000}"/>
    <cellStyle name="Normal 2 3 2 2 2" xfId="4378" xr:uid="{00000000-0005-0000-0000-0000DA110000}"/>
    <cellStyle name="Normal 2 3 2 2 2 2" xfId="7546" xr:uid="{00000000-0005-0000-0000-0000DB110000}"/>
    <cellStyle name="Normal 2 3 2 2 2 2 2" xfId="10214" xr:uid="{BB308FAD-3C6E-4555-9F75-302B43BCB1D1}"/>
    <cellStyle name="Normal 2 3 2 2 2 3" xfId="8883" xr:uid="{55180EAB-0D31-42E3-8451-66A74B039F4C}"/>
    <cellStyle name="Normal 2 3 2 2 3" xfId="6922" xr:uid="{00000000-0005-0000-0000-0000DC110000}"/>
    <cellStyle name="Normal 2 3 2 2 3 2" xfId="9590" xr:uid="{EBEF2856-0316-4A66-B8DD-EE1E4F06D755}"/>
    <cellStyle name="Normal 2 3 2 2 4" xfId="8259" xr:uid="{66807FA0-F850-45DC-983F-FDF2490418FE}"/>
    <cellStyle name="Normal 2 3 2 3" xfId="3753" xr:uid="{00000000-0005-0000-0000-0000DD110000}"/>
    <cellStyle name="Normal 2 3 2 3 2" xfId="4379" xr:uid="{00000000-0005-0000-0000-0000DE110000}"/>
    <cellStyle name="Normal 2 3 2 3 2 2" xfId="7547" xr:uid="{00000000-0005-0000-0000-0000DF110000}"/>
    <cellStyle name="Normal 2 3 2 3 2 2 2" xfId="10215" xr:uid="{10CF878A-83C2-4BC1-900C-D11F021503CE}"/>
    <cellStyle name="Normal 2 3 2 3 2 3" xfId="8884" xr:uid="{52B274AC-B592-48E9-9195-E04734D07E37}"/>
    <cellStyle name="Normal 2 3 2 3 3" xfId="6923" xr:uid="{00000000-0005-0000-0000-0000E0110000}"/>
    <cellStyle name="Normal 2 3 2 3 3 2" xfId="9591" xr:uid="{0D26CF6F-4FEE-428D-A304-E2C18FB56613}"/>
    <cellStyle name="Normal 2 3 2 3 4" xfId="8260" xr:uid="{6CB1A904-4DE5-4C3D-B289-3D08C4A53134}"/>
    <cellStyle name="Normal 2 3 2 4" xfId="4377" xr:uid="{00000000-0005-0000-0000-0000E1110000}"/>
    <cellStyle name="Normal 2 3 2 4 2" xfId="7545" xr:uid="{00000000-0005-0000-0000-0000E2110000}"/>
    <cellStyle name="Normal 2 3 2 4 2 2" xfId="10213" xr:uid="{A5663AB1-7E74-4FF4-A8B3-FCD7AA06811E}"/>
    <cellStyle name="Normal 2 3 2 4 3" xfId="8882" xr:uid="{20C009AF-D650-4E40-ABF0-FA6C4DD0452F}"/>
    <cellStyle name="Normal 2 3 2 5" xfId="6921" xr:uid="{00000000-0005-0000-0000-0000E3110000}"/>
    <cellStyle name="Normal 2 3 2 5 2" xfId="9589" xr:uid="{5AB86620-4BC9-46AF-ACB9-7B98123DE5E4}"/>
    <cellStyle name="Normal 2 3 2 6" xfId="8258" xr:uid="{18B0DD05-7CD9-4E2B-AFF8-DF9DE4A78FA0}"/>
    <cellStyle name="Normal 2 3 3" xfId="3754" xr:uid="{00000000-0005-0000-0000-0000E4110000}"/>
    <cellStyle name="Normal 2 3 3 2" xfId="4380" xr:uid="{00000000-0005-0000-0000-0000E5110000}"/>
    <cellStyle name="Normal 2 3 3 2 2" xfId="7548" xr:uid="{00000000-0005-0000-0000-0000E6110000}"/>
    <cellStyle name="Normal 2 3 3 2 2 2" xfId="10216" xr:uid="{289AAB27-4789-4829-B194-A0DE8D55AB5F}"/>
    <cellStyle name="Normal 2 3 3 2 3" xfId="8885" xr:uid="{5F1222DD-5D1F-4E44-B5A7-143325E4685D}"/>
    <cellStyle name="Normal 2 3 3 3" xfId="6924" xr:uid="{00000000-0005-0000-0000-0000E7110000}"/>
    <cellStyle name="Normal 2 3 3 3 2" xfId="9592" xr:uid="{A0ECDA0B-C705-45A2-A775-2B7860968644}"/>
    <cellStyle name="Normal 2 3 3 4" xfId="8261" xr:uid="{CEC04F27-C58E-4B40-944B-2BBE4B69F9F4}"/>
    <cellStyle name="Normal 2 3 4" xfId="3755" xr:uid="{00000000-0005-0000-0000-0000E8110000}"/>
    <cellStyle name="Normal 2 3 4 2" xfId="4381" xr:uid="{00000000-0005-0000-0000-0000E9110000}"/>
    <cellStyle name="Normal 2 3 4 2 2" xfId="7549" xr:uid="{00000000-0005-0000-0000-0000EA110000}"/>
    <cellStyle name="Normal 2 3 4 2 2 2" xfId="10217" xr:uid="{F6EE70B2-F266-45E5-8A4F-119FFD35DE67}"/>
    <cellStyle name="Normal 2 3 4 2 3" xfId="8886" xr:uid="{C340BEE1-C772-4077-8E00-85D721831803}"/>
    <cellStyle name="Normal 2 3 4 3" xfId="6925" xr:uid="{00000000-0005-0000-0000-0000EB110000}"/>
    <cellStyle name="Normal 2 3 4 3 2" xfId="9593" xr:uid="{3A6307BE-5D38-435F-A90D-1B4CF4B0815A}"/>
    <cellStyle name="Normal 2 3 4 4" xfId="8262" xr:uid="{AB282937-1FE9-4C59-B230-315BC1E69D8C}"/>
    <cellStyle name="Normal 2 3 5" xfId="3756" xr:uid="{00000000-0005-0000-0000-0000EC110000}"/>
    <cellStyle name="Normal 2 3 5 2" xfId="4382" xr:uid="{00000000-0005-0000-0000-0000ED110000}"/>
    <cellStyle name="Normal 2 3 5 2 2" xfId="7550" xr:uid="{00000000-0005-0000-0000-0000EE110000}"/>
    <cellStyle name="Normal 2 3 5 2 2 2" xfId="10218" xr:uid="{CA59A58A-AC69-49FC-92BA-F3B305E893B4}"/>
    <cellStyle name="Normal 2 3 5 2 3" xfId="8887" xr:uid="{17DF70D1-1EEC-4DF2-A1FB-42AB3D3FD8DE}"/>
    <cellStyle name="Normal 2 3 5 3" xfId="6926" xr:uid="{00000000-0005-0000-0000-0000EF110000}"/>
    <cellStyle name="Normal 2 3 5 3 2" xfId="9594" xr:uid="{7166ED28-D470-4BA4-9B7A-A4673F285A16}"/>
    <cellStyle name="Normal 2 3 5 4" xfId="8263" xr:uid="{3AE44E99-A519-4C1C-A6D9-5694970AA6EC}"/>
    <cellStyle name="Normal 2 3 6" xfId="3757" xr:uid="{00000000-0005-0000-0000-0000F0110000}"/>
    <cellStyle name="Normal 2 3 6 2" xfId="4383" xr:uid="{00000000-0005-0000-0000-0000F1110000}"/>
    <cellStyle name="Normal 2 3 6 2 2" xfId="7551" xr:uid="{00000000-0005-0000-0000-0000F2110000}"/>
    <cellStyle name="Normal 2 3 6 2 2 2" xfId="10219" xr:uid="{C82F781C-CE89-4BE6-A114-9371148D0FE7}"/>
    <cellStyle name="Normal 2 3 6 2 3" xfId="8888" xr:uid="{2CFB4FAF-18D4-407F-B69E-006E3520CC28}"/>
    <cellStyle name="Normal 2 3 6 3" xfId="6927" xr:uid="{00000000-0005-0000-0000-0000F3110000}"/>
    <cellStyle name="Normal 2 3 6 3 2" xfId="9595" xr:uid="{9E4AEF99-5E36-442F-A5F7-017C8B70837F}"/>
    <cellStyle name="Normal 2 3 6 4" xfId="8264" xr:uid="{227B7732-31AC-4EC6-80E5-A211D2CFC99E}"/>
    <cellStyle name="Normal 2 3 7" xfId="3750" xr:uid="{00000000-0005-0000-0000-0000F4110000}"/>
    <cellStyle name="Normal 2 3 7 2" xfId="4376" xr:uid="{00000000-0005-0000-0000-0000F5110000}"/>
    <cellStyle name="Normal 2 3 7 2 2" xfId="7544" xr:uid="{00000000-0005-0000-0000-0000F6110000}"/>
    <cellStyle name="Normal 2 3 7 2 2 2" xfId="10212" xr:uid="{D3B0D80E-82EA-462D-B19B-CB00133099A9}"/>
    <cellStyle name="Normal 2 3 7 2 3" xfId="8881" xr:uid="{9BA43EED-FE90-498C-A24D-7054CE75DAC6}"/>
    <cellStyle name="Normal 2 3 7 3" xfId="6920" xr:uid="{00000000-0005-0000-0000-0000F7110000}"/>
    <cellStyle name="Normal 2 3 7 3 2" xfId="9588" xr:uid="{DECE10DE-706B-4F2A-9125-B4849FD3C8B7}"/>
    <cellStyle name="Normal 2 3 7 4" xfId="8257" xr:uid="{E4B1FAB0-BB31-4357-B28C-574D2366819D}"/>
    <cellStyle name="Normal 2 3 8" xfId="3378" xr:uid="{00000000-0005-0000-0000-0000F8110000}"/>
    <cellStyle name="Normal 2 4" xfId="981" xr:uid="{00000000-0005-0000-0000-0000F9110000}"/>
    <cellStyle name="Normal 2 4 2" xfId="2614" xr:uid="{00000000-0005-0000-0000-0000FA110000}"/>
    <cellStyle name="Normal 2 4 2 2" xfId="3760" xr:uid="{00000000-0005-0000-0000-0000FB110000}"/>
    <cellStyle name="Normal 2 4 2 2 2" xfId="4386" xr:uid="{00000000-0005-0000-0000-0000FC110000}"/>
    <cellStyle name="Normal 2 4 2 2 2 2" xfId="7554" xr:uid="{00000000-0005-0000-0000-0000FD110000}"/>
    <cellStyle name="Normal 2 4 2 2 2 2 2" xfId="10222" xr:uid="{ED1BD449-1E40-459D-B7CF-AA918F2331DD}"/>
    <cellStyle name="Normal 2 4 2 2 2 3" xfId="8891" xr:uid="{EF3EEE28-C8F6-4C50-826A-A4293CFDE275}"/>
    <cellStyle name="Normal 2 4 2 2 3" xfId="6930" xr:uid="{00000000-0005-0000-0000-0000FE110000}"/>
    <cellStyle name="Normal 2 4 2 2 3 2" xfId="9598" xr:uid="{7E2BA6FF-59A1-4E68-87D8-107F4DBFAB52}"/>
    <cellStyle name="Normal 2 4 2 2 4" xfId="8267" xr:uid="{D01A6A60-1C7D-4025-8588-4F1F7353939A}"/>
    <cellStyle name="Normal 2 4 2 3" xfId="3761" xr:uid="{00000000-0005-0000-0000-0000FF110000}"/>
    <cellStyle name="Normal 2 4 2 3 2" xfId="4387" xr:uid="{00000000-0005-0000-0000-000000120000}"/>
    <cellStyle name="Normal 2 4 2 3 2 2" xfId="7555" xr:uid="{00000000-0005-0000-0000-000001120000}"/>
    <cellStyle name="Normal 2 4 2 3 2 2 2" xfId="10223" xr:uid="{E50E3EA3-B66E-4C4B-A2B6-730BEEFC8C4F}"/>
    <cellStyle name="Normal 2 4 2 3 2 3" xfId="8892" xr:uid="{3AAB4F99-2E67-44AD-9DA9-52A37ABB09F5}"/>
    <cellStyle name="Normal 2 4 2 3 3" xfId="6931" xr:uid="{00000000-0005-0000-0000-000002120000}"/>
    <cellStyle name="Normal 2 4 2 3 3 2" xfId="9599" xr:uid="{54975720-A055-452B-AA8A-7EE490CF1ABA}"/>
    <cellStyle name="Normal 2 4 2 3 4" xfId="8268" xr:uid="{02BE0884-DB54-4FC2-8FB8-3E88C8DA31AE}"/>
    <cellStyle name="Normal 2 4 2 4" xfId="4385" xr:uid="{00000000-0005-0000-0000-000003120000}"/>
    <cellStyle name="Normal 2 4 2 4 2" xfId="7553" xr:uid="{00000000-0005-0000-0000-000004120000}"/>
    <cellStyle name="Normal 2 4 2 4 2 2" xfId="10221" xr:uid="{7E24936A-C686-4218-8864-FFC5EB3E7DC6}"/>
    <cellStyle name="Normal 2 4 2 4 3" xfId="8890" xr:uid="{0AB8312C-D9EE-4FE0-9D91-BE17FFE2A5E6}"/>
    <cellStyle name="Normal 2 4 2 5" xfId="3759" xr:uid="{00000000-0005-0000-0000-000005120000}"/>
    <cellStyle name="Normal 2 4 2 5 2" xfId="6929" xr:uid="{00000000-0005-0000-0000-000006120000}"/>
    <cellStyle name="Normal 2 4 2 5 2 2" xfId="9597" xr:uid="{056228F6-2AC7-48AA-BBDF-3EB1F95B5D5F}"/>
    <cellStyle name="Normal 2 4 2 5 3" xfId="8266" xr:uid="{FDAA6CD0-28F0-45DA-8AE6-9C64DBA57304}"/>
    <cellStyle name="Normal 2 4 3" xfId="3762" xr:uid="{00000000-0005-0000-0000-000007120000}"/>
    <cellStyle name="Normal 2 4 3 2" xfId="4388" xr:uid="{00000000-0005-0000-0000-000008120000}"/>
    <cellStyle name="Normal 2 4 3 2 2" xfId="7556" xr:uid="{00000000-0005-0000-0000-000009120000}"/>
    <cellStyle name="Normal 2 4 3 2 2 2" xfId="10224" xr:uid="{FB6AB03E-C6CC-4F20-9B0D-1636A026B305}"/>
    <cellStyle name="Normal 2 4 3 2 3" xfId="8893" xr:uid="{A3274B64-15A2-4B00-A155-49659A0E4EC4}"/>
    <cellStyle name="Normal 2 4 3 3" xfId="6932" xr:uid="{00000000-0005-0000-0000-00000A120000}"/>
    <cellStyle name="Normal 2 4 3 3 2" xfId="9600" xr:uid="{F9A7264D-E3EF-48F6-B71E-2DBFFD97AC01}"/>
    <cellStyle name="Normal 2 4 3 4" xfId="8269" xr:uid="{5D1B23F6-6703-473C-B481-ADE51B20CF11}"/>
    <cellStyle name="Normal 2 4 4" xfId="3763" xr:uid="{00000000-0005-0000-0000-00000B120000}"/>
    <cellStyle name="Normal 2 4 4 2" xfId="4389" xr:uid="{00000000-0005-0000-0000-00000C120000}"/>
    <cellStyle name="Normal 2 4 4 2 2" xfId="7557" xr:uid="{00000000-0005-0000-0000-00000D120000}"/>
    <cellStyle name="Normal 2 4 4 2 2 2" xfId="10225" xr:uid="{D80B25F9-5903-435E-A103-58EE4B7CE858}"/>
    <cellStyle name="Normal 2 4 4 2 3" xfId="8894" xr:uid="{A3F52367-F4FE-46C0-BED3-D549D545D439}"/>
    <cellStyle name="Normal 2 4 4 3" xfId="6933" xr:uid="{00000000-0005-0000-0000-00000E120000}"/>
    <cellStyle name="Normal 2 4 4 3 2" xfId="9601" xr:uid="{F246DC83-9016-4D3E-8807-0CB87C07FFD1}"/>
    <cellStyle name="Normal 2 4 4 4" xfId="8270" xr:uid="{8045F584-6AFF-4ABD-8409-18CFAC1BD4B9}"/>
    <cellStyle name="Normal 2 4 5" xfId="3764" xr:uid="{00000000-0005-0000-0000-00000F120000}"/>
    <cellStyle name="Normal 2 4 5 2" xfId="4390" xr:uid="{00000000-0005-0000-0000-000010120000}"/>
    <cellStyle name="Normal 2 4 5 2 2" xfId="7558" xr:uid="{00000000-0005-0000-0000-000011120000}"/>
    <cellStyle name="Normal 2 4 5 2 2 2" xfId="10226" xr:uid="{427EBAC2-B6CB-4CAA-879A-945C1C97D056}"/>
    <cellStyle name="Normal 2 4 5 2 3" xfId="8895" xr:uid="{3B40387E-7FA0-4AA8-A999-9936CB1728D0}"/>
    <cellStyle name="Normal 2 4 5 3" xfId="6934" xr:uid="{00000000-0005-0000-0000-000012120000}"/>
    <cellStyle name="Normal 2 4 5 3 2" xfId="9602" xr:uid="{3E855A2A-1F6C-4006-A991-0DE50843E370}"/>
    <cellStyle name="Normal 2 4 5 4" xfId="8271" xr:uid="{FD08F4D5-1206-41EE-8DE5-BC65599ED136}"/>
    <cellStyle name="Normal 2 4 6" xfId="3765" xr:uid="{00000000-0005-0000-0000-000013120000}"/>
    <cellStyle name="Normal 2 4 6 2" xfId="4391" xr:uid="{00000000-0005-0000-0000-000014120000}"/>
    <cellStyle name="Normal 2 4 6 2 2" xfId="7559" xr:uid="{00000000-0005-0000-0000-000015120000}"/>
    <cellStyle name="Normal 2 4 6 2 2 2" xfId="10227" xr:uid="{C5994522-50C8-4002-8EC6-60043A318A52}"/>
    <cellStyle name="Normal 2 4 6 2 3" xfId="8896" xr:uid="{72ABA93C-AAF2-4B21-A18B-6991DBAF6823}"/>
    <cellStyle name="Normal 2 4 6 3" xfId="6935" xr:uid="{00000000-0005-0000-0000-000016120000}"/>
    <cellStyle name="Normal 2 4 6 3 2" xfId="9603" xr:uid="{C2DF3CCD-067A-4F2A-93DB-5A5C1AC13A40}"/>
    <cellStyle name="Normal 2 4 6 4" xfId="8272" xr:uid="{1EAF5201-508C-4C1D-A628-CF01D8419322}"/>
    <cellStyle name="Normal 2 4 7" xfId="3758" xr:uid="{00000000-0005-0000-0000-000017120000}"/>
    <cellStyle name="Normal 2 4 7 2" xfId="4384" xr:uid="{00000000-0005-0000-0000-000018120000}"/>
    <cellStyle name="Normal 2 4 7 2 2" xfId="7552" xr:uid="{00000000-0005-0000-0000-000019120000}"/>
    <cellStyle name="Normal 2 4 7 2 2 2" xfId="10220" xr:uid="{01DC96CF-A73E-462F-A98F-328E04BD325E}"/>
    <cellStyle name="Normal 2 4 7 2 3" xfId="8889" xr:uid="{01D59A05-8D28-4605-A5C9-5056C5B9DA4B}"/>
    <cellStyle name="Normal 2 4 7 3" xfId="6928" xr:uid="{00000000-0005-0000-0000-00001A120000}"/>
    <cellStyle name="Normal 2 4 7 3 2" xfId="9596" xr:uid="{599A49BE-DD29-41C5-AC0B-3734F01BD40D}"/>
    <cellStyle name="Normal 2 4 7 4" xfId="8265" xr:uid="{D19BAA56-C363-4466-A382-FAF707609D87}"/>
    <cellStyle name="Normal 2 4 8" xfId="3379" xr:uid="{00000000-0005-0000-0000-00001B120000}"/>
    <cellStyle name="Normal 2 5" xfId="2612" xr:uid="{00000000-0005-0000-0000-00001C120000}"/>
    <cellStyle name="Normal 2 5 2" xfId="3767" xr:uid="{00000000-0005-0000-0000-00001D120000}"/>
    <cellStyle name="Normal 2 5 2 2" xfId="3768" xr:uid="{00000000-0005-0000-0000-00001E120000}"/>
    <cellStyle name="Normal 2 5 2 2 2" xfId="4394" xr:uid="{00000000-0005-0000-0000-00001F120000}"/>
    <cellStyle name="Normal 2 5 2 2 2 2" xfId="7562" xr:uid="{00000000-0005-0000-0000-000020120000}"/>
    <cellStyle name="Normal 2 5 2 2 2 2 2" xfId="10230" xr:uid="{9063E7C4-3F06-4FF9-9106-75BB66C357D0}"/>
    <cellStyle name="Normal 2 5 2 2 2 3" xfId="8899" xr:uid="{93FAF61F-7C0A-46E4-A311-9FA6FA435E68}"/>
    <cellStyle name="Normal 2 5 2 2 3" xfId="6938" xr:uid="{00000000-0005-0000-0000-000021120000}"/>
    <cellStyle name="Normal 2 5 2 2 3 2" xfId="9606" xr:uid="{74967423-8E98-49FC-8290-CB66D3E1728D}"/>
    <cellStyle name="Normal 2 5 2 2 4" xfId="8275" xr:uid="{923BB850-526F-4253-B1B0-6982B4F3C874}"/>
    <cellStyle name="Normal 2 5 2 3" xfId="3769" xr:uid="{00000000-0005-0000-0000-000022120000}"/>
    <cellStyle name="Normal 2 5 2 3 2" xfId="4395" xr:uid="{00000000-0005-0000-0000-000023120000}"/>
    <cellStyle name="Normal 2 5 2 3 2 2" xfId="7563" xr:uid="{00000000-0005-0000-0000-000024120000}"/>
    <cellStyle name="Normal 2 5 2 3 2 2 2" xfId="10231" xr:uid="{869B9074-46FD-4D4F-AC7C-BC70D9FC31A3}"/>
    <cellStyle name="Normal 2 5 2 3 2 3" xfId="8900" xr:uid="{2FC5F39C-C710-4CF9-9C06-A0104FE8ADD5}"/>
    <cellStyle name="Normal 2 5 2 3 3" xfId="6939" xr:uid="{00000000-0005-0000-0000-000025120000}"/>
    <cellStyle name="Normal 2 5 2 3 3 2" xfId="9607" xr:uid="{8F6F553C-521B-429D-84BA-6DAF3178636B}"/>
    <cellStyle name="Normal 2 5 2 3 4" xfId="8276" xr:uid="{22926E51-FD40-4475-8984-BAA763A24E81}"/>
    <cellStyle name="Normal 2 5 2 4" xfId="4393" xr:uid="{00000000-0005-0000-0000-000026120000}"/>
    <cellStyle name="Normal 2 5 2 4 2" xfId="7561" xr:uid="{00000000-0005-0000-0000-000027120000}"/>
    <cellStyle name="Normal 2 5 2 4 2 2" xfId="10229" xr:uid="{DADD5D0A-D2EF-4CAC-B38A-89F88317D091}"/>
    <cellStyle name="Normal 2 5 2 4 3" xfId="8898" xr:uid="{BEE50C23-02A4-447A-8F92-9F4F4CE567D6}"/>
    <cellStyle name="Normal 2 5 2 5" xfId="6937" xr:uid="{00000000-0005-0000-0000-000028120000}"/>
    <cellStyle name="Normal 2 5 2 5 2" xfId="9605" xr:uid="{B53192E5-90F3-4E2D-BE61-32FB9896EB72}"/>
    <cellStyle name="Normal 2 5 2 6" xfId="8274" xr:uid="{44B0925D-2BD6-4040-8818-2EC8A83D9B2A}"/>
    <cellStyle name="Normal 2 5 3" xfId="3770" xr:uid="{00000000-0005-0000-0000-000029120000}"/>
    <cellStyle name="Normal 2 5 3 2" xfId="4396" xr:uid="{00000000-0005-0000-0000-00002A120000}"/>
    <cellStyle name="Normal 2 5 3 2 2" xfId="7564" xr:uid="{00000000-0005-0000-0000-00002B120000}"/>
    <cellStyle name="Normal 2 5 3 2 2 2" xfId="10232" xr:uid="{853E4098-C255-4B36-858D-296D5AB5B90D}"/>
    <cellStyle name="Normal 2 5 3 2 3" xfId="8901" xr:uid="{47E1DDC7-A324-482D-BE7A-327F235D3D5C}"/>
    <cellStyle name="Normal 2 5 3 3" xfId="6940" xr:uid="{00000000-0005-0000-0000-00002C120000}"/>
    <cellStyle name="Normal 2 5 3 3 2" xfId="9608" xr:uid="{B15F83BA-E2FA-4018-A7E2-E1EF5536E3B7}"/>
    <cellStyle name="Normal 2 5 3 4" xfId="8277" xr:uid="{7DFA8001-CDC9-49F4-B13C-35027C55F168}"/>
    <cellStyle name="Normal 2 5 4" xfId="3771" xr:uid="{00000000-0005-0000-0000-00002D120000}"/>
    <cellStyle name="Normal 2 5 4 2" xfId="4397" xr:uid="{00000000-0005-0000-0000-00002E120000}"/>
    <cellStyle name="Normal 2 5 4 2 2" xfId="7565" xr:uid="{00000000-0005-0000-0000-00002F120000}"/>
    <cellStyle name="Normal 2 5 4 2 2 2" xfId="10233" xr:uid="{04587533-FFC8-4EE8-A2B0-3A4E0BB31F00}"/>
    <cellStyle name="Normal 2 5 4 2 3" xfId="8902" xr:uid="{6345F180-7F42-4D82-A158-A0400ADD8AAF}"/>
    <cellStyle name="Normal 2 5 4 3" xfId="6941" xr:uid="{00000000-0005-0000-0000-000030120000}"/>
    <cellStyle name="Normal 2 5 4 3 2" xfId="9609" xr:uid="{82BC9A50-F9AA-46A6-B811-21B6D6A8CC0D}"/>
    <cellStyle name="Normal 2 5 4 4" xfId="8278" xr:uid="{8AF5C30F-26A3-471A-8D9D-229AF005199F}"/>
    <cellStyle name="Normal 2 5 5" xfId="3772" xr:uid="{00000000-0005-0000-0000-000031120000}"/>
    <cellStyle name="Normal 2 5 5 2" xfId="4398" xr:uid="{00000000-0005-0000-0000-000032120000}"/>
    <cellStyle name="Normal 2 5 5 2 2" xfId="7566" xr:uid="{00000000-0005-0000-0000-000033120000}"/>
    <cellStyle name="Normal 2 5 5 2 2 2" xfId="10234" xr:uid="{6E0CEF26-11B4-4982-A8F5-2102EA7715B0}"/>
    <cellStyle name="Normal 2 5 5 2 3" xfId="8903" xr:uid="{EC641D23-BA1C-46B2-A56C-3B07EE986416}"/>
    <cellStyle name="Normal 2 5 5 3" xfId="6942" xr:uid="{00000000-0005-0000-0000-000034120000}"/>
    <cellStyle name="Normal 2 5 5 3 2" xfId="9610" xr:uid="{9D5E2CB9-0748-4ED5-80F9-5014613D8257}"/>
    <cellStyle name="Normal 2 5 5 4" xfId="8279" xr:uid="{73433B48-64D4-4640-B642-97941065696E}"/>
    <cellStyle name="Normal 2 5 6" xfId="3766" xr:uid="{00000000-0005-0000-0000-000035120000}"/>
    <cellStyle name="Normal 2 5 6 2" xfId="4392" xr:uid="{00000000-0005-0000-0000-000036120000}"/>
    <cellStyle name="Normal 2 5 6 2 2" xfId="7560" xr:uid="{00000000-0005-0000-0000-000037120000}"/>
    <cellStyle name="Normal 2 5 6 2 2 2" xfId="10228" xr:uid="{E8E4808B-BB68-4168-932A-7DE93B39DD1F}"/>
    <cellStyle name="Normal 2 5 6 2 3" xfId="8897" xr:uid="{C00E7A83-4181-4CED-944B-0B81016D8F0A}"/>
    <cellStyle name="Normal 2 5 6 3" xfId="6936" xr:uid="{00000000-0005-0000-0000-000038120000}"/>
    <cellStyle name="Normal 2 5 6 3 2" xfId="9604" xr:uid="{11735556-CC31-4ACF-AF4F-E0CA3CBF85E0}"/>
    <cellStyle name="Normal 2 5 6 4" xfId="8273" xr:uid="{8424BA67-24EA-4DED-BBE3-25F7F8A79B64}"/>
    <cellStyle name="Normal 2 5 7" xfId="3380" xr:uid="{00000000-0005-0000-0000-000039120000}"/>
    <cellStyle name="Normal 2 6" xfId="3389" xr:uid="{00000000-0005-0000-0000-00003A120000}"/>
    <cellStyle name="Normal 2 6 2" xfId="3774" xr:uid="{00000000-0005-0000-0000-00003B120000}"/>
    <cellStyle name="Normal 2 6 2 2" xfId="3775" xr:uid="{00000000-0005-0000-0000-00003C120000}"/>
    <cellStyle name="Normal 2 6 2 2 2" xfId="4401" xr:uid="{00000000-0005-0000-0000-00003D120000}"/>
    <cellStyle name="Normal 2 6 2 2 2 2" xfId="7569" xr:uid="{00000000-0005-0000-0000-00003E120000}"/>
    <cellStyle name="Normal 2 6 2 2 2 2 2" xfId="10237" xr:uid="{C44CA8BA-2BE8-4CEC-BF8F-9F1F302CCC93}"/>
    <cellStyle name="Normal 2 6 2 2 2 3" xfId="8906" xr:uid="{198FBDD4-7805-4958-9460-62F55621A628}"/>
    <cellStyle name="Normal 2 6 2 2 3" xfId="6945" xr:uid="{00000000-0005-0000-0000-00003F120000}"/>
    <cellStyle name="Normal 2 6 2 2 3 2" xfId="9613" xr:uid="{02CD130A-451F-4377-AA67-BE07630ADD5F}"/>
    <cellStyle name="Normal 2 6 2 2 4" xfId="8282" xr:uid="{EA86BF2A-76A9-465F-B0F7-A6C80A144A98}"/>
    <cellStyle name="Normal 2 6 2 3" xfId="3776" xr:uid="{00000000-0005-0000-0000-000040120000}"/>
    <cellStyle name="Normal 2 6 2 3 2" xfId="4402" xr:uid="{00000000-0005-0000-0000-000041120000}"/>
    <cellStyle name="Normal 2 6 2 3 2 2" xfId="7570" xr:uid="{00000000-0005-0000-0000-000042120000}"/>
    <cellStyle name="Normal 2 6 2 3 2 2 2" xfId="10238" xr:uid="{2EC03FC6-C4D3-46D0-A24C-B76DC8A4C545}"/>
    <cellStyle name="Normal 2 6 2 3 2 3" xfId="8907" xr:uid="{D8E0F64D-D58F-4757-AF41-74E8A800ADDF}"/>
    <cellStyle name="Normal 2 6 2 3 3" xfId="6946" xr:uid="{00000000-0005-0000-0000-000043120000}"/>
    <cellStyle name="Normal 2 6 2 3 3 2" xfId="9614" xr:uid="{ED40BAC0-2E8E-4583-BE6B-353D9308D7E9}"/>
    <cellStyle name="Normal 2 6 2 3 4" xfId="8283" xr:uid="{905A7D62-7043-4D09-9F88-CB1FB4E2096C}"/>
    <cellStyle name="Normal 2 6 2 4" xfId="4400" xr:uid="{00000000-0005-0000-0000-000044120000}"/>
    <cellStyle name="Normal 2 6 2 4 2" xfId="7568" xr:uid="{00000000-0005-0000-0000-000045120000}"/>
    <cellStyle name="Normal 2 6 2 4 2 2" xfId="10236" xr:uid="{E0E15178-79E0-4479-8B23-5A848A077863}"/>
    <cellStyle name="Normal 2 6 2 4 3" xfId="8905" xr:uid="{527FC765-16C2-49D9-8CB1-5461A485C99A}"/>
    <cellStyle name="Normal 2 6 2 5" xfId="6944" xr:uid="{00000000-0005-0000-0000-000046120000}"/>
    <cellStyle name="Normal 2 6 2 5 2" xfId="9612" xr:uid="{AE33340D-F546-46E2-AB33-FDFBD11AF73E}"/>
    <cellStyle name="Normal 2 6 2 6" xfId="8281" xr:uid="{5E4C8D76-C26D-455F-B964-3D00890AD607}"/>
    <cellStyle name="Normal 2 6 3" xfId="3777" xr:uid="{00000000-0005-0000-0000-000047120000}"/>
    <cellStyle name="Normal 2 6 3 2" xfId="4403" xr:uid="{00000000-0005-0000-0000-000048120000}"/>
    <cellStyle name="Normal 2 6 3 2 2" xfId="7571" xr:uid="{00000000-0005-0000-0000-000049120000}"/>
    <cellStyle name="Normal 2 6 3 2 2 2" xfId="10239" xr:uid="{3E3EDFB5-CAC2-4B50-98B0-57F866636F1D}"/>
    <cellStyle name="Normal 2 6 3 2 3" xfId="8908" xr:uid="{A7C13A8D-AE65-49A0-A381-A7DE168211A7}"/>
    <cellStyle name="Normal 2 6 3 3" xfId="6947" xr:uid="{00000000-0005-0000-0000-00004A120000}"/>
    <cellStyle name="Normal 2 6 3 3 2" xfId="9615" xr:uid="{7F690E6F-51C9-46BA-AC16-2457E23C43F3}"/>
    <cellStyle name="Normal 2 6 3 4" xfId="8284" xr:uid="{CCEC8270-24EE-46BF-B5EF-04921716E600}"/>
    <cellStyle name="Normal 2 6 4" xfId="3778" xr:uid="{00000000-0005-0000-0000-00004B120000}"/>
    <cellStyle name="Normal 2 6 4 2" xfId="4404" xr:uid="{00000000-0005-0000-0000-00004C120000}"/>
    <cellStyle name="Normal 2 6 4 2 2" xfId="7572" xr:uid="{00000000-0005-0000-0000-00004D120000}"/>
    <cellStyle name="Normal 2 6 4 2 2 2" xfId="10240" xr:uid="{CB08770C-47D9-43BA-8DF8-740EB0863C21}"/>
    <cellStyle name="Normal 2 6 4 2 3" xfId="8909" xr:uid="{4029D534-4373-4CBC-A475-4CE571CEFE44}"/>
    <cellStyle name="Normal 2 6 4 3" xfId="6948" xr:uid="{00000000-0005-0000-0000-00004E120000}"/>
    <cellStyle name="Normal 2 6 4 3 2" xfId="9616" xr:uid="{D3FE930F-FBE1-4D19-8188-1AF4B70CCC9B}"/>
    <cellStyle name="Normal 2 6 4 4" xfId="8285" xr:uid="{6764B12E-F18B-4606-949A-CB6BB6F8E5EF}"/>
    <cellStyle name="Normal 2 6 5" xfId="3779" xr:uid="{00000000-0005-0000-0000-00004F120000}"/>
    <cellStyle name="Normal 2 6 5 2" xfId="4405" xr:uid="{00000000-0005-0000-0000-000050120000}"/>
    <cellStyle name="Normal 2 6 5 2 2" xfId="7573" xr:uid="{00000000-0005-0000-0000-000051120000}"/>
    <cellStyle name="Normal 2 6 5 2 2 2" xfId="10241" xr:uid="{7BB8B7BC-CBB4-43A9-AF8D-D1B9A5D7E7E8}"/>
    <cellStyle name="Normal 2 6 5 2 3" xfId="8910" xr:uid="{109F606F-C9A5-4CFF-A240-C8844E2A6DBD}"/>
    <cellStyle name="Normal 2 6 5 3" xfId="6949" xr:uid="{00000000-0005-0000-0000-000052120000}"/>
    <cellStyle name="Normal 2 6 5 3 2" xfId="9617" xr:uid="{5AE9EF25-CDF4-4FF8-81B1-A8A8D8B69550}"/>
    <cellStyle name="Normal 2 6 5 4" xfId="8286" xr:uid="{6A37F848-EF39-4019-80A9-70F2C8578E1E}"/>
    <cellStyle name="Normal 2 6 6" xfId="3773" xr:uid="{00000000-0005-0000-0000-000053120000}"/>
    <cellStyle name="Normal 2 6 6 2" xfId="4399" xr:uid="{00000000-0005-0000-0000-000054120000}"/>
    <cellStyle name="Normal 2 6 6 2 2" xfId="7567" xr:uid="{00000000-0005-0000-0000-000055120000}"/>
    <cellStyle name="Normal 2 6 6 2 2 2" xfId="10235" xr:uid="{D90D57F7-D6EC-4170-BF93-7A7F28E94B53}"/>
    <cellStyle name="Normal 2 6 6 2 3" xfId="8904" xr:uid="{C7CF772B-102B-4307-8A79-AA8C22E37694}"/>
    <cellStyle name="Normal 2 6 6 3" xfId="6943" xr:uid="{00000000-0005-0000-0000-000056120000}"/>
    <cellStyle name="Normal 2 6 6 3 2" xfId="9611" xr:uid="{86F56C73-103C-404A-A0AC-0D4778DEBB27}"/>
    <cellStyle name="Normal 2 6 6 4" xfId="8280" xr:uid="{39D97D02-8673-4A7B-B8E4-0F64F9246C06}"/>
    <cellStyle name="Normal 2 7" xfId="3780" xr:uid="{00000000-0005-0000-0000-000057120000}"/>
    <cellStyle name="Normal 2 7 2" xfId="3781" xr:uid="{00000000-0005-0000-0000-000058120000}"/>
    <cellStyle name="Normal 2 7 2 2" xfId="3782" xr:uid="{00000000-0005-0000-0000-000059120000}"/>
    <cellStyle name="Normal 2 7 2 2 2" xfId="4408" xr:uid="{00000000-0005-0000-0000-00005A120000}"/>
    <cellStyle name="Normal 2 7 2 2 2 2" xfId="7576" xr:uid="{00000000-0005-0000-0000-00005B120000}"/>
    <cellStyle name="Normal 2 7 2 2 2 2 2" xfId="10244" xr:uid="{3B2C2949-83D0-40F9-BDAF-3972C8882042}"/>
    <cellStyle name="Normal 2 7 2 2 2 3" xfId="8913" xr:uid="{8F7E4E2D-ED1E-42FB-AED7-AB29D9E0D2FA}"/>
    <cellStyle name="Normal 2 7 2 2 3" xfId="6952" xr:uid="{00000000-0005-0000-0000-00005C120000}"/>
    <cellStyle name="Normal 2 7 2 2 3 2" xfId="9620" xr:uid="{36E80065-CFE0-496C-913A-B0F413FE57F8}"/>
    <cellStyle name="Normal 2 7 2 2 4" xfId="8289" xr:uid="{5713C74A-E205-408B-90F0-16E35761A435}"/>
    <cellStyle name="Normal 2 7 2 3" xfId="3783" xr:uid="{00000000-0005-0000-0000-00005D120000}"/>
    <cellStyle name="Normal 2 7 2 3 2" xfId="4409" xr:uid="{00000000-0005-0000-0000-00005E120000}"/>
    <cellStyle name="Normal 2 7 2 3 2 2" xfId="7577" xr:uid="{00000000-0005-0000-0000-00005F120000}"/>
    <cellStyle name="Normal 2 7 2 3 2 2 2" xfId="10245" xr:uid="{705F8E12-18A8-45DA-B824-D68BA1CC8E72}"/>
    <cellStyle name="Normal 2 7 2 3 2 3" xfId="8914" xr:uid="{247E3639-4B48-48AB-9C5D-482F1973CF94}"/>
    <cellStyle name="Normal 2 7 2 3 3" xfId="6953" xr:uid="{00000000-0005-0000-0000-000060120000}"/>
    <cellStyle name="Normal 2 7 2 3 3 2" xfId="9621" xr:uid="{BE6A319F-6730-44D8-9FA9-FBDD4929D463}"/>
    <cellStyle name="Normal 2 7 2 3 4" xfId="8290" xr:uid="{BF32F6FB-6873-4C7B-A4BE-F85853374FD2}"/>
    <cellStyle name="Normal 2 7 2 4" xfId="4407" xr:uid="{00000000-0005-0000-0000-000061120000}"/>
    <cellStyle name="Normal 2 7 2 4 2" xfId="7575" xr:uid="{00000000-0005-0000-0000-000062120000}"/>
    <cellStyle name="Normal 2 7 2 4 2 2" xfId="10243" xr:uid="{67D57A34-CF31-4EFE-8545-7D33C50AFA42}"/>
    <cellStyle name="Normal 2 7 2 4 3" xfId="8912" xr:uid="{7E0BF573-ACF0-4133-9E15-2D71A12047BC}"/>
    <cellStyle name="Normal 2 7 2 5" xfId="6951" xr:uid="{00000000-0005-0000-0000-000063120000}"/>
    <cellStyle name="Normal 2 7 2 5 2" xfId="9619" xr:uid="{4A23C1B4-8874-4001-9798-634EA1D0CA30}"/>
    <cellStyle name="Normal 2 7 2 6" xfId="8288" xr:uid="{71FB78AC-6263-4562-9888-E1F78B0711AE}"/>
    <cellStyle name="Normal 2 7 3" xfId="3784" xr:uid="{00000000-0005-0000-0000-000064120000}"/>
    <cellStyle name="Normal 2 7 3 2" xfId="4410" xr:uid="{00000000-0005-0000-0000-000065120000}"/>
    <cellStyle name="Normal 2 7 3 2 2" xfId="7578" xr:uid="{00000000-0005-0000-0000-000066120000}"/>
    <cellStyle name="Normal 2 7 3 2 2 2" xfId="10246" xr:uid="{76BA9351-B436-4C5E-9CFE-26800BA8CA97}"/>
    <cellStyle name="Normal 2 7 3 2 3" xfId="8915" xr:uid="{5C987610-A533-4108-B285-5E4918DAEAD4}"/>
    <cellStyle name="Normal 2 7 3 3" xfId="6954" xr:uid="{00000000-0005-0000-0000-000067120000}"/>
    <cellStyle name="Normal 2 7 3 3 2" xfId="9622" xr:uid="{A1257602-E59E-4DE7-9BB9-FCA695DAB9F5}"/>
    <cellStyle name="Normal 2 7 3 4" xfId="8291" xr:uid="{4194E548-4602-4817-9D71-18B05B9C3D9F}"/>
    <cellStyle name="Normal 2 7 4" xfId="3785" xr:uid="{00000000-0005-0000-0000-000068120000}"/>
    <cellStyle name="Normal 2 7 4 2" xfId="4411" xr:uid="{00000000-0005-0000-0000-000069120000}"/>
    <cellStyle name="Normal 2 7 4 2 2" xfId="7579" xr:uid="{00000000-0005-0000-0000-00006A120000}"/>
    <cellStyle name="Normal 2 7 4 2 2 2" xfId="10247" xr:uid="{968351AC-7C30-4D68-9858-9E788D1860E5}"/>
    <cellStyle name="Normal 2 7 4 2 3" xfId="8916" xr:uid="{FC21025E-0453-4B46-8BE0-76765303C332}"/>
    <cellStyle name="Normal 2 7 4 3" xfId="6955" xr:uid="{00000000-0005-0000-0000-00006B120000}"/>
    <cellStyle name="Normal 2 7 4 3 2" xfId="9623" xr:uid="{E8141454-8B6E-46A4-AEAE-06A725B6E12E}"/>
    <cellStyle name="Normal 2 7 4 4" xfId="8292" xr:uid="{0C09D66D-AE3C-4D33-858F-D966F07F4E5E}"/>
    <cellStyle name="Normal 2 7 5" xfId="3786" xr:uid="{00000000-0005-0000-0000-00006C120000}"/>
    <cellStyle name="Normal 2 7 5 2" xfId="4412" xr:uid="{00000000-0005-0000-0000-00006D120000}"/>
    <cellStyle name="Normal 2 7 5 2 2" xfId="7580" xr:uid="{00000000-0005-0000-0000-00006E120000}"/>
    <cellStyle name="Normal 2 7 5 2 2 2" xfId="10248" xr:uid="{3846CB2D-2C6D-46EA-9980-D519CAFBED1C}"/>
    <cellStyle name="Normal 2 7 5 2 3" xfId="8917" xr:uid="{1872F608-8842-459A-BCB5-EAAE38BB47F0}"/>
    <cellStyle name="Normal 2 7 5 3" xfId="6956" xr:uid="{00000000-0005-0000-0000-00006F120000}"/>
    <cellStyle name="Normal 2 7 5 3 2" xfId="9624" xr:uid="{77244C75-63B2-4C44-8A21-BD77B735D6D5}"/>
    <cellStyle name="Normal 2 7 5 4" xfId="8293" xr:uid="{36A6E931-1D37-4FC1-A3F2-2CBF17ACE0B8}"/>
    <cellStyle name="Normal 2 7 6" xfId="4406" xr:uid="{00000000-0005-0000-0000-000070120000}"/>
    <cellStyle name="Normal 2 7 6 2" xfId="7574" xr:uid="{00000000-0005-0000-0000-000071120000}"/>
    <cellStyle name="Normal 2 7 6 2 2" xfId="10242" xr:uid="{27598EC0-E89F-4964-8B86-4A8DF8123C36}"/>
    <cellStyle name="Normal 2 7 6 3" xfId="8911" xr:uid="{706B7177-CD7F-41BF-9CFB-445A0C3A2A65}"/>
    <cellStyle name="Normal 2 7 7" xfId="6950" xr:uid="{00000000-0005-0000-0000-000072120000}"/>
    <cellStyle name="Normal 2 7 7 2" xfId="9618" xr:uid="{6D146211-232A-4537-A070-C291AF33C230}"/>
    <cellStyle name="Normal 2 7 8" xfId="8287" xr:uid="{4AF74153-E365-471F-8D40-E2B60BBCAB9E}"/>
    <cellStyle name="Normal 2 8" xfId="3787" xr:uid="{00000000-0005-0000-0000-000073120000}"/>
    <cellStyle name="Normal 2 8 2" xfId="3788" xr:uid="{00000000-0005-0000-0000-000074120000}"/>
    <cellStyle name="Normal 2 8 2 2" xfId="3789" xr:uid="{00000000-0005-0000-0000-000075120000}"/>
    <cellStyle name="Normal 2 8 2 2 2" xfId="4415" xr:uid="{00000000-0005-0000-0000-000076120000}"/>
    <cellStyle name="Normal 2 8 2 2 2 2" xfId="7583" xr:uid="{00000000-0005-0000-0000-000077120000}"/>
    <cellStyle name="Normal 2 8 2 2 2 2 2" xfId="10251" xr:uid="{E76B057D-D3B6-4431-87E8-B2F477380616}"/>
    <cellStyle name="Normal 2 8 2 2 2 3" xfId="8920" xr:uid="{88B5E4FD-78F8-4935-AA13-690699AE708B}"/>
    <cellStyle name="Normal 2 8 2 2 3" xfId="6959" xr:uid="{00000000-0005-0000-0000-000078120000}"/>
    <cellStyle name="Normal 2 8 2 2 3 2" xfId="9627" xr:uid="{93AF40C5-4FBE-43DE-8DE5-803A6CEA5A40}"/>
    <cellStyle name="Normal 2 8 2 2 4" xfId="8296" xr:uid="{43BBA94A-4AC7-465E-8665-88A2CAF5DE0C}"/>
    <cellStyle name="Normal 2 8 2 3" xfId="3790" xr:uid="{00000000-0005-0000-0000-000079120000}"/>
    <cellStyle name="Normal 2 8 2 3 2" xfId="4416" xr:uid="{00000000-0005-0000-0000-00007A120000}"/>
    <cellStyle name="Normal 2 8 2 3 2 2" xfId="7584" xr:uid="{00000000-0005-0000-0000-00007B120000}"/>
    <cellStyle name="Normal 2 8 2 3 2 2 2" xfId="10252" xr:uid="{CA60E1AA-D6ED-4104-9FE0-66AD42C0203B}"/>
    <cellStyle name="Normal 2 8 2 3 2 3" xfId="8921" xr:uid="{9368FF83-16DA-4EDA-8D3E-250679B315BC}"/>
    <cellStyle name="Normal 2 8 2 3 3" xfId="6960" xr:uid="{00000000-0005-0000-0000-00007C120000}"/>
    <cellStyle name="Normal 2 8 2 3 3 2" xfId="9628" xr:uid="{19FA3AD0-D2BC-442A-A110-6AD29CA1E56D}"/>
    <cellStyle name="Normal 2 8 2 3 4" xfId="8297" xr:uid="{6794BE65-7F9C-4161-B902-4159F59CAF79}"/>
    <cellStyle name="Normal 2 8 2 4" xfId="4414" xr:uid="{00000000-0005-0000-0000-00007D120000}"/>
    <cellStyle name="Normal 2 8 2 4 2" xfId="7582" xr:uid="{00000000-0005-0000-0000-00007E120000}"/>
    <cellStyle name="Normal 2 8 2 4 2 2" xfId="10250" xr:uid="{ADDF2759-A7DD-44A8-A3C0-9739A19FD870}"/>
    <cellStyle name="Normal 2 8 2 4 3" xfId="8919" xr:uid="{999E616A-B0D5-4896-BDB6-DFE8A99B9111}"/>
    <cellStyle name="Normal 2 8 2 5" xfId="6958" xr:uid="{00000000-0005-0000-0000-00007F120000}"/>
    <cellStyle name="Normal 2 8 2 5 2" xfId="9626" xr:uid="{011FA947-347F-428A-933B-10CB2913BBEE}"/>
    <cellStyle name="Normal 2 8 2 6" xfId="8295" xr:uid="{2697832D-8E71-4E68-833E-66EA85942C42}"/>
    <cellStyle name="Normal 2 8 3" xfId="3791" xr:uid="{00000000-0005-0000-0000-000080120000}"/>
    <cellStyle name="Normal 2 8 3 2" xfId="4417" xr:uid="{00000000-0005-0000-0000-000081120000}"/>
    <cellStyle name="Normal 2 8 3 2 2" xfId="7585" xr:uid="{00000000-0005-0000-0000-000082120000}"/>
    <cellStyle name="Normal 2 8 3 2 2 2" xfId="10253" xr:uid="{6C5C39FE-9E53-44FE-96CF-C65EA057196E}"/>
    <cellStyle name="Normal 2 8 3 2 3" xfId="8922" xr:uid="{30B0E119-5171-4CAE-8683-81432E5E2592}"/>
    <cellStyle name="Normal 2 8 3 3" xfId="6961" xr:uid="{00000000-0005-0000-0000-000083120000}"/>
    <cellStyle name="Normal 2 8 3 3 2" xfId="9629" xr:uid="{263226E3-65FC-430E-A651-81DE02F37809}"/>
    <cellStyle name="Normal 2 8 3 4" xfId="8298" xr:uid="{160DBB16-FE2E-4A3A-B9A1-691E5B46EADC}"/>
    <cellStyle name="Normal 2 8 4" xfId="3792" xr:uid="{00000000-0005-0000-0000-000084120000}"/>
    <cellStyle name="Normal 2 8 4 2" xfId="4418" xr:uid="{00000000-0005-0000-0000-000085120000}"/>
    <cellStyle name="Normal 2 8 4 2 2" xfId="7586" xr:uid="{00000000-0005-0000-0000-000086120000}"/>
    <cellStyle name="Normal 2 8 4 2 2 2" xfId="10254" xr:uid="{7A4F1711-1017-46CE-ADD5-F05E57470BC0}"/>
    <cellStyle name="Normal 2 8 4 2 3" xfId="8923" xr:uid="{25AD5CC8-5BE6-49CD-BCBC-E485F0F05EFC}"/>
    <cellStyle name="Normal 2 8 4 3" xfId="6962" xr:uid="{00000000-0005-0000-0000-000087120000}"/>
    <cellStyle name="Normal 2 8 4 3 2" xfId="9630" xr:uid="{6282EEC4-BCA1-46DA-8173-28FBE8F47E47}"/>
    <cellStyle name="Normal 2 8 4 4" xfId="8299" xr:uid="{04C13D3C-B5B1-46B6-B0B4-960E9BF7EDA6}"/>
    <cellStyle name="Normal 2 8 5" xfId="3793" xr:uid="{00000000-0005-0000-0000-000088120000}"/>
    <cellStyle name="Normal 2 8 5 2" xfId="4419" xr:uid="{00000000-0005-0000-0000-000089120000}"/>
    <cellStyle name="Normal 2 8 5 2 2" xfId="7587" xr:uid="{00000000-0005-0000-0000-00008A120000}"/>
    <cellStyle name="Normal 2 8 5 2 2 2" xfId="10255" xr:uid="{FCBCDBD5-31AC-4EFB-81F0-CEFCE041894D}"/>
    <cellStyle name="Normal 2 8 5 2 3" xfId="8924" xr:uid="{D35B595B-23FD-4E63-ABAF-F39CB9655573}"/>
    <cellStyle name="Normal 2 8 5 3" xfId="6963" xr:uid="{00000000-0005-0000-0000-00008B120000}"/>
    <cellStyle name="Normal 2 8 5 3 2" xfId="9631" xr:uid="{4B0D40A3-21CD-48A2-8E84-3D696053E38E}"/>
    <cellStyle name="Normal 2 8 5 4" xfId="8300" xr:uid="{EF399673-B918-4496-BDF6-C0965B1C1C90}"/>
    <cellStyle name="Normal 2 8 6" xfId="4413" xr:uid="{00000000-0005-0000-0000-00008C120000}"/>
    <cellStyle name="Normal 2 8 6 2" xfId="7581" xr:uid="{00000000-0005-0000-0000-00008D120000}"/>
    <cellStyle name="Normal 2 8 6 2 2" xfId="10249" xr:uid="{A7D3350A-F66E-444E-A199-574AD3EE2441}"/>
    <cellStyle name="Normal 2 8 6 3" xfId="8918" xr:uid="{CBCFA0EE-8FB4-48A1-9D3D-5F95854DA891}"/>
    <cellStyle name="Normal 2 8 7" xfId="6957" xr:uid="{00000000-0005-0000-0000-00008E120000}"/>
    <cellStyle name="Normal 2 8 7 2" xfId="9625" xr:uid="{EEA8C9C7-4EA7-4D1C-B300-0BDB91F7B2C0}"/>
    <cellStyle name="Normal 2 8 8" xfId="8294" xr:uid="{52FA8019-5BF1-4DC9-BE3A-CE7DD006EB0B}"/>
    <cellStyle name="Normal 2 9" xfId="3794" xr:uid="{00000000-0005-0000-0000-00008F120000}"/>
    <cellStyle name="Normal 2 9 2" xfId="3795" xr:uid="{00000000-0005-0000-0000-000090120000}"/>
    <cellStyle name="Normal 2 9 2 2" xfId="3796" xr:uid="{00000000-0005-0000-0000-000091120000}"/>
    <cellStyle name="Normal 2 9 2 2 2" xfId="4422" xr:uid="{00000000-0005-0000-0000-000092120000}"/>
    <cellStyle name="Normal 2 9 2 2 2 2" xfId="7590" xr:uid="{00000000-0005-0000-0000-000093120000}"/>
    <cellStyle name="Normal 2 9 2 2 2 2 2" xfId="10258" xr:uid="{D2385A84-7241-4BBE-909E-43AA8CC9DC30}"/>
    <cellStyle name="Normal 2 9 2 2 2 3" xfId="8927" xr:uid="{C6A238B0-1D43-49C0-B157-16EABC6DC4E0}"/>
    <cellStyle name="Normal 2 9 2 2 3" xfId="6966" xr:uid="{00000000-0005-0000-0000-000094120000}"/>
    <cellStyle name="Normal 2 9 2 2 3 2" xfId="9634" xr:uid="{0EAD3666-7A1C-4D29-97DD-CC33EECDDC38}"/>
    <cellStyle name="Normal 2 9 2 2 4" xfId="8303" xr:uid="{3D7CECD4-1B04-4572-8905-C8C1C222A22C}"/>
    <cellStyle name="Normal 2 9 2 3" xfId="3797" xr:uid="{00000000-0005-0000-0000-000095120000}"/>
    <cellStyle name="Normal 2 9 2 3 2" xfId="4423" xr:uid="{00000000-0005-0000-0000-000096120000}"/>
    <cellStyle name="Normal 2 9 2 3 2 2" xfId="7591" xr:uid="{00000000-0005-0000-0000-000097120000}"/>
    <cellStyle name="Normal 2 9 2 3 2 2 2" xfId="10259" xr:uid="{15F17294-0A97-44B3-B555-712F376BF470}"/>
    <cellStyle name="Normal 2 9 2 3 2 3" xfId="8928" xr:uid="{43C6668C-DD46-4050-8689-E4605FEBB58F}"/>
    <cellStyle name="Normal 2 9 2 3 3" xfId="6967" xr:uid="{00000000-0005-0000-0000-000098120000}"/>
    <cellStyle name="Normal 2 9 2 3 3 2" xfId="9635" xr:uid="{EA9BF34B-99FD-4A6F-BFFF-5E87276E2A6C}"/>
    <cellStyle name="Normal 2 9 2 3 4" xfId="8304" xr:uid="{BBB8796F-0603-47C9-831D-2AF3773114A8}"/>
    <cellStyle name="Normal 2 9 2 4" xfId="4421" xr:uid="{00000000-0005-0000-0000-000099120000}"/>
    <cellStyle name="Normal 2 9 2 4 2" xfId="7589" xr:uid="{00000000-0005-0000-0000-00009A120000}"/>
    <cellStyle name="Normal 2 9 2 4 2 2" xfId="10257" xr:uid="{7113E886-3DD5-46C4-AFCD-7B477D641301}"/>
    <cellStyle name="Normal 2 9 2 4 3" xfId="8926" xr:uid="{3F09D35C-D363-497F-A530-12E74EEBCB77}"/>
    <cellStyle name="Normal 2 9 2 5" xfId="6965" xr:uid="{00000000-0005-0000-0000-00009B120000}"/>
    <cellStyle name="Normal 2 9 2 5 2" xfId="9633" xr:uid="{1A60858C-F3F8-480F-9803-F119741435AA}"/>
    <cellStyle name="Normal 2 9 2 6" xfId="8302" xr:uid="{C030CDA8-26DC-4931-8B5A-008B38A501AC}"/>
    <cellStyle name="Normal 2 9 3" xfId="3798" xr:uid="{00000000-0005-0000-0000-00009C120000}"/>
    <cellStyle name="Normal 2 9 3 2" xfId="4424" xr:uid="{00000000-0005-0000-0000-00009D120000}"/>
    <cellStyle name="Normal 2 9 3 2 2" xfId="7592" xr:uid="{00000000-0005-0000-0000-00009E120000}"/>
    <cellStyle name="Normal 2 9 3 2 2 2" xfId="10260" xr:uid="{1D4095FE-09AB-4760-BBDD-A721FC641BDF}"/>
    <cellStyle name="Normal 2 9 3 2 3" xfId="8929" xr:uid="{EC79B4F1-68AC-4322-ACF2-D513C7C692AA}"/>
    <cellStyle name="Normal 2 9 3 3" xfId="6968" xr:uid="{00000000-0005-0000-0000-00009F120000}"/>
    <cellStyle name="Normal 2 9 3 3 2" xfId="9636" xr:uid="{28BCC07D-C24C-408C-9C23-451E884A3A49}"/>
    <cellStyle name="Normal 2 9 3 4" xfId="8305" xr:uid="{1761E027-9C10-4449-AA97-36CD5E082F84}"/>
    <cellStyle name="Normal 2 9 4" xfId="3799" xr:uid="{00000000-0005-0000-0000-0000A0120000}"/>
    <cellStyle name="Normal 2 9 4 2" xfId="4425" xr:uid="{00000000-0005-0000-0000-0000A1120000}"/>
    <cellStyle name="Normal 2 9 4 2 2" xfId="7593" xr:uid="{00000000-0005-0000-0000-0000A2120000}"/>
    <cellStyle name="Normal 2 9 4 2 2 2" xfId="10261" xr:uid="{FB971C41-4519-4A2A-B6ED-D9A01CE191EE}"/>
    <cellStyle name="Normal 2 9 4 2 3" xfId="8930" xr:uid="{CFA2DAE6-A5CE-470D-AAD1-EB066D6E9CC4}"/>
    <cellStyle name="Normal 2 9 4 3" xfId="6969" xr:uid="{00000000-0005-0000-0000-0000A3120000}"/>
    <cellStyle name="Normal 2 9 4 3 2" xfId="9637" xr:uid="{06B9DC58-4247-4371-8F41-964B3AF53FE1}"/>
    <cellStyle name="Normal 2 9 4 4" xfId="8306" xr:uid="{28ABB1FD-0A28-40D1-BDF4-59823B9CBAE2}"/>
    <cellStyle name="Normal 2 9 5" xfId="4420" xr:uid="{00000000-0005-0000-0000-0000A4120000}"/>
    <cellStyle name="Normal 2 9 5 2" xfId="7588" xr:uid="{00000000-0005-0000-0000-0000A5120000}"/>
    <cellStyle name="Normal 2 9 5 2 2" xfId="10256" xr:uid="{74A914B7-30AD-4FB0-BD87-0A8446326BB7}"/>
    <cellStyle name="Normal 2 9 5 3" xfId="8925" xr:uid="{B6C6B23A-E7F3-4096-9351-60F9A033AC34}"/>
    <cellStyle name="Normal 2 9 6" xfId="6964" xr:uid="{00000000-0005-0000-0000-0000A6120000}"/>
    <cellStyle name="Normal 2 9 6 2" xfId="9632" xr:uid="{546C4978-FAB3-408D-8109-4945E4ECDA0D}"/>
    <cellStyle name="Normal 2 9 7" xfId="8301" xr:uid="{674EEB81-CFA4-4EFA-B031-FA70351F83C9}"/>
    <cellStyle name="Normal 20" xfId="3800" xr:uid="{00000000-0005-0000-0000-0000A7120000}"/>
    <cellStyle name="Normal 20 2" xfId="4426" xr:uid="{00000000-0005-0000-0000-0000A8120000}"/>
    <cellStyle name="Normal 20 2 2" xfId="7594" xr:uid="{00000000-0005-0000-0000-0000A9120000}"/>
    <cellStyle name="Normal 20 2 2 2" xfId="10262" xr:uid="{E8902208-A57C-4675-BADB-EF43702FD7B8}"/>
    <cellStyle name="Normal 20 2 3" xfId="8931" xr:uid="{976BE411-E9D3-4F0F-8E33-B48541554360}"/>
    <cellStyle name="Normal 20 3" xfId="6970" xr:uid="{00000000-0005-0000-0000-0000AA120000}"/>
    <cellStyle name="Normal 20 3 2" xfId="9638" xr:uid="{75148BA2-3346-4F78-BA24-E824C1D474AC}"/>
    <cellStyle name="Normal 20 4" xfId="8307" xr:uid="{CB0B29D6-2986-411C-89B8-2FBD7D48811C}"/>
    <cellStyle name="Normal 21" xfId="3801" xr:uid="{00000000-0005-0000-0000-0000AB120000}"/>
    <cellStyle name="Normal 21 2" xfId="4427" xr:uid="{00000000-0005-0000-0000-0000AC120000}"/>
    <cellStyle name="Normal 21 2 2" xfId="7595" xr:uid="{00000000-0005-0000-0000-0000AD120000}"/>
    <cellStyle name="Normal 21 2 2 2" xfId="10263" xr:uid="{BA76BE00-28CB-4177-964E-A27BA3EFAD99}"/>
    <cellStyle name="Normal 21 2 3" xfId="8932" xr:uid="{838E6911-617A-4EB8-9E43-F111913BC79D}"/>
    <cellStyle name="Normal 21 3" xfId="6971" xr:uid="{00000000-0005-0000-0000-0000AE120000}"/>
    <cellStyle name="Normal 21 3 2" xfId="9639" xr:uid="{024D2432-C33B-4682-8C8A-E8F90DE3299B}"/>
    <cellStyle name="Normal 21 4" xfId="8308" xr:uid="{6A9A0156-0E2A-44A8-8D99-88BCE947D4EE}"/>
    <cellStyle name="Normal 22" xfId="3802" xr:uid="{00000000-0005-0000-0000-0000AF120000}"/>
    <cellStyle name="Normal 22 2" xfId="4428" xr:uid="{00000000-0005-0000-0000-0000B0120000}"/>
    <cellStyle name="Normal 22 2 2" xfId="7596" xr:uid="{00000000-0005-0000-0000-0000B1120000}"/>
    <cellStyle name="Normal 22 2 2 2" xfId="10264" xr:uid="{14C602C9-02D0-4AA6-AD06-6F73BB6F4322}"/>
    <cellStyle name="Normal 22 2 3" xfId="8933" xr:uid="{62FFFCF6-AED1-47A4-B2E7-2A16B1D92748}"/>
    <cellStyle name="Normal 22 3" xfId="6972" xr:uid="{00000000-0005-0000-0000-0000B2120000}"/>
    <cellStyle name="Normal 22 3 2" xfId="9640" xr:uid="{6AE8ED50-6A81-4590-BB72-065D37643D0B}"/>
    <cellStyle name="Normal 22 4" xfId="8309" xr:uid="{1E2002FD-B251-4DEC-966B-B32F97395AD2}"/>
    <cellStyle name="Normal 23" xfId="3515" xr:uid="{00000000-0005-0000-0000-0000B3120000}"/>
    <cellStyle name="Normal 23 2" xfId="4156" xr:uid="{00000000-0005-0000-0000-0000B4120000}"/>
    <cellStyle name="Normal 23 2 2" xfId="7324" xr:uid="{00000000-0005-0000-0000-0000B5120000}"/>
    <cellStyle name="Normal 23 2 2 2" xfId="9992" xr:uid="{DDD3AE58-B8D1-450D-B1FE-AFB174DF088A}"/>
    <cellStyle name="Normal 23 2 3" xfId="8661" xr:uid="{337E83AD-E479-4373-96D3-9E0810742FBC}"/>
    <cellStyle name="Normal 23 3" xfId="6713" xr:uid="{00000000-0005-0000-0000-0000B6120000}"/>
    <cellStyle name="Normal 23 3 2" xfId="9381" xr:uid="{C40349C1-1725-4AF0-96E7-0B7529038B4C}"/>
    <cellStyle name="Normal 23 4" xfId="8045" xr:uid="{1F2AC88B-6553-40A9-A6DB-CD6E98C86276}"/>
    <cellStyle name="Normal 23 4 2" xfId="10573" xr:uid="{C458B3F3-ABC6-47FA-81C1-BC33AAAE4665}"/>
    <cellStyle name="Normal 24" xfId="4728" xr:uid="{00000000-0005-0000-0000-0000B7120000}"/>
    <cellStyle name="Normal 25" xfId="4731" xr:uid="{00000000-0005-0000-0000-0000B8120000}"/>
    <cellStyle name="Normal 26" xfId="4732" xr:uid="{00000000-0005-0000-0000-0000B9120000}"/>
    <cellStyle name="Normal 27" xfId="4733" xr:uid="{00000000-0005-0000-0000-0000BA120000}"/>
    <cellStyle name="Normal 28" xfId="4734" xr:uid="{00000000-0005-0000-0000-0000BB120000}"/>
    <cellStyle name="Normal 29" xfId="4735" xr:uid="{00000000-0005-0000-0000-0000BC120000}"/>
    <cellStyle name="Normal 3" xfId="982" xr:uid="{00000000-0005-0000-0000-0000BD120000}"/>
    <cellStyle name="Normal 3 10" xfId="3804" xr:uid="{00000000-0005-0000-0000-0000BE120000}"/>
    <cellStyle name="Normal 3 10 2" xfId="3805" xr:uid="{00000000-0005-0000-0000-0000BF120000}"/>
    <cellStyle name="Normal 3 10 2 2" xfId="4431" xr:uid="{00000000-0005-0000-0000-0000C0120000}"/>
    <cellStyle name="Normal 3 10 2 2 2" xfId="7599" xr:uid="{00000000-0005-0000-0000-0000C1120000}"/>
    <cellStyle name="Normal 3 10 2 2 2 2" xfId="10267" xr:uid="{A0538B90-A2CA-45CF-B8DC-8B359C905DEC}"/>
    <cellStyle name="Normal 3 10 2 2 3" xfId="8936" xr:uid="{B3080A0B-D5A8-465E-9F3E-0215D5AAE665}"/>
    <cellStyle name="Normal 3 10 2 3" xfId="6975" xr:uid="{00000000-0005-0000-0000-0000C2120000}"/>
    <cellStyle name="Normal 3 10 2 3 2" xfId="9643" xr:uid="{B627570A-FB1D-430A-9729-863359337DC2}"/>
    <cellStyle name="Normal 3 10 2 4" xfId="8312" xr:uid="{945CA9F5-0E76-4980-9154-7968F81ACAF6}"/>
    <cellStyle name="Normal 3 10 3" xfId="4430" xr:uid="{00000000-0005-0000-0000-0000C3120000}"/>
    <cellStyle name="Normal 3 10 3 2" xfId="7598" xr:uid="{00000000-0005-0000-0000-0000C4120000}"/>
    <cellStyle name="Normal 3 10 3 2 2" xfId="10266" xr:uid="{EBE114A7-4216-4675-8DCE-58CD2D780C13}"/>
    <cellStyle name="Normal 3 10 3 3" xfId="8935" xr:uid="{B2219A86-62A6-48CC-9C90-AC5C187B7813}"/>
    <cellStyle name="Normal 3 10 4" xfId="6974" xr:uid="{00000000-0005-0000-0000-0000C5120000}"/>
    <cellStyle name="Normal 3 10 4 2" xfId="9642" xr:uid="{207AB713-00BD-4628-9ED9-9657A41A03B7}"/>
    <cellStyle name="Normal 3 10 5" xfId="8311" xr:uid="{E742CE6A-9149-4210-A47A-59C26C2B9A6E}"/>
    <cellStyle name="Normal 3 11" xfId="3806" xr:uid="{00000000-0005-0000-0000-0000C6120000}"/>
    <cellStyle name="Normal 3 11 2" xfId="4432" xr:uid="{00000000-0005-0000-0000-0000C7120000}"/>
    <cellStyle name="Normal 3 11 2 2" xfId="7600" xr:uid="{00000000-0005-0000-0000-0000C8120000}"/>
    <cellStyle name="Normal 3 11 2 2 2" xfId="10268" xr:uid="{BA7241E8-F9D5-4811-938C-FEBE5A6A5B33}"/>
    <cellStyle name="Normal 3 11 2 3" xfId="8937" xr:uid="{892D1D10-AAEC-49DB-AB79-7589B3C56721}"/>
    <cellStyle name="Normal 3 11 3" xfId="6976" xr:uid="{00000000-0005-0000-0000-0000C9120000}"/>
    <cellStyle name="Normal 3 11 3 2" xfId="9644" xr:uid="{FFABB8BF-D4FE-4818-962F-89E429F5337C}"/>
    <cellStyle name="Normal 3 11 4" xfId="8313" xr:uid="{B1B5E89C-85D4-4E00-8106-09A75CD0AE39}"/>
    <cellStyle name="Normal 3 12" xfId="3807" xr:uid="{00000000-0005-0000-0000-0000CA120000}"/>
    <cellStyle name="Normal 3 12 2" xfId="4433" xr:uid="{00000000-0005-0000-0000-0000CB120000}"/>
    <cellStyle name="Normal 3 12 2 2" xfId="7601" xr:uid="{00000000-0005-0000-0000-0000CC120000}"/>
    <cellStyle name="Normal 3 12 2 2 2" xfId="10269" xr:uid="{25FB1E05-A437-42E1-9A55-84DE98D90E3E}"/>
    <cellStyle name="Normal 3 12 2 3" xfId="8938" xr:uid="{1D7648D9-F94F-4EB2-8B63-CCDEE0148BF3}"/>
    <cellStyle name="Normal 3 12 3" xfId="6977" xr:uid="{00000000-0005-0000-0000-0000CD120000}"/>
    <cellStyle name="Normal 3 12 3 2" xfId="9645" xr:uid="{79B695A2-BB9E-487A-93F7-37693B489AB5}"/>
    <cellStyle name="Normal 3 12 4" xfId="8314" xr:uid="{B127812A-5C58-4471-84DC-7F640BA36283}"/>
    <cellStyle name="Normal 3 13" xfId="3808" xr:uid="{00000000-0005-0000-0000-0000CE120000}"/>
    <cellStyle name="Normal 3 13 2" xfId="4434" xr:uid="{00000000-0005-0000-0000-0000CF120000}"/>
    <cellStyle name="Normal 3 13 2 2" xfId="7602" xr:uid="{00000000-0005-0000-0000-0000D0120000}"/>
    <cellStyle name="Normal 3 13 2 2 2" xfId="10270" xr:uid="{FBBB475D-3FC1-48E6-99F2-417689BC0BB8}"/>
    <cellStyle name="Normal 3 13 2 3" xfId="8939" xr:uid="{51093B58-ED7E-4348-8154-904083654457}"/>
    <cellStyle name="Normal 3 13 3" xfId="6978" xr:uid="{00000000-0005-0000-0000-0000D1120000}"/>
    <cellStyle name="Normal 3 13 3 2" xfId="9646" xr:uid="{3E07C646-F0B3-498C-ADA0-6BADB94938AB}"/>
    <cellStyle name="Normal 3 13 4" xfId="8315" xr:uid="{50287E2F-1FB0-4CF6-8B4A-6B6A714862EC}"/>
    <cellStyle name="Normal 3 14" xfId="3803" xr:uid="{00000000-0005-0000-0000-0000D2120000}"/>
    <cellStyle name="Normal 3 14 2" xfId="4429" xr:uid="{00000000-0005-0000-0000-0000D3120000}"/>
    <cellStyle name="Normal 3 14 2 2" xfId="7597" xr:uid="{00000000-0005-0000-0000-0000D4120000}"/>
    <cellStyle name="Normal 3 14 2 2 2" xfId="10265" xr:uid="{83E2F8F2-B100-4BDC-BD0D-149BA6951C7A}"/>
    <cellStyle name="Normal 3 14 2 3" xfId="8934" xr:uid="{D2A9D81D-6D8A-4CD3-BD7A-ED1CF6B03032}"/>
    <cellStyle name="Normal 3 14 3" xfId="6973" xr:uid="{00000000-0005-0000-0000-0000D5120000}"/>
    <cellStyle name="Normal 3 14 3 2" xfId="9641" xr:uid="{060A580B-F1CD-4C7F-A590-4C43C602B9AB}"/>
    <cellStyle name="Normal 3 14 4" xfId="8310" xr:uid="{C29086BF-06A5-4699-AE94-D9ED917FC424}"/>
    <cellStyle name="Normal 3 15" xfId="3381" xr:uid="{00000000-0005-0000-0000-0000D6120000}"/>
    <cellStyle name="Normal 3 2" xfId="983" xr:uid="{00000000-0005-0000-0000-0000D7120000}"/>
    <cellStyle name="Normal 3 2 10" xfId="6224" xr:uid="{00000000-0005-0000-0000-0000D8120000}"/>
    <cellStyle name="Normal 3 2 10 2" xfId="9261" xr:uid="{363A9334-F08D-4CA1-B447-B448C2FDD01D}"/>
    <cellStyle name="Normal 3 2 11" xfId="7903" xr:uid="{84339A21-99CC-4B85-A241-7A5F35B9A18A}"/>
    <cellStyle name="Normal 3 2 2" xfId="984" xr:uid="{00000000-0005-0000-0000-0000D9120000}"/>
    <cellStyle name="Normal 3 2 2 2" xfId="2616" xr:uid="{00000000-0005-0000-0000-0000DA120000}"/>
    <cellStyle name="Normal 3 2 2 2 2" xfId="4437" xr:uid="{00000000-0005-0000-0000-0000DB120000}"/>
    <cellStyle name="Normal 3 2 2 2 2 2" xfId="7605" xr:uid="{00000000-0005-0000-0000-0000DC120000}"/>
    <cellStyle name="Normal 3 2 2 2 2 2 2" xfId="10273" xr:uid="{9E0037B8-70E4-449E-9056-8B45B4635543}"/>
    <cellStyle name="Normal 3 2 2 2 2 3" xfId="8942" xr:uid="{165FF51D-B598-428C-B1C7-B414C26DB6FD}"/>
    <cellStyle name="Normal 3 2 2 2 3" xfId="3811" xr:uid="{00000000-0005-0000-0000-0000DD120000}"/>
    <cellStyle name="Normal 3 2 2 2 3 2" xfId="6981" xr:uid="{00000000-0005-0000-0000-0000DE120000}"/>
    <cellStyle name="Normal 3 2 2 2 3 2 2" xfId="9649" xr:uid="{4365D7A8-ED2F-4899-9B6B-1B7742ABB687}"/>
    <cellStyle name="Normal 3 2 2 2 3 3" xfId="8318" xr:uid="{651C131C-675F-43E8-8506-06982D04252D}"/>
    <cellStyle name="Normal 3 2 2 3" xfId="3328" xr:uid="{00000000-0005-0000-0000-0000DF120000}"/>
    <cellStyle name="Normal 3 2 2 3 2" xfId="4438" xr:uid="{00000000-0005-0000-0000-0000E0120000}"/>
    <cellStyle name="Normal 3 2 2 3 2 2" xfId="7606" xr:uid="{00000000-0005-0000-0000-0000E1120000}"/>
    <cellStyle name="Normal 3 2 2 3 2 2 2" xfId="10274" xr:uid="{555D8E87-FFC2-4F92-BC73-B4042223D428}"/>
    <cellStyle name="Normal 3 2 2 3 2 3" xfId="8943" xr:uid="{07F74D48-2761-4F32-97F1-58F290810EA0}"/>
    <cellStyle name="Normal 3 2 2 3 3" xfId="3812" xr:uid="{00000000-0005-0000-0000-0000E2120000}"/>
    <cellStyle name="Normal 3 2 2 3 3 2" xfId="6982" xr:uid="{00000000-0005-0000-0000-0000E3120000}"/>
    <cellStyle name="Normal 3 2 2 3 3 2 2" xfId="9650" xr:uid="{D5A3EFF5-88D2-42F0-8B39-2E8E5B77CF7D}"/>
    <cellStyle name="Normal 3 2 2 3 3 3" xfId="8319" xr:uid="{CF0A90F4-911F-4F54-8A2B-DCE61CB734B6}"/>
    <cellStyle name="Normal 3 2 2 3 4" xfId="6632" xr:uid="{00000000-0005-0000-0000-0000E4120000}"/>
    <cellStyle name="Normal 3 2 2 3 4 2" xfId="9309" xr:uid="{5D4B0257-095F-4DF5-AF14-84EE76F49F82}"/>
    <cellStyle name="Normal 3 2 2 3 5" xfId="7969" xr:uid="{2124D5DB-5F27-400C-8208-777A9378E4A2}"/>
    <cellStyle name="Normal 3 2 2 4" xfId="3813" xr:uid="{00000000-0005-0000-0000-0000E5120000}"/>
    <cellStyle name="Normal 3 2 2 4 2" xfId="4439" xr:uid="{00000000-0005-0000-0000-0000E6120000}"/>
    <cellStyle name="Normal 3 2 2 4 2 2" xfId="7607" xr:uid="{00000000-0005-0000-0000-0000E7120000}"/>
    <cellStyle name="Normal 3 2 2 4 2 2 2" xfId="10275" xr:uid="{47EAB052-5E24-469B-BCFE-7112446D5B32}"/>
    <cellStyle name="Normal 3 2 2 4 2 3" xfId="8944" xr:uid="{239DF056-774F-44F6-9818-26B69C0E9C2F}"/>
    <cellStyle name="Normal 3 2 2 4 3" xfId="6983" xr:uid="{00000000-0005-0000-0000-0000E8120000}"/>
    <cellStyle name="Normal 3 2 2 4 3 2" xfId="9651" xr:uid="{5C9A588B-4090-43EC-A65C-4A0E611329D7}"/>
    <cellStyle name="Normal 3 2 2 4 4" xfId="8320" xr:uid="{7816FEDD-9C26-44C2-9F30-431D9C9BA548}"/>
    <cellStyle name="Normal 3 2 2 5" xfId="4436" xr:uid="{00000000-0005-0000-0000-0000E9120000}"/>
    <cellStyle name="Normal 3 2 2 5 2" xfId="7604" xr:uid="{00000000-0005-0000-0000-0000EA120000}"/>
    <cellStyle name="Normal 3 2 2 5 2 2" xfId="10272" xr:uid="{FCBB1CE8-1A25-4E4B-A352-43024D5D7926}"/>
    <cellStyle name="Normal 3 2 2 5 3" xfId="8941" xr:uid="{3287F2CD-9DDC-431A-A441-8D49E74B47CA}"/>
    <cellStyle name="Normal 3 2 2 6" xfId="3810" xr:uid="{00000000-0005-0000-0000-0000EB120000}"/>
    <cellStyle name="Normal 3 2 2 6 2" xfId="6980" xr:uid="{00000000-0005-0000-0000-0000EC120000}"/>
    <cellStyle name="Normal 3 2 2 6 2 2" xfId="9648" xr:uid="{8404A3B3-B887-471D-9A29-DBC4F17301EC}"/>
    <cellStyle name="Normal 3 2 2 6 3" xfId="8317" xr:uid="{B49027DB-1DED-4471-BC6C-625C30170AA6}"/>
    <cellStyle name="Normal 3 2 3" xfId="2615" xr:uid="{00000000-0005-0000-0000-0000ED120000}"/>
    <cellStyle name="Normal 3 2 3 2" xfId="3305" xr:uid="{00000000-0005-0000-0000-0000EE120000}"/>
    <cellStyle name="Normal 3 2 3 2 2" xfId="4440" xr:uid="{00000000-0005-0000-0000-0000EF120000}"/>
    <cellStyle name="Normal 3 2 3 2 2 2" xfId="7608" xr:uid="{00000000-0005-0000-0000-0000F0120000}"/>
    <cellStyle name="Normal 3 2 3 2 2 2 2" xfId="10276" xr:uid="{D0049368-16D5-460F-B2EC-1ECFD2DE5DDD}"/>
    <cellStyle name="Normal 3 2 3 2 2 3" xfId="8945" xr:uid="{E7908823-A912-4194-968F-4CE5C3D1E488}"/>
    <cellStyle name="Normal 3 2 3 2 3" xfId="6614" xr:uid="{00000000-0005-0000-0000-0000F1120000}"/>
    <cellStyle name="Normal 3 2 3 2 3 2" xfId="9291" xr:uid="{3DE9B4F3-6489-4F70-8CBF-DF1C4DAE6462}"/>
    <cellStyle name="Normal 3 2 3 2 4" xfId="7951" xr:uid="{AF830217-E3A7-4256-B429-F4373330D9A2}"/>
    <cellStyle name="Normal 3 2 3 3" xfId="3814" xr:uid="{00000000-0005-0000-0000-0000F2120000}"/>
    <cellStyle name="Normal 3 2 3 3 2" xfId="6984" xr:uid="{00000000-0005-0000-0000-0000F3120000}"/>
    <cellStyle name="Normal 3 2 3 3 2 2" xfId="9652" xr:uid="{F77204EC-6E9D-4BF7-A0DE-D5F5EA13A2BB}"/>
    <cellStyle name="Normal 3 2 3 3 3" xfId="8321" xr:uid="{66A8F96B-436B-40FA-A6A8-E563034F5622}"/>
    <cellStyle name="Normal 3 2 3 4" xfId="5671" xr:uid="{00000000-0005-0000-0000-0000F4120000}"/>
    <cellStyle name="Normal 3 2 3 4 2" xfId="9251" xr:uid="{D3BBC055-9EEB-4A0C-AAD0-605734691C0B}"/>
    <cellStyle name="Normal 3 2 3 5" xfId="6593" xr:uid="{00000000-0005-0000-0000-0000F5120000}"/>
    <cellStyle name="Normal 3 2 3 5 2" xfId="9271" xr:uid="{1BDE5E0A-8A7A-4EFC-A161-D9FF3679E349}"/>
    <cellStyle name="Normal 3 2 3 6" xfId="7926" xr:uid="{4DA0256E-0C15-4A9E-B345-33E62E56CE48}"/>
    <cellStyle name="Normal 3 2 4" xfId="3321" xr:uid="{00000000-0005-0000-0000-0000F6120000}"/>
    <cellStyle name="Normal 3 2 4 2" xfId="4441" xr:uid="{00000000-0005-0000-0000-0000F7120000}"/>
    <cellStyle name="Normal 3 2 4 2 2" xfId="7609" xr:uid="{00000000-0005-0000-0000-0000F8120000}"/>
    <cellStyle name="Normal 3 2 4 2 2 2" xfId="10277" xr:uid="{1E31FA3B-7234-44A6-99E5-F0075A15076A}"/>
    <cellStyle name="Normal 3 2 4 2 3" xfId="8946" xr:uid="{DA3D74E7-3ECD-40B7-BCEE-A0F3474A74CF}"/>
    <cellStyle name="Normal 3 2 4 3" xfId="3815" xr:uid="{00000000-0005-0000-0000-0000F9120000}"/>
    <cellStyle name="Normal 3 2 4 3 2" xfId="6985" xr:uid="{00000000-0005-0000-0000-0000FA120000}"/>
    <cellStyle name="Normal 3 2 4 3 2 2" xfId="9653" xr:uid="{C2D8646A-C4C3-4649-90D5-B7C5DB4FD968}"/>
    <cellStyle name="Normal 3 2 4 3 3" xfId="8322" xr:uid="{101DE304-08DE-4349-8F1D-860137513243}"/>
    <cellStyle name="Normal 3 2 4 4" xfId="6628" xr:uid="{00000000-0005-0000-0000-0000FB120000}"/>
    <cellStyle name="Normal 3 2 4 4 2" xfId="9305" xr:uid="{4B0F5616-D8F5-4489-B36E-45FDD9BE8142}"/>
    <cellStyle name="Normal 3 2 4 5" xfId="7965" xr:uid="{248A2786-06F2-43CB-9A09-C76A03F54E46}"/>
    <cellStyle name="Normal 3 2 5" xfId="3286" xr:uid="{00000000-0005-0000-0000-0000FC120000}"/>
    <cellStyle name="Normal 3 2 5 2" xfId="4442" xr:uid="{00000000-0005-0000-0000-0000FD120000}"/>
    <cellStyle name="Normal 3 2 5 2 2" xfId="7610" xr:uid="{00000000-0005-0000-0000-0000FE120000}"/>
    <cellStyle name="Normal 3 2 5 2 2 2" xfId="10278" xr:uid="{50BD3D82-D5D1-4617-8E50-F106E2A017B0}"/>
    <cellStyle name="Normal 3 2 5 2 3" xfId="8947" xr:uid="{2954A7E2-50DE-48E3-8B5B-48B1808C9419}"/>
    <cellStyle name="Normal 3 2 5 3" xfId="3816" xr:uid="{00000000-0005-0000-0000-0000FF120000}"/>
    <cellStyle name="Normal 3 2 5 3 2" xfId="6986" xr:uid="{00000000-0005-0000-0000-000000130000}"/>
    <cellStyle name="Normal 3 2 5 3 2 2" xfId="9654" xr:uid="{8D16FA17-1EDA-4B31-AD7E-B4290D469421}"/>
    <cellStyle name="Normal 3 2 5 3 3" xfId="8323" xr:uid="{B8B39D33-E4C5-4944-805C-EB8C427EA19D}"/>
    <cellStyle name="Normal 3 2 5 4" xfId="6604" xr:uid="{00000000-0005-0000-0000-000001130000}"/>
    <cellStyle name="Normal 3 2 5 4 2" xfId="9281" xr:uid="{B8C23342-49C6-4CA9-B296-D54CF3E7BAC7}"/>
    <cellStyle name="Normal 3 2 5 5" xfId="7941" xr:uid="{B95FCCE6-5CA8-4D9B-8E86-29054A38BE7D}"/>
    <cellStyle name="Normal 3 2 6" xfId="3817" xr:uid="{00000000-0005-0000-0000-000002130000}"/>
    <cellStyle name="Normal 3 2 6 2" xfId="4443" xr:uid="{00000000-0005-0000-0000-000003130000}"/>
    <cellStyle name="Normal 3 2 6 2 2" xfId="7611" xr:uid="{00000000-0005-0000-0000-000004130000}"/>
    <cellStyle name="Normal 3 2 6 2 2 2" xfId="10279" xr:uid="{21F3D783-A6F1-4ED6-91D5-1DA32BE52DE7}"/>
    <cellStyle name="Normal 3 2 6 2 3" xfId="8948" xr:uid="{27BD7EBD-67C9-4AD6-B7A8-BC54513B78C1}"/>
    <cellStyle name="Normal 3 2 6 3" xfId="6987" xr:uid="{00000000-0005-0000-0000-000005130000}"/>
    <cellStyle name="Normal 3 2 6 3 2" xfId="9655" xr:uid="{8D15DE99-2738-4DC3-A8D0-93BD93A59A38}"/>
    <cellStyle name="Normal 3 2 6 4" xfId="8324" xr:uid="{0E96D276-1A0F-46BF-93C2-636462CC2567}"/>
    <cellStyle name="Normal 3 2 7" xfId="3809" xr:uid="{00000000-0005-0000-0000-000006130000}"/>
    <cellStyle name="Normal 3 2 7 2" xfId="4435" xr:uid="{00000000-0005-0000-0000-000007130000}"/>
    <cellStyle name="Normal 3 2 7 2 2" xfId="7603" xr:uid="{00000000-0005-0000-0000-000008130000}"/>
    <cellStyle name="Normal 3 2 7 2 2 2" xfId="10271" xr:uid="{F1157411-0BE3-4D8B-908B-6E4C59FF3623}"/>
    <cellStyle name="Normal 3 2 7 2 3" xfId="8940" xr:uid="{C0216A55-0801-45DC-A4DB-6F566B909FF2}"/>
    <cellStyle name="Normal 3 2 7 3" xfId="6979" xr:uid="{00000000-0005-0000-0000-000009130000}"/>
    <cellStyle name="Normal 3 2 7 3 2" xfId="9647" xr:uid="{F044B2D6-720E-45BA-865E-3D1FF02721C5}"/>
    <cellStyle name="Normal 3 2 7 4" xfId="8316" xr:uid="{1ED64F8D-1F5E-4248-BFC0-A048285A3FEE}"/>
    <cellStyle name="Normal 3 2 8" xfId="3505" xr:uid="{00000000-0005-0000-0000-00000A130000}"/>
    <cellStyle name="Normal 3 2 9" xfId="5299" xr:uid="{00000000-0005-0000-0000-00000B130000}"/>
    <cellStyle name="Normal 3 2 9 2" xfId="9241" xr:uid="{299B9F23-88F6-4493-97D9-BC9CB1D5DAA9}"/>
    <cellStyle name="Normal 3 3" xfId="985" xr:uid="{00000000-0005-0000-0000-00000C130000}"/>
    <cellStyle name="Normal 3 3 10" xfId="6225" xr:uid="{00000000-0005-0000-0000-00000D130000}"/>
    <cellStyle name="Normal 3 3 10 2" xfId="9262" xr:uid="{58767E1D-5F31-472A-A0DA-B98B0CD32306}"/>
    <cellStyle name="Normal 3 3 11" xfId="7904" xr:uid="{3D142F90-4652-482C-899D-7614AB310D65}"/>
    <cellStyle name="Normal 3 3 2" xfId="2617" xr:uid="{00000000-0005-0000-0000-00000E130000}"/>
    <cellStyle name="Normal 3 3 2 2" xfId="3306" xr:uid="{00000000-0005-0000-0000-00000F130000}"/>
    <cellStyle name="Normal 3 3 2 2 2" xfId="4446" xr:uid="{00000000-0005-0000-0000-000010130000}"/>
    <cellStyle name="Normal 3 3 2 2 2 2" xfId="7614" xr:uid="{00000000-0005-0000-0000-000011130000}"/>
    <cellStyle name="Normal 3 3 2 2 2 2 2" xfId="10282" xr:uid="{E77C27D0-CCC6-40B8-8D78-474CFF7C809A}"/>
    <cellStyle name="Normal 3 3 2 2 2 3" xfId="8951" xr:uid="{DCDB6645-FB5A-44FD-9EB4-8A18327555F7}"/>
    <cellStyle name="Normal 3 3 2 2 3" xfId="3820" xr:uid="{00000000-0005-0000-0000-000012130000}"/>
    <cellStyle name="Normal 3 3 2 2 3 2" xfId="6990" xr:uid="{00000000-0005-0000-0000-000013130000}"/>
    <cellStyle name="Normal 3 3 2 2 3 2 2" xfId="9658" xr:uid="{3827E8C2-115C-4797-BCC3-A5D9E719C64A}"/>
    <cellStyle name="Normal 3 3 2 2 3 3" xfId="8327" xr:uid="{9C56AE31-8779-48EB-8041-625986F55604}"/>
    <cellStyle name="Normal 3 3 2 2 4" xfId="6615" xr:uid="{00000000-0005-0000-0000-000014130000}"/>
    <cellStyle name="Normal 3 3 2 2 4 2" xfId="9292" xr:uid="{D352EEAD-A3EF-49BB-89B6-EE50D87A46D8}"/>
    <cellStyle name="Normal 3 3 2 2 5" xfId="7952" xr:uid="{526A8078-D0CE-46C7-AEBE-559B2C164CF3}"/>
    <cellStyle name="Normal 3 3 2 3" xfId="3821" xr:uid="{00000000-0005-0000-0000-000015130000}"/>
    <cellStyle name="Normal 3 3 2 3 2" xfId="4447" xr:uid="{00000000-0005-0000-0000-000016130000}"/>
    <cellStyle name="Normal 3 3 2 3 2 2" xfId="7615" xr:uid="{00000000-0005-0000-0000-000017130000}"/>
    <cellStyle name="Normal 3 3 2 3 2 2 2" xfId="10283" xr:uid="{2901D82B-63F9-4651-AEBD-4ECAEA566DB1}"/>
    <cellStyle name="Normal 3 3 2 3 2 3" xfId="8952" xr:uid="{029BB1F7-0773-438D-89EB-C3E91F775F5D}"/>
    <cellStyle name="Normal 3 3 2 3 3" xfId="6991" xr:uid="{00000000-0005-0000-0000-000018130000}"/>
    <cellStyle name="Normal 3 3 2 3 3 2" xfId="9659" xr:uid="{73F5BF19-4036-4B96-B178-C61D5B739141}"/>
    <cellStyle name="Normal 3 3 2 3 4" xfId="8328" xr:uid="{224AB238-837F-4B24-A2CB-A78E38509AA7}"/>
    <cellStyle name="Normal 3 3 2 4" xfId="4445" xr:uid="{00000000-0005-0000-0000-000019130000}"/>
    <cellStyle name="Normal 3 3 2 4 2" xfId="7613" xr:uid="{00000000-0005-0000-0000-00001A130000}"/>
    <cellStyle name="Normal 3 3 2 4 2 2" xfId="10281" xr:uid="{CDE1A152-57E9-47D4-81BB-CB2060D8662D}"/>
    <cellStyle name="Normal 3 3 2 4 3" xfId="8950" xr:uid="{4936C68E-5EED-4BED-85C8-6DEDEB3EDC23}"/>
    <cellStyle name="Normal 3 3 2 5" xfId="3819" xr:uid="{00000000-0005-0000-0000-00001B130000}"/>
    <cellStyle name="Normal 3 3 2 5 2" xfId="6989" xr:uid="{00000000-0005-0000-0000-00001C130000}"/>
    <cellStyle name="Normal 3 3 2 5 2 2" xfId="9657" xr:uid="{CE050767-83B5-4D44-AF02-F63DFB904CC6}"/>
    <cellStyle name="Normal 3 3 2 5 3" xfId="8326" xr:uid="{B035FA10-E5B8-496C-8D56-C4DE7FB2520B}"/>
    <cellStyle name="Normal 3 3 2 6" xfId="5672" xr:uid="{00000000-0005-0000-0000-00001D130000}"/>
    <cellStyle name="Normal 3 3 2 6 2" xfId="9252" xr:uid="{9106C7C4-877B-4E7E-A60C-B59AF8E2DF0E}"/>
    <cellStyle name="Normal 3 3 2 7" xfId="6594" xr:uid="{00000000-0005-0000-0000-00001E130000}"/>
    <cellStyle name="Normal 3 3 2 7 2" xfId="9272" xr:uid="{4CD9004C-D31E-4573-89E8-473635EF4953}"/>
    <cellStyle name="Normal 3 3 2 8" xfId="7927" xr:uid="{437481D5-ED51-49BE-B680-BF2AA2FD775F}"/>
    <cellStyle name="Normal 3 3 3" xfId="3327" xr:uid="{00000000-0005-0000-0000-00001F130000}"/>
    <cellStyle name="Normal 3 3 3 2" xfId="4448" xr:uid="{00000000-0005-0000-0000-000020130000}"/>
    <cellStyle name="Normal 3 3 3 2 2" xfId="7616" xr:uid="{00000000-0005-0000-0000-000021130000}"/>
    <cellStyle name="Normal 3 3 3 2 2 2" xfId="10284" xr:uid="{BAAF8C15-106E-4E12-A2F9-22DD4D877133}"/>
    <cellStyle name="Normal 3 3 3 2 3" xfId="8953" xr:uid="{1279FB6D-529F-40E0-B815-93A1E67DC23E}"/>
    <cellStyle name="Normal 3 3 3 3" xfId="3822" xr:uid="{00000000-0005-0000-0000-000022130000}"/>
    <cellStyle name="Normal 3 3 3 3 2" xfId="6992" xr:uid="{00000000-0005-0000-0000-000023130000}"/>
    <cellStyle name="Normal 3 3 3 3 2 2" xfId="9660" xr:uid="{5B149498-0ABC-486F-BB08-92B44E60BD61}"/>
    <cellStyle name="Normal 3 3 3 3 3" xfId="8329" xr:uid="{FACDFB0C-C122-4E77-B449-A1C38D8A9D09}"/>
    <cellStyle name="Normal 3 3 3 4" xfId="6631" xr:uid="{00000000-0005-0000-0000-000024130000}"/>
    <cellStyle name="Normal 3 3 3 4 2" xfId="9308" xr:uid="{A73F9155-CDBB-4F31-B6CA-628780F5B0AC}"/>
    <cellStyle name="Normal 3 3 3 5" xfId="7968" xr:uid="{EFBEB11C-0F4D-4823-B205-D4FCA4EEC030}"/>
    <cellStyle name="Normal 3 3 4" xfId="3287" xr:uid="{00000000-0005-0000-0000-000025130000}"/>
    <cellStyle name="Normal 3 3 4 2" xfId="4449" xr:uid="{00000000-0005-0000-0000-000026130000}"/>
    <cellStyle name="Normal 3 3 4 2 2" xfId="7617" xr:uid="{00000000-0005-0000-0000-000027130000}"/>
    <cellStyle name="Normal 3 3 4 2 2 2" xfId="10285" xr:uid="{66F1641A-935B-47FC-A83F-882A081CF6B0}"/>
    <cellStyle name="Normal 3 3 4 2 3" xfId="8954" xr:uid="{48E16104-6AA6-4B6E-8485-A6E1B7605AE5}"/>
    <cellStyle name="Normal 3 3 4 3" xfId="3823" xr:uid="{00000000-0005-0000-0000-000028130000}"/>
    <cellStyle name="Normal 3 3 4 3 2" xfId="6993" xr:uid="{00000000-0005-0000-0000-000029130000}"/>
    <cellStyle name="Normal 3 3 4 3 2 2" xfId="9661" xr:uid="{2A502150-02A5-4B4C-B989-36B3849A5F99}"/>
    <cellStyle name="Normal 3 3 4 3 3" xfId="8330" xr:uid="{374511AA-717B-425D-BA56-B0CB1C466699}"/>
    <cellStyle name="Normal 3 3 4 4" xfId="6605" xr:uid="{00000000-0005-0000-0000-00002A130000}"/>
    <cellStyle name="Normal 3 3 4 4 2" xfId="9282" xr:uid="{0D5FC8EE-D316-4AC8-B2D5-655D2D66090D}"/>
    <cellStyle name="Normal 3 3 4 5" xfId="7942" xr:uid="{241871D6-DF1C-499C-94E4-6AF1E1287027}"/>
    <cellStyle name="Normal 3 3 5" xfId="3824" xr:uid="{00000000-0005-0000-0000-00002B130000}"/>
    <cellStyle name="Normal 3 3 5 2" xfId="4450" xr:uid="{00000000-0005-0000-0000-00002C130000}"/>
    <cellStyle name="Normal 3 3 5 2 2" xfId="7618" xr:uid="{00000000-0005-0000-0000-00002D130000}"/>
    <cellStyle name="Normal 3 3 5 2 2 2" xfId="10286" xr:uid="{B88525E9-A855-4A67-B612-74F59B439A0A}"/>
    <cellStyle name="Normal 3 3 5 2 3" xfId="8955" xr:uid="{CC7A2192-BAA7-40AE-A204-5506EFDE5607}"/>
    <cellStyle name="Normal 3 3 5 3" xfId="6994" xr:uid="{00000000-0005-0000-0000-00002E130000}"/>
    <cellStyle name="Normal 3 3 5 3 2" xfId="9662" xr:uid="{69CB1B67-4BF8-4EAA-834F-7E082590C2A3}"/>
    <cellStyle name="Normal 3 3 5 4" xfId="8331" xr:uid="{17C90F18-B071-4A3D-B946-A0578DDC4FA4}"/>
    <cellStyle name="Normal 3 3 6" xfId="3825" xr:uid="{00000000-0005-0000-0000-00002F130000}"/>
    <cellStyle name="Normal 3 3 6 2" xfId="4451" xr:uid="{00000000-0005-0000-0000-000030130000}"/>
    <cellStyle name="Normal 3 3 6 2 2" xfId="7619" xr:uid="{00000000-0005-0000-0000-000031130000}"/>
    <cellStyle name="Normal 3 3 6 2 2 2" xfId="10287" xr:uid="{A9F368F0-73FA-43CE-BA85-56A70BE17124}"/>
    <cellStyle name="Normal 3 3 6 2 3" xfId="8956" xr:uid="{37BD20B9-649E-44F5-93AE-A8705BBF14D0}"/>
    <cellStyle name="Normal 3 3 6 3" xfId="6995" xr:uid="{00000000-0005-0000-0000-000032130000}"/>
    <cellStyle name="Normal 3 3 6 3 2" xfId="9663" xr:uid="{D87F5998-FE58-4DB8-8ABE-1876BA1E86A5}"/>
    <cellStyle name="Normal 3 3 6 4" xfId="8332" xr:uid="{FB7AC865-53FD-4607-B393-C3FEFB0D5AAF}"/>
    <cellStyle name="Normal 3 3 7" xfId="4444" xr:uid="{00000000-0005-0000-0000-000033130000}"/>
    <cellStyle name="Normal 3 3 7 2" xfId="7612" xr:uid="{00000000-0005-0000-0000-000034130000}"/>
    <cellStyle name="Normal 3 3 7 2 2" xfId="10280" xr:uid="{2E1A10E1-F01E-4452-BB82-30139FB32A7D}"/>
    <cellStyle name="Normal 3 3 7 3" xfId="8949" xr:uid="{0138A1AE-230F-4841-9E89-FE5584F1E6D3}"/>
    <cellStyle name="Normal 3 3 8" xfId="3818" xr:uid="{00000000-0005-0000-0000-000035130000}"/>
    <cellStyle name="Normal 3 3 8 2" xfId="6988" xr:uid="{00000000-0005-0000-0000-000036130000}"/>
    <cellStyle name="Normal 3 3 8 2 2" xfId="9656" xr:uid="{868BABD2-5E82-4B1C-9C58-DCDBD5815433}"/>
    <cellStyle name="Normal 3 3 8 3" xfId="8325" xr:uid="{6F882AD5-B453-4E4E-9018-FC8C7FD952F0}"/>
    <cellStyle name="Normal 3 3 9" xfId="5300" xr:uid="{00000000-0005-0000-0000-000037130000}"/>
    <cellStyle name="Normal 3 3 9 2" xfId="9242" xr:uid="{C8A9489F-0DE4-45CD-987E-1F8BA3B921C4}"/>
    <cellStyle name="Normal 3 4" xfId="3320" xr:uid="{00000000-0005-0000-0000-000038130000}"/>
    <cellStyle name="Normal 3 4 10" xfId="6627" xr:uid="{00000000-0005-0000-0000-000039130000}"/>
    <cellStyle name="Normal 3 4 10 2" xfId="9304" xr:uid="{1838FAC0-C0C1-41CB-9E27-3E83F83FA0B3}"/>
    <cellStyle name="Normal 3 4 11" xfId="7964" xr:uid="{CC8074A8-4B70-4362-B241-F9C46267CE73}"/>
    <cellStyle name="Normal 3 4 2" xfId="3827" xr:uid="{00000000-0005-0000-0000-00003A130000}"/>
    <cellStyle name="Normal 3 4 2 2" xfId="3828" xr:uid="{00000000-0005-0000-0000-00003B130000}"/>
    <cellStyle name="Normal 3 4 2 2 2" xfId="4454" xr:uid="{00000000-0005-0000-0000-00003C130000}"/>
    <cellStyle name="Normal 3 4 2 2 2 2" xfId="7622" xr:uid="{00000000-0005-0000-0000-00003D130000}"/>
    <cellStyle name="Normal 3 4 2 2 2 2 2" xfId="10290" xr:uid="{654AFE2B-5307-4872-8B0C-DE058C9A6DEF}"/>
    <cellStyle name="Normal 3 4 2 2 2 3" xfId="8959" xr:uid="{56EF9B06-517C-4729-8D94-DA080003562E}"/>
    <cellStyle name="Normal 3 4 2 2 3" xfId="6998" xr:uid="{00000000-0005-0000-0000-00003E130000}"/>
    <cellStyle name="Normal 3 4 2 2 3 2" xfId="9666" xr:uid="{3EEA2AA0-B369-4BEA-8A9F-34CFA10E68DB}"/>
    <cellStyle name="Normal 3 4 2 2 4" xfId="8335" xr:uid="{EF8EEF02-F708-41C0-8D89-567E363E64FB}"/>
    <cellStyle name="Normal 3 4 2 3" xfId="3829" xr:uid="{00000000-0005-0000-0000-00003F130000}"/>
    <cellStyle name="Normal 3 4 2 3 2" xfId="4455" xr:uid="{00000000-0005-0000-0000-000040130000}"/>
    <cellStyle name="Normal 3 4 2 3 2 2" xfId="7623" xr:uid="{00000000-0005-0000-0000-000041130000}"/>
    <cellStyle name="Normal 3 4 2 3 2 2 2" xfId="10291" xr:uid="{1B7253E7-BFA3-4C64-8B6B-6A8029EC65EB}"/>
    <cellStyle name="Normal 3 4 2 3 2 3" xfId="8960" xr:uid="{E37BFEFD-1511-4F9B-9771-591FF389215E}"/>
    <cellStyle name="Normal 3 4 2 3 3" xfId="6999" xr:uid="{00000000-0005-0000-0000-000042130000}"/>
    <cellStyle name="Normal 3 4 2 3 3 2" xfId="9667" xr:uid="{C4FF74F1-403B-412D-8666-D0D901EADA10}"/>
    <cellStyle name="Normal 3 4 2 3 4" xfId="8336" xr:uid="{F737D368-AFA9-4C6D-8F94-CA50ECB2273B}"/>
    <cellStyle name="Normal 3 4 2 4" xfId="4453" xr:uid="{00000000-0005-0000-0000-000043130000}"/>
    <cellStyle name="Normal 3 4 2 4 2" xfId="7621" xr:uid="{00000000-0005-0000-0000-000044130000}"/>
    <cellStyle name="Normal 3 4 2 4 2 2" xfId="10289" xr:uid="{BA25889E-0627-4245-B840-74063553C06E}"/>
    <cellStyle name="Normal 3 4 2 4 3" xfId="8958" xr:uid="{24261A88-B001-4DB8-A126-394821C9FF5A}"/>
    <cellStyle name="Normal 3 4 2 5" xfId="6997" xr:uid="{00000000-0005-0000-0000-000045130000}"/>
    <cellStyle name="Normal 3 4 2 5 2" xfId="9665" xr:uid="{6B410474-62AB-4523-9BC8-4D1C20514E5E}"/>
    <cellStyle name="Normal 3 4 2 6" xfId="8334" xr:uid="{5FB1EE9D-1270-4F25-9454-08C92030A927}"/>
    <cellStyle name="Normal 3 4 3" xfId="3830" xr:uid="{00000000-0005-0000-0000-000046130000}"/>
    <cellStyle name="Normal 3 4 3 2" xfId="4456" xr:uid="{00000000-0005-0000-0000-000047130000}"/>
    <cellStyle name="Normal 3 4 3 2 2" xfId="7624" xr:uid="{00000000-0005-0000-0000-000048130000}"/>
    <cellStyle name="Normal 3 4 3 2 2 2" xfId="10292" xr:uid="{83C55553-795E-4B53-B160-BC8921B8C673}"/>
    <cellStyle name="Normal 3 4 3 2 3" xfId="8961" xr:uid="{BC797429-C05B-4186-909D-C165B06BD867}"/>
    <cellStyle name="Normal 3 4 3 3" xfId="7000" xr:uid="{00000000-0005-0000-0000-000049130000}"/>
    <cellStyle name="Normal 3 4 3 3 2" xfId="9668" xr:uid="{EAA568BC-D75A-437E-BEDD-E677B7DBB337}"/>
    <cellStyle name="Normal 3 4 3 4" xfId="8337" xr:uid="{54B9B103-CBCD-455D-91ED-77CFFCDF7B15}"/>
    <cellStyle name="Normal 3 4 4" xfId="3831" xr:uid="{00000000-0005-0000-0000-00004A130000}"/>
    <cellStyle name="Normal 3 4 4 2" xfId="4457" xr:uid="{00000000-0005-0000-0000-00004B130000}"/>
    <cellStyle name="Normal 3 4 4 2 2" xfId="7625" xr:uid="{00000000-0005-0000-0000-00004C130000}"/>
    <cellStyle name="Normal 3 4 4 2 2 2" xfId="10293" xr:uid="{424951F2-230E-4190-AB4D-A55FA5B3C61E}"/>
    <cellStyle name="Normal 3 4 4 2 3" xfId="8962" xr:uid="{F9ADF665-0066-4DF3-A710-56779376FDC5}"/>
    <cellStyle name="Normal 3 4 4 3" xfId="7001" xr:uid="{00000000-0005-0000-0000-00004D130000}"/>
    <cellStyle name="Normal 3 4 4 3 2" xfId="9669" xr:uid="{C75DBE01-9960-459D-855D-114228FE2200}"/>
    <cellStyle name="Normal 3 4 4 4" xfId="8338" xr:uid="{BAA73EAE-6525-4443-8470-71B55F2DC68B}"/>
    <cellStyle name="Normal 3 4 5" xfId="3832" xr:uid="{00000000-0005-0000-0000-00004E130000}"/>
    <cellStyle name="Normal 3 4 5 2" xfId="4458" xr:uid="{00000000-0005-0000-0000-00004F130000}"/>
    <cellStyle name="Normal 3 4 5 2 2" xfId="7626" xr:uid="{00000000-0005-0000-0000-000050130000}"/>
    <cellStyle name="Normal 3 4 5 2 2 2" xfId="10294" xr:uid="{51343FF1-44AD-4209-AAF9-91E60485A9CC}"/>
    <cellStyle name="Normal 3 4 5 2 3" xfId="8963" xr:uid="{2A788043-004C-4A09-9180-CA199A28AC7D}"/>
    <cellStyle name="Normal 3 4 5 3" xfId="7002" xr:uid="{00000000-0005-0000-0000-000051130000}"/>
    <cellStyle name="Normal 3 4 5 3 2" xfId="9670" xr:uid="{228F3F8E-1BD4-4288-A17C-7A029B20B6D6}"/>
    <cellStyle name="Normal 3 4 5 4" xfId="8339" xr:uid="{EC2D8B06-0ECB-48D0-B4AB-02EC97226027}"/>
    <cellStyle name="Normal 3 4 6" xfId="3833" xr:uid="{00000000-0005-0000-0000-000052130000}"/>
    <cellStyle name="Normal 3 4 6 2" xfId="4459" xr:uid="{00000000-0005-0000-0000-000053130000}"/>
    <cellStyle name="Normal 3 4 6 2 2" xfId="7627" xr:uid="{00000000-0005-0000-0000-000054130000}"/>
    <cellStyle name="Normal 3 4 6 2 2 2" xfId="10295" xr:uid="{54C58C6A-BADC-4045-A2AE-7FA595BCABF6}"/>
    <cellStyle name="Normal 3 4 6 2 3" xfId="8964" xr:uid="{29D12E20-CD22-405B-A060-F6C81C562FD9}"/>
    <cellStyle name="Normal 3 4 6 3" xfId="7003" xr:uid="{00000000-0005-0000-0000-000055130000}"/>
    <cellStyle name="Normal 3 4 6 3 2" xfId="9671" xr:uid="{B0B5FF2D-0C48-4F0C-9B68-EA0779E1A0EA}"/>
    <cellStyle name="Normal 3 4 6 4" xfId="8340" xr:uid="{3FB02E2B-8DBF-4667-A0F5-5FE60ABE821E}"/>
    <cellStyle name="Normal 3 4 7" xfId="4452" xr:uid="{00000000-0005-0000-0000-000056130000}"/>
    <cellStyle name="Normal 3 4 7 2" xfId="7620" xr:uid="{00000000-0005-0000-0000-000057130000}"/>
    <cellStyle name="Normal 3 4 7 2 2" xfId="10288" xr:uid="{9FDF47EC-73D1-4C02-908F-2668F7F87BB0}"/>
    <cellStyle name="Normal 3 4 7 3" xfId="8957" xr:uid="{1529A243-381E-4EB1-AD07-777AD063B349}"/>
    <cellStyle name="Normal 3 4 8" xfId="3826" xr:uid="{00000000-0005-0000-0000-000058130000}"/>
    <cellStyle name="Normal 3 4 8 2" xfId="6996" xr:uid="{00000000-0005-0000-0000-000059130000}"/>
    <cellStyle name="Normal 3 4 8 2 2" xfId="9664" xr:uid="{51994291-FA01-4657-B9D0-515A4947A498}"/>
    <cellStyle name="Normal 3 4 8 3" xfId="8333" xr:uid="{6E29AC5A-3555-47D0-95A9-D5477410B881}"/>
    <cellStyle name="Normal 3 4 9" xfId="5298" xr:uid="{00000000-0005-0000-0000-00005A130000}"/>
    <cellStyle name="Normal 3 5" xfId="3834" xr:uid="{00000000-0005-0000-0000-00005B130000}"/>
    <cellStyle name="Normal 3 5 2" xfId="3835" xr:uid="{00000000-0005-0000-0000-00005C130000}"/>
    <cellStyle name="Normal 3 5 2 2" xfId="3836" xr:uid="{00000000-0005-0000-0000-00005D130000}"/>
    <cellStyle name="Normal 3 5 2 2 2" xfId="4462" xr:uid="{00000000-0005-0000-0000-00005E130000}"/>
    <cellStyle name="Normal 3 5 2 2 2 2" xfId="7630" xr:uid="{00000000-0005-0000-0000-00005F130000}"/>
    <cellStyle name="Normal 3 5 2 2 2 2 2" xfId="10298" xr:uid="{DF4D80B5-EF17-4274-B4CB-FA97B62AE209}"/>
    <cellStyle name="Normal 3 5 2 2 2 3" xfId="8967" xr:uid="{64B11336-88F0-45A1-8DF5-85497375C48C}"/>
    <cellStyle name="Normal 3 5 2 2 3" xfId="7006" xr:uid="{00000000-0005-0000-0000-000060130000}"/>
    <cellStyle name="Normal 3 5 2 2 3 2" xfId="9674" xr:uid="{7438AD15-92D3-4C7C-8E0B-C1D178ADDCF4}"/>
    <cellStyle name="Normal 3 5 2 2 4" xfId="8343" xr:uid="{BE26FB8B-09FB-40BB-81E6-24B5AC96E18B}"/>
    <cellStyle name="Normal 3 5 2 3" xfId="3837" xr:uid="{00000000-0005-0000-0000-000061130000}"/>
    <cellStyle name="Normal 3 5 2 3 2" xfId="4463" xr:uid="{00000000-0005-0000-0000-000062130000}"/>
    <cellStyle name="Normal 3 5 2 3 2 2" xfId="7631" xr:uid="{00000000-0005-0000-0000-000063130000}"/>
    <cellStyle name="Normal 3 5 2 3 2 2 2" xfId="10299" xr:uid="{951ED2A8-2E79-4416-B177-611DC6B8F816}"/>
    <cellStyle name="Normal 3 5 2 3 2 3" xfId="8968" xr:uid="{B005EDC8-12AB-481E-A7DA-70B72AA2FF74}"/>
    <cellStyle name="Normal 3 5 2 3 3" xfId="7007" xr:uid="{00000000-0005-0000-0000-000064130000}"/>
    <cellStyle name="Normal 3 5 2 3 3 2" xfId="9675" xr:uid="{5E479990-D5A9-4CD3-8B5C-D89798C7F828}"/>
    <cellStyle name="Normal 3 5 2 3 4" xfId="8344" xr:uid="{8F12B913-9CCB-41B9-A08F-A1B514CE8C6D}"/>
    <cellStyle name="Normal 3 5 2 4" xfId="4461" xr:uid="{00000000-0005-0000-0000-000065130000}"/>
    <cellStyle name="Normal 3 5 2 4 2" xfId="7629" xr:uid="{00000000-0005-0000-0000-000066130000}"/>
    <cellStyle name="Normal 3 5 2 4 2 2" xfId="10297" xr:uid="{6441C46E-1C22-4199-B57E-AF1487E5D474}"/>
    <cellStyle name="Normal 3 5 2 4 3" xfId="8966" xr:uid="{F072182F-3AE3-4775-903D-26F4DDD27682}"/>
    <cellStyle name="Normal 3 5 2 5" xfId="7005" xr:uid="{00000000-0005-0000-0000-000067130000}"/>
    <cellStyle name="Normal 3 5 2 5 2" xfId="9673" xr:uid="{171F4D4F-3085-45D8-A882-1773E12CB361}"/>
    <cellStyle name="Normal 3 5 2 6" xfId="8342" xr:uid="{8666B8AA-FB39-4500-9552-27272B39CF50}"/>
    <cellStyle name="Normal 3 5 3" xfId="3838" xr:uid="{00000000-0005-0000-0000-000068130000}"/>
    <cellStyle name="Normal 3 5 3 2" xfId="4464" xr:uid="{00000000-0005-0000-0000-000069130000}"/>
    <cellStyle name="Normal 3 5 3 2 2" xfId="7632" xr:uid="{00000000-0005-0000-0000-00006A130000}"/>
    <cellStyle name="Normal 3 5 3 2 2 2" xfId="10300" xr:uid="{7F53731F-E9C5-41E3-AD59-FFA21EEB9662}"/>
    <cellStyle name="Normal 3 5 3 2 3" xfId="8969" xr:uid="{73A0BC54-0095-4FA9-A1A8-5F2C60D61C96}"/>
    <cellStyle name="Normal 3 5 3 3" xfId="7008" xr:uid="{00000000-0005-0000-0000-00006B130000}"/>
    <cellStyle name="Normal 3 5 3 3 2" xfId="9676" xr:uid="{3F77E959-2974-4920-9ACC-0B2DDAB8C847}"/>
    <cellStyle name="Normal 3 5 3 4" xfId="8345" xr:uid="{3AF1ECF4-B5AE-41F8-A4A0-6D3EC05440E9}"/>
    <cellStyle name="Normal 3 5 4" xfId="3839" xr:uid="{00000000-0005-0000-0000-00006C130000}"/>
    <cellStyle name="Normal 3 5 4 2" xfId="4465" xr:uid="{00000000-0005-0000-0000-00006D130000}"/>
    <cellStyle name="Normal 3 5 4 2 2" xfId="7633" xr:uid="{00000000-0005-0000-0000-00006E130000}"/>
    <cellStyle name="Normal 3 5 4 2 2 2" xfId="10301" xr:uid="{221760AA-0888-4800-868B-6BDE60CD062F}"/>
    <cellStyle name="Normal 3 5 4 2 3" xfId="8970" xr:uid="{A1EDE913-4631-4F32-A410-6D2F2C160D8E}"/>
    <cellStyle name="Normal 3 5 4 3" xfId="7009" xr:uid="{00000000-0005-0000-0000-00006F130000}"/>
    <cellStyle name="Normal 3 5 4 3 2" xfId="9677" xr:uid="{01AF044B-0AA4-4540-B28F-9181FE482412}"/>
    <cellStyle name="Normal 3 5 4 4" xfId="8346" xr:uid="{AE012A3B-690C-486F-A8FD-EEA9632DBD2C}"/>
    <cellStyle name="Normal 3 5 5" xfId="3840" xr:uid="{00000000-0005-0000-0000-000070130000}"/>
    <cellStyle name="Normal 3 5 5 2" xfId="4466" xr:uid="{00000000-0005-0000-0000-000071130000}"/>
    <cellStyle name="Normal 3 5 5 2 2" xfId="7634" xr:uid="{00000000-0005-0000-0000-000072130000}"/>
    <cellStyle name="Normal 3 5 5 2 2 2" xfId="10302" xr:uid="{416C14CB-A4B9-4994-ABBD-5189C68155EB}"/>
    <cellStyle name="Normal 3 5 5 2 3" xfId="8971" xr:uid="{06984FCF-6691-4732-92D7-4BC5BD5D74D7}"/>
    <cellStyle name="Normal 3 5 5 3" xfId="7010" xr:uid="{00000000-0005-0000-0000-000073130000}"/>
    <cellStyle name="Normal 3 5 5 3 2" xfId="9678" xr:uid="{CC74FC5A-B98D-47A7-8914-9A8A89B39750}"/>
    <cellStyle name="Normal 3 5 5 4" xfId="8347" xr:uid="{5E223CA6-9E21-4881-BD85-94120130ECCA}"/>
    <cellStyle name="Normal 3 5 6" xfId="4460" xr:uid="{00000000-0005-0000-0000-000074130000}"/>
    <cellStyle name="Normal 3 5 6 2" xfId="7628" xr:uid="{00000000-0005-0000-0000-000075130000}"/>
    <cellStyle name="Normal 3 5 6 2 2" xfId="10296" xr:uid="{1C8CC574-8ABA-41A2-A65D-1CF5C9ACEA2C}"/>
    <cellStyle name="Normal 3 5 6 3" xfId="8965" xr:uid="{87999F20-0311-4B55-A7E0-FD4FCA6898BB}"/>
    <cellStyle name="Normal 3 5 7" xfId="7004" xr:uid="{00000000-0005-0000-0000-000076130000}"/>
    <cellStyle name="Normal 3 5 7 2" xfId="9672" xr:uid="{77EA4552-3184-4A00-93D7-AABCA4232BB5}"/>
    <cellStyle name="Normal 3 5 8" xfId="8341" xr:uid="{81879DBB-2E5B-4569-A6BB-A308DA3EEECD}"/>
    <cellStyle name="Normal 3 6" xfId="3841" xr:uid="{00000000-0005-0000-0000-000077130000}"/>
    <cellStyle name="Normal 3 6 2" xfId="3842" xr:uid="{00000000-0005-0000-0000-000078130000}"/>
    <cellStyle name="Normal 3 6 2 2" xfId="3843" xr:uid="{00000000-0005-0000-0000-000079130000}"/>
    <cellStyle name="Normal 3 6 2 2 2" xfId="4469" xr:uid="{00000000-0005-0000-0000-00007A130000}"/>
    <cellStyle name="Normal 3 6 2 2 2 2" xfId="7637" xr:uid="{00000000-0005-0000-0000-00007B130000}"/>
    <cellStyle name="Normal 3 6 2 2 2 2 2" xfId="10305" xr:uid="{10310D23-B39E-4506-9F01-27DE2E43E232}"/>
    <cellStyle name="Normal 3 6 2 2 2 3" xfId="8974" xr:uid="{C097EC78-66A7-4D3D-BF21-65AEEA862C02}"/>
    <cellStyle name="Normal 3 6 2 2 3" xfId="7013" xr:uid="{00000000-0005-0000-0000-00007C130000}"/>
    <cellStyle name="Normal 3 6 2 2 3 2" xfId="9681" xr:uid="{CE73DCD8-5F63-4366-BE16-90DAD6628427}"/>
    <cellStyle name="Normal 3 6 2 2 4" xfId="8350" xr:uid="{1D254CB2-BEEA-4925-8079-81F70FAE7591}"/>
    <cellStyle name="Normal 3 6 2 3" xfId="3844" xr:uid="{00000000-0005-0000-0000-00007D130000}"/>
    <cellStyle name="Normal 3 6 2 3 2" xfId="4470" xr:uid="{00000000-0005-0000-0000-00007E130000}"/>
    <cellStyle name="Normal 3 6 2 3 2 2" xfId="7638" xr:uid="{00000000-0005-0000-0000-00007F130000}"/>
    <cellStyle name="Normal 3 6 2 3 2 2 2" xfId="10306" xr:uid="{AAD277C3-83F7-4381-AEC6-545B5146F157}"/>
    <cellStyle name="Normal 3 6 2 3 2 3" xfId="8975" xr:uid="{469EE229-EF35-4767-8350-DFF1AA0094AB}"/>
    <cellStyle name="Normal 3 6 2 3 3" xfId="7014" xr:uid="{00000000-0005-0000-0000-000080130000}"/>
    <cellStyle name="Normal 3 6 2 3 3 2" xfId="9682" xr:uid="{86F48409-ADC6-458D-968C-4FCDF986391E}"/>
    <cellStyle name="Normal 3 6 2 3 4" xfId="8351" xr:uid="{1737B127-D233-4CB7-933B-B0D0C5FF2935}"/>
    <cellStyle name="Normal 3 6 2 4" xfId="4468" xr:uid="{00000000-0005-0000-0000-000081130000}"/>
    <cellStyle name="Normal 3 6 2 4 2" xfId="7636" xr:uid="{00000000-0005-0000-0000-000082130000}"/>
    <cellStyle name="Normal 3 6 2 4 2 2" xfId="10304" xr:uid="{DB0E0613-2E26-4807-BADB-E17DB7A9A5E7}"/>
    <cellStyle name="Normal 3 6 2 4 3" xfId="8973" xr:uid="{9AFFDD7E-DE42-4CD8-B87A-B407FE70CCB4}"/>
    <cellStyle name="Normal 3 6 2 5" xfId="7012" xr:uid="{00000000-0005-0000-0000-000083130000}"/>
    <cellStyle name="Normal 3 6 2 5 2" xfId="9680" xr:uid="{61C7E4D9-0B7F-42F5-A2ED-E39E94FF362D}"/>
    <cellStyle name="Normal 3 6 2 6" xfId="8349" xr:uid="{A78C9737-0F7B-4F0B-A5D5-9492BD8D0570}"/>
    <cellStyle name="Normal 3 6 3" xfId="3845" xr:uid="{00000000-0005-0000-0000-000084130000}"/>
    <cellStyle name="Normal 3 6 3 2" xfId="4471" xr:uid="{00000000-0005-0000-0000-000085130000}"/>
    <cellStyle name="Normal 3 6 3 2 2" xfId="7639" xr:uid="{00000000-0005-0000-0000-000086130000}"/>
    <cellStyle name="Normal 3 6 3 2 2 2" xfId="10307" xr:uid="{00133FE0-3D20-49A0-8C19-003370256CD3}"/>
    <cellStyle name="Normal 3 6 3 2 3" xfId="8976" xr:uid="{A948391E-9872-417B-B43B-5846FB50DC2D}"/>
    <cellStyle name="Normal 3 6 3 3" xfId="7015" xr:uid="{00000000-0005-0000-0000-000087130000}"/>
    <cellStyle name="Normal 3 6 3 3 2" xfId="9683" xr:uid="{6F97C82D-10D2-455D-B5D3-6C7FA4464573}"/>
    <cellStyle name="Normal 3 6 3 4" xfId="8352" xr:uid="{BFCF5436-03DD-4EA0-B3B7-D0A5D4BAE35E}"/>
    <cellStyle name="Normal 3 6 4" xfId="3846" xr:uid="{00000000-0005-0000-0000-000088130000}"/>
    <cellStyle name="Normal 3 6 4 2" xfId="4472" xr:uid="{00000000-0005-0000-0000-000089130000}"/>
    <cellStyle name="Normal 3 6 4 2 2" xfId="7640" xr:uid="{00000000-0005-0000-0000-00008A130000}"/>
    <cellStyle name="Normal 3 6 4 2 2 2" xfId="10308" xr:uid="{13FB1067-A01E-430F-87FD-62EB50BCEC4A}"/>
    <cellStyle name="Normal 3 6 4 2 3" xfId="8977" xr:uid="{AFDD99C9-877C-4D49-83B9-FE9F0B10F818}"/>
    <cellStyle name="Normal 3 6 4 3" xfId="7016" xr:uid="{00000000-0005-0000-0000-00008B130000}"/>
    <cellStyle name="Normal 3 6 4 3 2" xfId="9684" xr:uid="{5B8D7FAC-D24F-402B-82CE-E99DD5E4BA27}"/>
    <cellStyle name="Normal 3 6 4 4" xfId="8353" xr:uid="{B6505B0E-CBD9-4DC6-A8DB-A4D9531B84E2}"/>
    <cellStyle name="Normal 3 6 5" xfId="3847" xr:uid="{00000000-0005-0000-0000-00008C130000}"/>
    <cellStyle name="Normal 3 6 5 2" xfId="4473" xr:uid="{00000000-0005-0000-0000-00008D130000}"/>
    <cellStyle name="Normal 3 6 5 2 2" xfId="7641" xr:uid="{00000000-0005-0000-0000-00008E130000}"/>
    <cellStyle name="Normal 3 6 5 2 2 2" xfId="10309" xr:uid="{974674F0-171C-4CC0-8A61-5AC988EE689B}"/>
    <cellStyle name="Normal 3 6 5 2 3" xfId="8978" xr:uid="{453750B8-3905-4A83-BD69-6144468F494E}"/>
    <cellStyle name="Normal 3 6 5 3" xfId="7017" xr:uid="{00000000-0005-0000-0000-00008F130000}"/>
    <cellStyle name="Normal 3 6 5 3 2" xfId="9685" xr:uid="{31F7ABFF-0747-483E-B7DE-594A44E9C409}"/>
    <cellStyle name="Normal 3 6 5 4" xfId="8354" xr:uid="{1439836E-1A1F-4363-9049-CD204DE91CCF}"/>
    <cellStyle name="Normal 3 6 6" xfId="4467" xr:uid="{00000000-0005-0000-0000-000090130000}"/>
    <cellStyle name="Normal 3 6 6 2" xfId="7635" xr:uid="{00000000-0005-0000-0000-000091130000}"/>
    <cellStyle name="Normal 3 6 6 2 2" xfId="10303" xr:uid="{907ECC9E-675B-4CDB-8189-0AAC17DB2A3B}"/>
    <cellStyle name="Normal 3 6 6 3" xfId="8972" xr:uid="{463FB43E-2F60-46C0-B5FD-ADCADF76D8DF}"/>
    <cellStyle name="Normal 3 6 7" xfId="7011" xr:uid="{00000000-0005-0000-0000-000092130000}"/>
    <cellStyle name="Normal 3 6 7 2" xfId="9679" xr:uid="{776A3B55-6DD0-4516-B358-6C4FF114FC7A}"/>
    <cellStyle name="Normal 3 6 8" xfId="8348" xr:uid="{A1B55CBE-2185-43AA-AA86-EFB2202172FE}"/>
    <cellStyle name="Normal 3 7" xfId="3848" xr:uid="{00000000-0005-0000-0000-000093130000}"/>
    <cellStyle name="Normal 3 7 2" xfId="3849" xr:uid="{00000000-0005-0000-0000-000094130000}"/>
    <cellStyle name="Normal 3 7 2 2" xfId="3850" xr:uid="{00000000-0005-0000-0000-000095130000}"/>
    <cellStyle name="Normal 3 7 2 2 2" xfId="4476" xr:uid="{00000000-0005-0000-0000-000096130000}"/>
    <cellStyle name="Normal 3 7 2 2 2 2" xfId="7644" xr:uid="{00000000-0005-0000-0000-000097130000}"/>
    <cellStyle name="Normal 3 7 2 2 2 2 2" xfId="10312" xr:uid="{0EA7C6B3-7C70-4A13-BE82-2CDAAB3BE55C}"/>
    <cellStyle name="Normal 3 7 2 2 2 3" xfId="8981" xr:uid="{329E8C09-1A4D-4F1C-BE34-B2712C356A2E}"/>
    <cellStyle name="Normal 3 7 2 2 3" xfId="7020" xr:uid="{00000000-0005-0000-0000-000098130000}"/>
    <cellStyle name="Normal 3 7 2 2 3 2" xfId="9688" xr:uid="{58540279-A465-4ED5-8EC4-234066B829FA}"/>
    <cellStyle name="Normal 3 7 2 2 4" xfId="8357" xr:uid="{4B89CEFA-267F-4A9D-87BE-E20F7EC67353}"/>
    <cellStyle name="Normal 3 7 2 3" xfId="3851" xr:uid="{00000000-0005-0000-0000-000099130000}"/>
    <cellStyle name="Normal 3 7 2 3 2" xfId="4477" xr:uid="{00000000-0005-0000-0000-00009A130000}"/>
    <cellStyle name="Normal 3 7 2 3 2 2" xfId="7645" xr:uid="{00000000-0005-0000-0000-00009B130000}"/>
    <cellStyle name="Normal 3 7 2 3 2 2 2" xfId="10313" xr:uid="{CDA6058C-D21B-4B2D-ADF3-C45F40E20E61}"/>
    <cellStyle name="Normal 3 7 2 3 2 3" xfId="8982" xr:uid="{4F94BF40-3AB6-4D7E-9FD4-0DA5B62CE7F6}"/>
    <cellStyle name="Normal 3 7 2 3 3" xfId="7021" xr:uid="{00000000-0005-0000-0000-00009C130000}"/>
    <cellStyle name="Normal 3 7 2 3 3 2" xfId="9689" xr:uid="{528C8626-DEE9-42FA-ABC6-601755362CE2}"/>
    <cellStyle name="Normal 3 7 2 3 4" xfId="8358" xr:uid="{2981DF20-6D77-4825-801A-10682C6AF5E8}"/>
    <cellStyle name="Normal 3 7 2 4" xfId="4475" xr:uid="{00000000-0005-0000-0000-00009D130000}"/>
    <cellStyle name="Normal 3 7 2 4 2" xfId="7643" xr:uid="{00000000-0005-0000-0000-00009E130000}"/>
    <cellStyle name="Normal 3 7 2 4 2 2" xfId="10311" xr:uid="{BC7B6CF5-D813-4080-9A75-4CF26D13DDFD}"/>
    <cellStyle name="Normal 3 7 2 4 3" xfId="8980" xr:uid="{106A2803-2B84-41FB-AE14-46FE7C1530B0}"/>
    <cellStyle name="Normal 3 7 2 5" xfId="7019" xr:uid="{00000000-0005-0000-0000-00009F130000}"/>
    <cellStyle name="Normal 3 7 2 5 2" xfId="9687" xr:uid="{3E6D5131-B2DB-4FBD-8086-843EF086DC6D}"/>
    <cellStyle name="Normal 3 7 2 6" xfId="8356" xr:uid="{101B7B9F-6713-4460-ADF9-3BEB23D73603}"/>
    <cellStyle name="Normal 3 7 3" xfId="3852" xr:uid="{00000000-0005-0000-0000-0000A0130000}"/>
    <cellStyle name="Normal 3 7 3 2" xfId="4478" xr:uid="{00000000-0005-0000-0000-0000A1130000}"/>
    <cellStyle name="Normal 3 7 3 2 2" xfId="7646" xr:uid="{00000000-0005-0000-0000-0000A2130000}"/>
    <cellStyle name="Normal 3 7 3 2 2 2" xfId="10314" xr:uid="{F8647529-AF96-427D-B0CB-4BE1F4102D6F}"/>
    <cellStyle name="Normal 3 7 3 2 3" xfId="8983" xr:uid="{DEFEE6D3-B1D5-4B24-9EB0-B94AE8724AC6}"/>
    <cellStyle name="Normal 3 7 3 3" xfId="7022" xr:uid="{00000000-0005-0000-0000-0000A3130000}"/>
    <cellStyle name="Normal 3 7 3 3 2" xfId="9690" xr:uid="{15731193-CACE-46AB-A87B-50B916CD7AC4}"/>
    <cellStyle name="Normal 3 7 3 4" xfId="8359" xr:uid="{F103B88C-C369-41DC-BF67-D2045F99B7BE}"/>
    <cellStyle name="Normal 3 7 4" xfId="3853" xr:uid="{00000000-0005-0000-0000-0000A4130000}"/>
    <cellStyle name="Normal 3 7 4 2" xfId="4479" xr:uid="{00000000-0005-0000-0000-0000A5130000}"/>
    <cellStyle name="Normal 3 7 4 2 2" xfId="7647" xr:uid="{00000000-0005-0000-0000-0000A6130000}"/>
    <cellStyle name="Normal 3 7 4 2 2 2" xfId="10315" xr:uid="{2142EAC8-A3F0-4A38-BE55-05E5E08AE4AA}"/>
    <cellStyle name="Normal 3 7 4 2 3" xfId="8984" xr:uid="{D6D20C25-8705-4B69-84E2-04D130E9ECC8}"/>
    <cellStyle name="Normal 3 7 4 3" xfId="7023" xr:uid="{00000000-0005-0000-0000-0000A7130000}"/>
    <cellStyle name="Normal 3 7 4 3 2" xfId="9691" xr:uid="{447F5EA7-33DF-4E89-8683-2E14F7126F43}"/>
    <cellStyle name="Normal 3 7 4 4" xfId="8360" xr:uid="{38775DCE-99E5-4265-A305-626FF03B0F55}"/>
    <cellStyle name="Normal 3 7 5" xfId="3854" xr:uid="{00000000-0005-0000-0000-0000A8130000}"/>
    <cellStyle name="Normal 3 7 5 2" xfId="4480" xr:uid="{00000000-0005-0000-0000-0000A9130000}"/>
    <cellStyle name="Normal 3 7 5 2 2" xfId="7648" xr:uid="{00000000-0005-0000-0000-0000AA130000}"/>
    <cellStyle name="Normal 3 7 5 2 2 2" xfId="10316" xr:uid="{2F3716AD-F0BE-4816-ABDF-9B41EC6EABD5}"/>
    <cellStyle name="Normal 3 7 5 2 3" xfId="8985" xr:uid="{83741705-C3F8-4FC9-BE34-5505B04FCA18}"/>
    <cellStyle name="Normal 3 7 5 3" xfId="7024" xr:uid="{00000000-0005-0000-0000-0000AB130000}"/>
    <cellStyle name="Normal 3 7 5 3 2" xfId="9692" xr:uid="{53F97489-090A-4CF3-89AF-65ED5AB19EBC}"/>
    <cellStyle name="Normal 3 7 5 4" xfId="8361" xr:uid="{D302C165-96A2-4E9E-A34C-94728D80931A}"/>
    <cellStyle name="Normal 3 7 6" xfId="4474" xr:uid="{00000000-0005-0000-0000-0000AC130000}"/>
    <cellStyle name="Normal 3 7 6 2" xfId="7642" xr:uid="{00000000-0005-0000-0000-0000AD130000}"/>
    <cellStyle name="Normal 3 7 6 2 2" xfId="10310" xr:uid="{F41687D1-B448-45D8-BF30-3CF334792470}"/>
    <cellStyle name="Normal 3 7 6 3" xfId="8979" xr:uid="{C3829EC0-F876-4419-9E5F-8C530491EAB0}"/>
    <cellStyle name="Normal 3 7 7" xfId="7018" xr:uid="{00000000-0005-0000-0000-0000AE130000}"/>
    <cellStyle name="Normal 3 7 7 2" xfId="9686" xr:uid="{67960A1F-069C-456B-81D2-6EB44ED4D557}"/>
    <cellStyle name="Normal 3 7 8" xfId="8355" xr:uid="{F6303376-1DCD-437B-9735-607F9CD5A595}"/>
    <cellStyle name="Normal 3 8" xfId="3855" xr:uid="{00000000-0005-0000-0000-0000AF130000}"/>
    <cellStyle name="Normal 3 8 2" xfId="3856" xr:uid="{00000000-0005-0000-0000-0000B0130000}"/>
    <cellStyle name="Normal 3 8 2 2" xfId="3857" xr:uid="{00000000-0005-0000-0000-0000B1130000}"/>
    <cellStyle name="Normal 3 8 2 2 2" xfId="4483" xr:uid="{00000000-0005-0000-0000-0000B2130000}"/>
    <cellStyle name="Normal 3 8 2 2 2 2" xfId="7651" xr:uid="{00000000-0005-0000-0000-0000B3130000}"/>
    <cellStyle name="Normal 3 8 2 2 2 2 2" xfId="10319" xr:uid="{96448C34-1AE7-47F9-B018-259A95273E37}"/>
    <cellStyle name="Normal 3 8 2 2 2 3" xfId="8988" xr:uid="{E0DBB0AB-1E52-4BD4-A5F8-0656C7ACDE86}"/>
    <cellStyle name="Normal 3 8 2 2 3" xfId="7027" xr:uid="{00000000-0005-0000-0000-0000B4130000}"/>
    <cellStyle name="Normal 3 8 2 2 3 2" xfId="9695" xr:uid="{D0085F78-471B-45F3-B413-712910D7BCBA}"/>
    <cellStyle name="Normal 3 8 2 2 4" xfId="8364" xr:uid="{B2447C90-599E-46B1-B72C-1225B938EFB2}"/>
    <cellStyle name="Normal 3 8 2 3" xfId="3858" xr:uid="{00000000-0005-0000-0000-0000B5130000}"/>
    <cellStyle name="Normal 3 8 2 3 2" xfId="4484" xr:uid="{00000000-0005-0000-0000-0000B6130000}"/>
    <cellStyle name="Normal 3 8 2 3 2 2" xfId="7652" xr:uid="{00000000-0005-0000-0000-0000B7130000}"/>
    <cellStyle name="Normal 3 8 2 3 2 2 2" xfId="10320" xr:uid="{95BDACF7-C345-4713-B795-B42E4F4B5A3D}"/>
    <cellStyle name="Normal 3 8 2 3 2 3" xfId="8989" xr:uid="{444627E5-99F8-426F-ADBD-74D9F8A580F7}"/>
    <cellStyle name="Normal 3 8 2 3 3" xfId="7028" xr:uid="{00000000-0005-0000-0000-0000B8130000}"/>
    <cellStyle name="Normal 3 8 2 3 3 2" xfId="9696" xr:uid="{DA200114-0CCB-4310-AE9F-3EE32B51D8B2}"/>
    <cellStyle name="Normal 3 8 2 3 4" xfId="8365" xr:uid="{9D18104D-DDFF-45D1-B771-A99035E6F037}"/>
    <cellStyle name="Normal 3 8 2 4" xfId="4482" xr:uid="{00000000-0005-0000-0000-0000B9130000}"/>
    <cellStyle name="Normal 3 8 2 4 2" xfId="7650" xr:uid="{00000000-0005-0000-0000-0000BA130000}"/>
    <cellStyle name="Normal 3 8 2 4 2 2" xfId="10318" xr:uid="{A3907B3A-4907-4F0F-8EA6-6C05EC3B8A14}"/>
    <cellStyle name="Normal 3 8 2 4 3" xfId="8987" xr:uid="{11489284-9B35-4B8E-86B3-B7B796772EE7}"/>
    <cellStyle name="Normal 3 8 2 5" xfId="7026" xr:uid="{00000000-0005-0000-0000-0000BB130000}"/>
    <cellStyle name="Normal 3 8 2 5 2" xfId="9694" xr:uid="{34D30427-4115-4D61-BE8D-EAC2540EAC03}"/>
    <cellStyle name="Normal 3 8 2 6" xfId="8363" xr:uid="{29F1660F-8D8D-4B21-BD66-A35F14AEDAD7}"/>
    <cellStyle name="Normal 3 8 3" xfId="3859" xr:uid="{00000000-0005-0000-0000-0000BC130000}"/>
    <cellStyle name="Normal 3 8 3 2" xfId="4485" xr:uid="{00000000-0005-0000-0000-0000BD130000}"/>
    <cellStyle name="Normal 3 8 3 2 2" xfId="7653" xr:uid="{00000000-0005-0000-0000-0000BE130000}"/>
    <cellStyle name="Normal 3 8 3 2 2 2" xfId="10321" xr:uid="{EF729026-855B-4E7B-9FEE-90619CC523BA}"/>
    <cellStyle name="Normal 3 8 3 2 3" xfId="8990" xr:uid="{07D5D263-01A1-4336-B30F-E83D6AB3B6A1}"/>
    <cellStyle name="Normal 3 8 3 3" xfId="7029" xr:uid="{00000000-0005-0000-0000-0000BF130000}"/>
    <cellStyle name="Normal 3 8 3 3 2" xfId="9697" xr:uid="{279139B2-341F-43AA-ABDB-B1CCDDE2C66D}"/>
    <cellStyle name="Normal 3 8 3 4" xfId="8366" xr:uid="{A4EFA6A9-58E9-473D-99D2-CEE8FEB1C5E3}"/>
    <cellStyle name="Normal 3 8 4" xfId="3860" xr:uid="{00000000-0005-0000-0000-0000C0130000}"/>
    <cellStyle name="Normal 3 8 4 2" xfId="4486" xr:uid="{00000000-0005-0000-0000-0000C1130000}"/>
    <cellStyle name="Normal 3 8 4 2 2" xfId="7654" xr:uid="{00000000-0005-0000-0000-0000C2130000}"/>
    <cellStyle name="Normal 3 8 4 2 2 2" xfId="10322" xr:uid="{BF2D21D9-8B4A-4A6A-A6C6-7E555512B2FF}"/>
    <cellStyle name="Normal 3 8 4 2 3" xfId="8991" xr:uid="{64EB1F54-951D-47EF-BAD9-7C5F379300E5}"/>
    <cellStyle name="Normal 3 8 4 3" xfId="7030" xr:uid="{00000000-0005-0000-0000-0000C3130000}"/>
    <cellStyle name="Normal 3 8 4 3 2" xfId="9698" xr:uid="{ABF8D382-0B8A-4E4C-9163-FA9FD9EA6F79}"/>
    <cellStyle name="Normal 3 8 4 4" xfId="8367" xr:uid="{E4A18059-BC19-4A58-8AF9-DED0A821AD21}"/>
    <cellStyle name="Normal 3 8 5" xfId="3861" xr:uid="{00000000-0005-0000-0000-0000C4130000}"/>
    <cellStyle name="Normal 3 8 5 2" xfId="4487" xr:uid="{00000000-0005-0000-0000-0000C5130000}"/>
    <cellStyle name="Normal 3 8 5 2 2" xfId="7655" xr:uid="{00000000-0005-0000-0000-0000C6130000}"/>
    <cellStyle name="Normal 3 8 5 2 2 2" xfId="10323" xr:uid="{B04349D8-6938-4BA2-B752-0CC0B1EE3A3F}"/>
    <cellStyle name="Normal 3 8 5 2 3" xfId="8992" xr:uid="{9E581AEC-B4D5-4C2F-8F03-FB26071A4A11}"/>
    <cellStyle name="Normal 3 8 5 3" xfId="7031" xr:uid="{00000000-0005-0000-0000-0000C7130000}"/>
    <cellStyle name="Normal 3 8 5 3 2" xfId="9699" xr:uid="{A4868109-77AD-4ACA-86A2-0EE3E70248F4}"/>
    <cellStyle name="Normal 3 8 5 4" xfId="8368" xr:uid="{67811D4A-49F7-49C8-9A90-3515470D8A6C}"/>
    <cellStyle name="Normal 3 8 6" xfId="4481" xr:uid="{00000000-0005-0000-0000-0000C8130000}"/>
    <cellStyle name="Normal 3 8 6 2" xfId="7649" xr:uid="{00000000-0005-0000-0000-0000C9130000}"/>
    <cellStyle name="Normal 3 8 6 2 2" xfId="10317" xr:uid="{76A23B5D-CCDE-426F-BFD8-6106B0875FD4}"/>
    <cellStyle name="Normal 3 8 6 3" xfId="8986" xr:uid="{241E3809-4F79-4585-956F-7A94688D5223}"/>
    <cellStyle name="Normal 3 8 7" xfId="7025" xr:uid="{00000000-0005-0000-0000-0000CA130000}"/>
    <cellStyle name="Normal 3 8 7 2" xfId="9693" xr:uid="{25ECDFBC-16D8-4E3A-AEC7-44B31DFEBEF0}"/>
    <cellStyle name="Normal 3 8 8" xfId="8362" xr:uid="{7782B965-034A-48A2-A70A-BD4A4E5D1BD6}"/>
    <cellStyle name="Normal 3 9" xfId="3862" xr:uid="{00000000-0005-0000-0000-0000CB130000}"/>
    <cellStyle name="Normal 3 9 2" xfId="3863" xr:uid="{00000000-0005-0000-0000-0000CC130000}"/>
    <cellStyle name="Normal 3 9 2 2" xfId="4489" xr:uid="{00000000-0005-0000-0000-0000CD130000}"/>
    <cellStyle name="Normal 3 9 2 2 2" xfId="7657" xr:uid="{00000000-0005-0000-0000-0000CE130000}"/>
    <cellStyle name="Normal 3 9 2 2 2 2" xfId="10325" xr:uid="{F399CA77-9C3A-469C-A919-5222931F1072}"/>
    <cellStyle name="Normal 3 9 2 2 3" xfId="8994" xr:uid="{CCAD8C0C-8BC2-4D32-B949-70034DF4E4B6}"/>
    <cellStyle name="Normal 3 9 2 3" xfId="7033" xr:uid="{00000000-0005-0000-0000-0000CF130000}"/>
    <cellStyle name="Normal 3 9 2 3 2" xfId="9701" xr:uid="{BD3D71C4-608B-4D3E-A548-092C9DD19935}"/>
    <cellStyle name="Normal 3 9 2 4" xfId="8370" xr:uid="{2C9DA5C2-AA00-4747-892A-BCD489295A82}"/>
    <cellStyle name="Normal 3 9 3" xfId="3864" xr:uid="{00000000-0005-0000-0000-0000D0130000}"/>
    <cellStyle name="Normal 3 9 3 2" xfId="4490" xr:uid="{00000000-0005-0000-0000-0000D1130000}"/>
    <cellStyle name="Normal 3 9 3 2 2" xfId="7658" xr:uid="{00000000-0005-0000-0000-0000D2130000}"/>
    <cellStyle name="Normal 3 9 3 2 2 2" xfId="10326" xr:uid="{D023C899-4A5D-4F9B-B818-AFFE97DF2167}"/>
    <cellStyle name="Normal 3 9 3 2 3" xfId="8995" xr:uid="{4A0A166F-D767-4C56-9152-BBDC139917BC}"/>
    <cellStyle name="Normal 3 9 3 3" xfId="7034" xr:uid="{00000000-0005-0000-0000-0000D3130000}"/>
    <cellStyle name="Normal 3 9 3 3 2" xfId="9702" xr:uid="{AA5BD8BA-D48F-4683-B506-F1CB21DA37C1}"/>
    <cellStyle name="Normal 3 9 3 4" xfId="8371" xr:uid="{CC1A411C-52A5-46F9-9036-460F9245CE16}"/>
    <cellStyle name="Normal 3 9 4" xfId="4488" xr:uid="{00000000-0005-0000-0000-0000D4130000}"/>
    <cellStyle name="Normal 3 9 4 2" xfId="7656" xr:uid="{00000000-0005-0000-0000-0000D5130000}"/>
    <cellStyle name="Normal 3 9 4 2 2" xfId="10324" xr:uid="{FB35FC71-007B-4A71-99FE-2BE0C008BA92}"/>
    <cellStyle name="Normal 3 9 4 3" xfId="8993" xr:uid="{51492F7D-E8F3-4E49-9266-0770DDB14F35}"/>
    <cellStyle name="Normal 3 9 5" xfId="7032" xr:uid="{00000000-0005-0000-0000-0000D6130000}"/>
    <cellStyle name="Normal 3 9 5 2" xfId="9700" xr:uid="{35D86C65-73AD-4E54-AEB7-09745E1AF00C}"/>
    <cellStyle name="Normal 3 9 6" xfId="8369" xr:uid="{6FE07AA1-436E-41D4-84C1-D06B28C86658}"/>
    <cellStyle name="Normal 30" xfId="4736" xr:uid="{00000000-0005-0000-0000-0000D7130000}"/>
    <cellStyle name="Normal 31" xfId="4737" xr:uid="{00000000-0005-0000-0000-0000D8130000}"/>
    <cellStyle name="Normal 32" xfId="4738" xr:uid="{00000000-0005-0000-0000-0000D9130000}"/>
    <cellStyle name="Normal 33" xfId="3371" xr:uid="{00000000-0005-0000-0000-0000DA130000}"/>
    <cellStyle name="Normal 34" xfId="4739" xr:uid="{00000000-0005-0000-0000-0000DB130000}"/>
    <cellStyle name="Normal 34 2" xfId="9233" xr:uid="{F23376BD-68BB-4C3B-95E3-A637B72808F4}"/>
    <cellStyle name="Normal 36" xfId="10574" xr:uid="{81C6F105-073E-4E29-9030-D4145D50AE93}"/>
    <cellStyle name="Normal 4" xfId="986" xr:uid="{00000000-0005-0000-0000-0000DC130000}"/>
    <cellStyle name="Normal 4 2" xfId="987" xr:uid="{00000000-0005-0000-0000-0000DD130000}"/>
    <cellStyle name="Normal 4 2 2" xfId="2618" xr:uid="{00000000-0005-0000-0000-0000DE130000}"/>
    <cellStyle name="Normal 4 2 3" xfId="3448" xr:uid="{00000000-0005-0000-0000-0000DF130000}"/>
    <cellStyle name="Normal 4 3" xfId="3460" xr:uid="{00000000-0005-0000-0000-0000E0130000}"/>
    <cellStyle name="Normal 4 3 2" xfId="3476" xr:uid="{00000000-0005-0000-0000-0000E1130000}"/>
    <cellStyle name="Normal 4 3 2 2" xfId="4127" xr:uid="{00000000-0005-0000-0000-0000E2130000}"/>
    <cellStyle name="Normal 4 3 2 2 2" xfId="7295" xr:uid="{00000000-0005-0000-0000-0000E3130000}"/>
    <cellStyle name="Normal 4 3 2 2 2 2" xfId="9963" xr:uid="{7A56159F-F7D2-48AF-9210-9A26039AB4DD}"/>
    <cellStyle name="Normal 4 3 2 2 3" xfId="8632" xr:uid="{BCA1DA20-CB58-4553-B300-8B3306D84E49}"/>
    <cellStyle name="Normal 4 3 2 3" xfId="6684" xr:uid="{00000000-0005-0000-0000-0000E4130000}"/>
    <cellStyle name="Normal 4 3 2 3 2" xfId="9352" xr:uid="{B650A59A-195F-441B-92F1-ED92F9C02217}"/>
    <cellStyle name="Normal 4 3 2 4" xfId="8016" xr:uid="{9D7B85D6-9B02-4224-B2EB-80ADC82A1E6A}"/>
    <cellStyle name="Normal 4 3 3" xfId="3492" xr:uid="{00000000-0005-0000-0000-0000E5130000}"/>
    <cellStyle name="Normal 4 3 3 2" xfId="4143" xr:uid="{00000000-0005-0000-0000-0000E6130000}"/>
    <cellStyle name="Normal 4 3 3 2 2" xfId="7311" xr:uid="{00000000-0005-0000-0000-0000E7130000}"/>
    <cellStyle name="Normal 4 3 3 2 2 2" xfId="9979" xr:uid="{E9D96CCA-5C4F-40E7-B3C7-6E532AA807C6}"/>
    <cellStyle name="Normal 4 3 3 2 3" xfId="8648" xr:uid="{FF9F9319-9C7E-4901-B44F-16E9BE2186A6}"/>
    <cellStyle name="Normal 4 3 3 3" xfId="6700" xr:uid="{00000000-0005-0000-0000-0000E8130000}"/>
    <cellStyle name="Normal 4 3 3 3 2" xfId="9368" xr:uid="{C3623FAD-3881-4C5A-8E12-D1A55DB3CAEA}"/>
    <cellStyle name="Normal 4 3 3 4" xfId="8032" xr:uid="{79A62804-0748-4969-9A2F-1E272624E0A3}"/>
    <cellStyle name="Normal 4 3 4" xfId="3518" xr:uid="{00000000-0005-0000-0000-0000E9130000}"/>
    <cellStyle name="Normal 4 3 5" xfId="4111" xr:uid="{00000000-0005-0000-0000-0000EA130000}"/>
    <cellStyle name="Normal 4 3 5 2" xfId="7279" xr:uid="{00000000-0005-0000-0000-0000EB130000}"/>
    <cellStyle name="Normal 4 3 5 2 2" xfId="9947" xr:uid="{418D73BD-22FC-4C2E-B794-7DDFFC69E2A1}"/>
    <cellStyle name="Normal 4 3 5 3" xfId="8616" xr:uid="{93AD1A0A-D2F0-4F61-B345-BD9DBF0B7B31}"/>
    <cellStyle name="Normal 4 3 6" xfId="5301" xr:uid="{00000000-0005-0000-0000-0000EC130000}"/>
    <cellStyle name="Normal 4 3 7" xfId="6668" xr:uid="{00000000-0005-0000-0000-0000ED130000}"/>
    <cellStyle name="Normal 4 3 7 2" xfId="9336" xr:uid="{6EA7F021-8D98-4DD7-8BCB-F8C93F573026}"/>
    <cellStyle name="Normal 4 3 8" xfId="8000" xr:uid="{F0A8333A-8626-4D5E-A7C3-2D1EE3C0D395}"/>
    <cellStyle name="Normal 4 4" xfId="3468" xr:uid="{00000000-0005-0000-0000-0000EE130000}"/>
    <cellStyle name="Normal 4 4 2" xfId="4119" xr:uid="{00000000-0005-0000-0000-0000EF130000}"/>
    <cellStyle name="Normal 4 4 2 2" xfId="7287" xr:uid="{00000000-0005-0000-0000-0000F0130000}"/>
    <cellStyle name="Normal 4 4 2 2 2" xfId="9955" xr:uid="{3B0EE74C-85DB-49B1-B36A-8304A9AE237F}"/>
    <cellStyle name="Normal 4 4 2 3" xfId="8624" xr:uid="{E011263B-F528-4833-A79E-226E9701F831}"/>
    <cellStyle name="Normal 4 4 3" xfId="6676" xr:uid="{00000000-0005-0000-0000-0000F1130000}"/>
    <cellStyle name="Normal 4 4 3 2" xfId="9344" xr:uid="{4F7BAECA-5891-4513-BFEC-A37448143855}"/>
    <cellStyle name="Normal 4 4 4" xfId="8008" xr:uid="{4D9831EE-404C-4EE9-83E0-3A4CA5474044}"/>
    <cellStyle name="Normal 4 5" xfId="3484" xr:uid="{00000000-0005-0000-0000-0000F2130000}"/>
    <cellStyle name="Normal 4 5 2" xfId="4135" xr:uid="{00000000-0005-0000-0000-0000F3130000}"/>
    <cellStyle name="Normal 4 5 2 2" xfId="7303" xr:uid="{00000000-0005-0000-0000-0000F4130000}"/>
    <cellStyle name="Normal 4 5 2 2 2" xfId="9971" xr:uid="{0104B34C-BAF4-4A6B-BDB1-B66E7C6A24F3}"/>
    <cellStyle name="Normal 4 5 2 3" xfId="8640" xr:uid="{D322B484-85BB-42EE-84A4-03DCE01A8FE6}"/>
    <cellStyle name="Normal 4 5 3" xfId="6692" xr:uid="{00000000-0005-0000-0000-0000F5130000}"/>
    <cellStyle name="Normal 4 5 3 2" xfId="9360" xr:uid="{783A509B-BB53-4E4F-9F9F-59D96FAE62BD}"/>
    <cellStyle name="Normal 4 5 4" xfId="8024" xr:uid="{5B2CC67A-6FAB-4935-90D6-A5CC5981AA1E}"/>
    <cellStyle name="Normal 4 6" xfId="3510" xr:uid="{00000000-0005-0000-0000-0000F6130000}"/>
    <cellStyle name="Normal 4 7" xfId="4103" xr:uid="{00000000-0005-0000-0000-0000F7130000}"/>
    <cellStyle name="Normal 4 7 2" xfId="7271" xr:uid="{00000000-0005-0000-0000-0000F8130000}"/>
    <cellStyle name="Normal 4 7 2 2" xfId="9939" xr:uid="{5EA9B944-573D-4003-8F1B-14291CFC8C23}"/>
    <cellStyle name="Normal 4 7 3" xfId="8608" xr:uid="{3E09833B-59B6-412F-864B-4D3EB4E9B1C0}"/>
    <cellStyle name="Normal 4 8" xfId="3384" xr:uid="{00000000-0005-0000-0000-0000F9130000}"/>
    <cellStyle name="Normal 4 8 2" xfId="6652" xr:uid="{00000000-0005-0000-0000-0000FA130000}"/>
    <cellStyle name="Normal 4 8 2 2" xfId="9328" xr:uid="{7DE6316C-3014-4958-B34A-7175D0F9CE4D}"/>
    <cellStyle name="Normal 4 8 3" xfId="7988" xr:uid="{745AC093-D500-4C88-86DD-4F565480B529}"/>
    <cellStyle name="Normal 5" xfId="988" xr:uid="{00000000-0005-0000-0000-0000FB130000}"/>
    <cellStyle name="Normal 5 10" xfId="3866" xr:uid="{00000000-0005-0000-0000-0000FC130000}"/>
    <cellStyle name="Normal 5 10 2" xfId="4492" xr:uid="{00000000-0005-0000-0000-0000FD130000}"/>
    <cellStyle name="Normal 5 10 2 2" xfId="7660" xr:uid="{00000000-0005-0000-0000-0000FE130000}"/>
    <cellStyle name="Normal 5 10 2 2 2" xfId="10328" xr:uid="{AC4B0AFD-6C71-497B-B5AB-5E98FDF78A44}"/>
    <cellStyle name="Normal 5 10 2 3" xfId="8997" xr:uid="{42076BE2-32DF-41A1-B9DE-3C572C7430BB}"/>
    <cellStyle name="Normal 5 10 3" xfId="7036" xr:uid="{00000000-0005-0000-0000-0000FF130000}"/>
    <cellStyle name="Normal 5 10 3 2" xfId="9704" xr:uid="{E83F9D42-9E99-4D3C-BC98-B24988D452B9}"/>
    <cellStyle name="Normal 5 10 4" xfId="8373" xr:uid="{39F50C0C-BE0A-4093-A249-06C52E401E3E}"/>
    <cellStyle name="Normal 5 11" xfId="3867" xr:uid="{00000000-0005-0000-0000-000000140000}"/>
    <cellStyle name="Normal 5 11 2" xfId="4493" xr:uid="{00000000-0005-0000-0000-000001140000}"/>
    <cellStyle name="Normal 5 11 2 2" xfId="7661" xr:uid="{00000000-0005-0000-0000-000002140000}"/>
    <cellStyle name="Normal 5 11 2 2 2" xfId="10329" xr:uid="{7C9B895C-9EFA-4984-9A63-F48C319FC3B0}"/>
    <cellStyle name="Normal 5 11 2 3" xfId="8998" xr:uid="{3FF049C4-F4C6-49D5-BA9D-71C0AED8C1EA}"/>
    <cellStyle name="Normal 5 11 3" xfId="7037" xr:uid="{00000000-0005-0000-0000-000003140000}"/>
    <cellStyle name="Normal 5 11 3 2" xfId="9705" xr:uid="{7A37A3DC-6864-4523-8D7D-BB84E4515141}"/>
    <cellStyle name="Normal 5 11 4" xfId="8374" xr:uid="{57F9EF71-AC38-4860-B194-008C367FFC32}"/>
    <cellStyle name="Normal 5 12" xfId="3868" xr:uid="{00000000-0005-0000-0000-000004140000}"/>
    <cellStyle name="Normal 5 12 2" xfId="4494" xr:uid="{00000000-0005-0000-0000-000005140000}"/>
    <cellStyle name="Normal 5 12 2 2" xfId="7662" xr:uid="{00000000-0005-0000-0000-000006140000}"/>
    <cellStyle name="Normal 5 12 2 2 2" xfId="10330" xr:uid="{E90AEE9C-117E-4B66-9F68-A81252BF89FE}"/>
    <cellStyle name="Normal 5 12 2 3" xfId="8999" xr:uid="{D412643E-5DBD-4A6E-8A22-AF1EE4DBC601}"/>
    <cellStyle name="Normal 5 12 3" xfId="7038" xr:uid="{00000000-0005-0000-0000-000007140000}"/>
    <cellStyle name="Normal 5 12 3 2" xfId="9706" xr:uid="{F2BBE211-9475-4279-98FA-560FA05991EB}"/>
    <cellStyle name="Normal 5 12 4" xfId="8375" xr:uid="{D7CBA6D7-CE41-48D8-B3BA-860621039057}"/>
    <cellStyle name="Normal 5 13" xfId="3865" xr:uid="{00000000-0005-0000-0000-000008140000}"/>
    <cellStyle name="Normal 5 13 2" xfId="4491" xr:uid="{00000000-0005-0000-0000-000009140000}"/>
    <cellStyle name="Normal 5 13 2 2" xfId="7659" xr:uid="{00000000-0005-0000-0000-00000A140000}"/>
    <cellStyle name="Normal 5 13 2 2 2" xfId="10327" xr:uid="{6BF91757-7C8D-4A77-80AE-353800779360}"/>
    <cellStyle name="Normal 5 13 2 3" xfId="8996" xr:uid="{F34EB490-551C-4CFD-83F8-39442C563C87}"/>
    <cellStyle name="Normal 5 13 3" xfId="7035" xr:uid="{00000000-0005-0000-0000-00000B140000}"/>
    <cellStyle name="Normal 5 13 3 2" xfId="9703" xr:uid="{57ADB443-525E-41E3-8BE5-2A093846DD24}"/>
    <cellStyle name="Normal 5 13 4" xfId="8372" xr:uid="{873979F1-A6D6-48E7-9A91-679128E9752D}"/>
    <cellStyle name="Normal 5 14" xfId="3502" xr:uid="{00000000-0005-0000-0000-00000C140000}"/>
    <cellStyle name="Normal 5 15" xfId="3449" xr:uid="{00000000-0005-0000-0000-00000D140000}"/>
    <cellStyle name="Normal 5 2" xfId="2070" xr:uid="{00000000-0005-0000-0000-00000E140000}"/>
    <cellStyle name="Normal 5 2 2" xfId="2071" xr:uid="{00000000-0005-0000-0000-00000F140000}"/>
    <cellStyle name="Normal 5 2 2 2" xfId="2072" xr:uid="{00000000-0005-0000-0000-000010140000}"/>
    <cellStyle name="Normal 5 2 2 2 2" xfId="4497" xr:uid="{00000000-0005-0000-0000-000011140000}"/>
    <cellStyle name="Normal 5 2 2 2 2 2" xfId="7665" xr:uid="{00000000-0005-0000-0000-000012140000}"/>
    <cellStyle name="Normal 5 2 2 2 2 2 2" xfId="10333" xr:uid="{6067218F-A0F7-47B8-B66B-D1F035DAC07E}"/>
    <cellStyle name="Normal 5 2 2 2 2 3" xfId="9002" xr:uid="{63D1D0F7-F4DC-439A-BB5B-3EF5362DF0AF}"/>
    <cellStyle name="Normal 5 2 2 2 3" xfId="3871" xr:uid="{00000000-0005-0000-0000-000013140000}"/>
    <cellStyle name="Normal 5 2 2 2 3 2" xfId="7041" xr:uid="{00000000-0005-0000-0000-000014140000}"/>
    <cellStyle name="Normal 5 2 2 2 3 2 2" xfId="9709" xr:uid="{3E39D6A1-F764-44E1-9552-568AB4AAC3A3}"/>
    <cellStyle name="Normal 5 2 2 2 3 3" xfId="8378" xr:uid="{3A82B5CA-24A8-4A5F-AF4C-9C95C2171898}"/>
    <cellStyle name="Normal 5 2 2 3" xfId="3872" xr:uid="{00000000-0005-0000-0000-000015140000}"/>
    <cellStyle name="Normal 5 2 2 3 2" xfId="4498" xr:uid="{00000000-0005-0000-0000-000016140000}"/>
    <cellStyle name="Normal 5 2 2 3 2 2" xfId="7666" xr:uid="{00000000-0005-0000-0000-000017140000}"/>
    <cellStyle name="Normal 5 2 2 3 2 2 2" xfId="10334" xr:uid="{BC88E6DC-618E-42BB-9086-8B80B617C417}"/>
    <cellStyle name="Normal 5 2 2 3 2 3" xfId="9003" xr:uid="{7D9F34DA-A85E-4FA5-9856-08652796C870}"/>
    <cellStyle name="Normal 5 2 2 3 3" xfId="7042" xr:uid="{00000000-0005-0000-0000-000018140000}"/>
    <cellStyle name="Normal 5 2 2 3 3 2" xfId="9710" xr:uid="{8227A204-3E88-41E3-A4B4-D81BD44A1EBB}"/>
    <cellStyle name="Normal 5 2 2 3 4" xfId="8379" xr:uid="{A1CC4B7E-3E10-4F47-9376-65E32B78B6BD}"/>
    <cellStyle name="Normal 5 2 2 4" xfId="4496" xr:uid="{00000000-0005-0000-0000-000019140000}"/>
    <cellStyle name="Normal 5 2 2 4 2" xfId="7664" xr:uid="{00000000-0005-0000-0000-00001A140000}"/>
    <cellStyle name="Normal 5 2 2 4 2 2" xfId="10332" xr:uid="{6F5C1EE3-96D5-4BAF-8F68-416D0EC8B685}"/>
    <cellStyle name="Normal 5 2 2 4 3" xfId="9001" xr:uid="{881E108C-0CE4-4896-A8B0-625869D162E1}"/>
    <cellStyle name="Normal 5 2 2 5" xfId="3870" xr:uid="{00000000-0005-0000-0000-00001B140000}"/>
    <cellStyle name="Normal 5 2 2 5 2" xfId="7040" xr:uid="{00000000-0005-0000-0000-00001C140000}"/>
    <cellStyle name="Normal 5 2 2 5 2 2" xfId="9708" xr:uid="{D25724FE-3F86-4423-A4AA-82E07C8524D4}"/>
    <cellStyle name="Normal 5 2 2 5 3" xfId="8377" xr:uid="{95D1C29D-0DEA-43C6-A83C-305C99203AD4}"/>
    <cellStyle name="Normal 5 2 3" xfId="3873" xr:uid="{00000000-0005-0000-0000-00001D140000}"/>
    <cellStyle name="Normal 5 2 3 2" xfId="4499" xr:uid="{00000000-0005-0000-0000-00001E140000}"/>
    <cellStyle name="Normal 5 2 3 2 2" xfId="7667" xr:uid="{00000000-0005-0000-0000-00001F140000}"/>
    <cellStyle name="Normal 5 2 3 2 2 2" xfId="10335" xr:uid="{F6AE1309-2C18-4C88-A59F-63E428C4F7D1}"/>
    <cellStyle name="Normal 5 2 3 2 3" xfId="9004" xr:uid="{DDD6A234-3569-41E7-97DD-0AA5ADDA6E59}"/>
    <cellStyle name="Normal 5 2 3 3" xfId="7043" xr:uid="{00000000-0005-0000-0000-000020140000}"/>
    <cellStyle name="Normal 5 2 3 3 2" xfId="9711" xr:uid="{62E9022D-3833-4B91-9404-E20576D9B112}"/>
    <cellStyle name="Normal 5 2 3 4" xfId="8380" xr:uid="{CF16556C-AAE4-454B-8214-92717C4982E6}"/>
    <cellStyle name="Normal 5 2 4" xfId="3874" xr:uid="{00000000-0005-0000-0000-000021140000}"/>
    <cellStyle name="Normal 5 2 4 2" xfId="4500" xr:uid="{00000000-0005-0000-0000-000022140000}"/>
    <cellStyle name="Normal 5 2 4 2 2" xfId="7668" xr:uid="{00000000-0005-0000-0000-000023140000}"/>
    <cellStyle name="Normal 5 2 4 2 2 2" xfId="10336" xr:uid="{1E857561-368D-495E-B484-C2EF20F2AF34}"/>
    <cellStyle name="Normal 5 2 4 2 3" xfId="9005" xr:uid="{58372FCC-923D-4B70-8775-9A55C4825AB8}"/>
    <cellStyle name="Normal 5 2 4 3" xfId="7044" xr:uid="{00000000-0005-0000-0000-000024140000}"/>
    <cellStyle name="Normal 5 2 4 3 2" xfId="9712" xr:uid="{F0830731-EE90-4410-BC52-4A1E4D668382}"/>
    <cellStyle name="Normal 5 2 4 4" xfId="8381" xr:uid="{B116DEB9-C42C-445D-A66B-1D0A0448E481}"/>
    <cellStyle name="Normal 5 2 5" xfId="3875" xr:uid="{00000000-0005-0000-0000-000025140000}"/>
    <cellStyle name="Normal 5 2 5 2" xfId="4501" xr:uid="{00000000-0005-0000-0000-000026140000}"/>
    <cellStyle name="Normal 5 2 5 2 2" xfId="7669" xr:uid="{00000000-0005-0000-0000-000027140000}"/>
    <cellStyle name="Normal 5 2 5 2 2 2" xfId="10337" xr:uid="{D733217D-6D32-40BD-B0B6-708F1822EB14}"/>
    <cellStyle name="Normal 5 2 5 2 3" xfId="9006" xr:uid="{E37AD9F8-3B0F-4777-A765-5A9D255C3F6A}"/>
    <cellStyle name="Normal 5 2 5 3" xfId="7045" xr:uid="{00000000-0005-0000-0000-000028140000}"/>
    <cellStyle name="Normal 5 2 5 3 2" xfId="9713" xr:uid="{990C39E9-CB07-4304-AC37-4D55DED1AF9B}"/>
    <cellStyle name="Normal 5 2 5 4" xfId="8382" xr:uid="{99BFEACC-90B9-46ED-BF31-D3F9FBF501D1}"/>
    <cellStyle name="Normal 5 2 6" xfId="3876" xr:uid="{00000000-0005-0000-0000-000029140000}"/>
    <cellStyle name="Normal 5 2 6 2" xfId="4502" xr:uid="{00000000-0005-0000-0000-00002A140000}"/>
    <cellStyle name="Normal 5 2 6 2 2" xfId="7670" xr:uid="{00000000-0005-0000-0000-00002B140000}"/>
    <cellStyle name="Normal 5 2 6 2 2 2" xfId="10338" xr:uid="{18EBCB3F-AF70-4A40-99D0-D80E286C4084}"/>
    <cellStyle name="Normal 5 2 6 2 3" xfId="9007" xr:uid="{FFC73F81-1DF8-415A-A0BF-AE0AFE926EFE}"/>
    <cellStyle name="Normal 5 2 6 3" xfId="7046" xr:uid="{00000000-0005-0000-0000-00002C140000}"/>
    <cellStyle name="Normal 5 2 6 3 2" xfId="9714" xr:uid="{0A038B62-662A-40D7-B520-64E5B67B2744}"/>
    <cellStyle name="Normal 5 2 6 4" xfId="8383" xr:uid="{5C14CB55-BD13-45F0-B069-FDA59B3FBBF2}"/>
    <cellStyle name="Normal 5 2 7" xfId="3869" xr:uid="{00000000-0005-0000-0000-00002D140000}"/>
    <cellStyle name="Normal 5 2 7 2" xfId="4495" xr:uid="{00000000-0005-0000-0000-00002E140000}"/>
    <cellStyle name="Normal 5 2 7 2 2" xfId="7663" xr:uid="{00000000-0005-0000-0000-00002F140000}"/>
    <cellStyle name="Normal 5 2 7 2 2 2" xfId="10331" xr:uid="{FA0C87B4-7235-4958-B2EF-859C7D184AF1}"/>
    <cellStyle name="Normal 5 2 7 2 3" xfId="9000" xr:uid="{E0B58CC2-71D1-4BD8-8512-5F022A44A4EA}"/>
    <cellStyle name="Normal 5 2 7 3" xfId="7039" xr:uid="{00000000-0005-0000-0000-000030140000}"/>
    <cellStyle name="Normal 5 2 7 3 2" xfId="9707" xr:uid="{F8B7F755-8EB6-4901-B9C2-BA68DCD202BA}"/>
    <cellStyle name="Normal 5 2 7 4" xfId="8376" xr:uid="{00F83027-2DCF-4714-8572-9BD5725B93F6}"/>
    <cellStyle name="Normal 5 2 8" xfId="3519" xr:uid="{00000000-0005-0000-0000-000031140000}"/>
    <cellStyle name="Normal 5 3" xfId="3877" xr:uid="{00000000-0005-0000-0000-000032140000}"/>
    <cellStyle name="Normal 5 3 2" xfId="3878" xr:uid="{00000000-0005-0000-0000-000033140000}"/>
    <cellStyle name="Normal 5 3 2 2" xfId="3879" xr:uid="{00000000-0005-0000-0000-000034140000}"/>
    <cellStyle name="Normal 5 3 2 2 2" xfId="4505" xr:uid="{00000000-0005-0000-0000-000035140000}"/>
    <cellStyle name="Normal 5 3 2 2 2 2" xfId="7673" xr:uid="{00000000-0005-0000-0000-000036140000}"/>
    <cellStyle name="Normal 5 3 2 2 2 2 2" xfId="10341" xr:uid="{AE5A07C5-55A5-4767-948B-F2FB6EF48279}"/>
    <cellStyle name="Normal 5 3 2 2 2 3" xfId="9010" xr:uid="{C1B1E0ED-4052-40C7-8D8A-7E596CA93E28}"/>
    <cellStyle name="Normal 5 3 2 2 3" xfId="7049" xr:uid="{00000000-0005-0000-0000-000037140000}"/>
    <cellStyle name="Normal 5 3 2 2 3 2" xfId="9717" xr:uid="{D7C479BD-83B2-43DF-80C7-3B47DF0F42F5}"/>
    <cellStyle name="Normal 5 3 2 2 4" xfId="8386" xr:uid="{BAB803F0-D87B-4B4F-A39E-820B37BDC601}"/>
    <cellStyle name="Normal 5 3 2 3" xfId="3880" xr:uid="{00000000-0005-0000-0000-000038140000}"/>
    <cellStyle name="Normal 5 3 2 3 2" xfId="4506" xr:uid="{00000000-0005-0000-0000-000039140000}"/>
    <cellStyle name="Normal 5 3 2 3 2 2" xfId="7674" xr:uid="{00000000-0005-0000-0000-00003A140000}"/>
    <cellStyle name="Normal 5 3 2 3 2 2 2" xfId="10342" xr:uid="{075ED8C7-4A0D-4F4B-AF7B-A43CCEA2E38B}"/>
    <cellStyle name="Normal 5 3 2 3 2 3" xfId="9011" xr:uid="{848E351B-61D3-4685-9293-623C01B03E3F}"/>
    <cellStyle name="Normal 5 3 2 3 3" xfId="7050" xr:uid="{00000000-0005-0000-0000-00003B140000}"/>
    <cellStyle name="Normal 5 3 2 3 3 2" xfId="9718" xr:uid="{2437AA5C-7FA7-4C4C-9ED6-604A8D3C9EC6}"/>
    <cellStyle name="Normal 5 3 2 3 4" xfId="8387" xr:uid="{7F08E2CD-7FAA-435C-AC49-A351A1325E2F}"/>
    <cellStyle name="Normal 5 3 2 4" xfId="4504" xr:uid="{00000000-0005-0000-0000-00003C140000}"/>
    <cellStyle name="Normal 5 3 2 4 2" xfId="7672" xr:uid="{00000000-0005-0000-0000-00003D140000}"/>
    <cellStyle name="Normal 5 3 2 4 2 2" xfId="10340" xr:uid="{E1E40921-A4C0-4052-B18A-B5EF2B7F58D5}"/>
    <cellStyle name="Normal 5 3 2 4 3" xfId="9009" xr:uid="{936020A7-EC09-4907-A29C-329AF7CF1A63}"/>
    <cellStyle name="Normal 5 3 2 5" xfId="7048" xr:uid="{00000000-0005-0000-0000-00003E140000}"/>
    <cellStyle name="Normal 5 3 2 5 2" xfId="9716" xr:uid="{C2CAF99B-7D85-4E19-BC7F-805E20094E1D}"/>
    <cellStyle name="Normal 5 3 2 6" xfId="8385" xr:uid="{18468226-28DA-43DE-A5EA-6A81CC552D45}"/>
    <cellStyle name="Normal 5 3 3" xfId="3881" xr:uid="{00000000-0005-0000-0000-00003F140000}"/>
    <cellStyle name="Normal 5 3 3 2" xfId="4507" xr:uid="{00000000-0005-0000-0000-000040140000}"/>
    <cellStyle name="Normal 5 3 3 2 2" xfId="7675" xr:uid="{00000000-0005-0000-0000-000041140000}"/>
    <cellStyle name="Normal 5 3 3 2 2 2" xfId="10343" xr:uid="{19CA5228-9FE5-460D-8B4D-F5305D1B9A93}"/>
    <cellStyle name="Normal 5 3 3 2 3" xfId="9012" xr:uid="{38189DF2-7DE3-433C-88A3-BDBFE1656C73}"/>
    <cellStyle name="Normal 5 3 3 3" xfId="7051" xr:uid="{00000000-0005-0000-0000-000042140000}"/>
    <cellStyle name="Normal 5 3 3 3 2" xfId="9719" xr:uid="{A94EE400-8C25-4032-BA23-BC57DF9F1300}"/>
    <cellStyle name="Normal 5 3 3 4" xfId="8388" xr:uid="{AF555021-2940-4E33-BED8-0CBC0EE4A97F}"/>
    <cellStyle name="Normal 5 3 4" xfId="3882" xr:uid="{00000000-0005-0000-0000-000043140000}"/>
    <cellStyle name="Normal 5 3 4 2" xfId="4508" xr:uid="{00000000-0005-0000-0000-000044140000}"/>
    <cellStyle name="Normal 5 3 4 2 2" xfId="7676" xr:uid="{00000000-0005-0000-0000-000045140000}"/>
    <cellStyle name="Normal 5 3 4 2 2 2" xfId="10344" xr:uid="{93E67BED-C5D8-4FB1-A7B8-B6B280A86DBF}"/>
    <cellStyle name="Normal 5 3 4 2 3" xfId="9013" xr:uid="{D6D47745-7D8F-4A98-AE70-D8CF3342DB8A}"/>
    <cellStyle name="Normal 5 3 4 3" xfId="7052" xr:uid="{00000000-0005-0000-0000-000046140000}"/>
    <cellStyle name="Normal 5 3 4 3 2" xfId="9720" xr:uid="{B031D654-7316-4A39-AA08-66E7835D2EA0}"/>
    <cellStyle name="Normal 5 3 4 4" xfId="8389" xr:uid="{5DF49156-9D17-45CF-8E34-C38AC366DC1D}"/>
    <cellStyle name="Normal 5 3 5" xfId="3883" xr:uid="{00000000-0005-0000-0000-000047140000}"/>
    <cellStyle name="Normal 5 3 5 2" xfId="4509" xr:uid="{00000000-0005-0000-0000-000048140000}"/>
    <cellStyle name="Normal 5 3 5 2 2" xfId="7677" xr:uid="{00000000-0005-0000-0000-000049140000}"/>
    <cellStyle name="Normal 5 3 5 2 2 2" xfId="10345" xr:uid="{01DA18AD-C33A-48FB-8195-07390AEE91F6}"/>
    <cellStyle name="Normal 5 3 5 2 3" xfId="9014" xr:uid="{79706074-A137-471B-8789-FCA438E22905}"/>
    <cellStyle name="Normal 5 3 5 3" xfId="7053" xr:uid="{00000000-0005-0000-0000-00004A140000}"/>
    <cellStyle name="Normal 5 3 5 3 2" xfId="9721" xr:uid="{445E238A-4716-4A35-98BC-56E0A1F5567A}"/>
    <cellStyle name="Normal 5 3 5 4" xfId="8390" xr:uid="{B59BD130-16D1-41F8-A8E8-87FE2AFDF5CB}"/>
    <cellStyle name="Normal 5 3 6" xfId="3884" xr:uid="{00000000-0005-0000-0000-00004B140000}"/>
    <cellStyle name="Normal 5 3 6 2" xfId="4510" xr:uid="{00000000-0005-0000-0000-00004C140000}"/>
    <cellStyle name="Normal 5 3 6 2 2" xfId="7678" xr:uid="{00000000-0005-0000-0000-00004D140000}"/>
    <cellStyle name="Normal 5 3 6 2 2 2" xfId="10346" xr:uid="{D4D570FC-CBF0-45AB-B61D-6EE7C0DABBEA}"/>
    <cellStyle name="Normal 5 3 6 2 3" xfId="9015" xr:uid="{47A54E4E-100B-4778-879F-5B66E70CA5E4}"/>
    <cellStyle name="Normal 5 3 6 3" xfId="7054" xr:uid="{00000000-0005-0000-0000-00004E140000}"/>
    <cellStyle name="Normal 5 3 6 3 2" xfId="9722" xr:uid="{B5F6927D-99D0-4604-ABEB-D6E9465A78A4}"/>
    <cellStyle name="Normal 5 3 6 4" xfId="8391" xr:uid="{177CFF33-612F-4C42-8893-98ACE37ABE53}"/>
    <cellStyle name="Normal 5 3 7" xfId="4503" xr:uid="{00000000-0005-0000-0000-00004F140000}"/>
    <cellStyle name="Normal 5 3 7 2" xfId="7671" xr:uid="{00000000-0005-0000-0000-000050140000}"/>
    <cellStyle name="Normal 5 3 7 2 2" xfId="10339" xr:uid="{1B01A515-C238-4604-9D32-0C617FB913D2}"/>
    <cellStyle name="Normal 5 3 7 3" xfId="9008" xr:uid="{0B6B874A-2525-429C-BB3B-EBB8F0401006}"/>
    <cellStyle name="Normal 5 3 8" xfId="7047" xr:uid="{00000000-0005-0000-0000-000051140000}"/>
    <cellStyle name="Normal 5 3 8 2" xfId="9715" xr:uid="{F965CBC0-4977-45BA-8BEE-66148C325026}"/>
    <cellStyle name="Normal 5 3 9" xfId="8384" xr:uid="{0B2950F2-1E9A-46A1-88DB-508809F9C808}"/>
    <cellStyle name="Normal 5 4" xfId="3885" xr:uid="{00000000-0005-0000-0000-000052140000}"/>
    <cellStyle name="Normal 5 4 2" xfId="3886" xr:uid="{00000000-0005-0000-0000-000053140000}"/>
    <cellStyle name="Normal 5 4 2 2" xfId="3887" xr:uid="{00000000-0005-0000-0000-000054140000}"/>
    <cellStyle name="Normal 5 4 2 2 2" xfId="4513" xr:uid="{00000000-0005-0000-0000-000055140000}"/>
    <cellStyle name="Normal 5 4 2 2 2 2" xfId="7681" xr:uid="{00000000-0005-0000-0000-000056140000}"/>
    <cellStyle name="Normal 5 4 2 2 2 2 2" xfId="10349" xr:uid="{2EB03C0F-9717-4B08-9070-FC9642067D9D}"/>
    <cellStyle name="Normal 5 4 2 2 2 3" xfId="9018" xr:uid="{96476DF0-126D-4189-B2DA-6B2E355EED7D}"/>
    <cellStyle name="Normal 5 4 2 2 3" xfId="7057" xr:uid="{00000000-0005-0000-0000-000057140000}"/>
    <cellStyle name="Normal 5 4 2 2 3 2" xfId="9725" xr:uid="{BAB80F16-A1B3-4F5E-BB66-3BEC1B54FD09}"/>
    <cellStyle name="Normal 5 4 2 2 4" xfId="8394" xr:uid="{0EEDC5D4-B5BB-4AC9-9FA2-62646A0B491C}"/>
    <cellStyle name="Normal 5 4 2 3" xfId="3888" xr:uid="{00000000-0005-0000-0000-000058140000}"/>
    <cellStyle name="Normal 5 4 2 3 2" xfId="4514" xr:uid="{00000000-0005-0000-0000-000059140000}"/>
    <cellStyle name="Normal 5 4 2 3 2 2" xfId="7682" xr:uid="{00000000-0005-0000-0000-00005A140000}"/>
    <cellStyle name="Normal 5 4 2 3 2 2 2" xfId="10350" xr:uid="{C479B711-E727-4EEE-94CC-54F88A33F03A}"/>
    <cellStyle name="Normal 5 4 2 3 2 3" xfId="9019" xr:uid="{13FBCE88-82B4-4097-8945-4A07EEC2D5AB}"/>
    <cellStyle name="Normal 5 4 2 3 3" xfId="7058" xr:uid="{00000000-0005-0000-0000-00005B140000}"/>
    <cellStyle name="Normal 5 4 2 3 3 2" xfId="9726" xr:uid="{8028D970-0955-4B57-AFFD-90EDCB586648}"/>
    <cellStyle name="Normal 5 4 2 3 4" xfId="8395" xr:uid="{14B3D664-9D24-4497-A95B-567607558FA9}"/>
    <cellStyle name="Normal 5 4 2 4" xfId="4512" xr:uid="{00000000-0005-0000-0000-00005C140000}"/>
    <cellStyle name="Normal 5 4 2 4 2" xfId="7680" xr:uid="{00000000-0005-0000-0000-00005D140000}"/>
    <cellStyle name="Normal 5 4 2 4 2 2" xfId="10348" xr:uid="{DD809ACC-96AD-4EC5-A2AF-4031C8A9BC72}"/>
    <cellStyle name="Normal 5 4 2 4 3" xfId="9017" xr:uid="{5A341138-99B6-40A1-842B-AC2DB62B92C1}"/>
    <cellStyle name="Normal 5 4 2 5" xfId="7056" xr:uid="{00000000-0005-0000-0000-00005E140000}"/>
    <cellStyle name="Normal 5 4 2 5 2" xfId="9724" xr:uid="{750D5F33-95E4-47F6-AEB5-7A6A571BE6D3}"/>
    <cellStyle name="Normal 5 4 2 6" xfId="8393" xr:uid="{981D68AB-FBD4-49D4-A029-10CBB814E57A}"/>
    <cellStyle name="Normal 5 4 3" xfId="3889" xr:uid="{00000000-0005-0000-0000-00005F140000}"/>
    <cellStyle name="Normal 5 4 3 2" xfId="4515" xr:uid="{00000000-0005-0000-0000-000060140000}"/>
    <cellStyle name="Normal 5 4 3 2 2" xfId="7683" xr:uid="{00000000-0005-0000-0000-000061140000}"/>
    <cellStyle name="Normal 5 4 3 2 2 2" xfId="10351" xr:uid="{0CCE3EC4-ED68-4B2E-8AE6-F8C70219A134}"/>
    <cellStyle name="Normal 5 4 3 2 3" xfId="9020" xr:uid="{73BA0B41-AA25-41A9-A231-8DF7990A1479}"/>
    <cellStyle name="Normal 5 4 3 3" xfId="7059" xr:uid="{00000000-0005-0000-0000-000062140000}"/>
    <cellStyle name="Normal 5 4 3 3 2" xfId="9727" xr:uid="{8CF83089-093E-4645-9274-D31E7CB52131}"/>
    <cellStyle name="Normal 5 4 3 4" xfId="8396" xr:uid="{FDF0F30A-2A3F-4644-BF21-74B6E590164A}"/>
    <cellStyle name="Normal 5 4 4" xfId="3890" xr:uid="{00000000-0005-0000-0000-000063140000}"/>
    <cellStyle name="Normal 5 4 4 2" xfId="4516" xr:uid="{00000000-0005-0000-0000-000064140000}"/>
    <cellStyle name="Normal 5 4 4 2 2" xfId="7684" xr:uid="{00000000-0005-0000-0000-000065140000}"/>
    <cellStyle name="Normal 5 4 4 2 2 2" xfId="10352" xr:uid="{AE15B632-8116-4F29-933F-E605ABB2596D}"/>
    <cellStyle name="Normal 5 4 4 2 3" xfId="9021" xr:uid="{3E0133B9-C45C-48FB-BAEF-1C3C279961C5}"/>
    <cellStyle name="Normal 5 4 4 3" xfId="7060" xr:uid="{00000000-0005-0000-0000-000066140000}"/>
    <cellStyle name="Normal 5 4 4 3 2" xfId="9728" xr:uid="{106FE7EE-F8AC-491A-846A-0D48B25A7E4A}"/>
    <cellStyle name="Normal 5 4 4 4" xfId="8397" xr:uid="{31F0DB32-5A2A-49F7-880C-A7DCEB4F4B5C}"/>
    <cellStyle name="Normal 5 4 5" xfId="3891" xr:uid="{00000000-0005-0000-0000-000067140000}"/>
    <cellStyle name="Normal 5 4 5 2" xfId="4517" xr:uid="{00000000-0005-0000-0000-000068140000}"/>
    <cellStyle name="Normal 5 4 5 2 2" xfId="7685" xr:uid="{00000000-0005-0000-0000-000069140000}"/>
    <cellStyle name="Normal 5 4 5 2 2 2" xfId="10353" xr:uid="{5909A46B-3C5C-4EB9-A879-E8B2D8EFC655}"/>
    <cellStyle name="Normal 5 4 5 2 3" xfId="9022" xr:uid="{D398BC8D-E745-4E37-AC30-7B15854704D1}"/>
    <cellStyle name="Normal 5 4 5 3" xfId="7061" xr:uid="{00000000-0005-0000-0000-00006A140000}"/>
    <cellStyle name="Normal 5 4 5 3 2" xfId="9729" xr:uid="{11A9C3D8-28BF-4157-8821-A76F3A4DC2EC}"/>
    <cellStyle name="Normal 5 4 5 4" xfId="8398" xr:uid="{871FDC13-F500-4E04-A12B-77E5A03B1F88}"/>
    <cellStyle name="Normal 5 4 6" xfId="4511" xr:uid="{00000000-0005-0000-0000-00006B140000}"/>
    <cellStyle name="Normal 5 4 6 2" xfId="7679" xr:uid="{00000000-0005-0000-0000-00006C140000}"/>
    <cellStyle name="Normal 5 4 6 2 2" xfId="10347" xr:uid="{5CCBECB1-EDF6-4D09-96FC-8D9EA5BCB97A}"/>
    <cellStyle name="Normal 5 4 6 3" xfId="9016" xr:uid="{F94A60D4-0A3D-4150-B625-853DDECDC049}"/>
    <cellStyle name="Normal 5 4 7" xfId="7055" xr:uid="{00000000-0005-0000-0000-00006D140000}"/>
    <cellStyle name="Normal 5 4 7 2" xfId="9723" xr:uid="{8E1C94F1-C8A8-426A-B35A-2B8574412672}"/>
    <cellStyle name="Normal 5 4 8" xfId="8392" xr:uid="{29DC6A58-301C-4484-9DAF-AD42170843ED}"/>
    <cellStyle name="Normal 5 5" xfId="3892" xr:uid="{00000000-0005-0000-0000-00006E140000}"/>
    <cellStyle name="Normal 5 5 2" xfId="3893" xr:uid="{00000000-0005-0000-0000-00006F140000}"/>
    <cellStyle name="Normal 5 5 2 2" xfId="3894" xr:uid="{00000000-0005-0000-0000-000070140000}"/>
    <cellStyle name="Normal 5 5 2 2 2" xfId="4520" xr:uid="{00000000-0005-0000-0000-000071140000}"/>
    <cellStyle name="Normal 5 5 2 2 2 2" xfId="7688" xr:uid="{00000000-0005-0000-0000-000072140000}"/>
    <cellStyle name="Normal 5 5 2 2 2 2 2" xfId="10356" xr:uid="{C2A87241-524A-4458-AD38-4AA36F7C16F7}"/>
    <cellStyle name="Normal 5 5 2 2 2 3" xfId="9025" xr:uid="{2163DD90-0CA6-4641-A8AB-E0CB8482E71B}"/>
    <cellStyle name="Normal 5 5 2 2 3" xfId="7064" xr:uid="{00000000-0005-0000-0000-000073140000}"/>
    <cellStyle name="Normal 5 5 2 2 3 2" xfId="9732" xr:uid="{00A1857E-069D-430E-86F1-3363209A5D30}"/>
    <cellStyle name="Normal 5 5 2 2 4" xfId="8401" xr:uid="{708F6F2E-5815-41B8-ACBE-6A68330C6532}"/>
    <cellStyle name="Normal 5 5 2 3" xfId="3895" xr:uid="{00000000-0005-0000-0000-000074140000}"/>
    <cellStyle name="Normal 5 5 2 3 2" xfId="4521" xr:uid="{00000000-0005-0000-0000-000075140000}"/>
    <cellStyle name="Normal 5 5 2 3 2 2" xfId="7689" xr:uid="{00000000-0005-0000-0000-000076140000}"/>
    <cellStyle name="Normal 5 5 2 3 2 2 2" xfId="10357" xr:uid="{E97A3808-60C5-4C01-A899-0BC174C116FE}"/>
    <cellStyle name="Normal 5 5 2 3 2 3" xfId="9026" xr:uid="{FE91AFC8-254F-47A8-96DD-5177E5112B9C}"/>
    <cellStyle name="Normal 5 5 2 3 3" xfId="7065" xr:uid="{00000000-0005-0000-0000-000077140000}"/>
    <cellStyle name="Normal 5 5 2 3 3 2" xfId="9733" xr:uid="{3D565C38-6394-489D-91AD-B613C8B67BD1}"/>
    <cellStyle name="Normal 5 5 2 3 4" xfId="8402" xr:uid="{C25E46CF-A737-4A38-BCFE-0079A1FA0BD3}"/>
    <cellStyle name="Normal 5 5 2 4" xfId="4519" xr:uid="{00000000-0005-0000-0000-000078140000}"/>
    <cellStyle name="Normal 5 5 2 4 2" xfId="7687" xr:uid="{00000000-0005-0000-0000-000079140000}"/>
    <cellStyle name="Normal 5 5 2 4 2 2" xfId="10355" xr:uid="{BF975857-07C2-4C9E-B420-182B59BC1BF8}"/>
    <cellStyle name="Normal 5 5 2 4 3" xfId="9024" xr:uid="{38EE8C5B-0313-4115-820E-6F72B78E06FA}"/>
    <cellStyle name="Normal 5 5 2 5" xfId="7063" xr:uid="{00000000-0005-0000-0000-00007A140000}"/>
    <cellStyle name="Normal 5 5 2 5 2" xfId="9731" xr:uid="{716A0D46-8BAA-46AD-8936-53181E335ECC}"/>
    <cellStyle name="Normal 5 5 2 6" xfId="8400" xr:uid="{7697F26C-8148-40E6-8D7C-29FE83DF566C}"/>
    <cellStyle name="Normal 5 5 3" xfId="3896" xr:uid="{00000000-0005-0000-0000-00007B140000}"/>
    <cellStyle name="Normal 5 5 3 2" xfId="4522" xr:uid="{00000000-0005-0000-0000-00007C140000}"/>
    <cellStyle name="Normal 5 5 3 2 2" xfId="7690" xr:uid="{00000000-0005-0000-0000-00007D140000}"/>
    <cellStyle name="Normal 5 5 3 2 2 2" xfId="10358" xr:uid="{B7D8CC4F-445F-4438-B240-9B437A4D9B2B}"/>
    <cellStyle name="Normal 5 5 3 2 3" xfId="9027" xr:uid="{0754692A-EB02-4F63-A699-A5FAF461A1C5}"/>
    <cellStyle name="Normal 5 5 3 3" xfId="7066" xr:uid="{00000000-0005-0000-0000-00007E140000}"/>
    <cellStyle name="Normal 5 5 3 3 2" xfId="9734" xr:uid="{79076549-46FD-4D72-820F-9F0F56A2C66C}"/>
    <cellStyle name="Normal 5 5 3 4" xfId="8403" xr:uid="{67420F5C-3128-420B-8555-F7E41BC204FE}"/>
    <cellStyle name="Normal 5 5 4" xfId="3897" xr:uid="{00000000-0005-0000-0000-00007F140000}"/>
    <cellStyle name="Normal 5 5 4 2" xfId="4523" xr:uid="{00000000-0005-0000-0000-000080140000}"/>
    <cellStyle name="Normal 5 5 4 2 2" xfId="7691" xr:uid="{00000000-0005-0000-0000-000081140000}"/>
    <cellStyle name="Normal 5 5 4 2 2 2" xfId="10359" xr:uid="{C2B87F10-830C-402E-B695-CCA61BC679D4}"/>
    <cellStyle name="Normal 5 5 4 2 3" xfId="9028" xr:uid="{F7A63263-4957-4D39-8744-6BC52377F658}"/>
    <cellStyle name="Normal 5 5 4 3" xfId="7067" xr:uid="{00000000-0005-0000-0000-000082140000}"/>
    <cellStyle name="Normal 5 5 4 3 2" xfId="9735" xr:uid="{1FBED06A-D94C-456E-8DAA-0862E1996E67}"/>
    <cellStyle name="Normal 5 5 4 4" xfId="8404" xr:uid="{E96F7357-ADC7-4996-9CF9-D58F30A87CF1}"/>
    <cellStyle name="Normal 5 5 5" xfId="3898" xr:uid="{00000000-0005-0000-0000-000083140000}"/>
    <cellStyle name="Normal 5 5 5 2" xfId="4524" xr:uid="{00000000-0005-0000-0000-000084140000}"/>
    <cellStyle name="Normal 5 5 5 2 2" xfId="7692" xr:uid="{00000000-0005-0000-0000-000085140000}"/>
    <cellStyle name="Normal 5 5 5 2 2 2" xfId="10360" xr:uid="{9AE173D2-C92F-4033-81F1-B8AD1D9D583C}"/>
    <cellStyle name="Normal 5 5 5 2 3" xfId="9029" xr:uid="{F948716C-C520-4601-A2CA-BABA8B512294}"/>
    <cellStyle name="Normal 5 5 5 3" xfId="7068" xr:uid="{00000000-0005-0000-0000-000086140000}"/>
    <cellStyle name="Normal 5 5 5 3 2" xfId="9736" xr:uid="{E7975E73-2989-4BA2-884F-B6FBE2923340}"/>
    <cellStyle name="Normal 5 5 5 4" xfId="8405" xr:uid="{5DDA3C17-A75F-40C5-8517-34A30500BA89}"/>
    <cellStyle name="Normal 5 5 6" xfId="4518" xr:uid="{00000000-0005-0000-0000-000087140000}"/>
    <cellStyle name="Normal 5 5 6 2" xfId="7686" xr:uid="{00000000-0005-0000-0000-000088140000}"/>
    <cellStyle name="Normal 5 5 6 2 2" xfId="10354" xr:uid="{4A07FB0E-2786-4F50-943C-938DF138ACBD}"/>
    <cellStyle name="Normal 5 5 6 3" xfId="9023" xr:uid="{BABFEC41-3F5F-4D04-9305-B24B6C535549}"/>
    <cellStyle name="Normal 5 5 7" xfId="7062" xr:uid="{00000000-0005-0000-0000-000089140000}"/>
    <cellStyle name="Normal 5 5 7 2" xfId="9730" xr:uid="{702EBF1C-2B0C-4E97-8B25-1D5B41A0E456}"/>
    <cellStyle name="Normal 5 5 8" xfId="8399" xr:uid="{ECBC48E6-03CD-45EB-B919-77D009FCEA0A}"/>
    <cellStyle name="Normal 5 6" xfId="3899" xr:uid="{00000000-0005-0000-0000-00008A140000}"/>
    <cellStyle name="Normal 5 6 2" xfId="3900" xr:uid="{00000000-0005-0000-0000-00008B140000}"/>
    <cellStyle name="Normal 5 6 2 2" xfId="3901" xr:uid="{00000000-0005-0000-0000-00008C140000}"/>
    <cellStyle name="Normal 5 6 2 2 2" xfId="4527" xr:uid="{00000000-0005-0000-0000-00008D140000}"/>
    <cellStyle name="Normal 5 6 2 2 2 2" xfId="7695" xr:uid="{00000000-0005-0000-0000-00008E140000}"/>
    <cellStyle name="Normal 5 6 2 2 2 2 2" xfId="10363" xr:uid="{39B6FF92-6BB1-4BA5-9F23-F07F555FC4BC}"/>
    <cellStyle name="Normal 5 6 2 2 2 3" xfId="9032" xr:uid="{C715A465-F851-4944-A5E7-ADCE77F2F570}"/>
    <cellStyle name="Normal 5 6 2 2 3" xfId="7071" xr:uid="{00000000-0005-0000-0000-00008F140000}"/>
    <cellStyle name="Normal 5 6 2 2 3 2" xfId="9739" xr:uid="{E15043A8-5372-4AE5-8659-FAC6A3CA613B}"/>
    <cellStyle name="Normal 5 6 2 2 4" xfId="8408" xr:uid="{CAD90E13-9B15-4799-BE10-434FB8F08CAC}"/>
    <cellStyle name="Normal 5 6 2 3" xfId="3902" xr:uid="{00000000-0005-0000-0000-000090140000}"/>
    <cellStyle name="Normal 5 6 2 3 2" xfId="4528" xr:uid="{00000000-0005-0000-0000-000091140000}"/>
    <cellStyle name="Normal 5 6 2 3 2 2" xfId="7696" xr:uid="{00000000-0005-0000-0000-000092140000}"/>
    <cellStyle name="Normal 5 6 2 3 2 2 2" xfId="10364" xr:uid="{B6496904-17A5-48A3-8D94-469615DB8D1F}"/>
    <cellStyle name="Normal 5 6 2 3 2 3" xfId="9033" xr:uid="{CFCA8A24-A04E-4E87-9A48-7F2B73D5DACC}"/>
    <cellStyle name="Normal 5 6 2 3 3" xfId="7072" xr:uid="{00000000-0005-0000-0000-000093140000}"/>
    <cellStyle name="Normal 5 6 2 3 3 2" xfId="9740" xr:uid="{640BEFEE-5981-4B6B-A6A4-D778A4E2017B}"/>
    <cellStyle name="Normal 5 6 2 3 4" xfId="8409" xr:uid="{07988A5C-653C-404A-B9AC-CA4DF9078149}"/>
    <cellStyle name="Normal 5 6 2 4" xfId="4526" xr:uid="{00000000-0005-0000-0000-000094140000}"/>
    <cellStyle name="Normal 5 6 2 4 2" xfId="7694" xr:uid="{00000000-0005-0000-0000-000095140000}"/>
    <cellStyle name="Normal 5 6 2 4 2 2" xfId="10362" xr:uid="{E37B9AAA-64AD-4A07-ABEE-86FDE5A781A6}"/>
    <cellStyle name="Normal 5 6 2 4 3" xfId="9031" xr:uid="{33CEAF23-00BF-4C44-AF67-5D27080D4FB8}"/>
    <cellStyle name="Normal 5 6 2 5" xfId="7070" xr:uid="{00000000-0005-0000-0000-000096140000}"/>
    <cellStyle name="Normal 5 6 2 5 2" xfId="9738" xr:uid="{68A5F3A2-43A1-4708-85D2-5950B8974499}"/>
    <cellStyle name="Normal 5 6 2 6" xfId="8407" xr:uid="{C565A862-D82C-4DB3-ADEC-AD5E734AFBBB}"/>
    <cellStyle name="Normal 5 6 3" xfId="3903" xr:uid="{00000000-0005-0000-0000-000097140000}"/>
    <cellStyle name="Normal 5 6 3 2" xfId="4529" xr:uid="{00000000-0005-0000-0000-000098140000}"/>
    <cellStyle name="Normal 5 6 3 2 2" xfId="7697" xr:uid="{00000000-0005-0000-0000-000099140000}"/>
    <cellStyle name="Normal 5 6 3 2 2 2" xfId="10365" xr:uid="{C6B5D264-4C85-4095-8B14-A45EDA7684EF}"/>
    <cellStyle name="Normal 5 6 3 2 3" xfId="9034" xr:uid="{F70AE40D-69C2-4BFA-9116-BB3F37A70666}"/>
    <cellStyle name="Normal 5 6 3 3" xfId="7073" xr:uid="{00000000-0005-0000-0000-00009A140000}"/>
    <cellStyle name="Normal 5 6 3 3 2" xfId="9741" xr:uid="{DDCEB847-0DD4-4233-BABB-6802FF103261}"/>
    <cellStyle name="Normal 5 6 3 4" xfId="8410" xr:uid="{AD46FF62-CF09-4BA4-A8AE-AB8289A47427}"/>
    <cellStyle name="Normal 5 6 4" xfId="3904" xr:uid="{00000000-0005-0000-0000-00009B140000}"/>
    <cellStyle name="Normal 5 6 4 2" xfId="4530" xr:uid="{00000000-0005-0000-0000-00009C140000}"/>
    <cellStyle name="Normal 5 6 4 2 2" xfId="7698" xr:uid="{00000000-0005-0000-0000-00009D140000}"/>
    <cellStyle name="Normal 5 6 4 2 2 2" xfId="10366" xr:uid="{EA130CE4-E452-46F4-A46C-4DC685AA7E06}"/>
    <cellStyle name="Normal 5 6 4 2 3" xfId="9035" xr:uid="{04165269-7569-47BD-9121-BEBA57DCAA44}"/>
    <cellStyle name="Normal 5 6 4 3" xfId="7074" xr:uid="{00000000-0005-0000-0000-00009E140000}"/>
    <cellStyle name="Normal 5 6 4 3 2" xfId="9742" xr:uid="{D5188681-1A70-4680-A8A8-0EE91347AF66}"/>
    <cellStyle name="Normal 5 6 4 4" xfId="8411" xr:uid="{2B3B3006-6AB4-437E-B8E7-CA96CBEC65A1}"/>
    <cellStyle name="Normal 5 6 5" xfId="3905" xr:uid="{00000000-0005-0000-0000-00009F140000}"/>
    <cellStyle name="Normal 5 6 5 2" xfId="4531" xr:uid="{00000000-0005-0000-0000-0000A0140000}"/>
    <cellStyle name="Normal 5 6 5 2 2" xfId="7699" xr:uid="{00000000-0005-0000-0000-0000A1140000}"/>
    <cellStyle name="Normal 5 6 5 2 2 2" xfId="10367" xr:uid="{45351123-E9B6-4261-8867-899B367826B1}"/>
    <cellStyle name="Normal 5 6 5 2 3" xfId="9036" xr:uid="{5741AC2F-5601-40DF-849C-D56BCB9DD33A}"/>
    <cellStyle name="Normal 5 6 5 3" xfId="7075" xr:uid="{00000000-0005-0000-0000-0000A2140000}"/>
    <cellStyle name="Normal 5 6 5 3 2" xfId="9743" xr:uid="{E50AC339-9295-4FD1-B6EB-4E318278297E}"/>
    <cellStyle name="Normal 5 6 5 4" xfId="8412" xr:uid="{1C8F63F1-01E1-4D56-9F95-1033EA08DA9F}"/>
    <cellStyle name="Normal 5 6 6" xfId="4525" xr:uid="{00000000-0005-0000-0000-0000A3140000}"/>
    <cellStyle name="Normal 5 6 6 2" xfId="7693" xr:uid="{00000000-0005-0000-0000-0000A4140000}"/>
    <cellStyle name="Normal 5 6 6 2 2" xfId="10361" xr:uid="{3D1C65F3-5E9A-4688-B5C5-FCD15FDE8A65}"/>
    <cellStyle name="Normal 5 6 6 3" xfId="9030" xr:uid="{FEB8E804-4B94-40D6-B5C8-C67E23A0477A}"/>
    <cellStyle name="Normal 5 6 7" xfId="7069" xr:uid="{00000000-0005-0000-0000-0000A5140000}"/>
    <cellStyle name="Normal 5 6 7 2" xfId="9737" xr:uid="{1DAF5D07-49C9-4D24-AC0E-2AD6C02FD57A}"/>
    <cellStyle name="Normal 5 6 8" xfId="8406" xr:uid="{5B261329-ACD5-4676-A71C-7DC41A8B9D8A}"/>
    <cellStyle name="Normal 5 7" xfId="3906" xr:uid="{00000000-0005-0000-0000-0000A6140000}"/>
    <cellStyle name="Normal 5 7 2" xfId="3907" xr:uid="{00000000-0005-0000-0000-0000A7140000}"/>
    <cellStyle name="Normal 5 7 2 2" xfId="3908" xr:uid="{00000000-0005-0000-0000-0000A8140000}"/>
    <cellStyle name="Normal 5 7 2 2 2" xfId="4534" xr:uid="{00000000-0005-0000-0000-0000A9140000}"/>
    <cellStyle name="Normal 5 7 2 2 2 2" xfId="7702" xr:uid="{00000000-0005-0000-0000-0000AA140000}"/>
    <cellStyle name="Normal 5 7 2 2 2 2 2" xfId="10370" xr:uid="{FF5C526C-3FE5-4968-A6F4-458840CA075B}"/>
    <cellStyle name="Normal 5 7 2 2 2 3" xfId="9039" xr:uid="{3FD64EE1-A442-4F49-90CA-6B47EBFD739A}"/>
    <cellStyle name="Normal 5 7 2 2 3" xfId="7078" xr:uid="{00000000-0005-0000-0000-0000AB140000}"/>
    <cellStyle name="Normal 5 7 2 2 3 2" xfId="9746" xr:uid="{B35E193C-3FD8-41D6-BE85-50F7B3B30EAC}"/>
    <cellStyle name="Normal 5 7 2 2 4" xfId="8415" xr:uid="{7EB0C2A8-DC0F-4EE3-87BA-BB69195F0C03}"/>
    <cellStyle name="Normal 5 7 2 3" xfId="3909" xr:uid="{00000000-0005-0000-0000-0000AC140000}"/>
    <cellStyle name="Normal 5 7 2 3 2" xfId="4535" xr:uid="{00000000-0005-0000-0000-0000AD140000}"/>
    <cellStyle name="Normal 5 7 2 3 2 2" xfId="7703" xr:uid="{00000000-0005-0000-0000-0000AE140000}"/>
    <cellStyle name="Normal 5 7 2 3 2 2 2" xfId="10371" xr:uid="{2312DDD4-0158-44B7-A07C-F4000CE54382}"/>
    <cellStyle name="Normal 5 7 2 3 2 3" xfId="9040" xr:uid="{E7AE5E08-8833-41D5-83CC-1B0D1E64C743}"/>
    <cellStyle name="Normal 5 7 2 3 3" xfId="7079" xr:uid="{00000000-0005-0000-0000-0000AF140000}"/>
    <cellStyle name="Normal 5 7 2 3 3 2" xfId="9747" xr:uid="{E7784416-4B42-4DDF-8DB0-AFFA2D113F72}"/>
    <cellStyle name="Normal 5 7 2 3 4" xfId="8416" xr:uid="{5F394420-59D5-4AEB-8630-C4A6E85E3D8D}"/>
    <cellStyle name="Normal 5 7 2 4" xfId="4533" xr:uid="{00000000-0005-0000-0000-0000B0140000}"/>
    <cellStyle name="Normal 5 7 2 4 2" xfId="7701" xr:uid="{00000000-0005-0000-0000-0000B1140000}"/>
    <cellStyle name="Normal 5 7 2 4 2 2" xfId="10369" xr:uid="{2FEE02FF-BD11-4881-BC99-799E43E21276}"/>
    <cellStyle name="Normal 5 7 2 4 3" xfId="9038" xr:uid="{DB5F4E83-57FB-4E78-9235-8E7801F3F8D7}"/>
    <cellStyle name="Normal 5 7 2 5" xfId="7077" xr:uid="{00000000-0005-0000-0000-0000B2140000}"/>
    <cellStyle name="Normal 5 7 2 5 2" xfId="9745" xr:uid="{59BB948B-729A-4F1B-BAF0-7A2E40CB478B}"/>
    <cellStyle name="Normal 5 7 2 6" xfId="8414" xr:uid="{EBAC4BED-1219-4A97-B429-7B0ECF98ACC0}"/>
    <cellStyle name="Normal 5 7 3" xfId="3910" xr:uid="{00000000-0005-0000-0000-0000B3140000}"/>
    <cellStyle name="Normal 5 7 3 2" xfId="4536" xr:uid="{00000000-0005-0000-0000-0000B4140000}"/>
    <cellStyle name="Normal 5 7 3 2 2" xfId="7704" xr:uid="{00000000-0005-0000-0000-0000B5140000}"/>
    <cellStyle name="Normal 5 7 3 2 2 2" xfId="10372" xr:uid="{66580F9A-C607-4864-8B34-DDD44273CBDE}"/>
    <cellStyle name="Normal 5 7 3 2 3" xfId="9041" xr:uid="{15D44DC6-2389-40CB-ABB7-67AE651E644C}"/>
    <cellStyle name="Normal 5 7 3 3" xfId="7080" xr:uid="{00000000-0005-0000-0000-0000B6140000}"/>
    <cellStyle name="Normal 5 7 3 3 2" xfId="9748" xr:uid="{5FA8E480-C51C-4687-A7E1-38F78C81FBDD}"/>
    <cellStyle name="Normal 5 7 3 4" xfId="8417" xr:uid="{162356D2-BE6C-4A54-B0AE-4093BEB162F1}"/>
    <cellStyle name="Normal 5 7 4" xfId="3911" xr:uid="{00000000-0005-0000-0000-0000B7140000}"/>
    <cellStyle name="Normal 5 7 4 2" xfId="4537" xr:uid="{00000000-0005-0000-0000-0000B8140000}"/>
    <cellStyle name="Normal 5 7 4 2 2" xfId="7705" xr:uid="{00000000-0005-0000-0000-0000B9140000}"/>
    <cellStyle name="Normal 5 7 4 2 2 2" xfId="10373" xr:uid="{15648E67-65FB-4958-A5B1-E0290895A367}"/>
    <cellStyle name="Normal 5 7 4 2 3" xfId="9042" xr:uid="{47808FF9-2475-47E6-9FC6-5E0B4EFFA20C}"/>
    <cellStyle name="Normal 5 7 4 3" xfId="7081" xr:uid="{00000000-0005-0000-0000-0000BA140000}"/>
    <cellStyle name="Normal 5 7 4 3 2" xfId="9749" xr:uid="{5CFF1CD4-A8A6-427B-BDD3-2AD32FC15A07}"/>
    <cellStyle name="Normal 5 7 4 4" xfId="8418" xr:uid="{106DBC36-0CA1-4E12-B5CE-0A64534DA728}"/>
    <cellStyle name="Normal 5 7 5" xfId="3912" xr:uid="{00000000-0005-0000-0000-0000BB140000}"/>
    <cellStyle name="Normal 5 7 5 2" xfId="4538" xr:uid="{00000000-0005-0000-0000-0000BC140000}"/>
    <cellStyle name="Normal 5 7 5 2 2" xfId="7706" xr:uid="{00000000-0005-0000-0000-0000BD140000}"/>
    <cellStyle name="Normal 5 7 5 2 2 2" xfId="10374" xr:uid="{1B58CD27-4FCA-40DC-A168-C031D87F44AE}"/>
    <cellStyle name="Normal 5 7 5 2 3" xfId="9043" xr:uid="{DC3947A8-E987-46C8-89DA-BF00CF5E03DE}"/>
    <cellStyle name="Normal 5 7 5 3" xfId="7082" xr:uid="{00000000-0005-0000-0000-0000BE140000}"/>
    <cellStyle name="Normal 5 7 5 3 2" xfId="9750" xr:uid="{5D80CE26-CF82-4E91-8492-15ABA7DD51F3}"/>
    <cellStyle name="Normal 5 7 5 4" xfId="8419" xr:uid="{829DC270-35A7-415F-B126-63A272E4FF82}"/>
    <cellStyle name="Normal 5 7 6" xfId="4532" xr:uid="{00000000-0005-0000-0000-0000BF140000}"/>
    <cellStyle name="Normal 5 7 6 2" xfId="7700" xr:uid="{00000000-0005-0000-0000-0000C0140000}"/>
    <cellStyle name="Normal 5 7 6 2 2" xfId="10368" xr:uid="{9B838F06-8830-473B-ABA8-C76EB5778141}"/>
    <cellStyle name="Normal 5 7 6 3" xfId="9037" xr:uid="{AAC914A6-64C7-4B40-9960-608D63D8AFD5}"/>
    <cellStyle name="Normal 5 7 7" xfId="7076" xr:uid="{00000000-0005-0000-0000-0000C1140000}"/>
    <cellStyle name="Normal 5 7 7 2" xfId="9744" xr:uid="{8CBE5C95-45B5-4597-AA1C-E7B0EA01F57F}"/>
    <cellStyle name="Normal 5 7 8" xfId="8413" xr:uid="{1FA09E00-B230-4F44-802E-61854F052290}"/>
    <cellStyle name="Normal 5 8" xfId="3913" xr:uid="{00000000-0005-0000-0000-0000C2140000}"/>
    <cellStyle name="Normal 5 8 2" xfId="3914" xr:uid="{00000000-0005-0000-0000-0000C3140000}"/>
    <cellStyle name="Normal 5 8 2 2" xfId="4540" xr:uid="{00000000-0005-0000-0000-0000C4140000}"/>
    <cellStyle name="Normal 5 8 2 2 2" xfId="7708" xr:uid="{00000000-0005-0000-0000-0000C5140000}"/>
    <cellStyle name="Normal 5 8 2 2 2 2" xfId="10376" xr:uid="{E8D3FAD3-4475-43C0-AC4C-1ABEEA01341C}"/>
    <cellStyle name="Normal 5 8 2 2 3" xfId="9045" xr:uid="{AB04196C-ADE5-48CC-89AF-A18A317271D6}"/>
    <cellStyle name="Normal 5 8 2 3" xfId="7084" xr:uid="{00000000-0005-0000-0000-0000C6140000}"/>
    <cellStyle name="Normal 5 8 2 3 2" xfId="9752" xr:uid="{54E72949-0C3D-4644-8F03-411AE6B4605D}"/>
    <cellStyle name="Normal 5 8 2 4" xfId="8421" xr:uid="{62491A37-073E-4432-A27B-DB021DAE3259}"/>
    <cellStyle name="Normal 5 8 3" xfId="3915" xr:uid="{00000000-0005-0000-0000-0000C7140000}"/>
    <cellStyle name="Normal 5 8 3 2" xfId="4541" xr:uid="{00000000-0005-0000-0000-0000C8140000}"/>
    <cellStyle name="Normal 5 8 3 2 2" xfId="7709" xr:uid="{00000000-0005-0000-0000-0000C9140000}"/>
    <cellStyle name="Normal 5 8 3 2 2 2" xfId="10377" xr:uid="{3027AE81-34B7-4DAF-9494-73E9E4E97756}"/>
    <cellStyle name="Normal 5 8 3 2 3" xfId="9046" xr:uid="{0AACED36-F145-427B-88B9-114B057DA721}"/>
    <cellStyle name="Normal 5 8 3 3" xfId="7085" xr:uid="{00000000-0005-0000-0000-0000CA140000}"/>
    <cellStyle name="Normal 5 8 3 3 2" xfId="9753" xr:uid="{5BAD6F34-4CEA-4C16-8068-8DE06A28CC01}"/>
    <cellStyle name="Normal 5 8 3 4" xfId="8422" xr:uid="{1B64E5AC-4108-4250-AEF8-2A350B6B666E}"/>
    <cellStyle name="Normal 5 8 4" xfId="4539" xr:uid="{00000000-0005-0000-0000-0000CB140000}"/>
    <cellStyle name="Normal 5 8 4 2" xfId="7707" xr:uid="{00000000-0005-0000-0000-0000CC140000}"/>
    <cellStyle name="Normal 5 8 4 2 2" xfId="10375" xr:uid="{1DF24BAA-07A7-44EF-9E26-99EE4756DB73}"/>
    <cellStyle name="Normal 5 8 4 3" xfId="9044" xr:uid="{C2F9539A-469B-474C-926D-C4DB99CC736F}"/>
    <cellStyle name="Normal 5 8 5" xfId="7083" xr:uid="{00000000-0005-0000-0000-0000CD140000}"/>
    <cellStyle name="Normal 5 8 5 2" xfId="9751" xr:uid="{B547DC95-C8A5-4071-922F-DC2260052EE3}"/>
    <cellStyle name="Normal 5 8 6" xfId="8420" xr:uid="{159CC3A0-EB47-4152-A325-660DF8821B47}"/>
    <cellStyle name="Normal 5 9" xfId="3916" xr:uid="{00000000-0005-0000-0000-0000CE140000}"/>
    <cellStyle name="Normal 5 9 2" xfId="3917" xr:uid="{00000000-0005-0000-0000-0000CF140000}"/>
    <cellStyle name="Normal 5 9 2 2" xfId="4543" xr:uid="{00000000-0005-0000-0000-0000D0140000}"/>
    <cellStyle name="Normal 5 9 2 2 2" xfId="7711" xr:uid="{00000000-0005-0000-0000-0000D1140000}"/>
    <cellStyle name="Normal 5 9 2 2 2 2" xfId="10379" xr:uid="{3D103C94-A5F5-4729-89EB-A25FF66A9E12}"/>
    <cellStyle name="Normal 5 9 2 2 3" xfId="9048" xr:uid="{6455D368-D0A3-46A2-99B7-67719239C32E}"/>
    <cellStyle name="Normal 5 9 2 3" xfId="7087" xr:uid="{00000000-0005-0000-0000-0000D2140000}"/>
    <cellStyle name="Normal 5 9 2 3 2" xfId="9755" xr:uid="{F20C550E-F6B3-48C8-8213-16D60A375292}"/>
    <cellStyle name="Normal 5 9 2 4" xfId="8424" xr:uid="{763B2BF5-9702-4928-A9A9-7875E07B9BDB}"/>
    <cellStyle name="Normal 5 9 3" xfId="4542" xr:uid="{00000000-0005-0000-0000-0000D3140000}"/>
    <cellStyle name="Normal 5 9 3 2" xfId="7710" xr:uid="{00000000-0005-0000-0000-0000D4140000}"/>
    <cellStyle name="Normal 5 9 3 2 2" xfId="10378" xr:uid="{CED0B99C-6D56-4505-9933-D51706761A4D}"/>
    <cellStyle name="Normal 5 9 3 3" xfId="9047" xr:uid="{CC4B79C9-A26A-4D44-A645-0723DD7B426B}"/>
    <cellStyle name="Normal 5 9 4" xfId="7086" xr:uid="{00000000-0005-0000-0000-0000D5140000}"/>
    <cellStyle name="Normal 5 9 4 2" xfId="9754" xr:uid="{DC3D4236-2E91-4018-B0D8-D37FC8293684}"/>
    <cellStyle name="Normal 5 9 5" xfId="8423" xr:uid="{58C3A868-E78C-4AA4-BCF6-0A9BC88DDC87}"/>
    <cellStyle name="Normal 6" xfId="989" xr:uid="{00000000-0005-0000-0000-0000D6140000}"/>
    <cellStyle name="Normal 6 10" xfId="3919" xr:uid="{00000000-0005-0000-0000-0000D7140000}"/>
    <cellStyle name="Normal 6 10 2" xfId="4545" xr:uid="{00000000-0005-0000-0000-0000D8140000}"/>
    <cellStyle name="Normal 6 10 2 2" xfId="7713" xr:uid="{00000000-0005-0000-0000-0000D9140000}"/>
    <cellStyle name="Normal 6 10 2 2 2" xfId="10381" xr:uid="{7B753805-B239-4F21-8741-CCFE8EF37C0C}"/>
    <cellStyle name="Normal 6 10 2 3" xfId="9050" xr:uid="{8809AEC2-866A-43E2-88C1-ED1CED1854DC}"/>
    <cellStyle name="Normal 6 10 3" xfId="7089" xr:uid="{00000000-0005-0000-0000-0000DA140000}"/>
    <cellStyle name="Normal 6 10 3 2" xfId="9757" xr:uid="{2BC53EB2-11F7-489A-BBF2-6658375502FE}"/>
    <cellStyle name="Normal 6 10 4" xfId="8426" xr:uid="{F3DD8A4D-0E91-4494-8D2A-6CBA854C2313}"/>
    <cellStyle name="Normal 6 11" xfId="3920" xr:uid="{00000000-0005-0000-0000-0000DB140000}"/>
    <cellStyle name="Normal 6 11 2" xfId="4546" xr:uid="{00000000-0005-0000-0000-0000DC140000}"/>
    <cellStyle name="Normal 6 11 2 2" xfId="7714" xr:uid="{00000000-0005-0000-0000-0000DD140000}"/>
    <cellStyle name="Normal 6 11 2 2 2" xfId="10382" xr:uid="{0AAB4963-A817-4957-92B2-B73E970F3F51}"/>
    <cellStyle name="Normal 6 11 2 3" xfId="9051" xr:uid="{9E3B16A9-F9CE-4127-881E-6D3FF03B546C}"/>
    <cellStyle name="Normal 6 11 3" xfId="7090" xr:uid="{00000000-0005-0000-0000-0000DE140000}"/>
    <cellStyle name="Normal 6 11 3 2" xfId="9758" xr:uid="{2DB5AF4A-E3A3-47DE-86CA-2445387A3FE2}"/>
    <cellStyle name="Normal 6 11 4" xfId="8427" xr:uid="{E2DA5EA3-01EF-4430-BB14-1CD2A2CDEC6F}"/>
    <cellStyle name="Normal 6 12" xfId="3921" xr:uid="{00000000-0005-0000-0000-0000DF140000}"/>
    <cellStyle name="Normal 6 12 2" xfId="4547" xr:uid="{00000000-0005-0000-0000-0000E0140000}"/>
    <cellStyle name="Normal 6 12 2 2" xfId="7715" xr:uid="{00000000-0005-0000-0000-0000E1140000}"/>
    <cellStyle name="Normal 6 12 2 2 2" xfId="10383" xr:uid="{CCD5C2FC-144F-47C2-A3EF-A4E2023274D6}"/>
    <cellStyle name="Normal 6 12 2 3" xfId="9052" xr:uid="{1E52B330-89C9-4BFB-B112-4121821736B6}"/>
    <cellStyle name="Normal 6 12 3" xfId="7091" xr:uid="{00000000-0005-0000-0000-0000E2140000}"/>
    <cellStyle name="Normal 6 12 3 2" xfId="9759" xr:uid="{19C545D4-222F-4633-9167-1D5E37E0FFDB}"/>
    <cellStyle name="Normal 6 12 4" xfId="8428" xr:uid="{9A2637D2-DDF7-4FED-9C28-1501DF07354D}"/>
    <cellStyle name="Normal 6 13" xfId="3918" xr:uid="{00000000-0005-0000-0000-0000E3140000}"/>
    <cellStyle name="Normal 6 13 2" xfId="4544" xr:uid="{00000000-0005-0000-0000-0000E4140000}"/>
    <cellStyle name="Normal 6 13 2 2" xfId="7712" xr:uid="{00000000-0005-0000-0000-0000E5140000}"/>
    <cellStyle name="Normal 6 13 2 2 2" xfId="10380" xr:uid="{1B9B4EFE-9206-49D9-9C94-45488D04B91C}"/>
    <cellStyle name="Normal 6 13 2 3" xfId="9049" xr:uid="{8AA883BB-3C08-4037-A9EB-70C5FBD9C424}"/>
    <cellStyle name="Normal 6 13 3" xfId="7088" xr:uid="{00000000-0005-0000-0000-0000E6140000}"/>
    <cellStyle name="Normal 6 13 3 2" xfId="9756" xr:uid="{4F3101EA-11CA-48F2-8322-B502B2FD5BB7}"/>
    <cellStyle name="Normal 6 13 4" xfId="8425" xr:uid="{D64B1160-A1DE-4310-A43D-638A71370F5B}"/>
    <cellStyle name="Normal 6 14" xfId="4104" xr:uid="{00000000-0005-0000-0000-0000E7140000}"/>
    <cellStyle name="Normal 6 14 2" xfId="7272" xr:uid="{00000000-0005-0000-0000-0000E8140000}"/>
    <cellStyle name="Normal 6 14 2 2" xfId="9940" xr:uid="{330B16BB-9FCC-4E87-8E6E-DD1BF38A4BBA}"/>
    <cellStyle name="Normal 6 14 3" xfId="8609" xr:uid="{02B57AE5-A79B-417F-B606-B5D5C6FA44DB}"/>
    <cellStyle name="Normal 6 15" xfId="3385" xr:uid="{00000000-0005-0000-0000-0000E9140000}"/>
    <cellStyle name="Normal 6 15 2" xfId="6653" xr:uid="{00000000-0005-0000-0000-0000EA140000}"/>
    <cellStyle name="Normal 6 15 2 2" xfId="9329" xr:uid="{3439FF6D-DD5D-4BD5-B4C9-96DA3AAEA0AB}"/>
    <cellStyle name="Normal 6 15 3" xfId="7989" xr:uid="{3A0AD826-C3D0-4A0D-BCC7-9B4CAC1397E8}"/>
    <cellStyle name="Normal 6 16" xfId="6226" xr:uid="{00000000-0005-0000-0000-0000EB140000}"/>
    <cellStyle name="Normal 6 16 2" xfId="9263" xr:uid="{9C324706-CFFB-4152-B65C-1CE3D2593148}"/>
    <cellStyle name="Normal 6 17" xfId="7905" xr:uid="{9036E396-A852-4DF9-9542-203335135779}"/>
    <cellStyle name="Normal 6 17 2" xfId="10566" xr:uid="{DB3E9EAC-8177-495E-84C2-6EABC5E35678}"/>
    <cellStyle name="Normal 6 2" xfId="990" xr:uid="{00000000-0005-0000-0000-0000EC140000}"/>
    <cellStyle name="Normal 6 2 2" xfId="2620" xr:uid="{00000000-0005-0000-0000-0000ED140000}"/>
    <cellStyle name="Normal 6 2 2 2" xfId="3924" xr:uid="{00000000-0005-0000-0000-0000EE140000}"/>
    <cellStyle name="Normal 6 2 2 2 2" xfId="4550" xr:uid="{00000000-0005-0000-0000-0000EF140000}"/>
    <cellStyle name="Normal 6 2 2 2 2 2" xfId="7718" xr:uid="{00000000-0005-0000-0000-0000F0140000}"/>
    <cellStyle name="Normal 6 2 2 2 2 2 2" xfId="10386" xr:uid="{76986256-524B-4C45-A188-F38209464FB7}"/>
    <cellStyle name="Normal 6 2 2 2 2 3" xfId="9055" xr:uid="{D1FD007F-D2B4-4D6E-8150-D25A6AB4FFB0}"/>
    <cellStyle name="Normal 6 2 2 2 3" xfId="7094" xr:uid="{00000000-0005-0000-0000-0000F1140000}"/>
    <cellStyle name="Normal 6 2 2 2 3 2" xfId="9762" xr:uid="{40DF64A0-B169-401E-A9E3-42F111F2252C}"/>
    <cellStyle name="Normal 6 2 2 2 4" xfId="8431" xr:uid="{B4C682F3-2129-4B34-9FE0-469AF5B193E9}"/>
    <cellStyle name="Normal 6 2 2 3" xfId="3925" xr:uid="{00000000-0005-0000-0000-0000F2140000}"/>
    <cellStyle name="Normal 6 2 2 3 2" xfId="4551" xr:uid="{00000000-0005-0000-0000-0000F3140000}"/>
    <cellStyle name="Normal 6 2 2 3 2 2" xfId="7719" xr:uid="{00000000-0005-0000-0000-0000F4140000}"/>
    <cellStyle name="Normal 6 2 2 3 2 2 2" xfId="10387" xr:uid="{9C1C5533-719B-47D1-8969-0C43450DD730}"/>
    <cellStyle name="Normal 6 2 2 3 2 3" xfId="9056" xr:uid="{0A0872DE-DE35-45C3-989E-33EE7EA9C004}"/>
    <cellStyle name="Normal 6 2 2 3 3" xfId="7095" xr:uid="{00000000-0005-0000-0000-0000F5140000}"/>
    <cellStyle name="Normal 6 2 2 3 3 2" xfId="9763" xr:uid="{B97314C6-32D2-434D-8A5B-17629E9CA77F}"/>
    <cellStyle name="Normal 6 2 2 3 4" xfId="8432" xr:uid="{782EBA6E-573F-4E57-BB8B-E635FF76892A}"/>
    <cellStyle name="Normal 6 2 2 4" xfId="3923" xr:uid="{00000000-0005-0000-0000-0000F6140000}"/>
    <cellStyle name="Normal 6 2 2 4 2" xfId="4549" xr:uid="{00000000-0005-0000-0000-0000F7140000}"/>
    <cellStyle name="Normal 6 2 2 4 2 2" xfId="7717" xr:uid="{00000000-0005-0000-0000-0000F8140000}"/>
    <cellStyle name="Normal 6 2 2 4 2 2 2" xfId="10385" xr:uid="{25CAB3BA-A540-470F-BACC-AF7DCC2C2C5D}"/>
    <cellStyle name="Normal 6 2 2 4 2 3" xfId="9054" xr:uid="{E3DA7A5C-ABDA-4C26-9322-1B2ECA4AAA35}"/>
    <cellStyle name="Normal 6 2 2 4 3" xfId="7093" xr:uid="{00000000-0005-0000-0000-0000F9140000}"/>
    <cellStyle name="Normal 6 2 2 4 3 2" xfId="9761" xr:uid="{F5E334C2-37E8-4D38-A5DE-EA71E76B29A4}"/>
    <cellStyle name="Normal 6 2 2 4 4" xfId="8430" xr:uid="{63CB93BD-BFE4-402C-BE57-B6BD72651FB2}"/>
    <cellStyle name="Normal 6 2 2 5" xfId="4128" xr:uid="{00000000-0005-0000-0000-0000FA140000}"/>
    <cellStyle name="Normal 6 2 2 5 2" xfId="7296" xr:uid="{00000000-0005-0000-0000-0000FB140000}"/>
    <cellStyle name="Normal 6 2 2 5 2 2" xfId="9964" xr:uid="{A85683E5-9CCC-44D6-A96B-AD7E9748B29B}"/>
    <cellStyle name="Normal 6 2 2 5 3" xfId="8633" xr:uid="{307CFE2C-785B-4348-8889-4536BD13F360}"/>
    <cellStyle name="Normal 6 2 2 6" xfId="3477" xr:uid="{00000000-0005-0000-0000-0000FC140000}"/>
    <cellStyle name="Normal 6 2 2 6 2" xfId="6685" xr:uid="{00000000-0005-0000-0000-0000FD140000}"/>
    <cellStyle name="Normal 6 2 2 6 2 2" xfId="9353" xr:uid="{71FB35F8-FF01-4A56-B5C1-A80A491287EF}"/>
    <cellStyle name="Normal 6 2 2 6 3" xfId="8017" xr:uid="{174A6912-B5E1-4F0D-9AE8-2077275794A4}"/>
    <cellStyle name="Normal 6 2 3" xfId="3329" xr:uid="{00000000-0005-0000-0000-0000FE140000}"/>
    <cellStyle name="Normal 6 2 3 2" xfId="3926" xr:uid="{00000000-0005-0000-0000-0000FF140000}"/>
    <cellStyle name="Normal 6 2 3 2 2" xfId="4552" xr:uid="{00000000-0005-0000-0000-000000150000}"/>
    <cellStyle name="Normal 6 2 3 2 2 2" xfId="7720" xr:uid="{00000000-0005-0000-0000-000001150000}"/>
    <cellStyle name="Normal 6 2 3 2 2 2 2" xfId="10388" xr:uid="{F2E835E6-1184-4DBB-A82D-7DCE7BBDDE38}"/>
    <cellStyle name="Normal 6 2 3 2 2 3" xfId="9057" xr:uid="{1AC505B4-D976-4F4D-902D-09CF6793C15E}"/>
    <cellStyle name="Normal 6 2 3 2 3" xfId="7096" xr:uid="{00000000-0005-0000-0000-000002150000}"/>
    <cellStyle name="Normal 6 2 3 2 3 2" xfId="9764" xr:uid="{B3D6CF9F-86E9-46E5-81FC-B9769CE74FFE}"/>
    <cellStyle name="Normal 6 2 3 2 4" xfId="8433" xr:uid="{CF4B5411-7761-4437-9C72-78C2EEF343F2}"/>
    <cellStyle name="Normal 6 2 3 3" xfId="4144" xr:uid="{00000000-0005-0000-0000-000003150000}"/>
    <cellStyle name="Normal 6 2 3 3 2" xfId="7312" xr:uid="{00000000-0005-0000-0000-000004150000}"/>
    <cellStyle name="Normal 6 2 3 3 2 2" xfId="9980" xr:uid="{232428B6-1D26-4C60-9997-DE672B8FE3CC}"/>
    <cellStyle name="Normal 6 2 3 3 3" xfId="8649" xr:uid="{E0DB506B-ABCC-4946-83FF-43164AF64637}"/>
    <cellStyle name="Normal 6 2 3 4" xfId="3493" xr:uid="{00000000-0005-0000-0000-000005150000}"/>
    <cellStyle name="Normal 6 2 3 4 2" xfId="6701" xr:uid="{00000000-0005-0000-0000-000006150000}"/>
    <cellStyle name="Normal 6 2 3 4 2 2" xfId="9369" xr:uid="{A6DA0EE7-A309-4864-9AE6-D6591AF63469}"/>
    <cellStyle name="Normal 6 2 3 4 3" xfId="8033" xr:uid="{4D6CE7BF-0E30-4414-B41B-C3153459091F}"/>
    <cellStyle name="Normal 6 2 3 5" xfId="6633" xr:uid="{00000000-0005-0000-0000-000007150000}"/>
    <cellStyle name="Normal 6 2 3 5 2" xfId="9310" xr:uid="{07E8BE3C-F36F-41F6-914D-4FECFD5AC957}"/>
    <cellStyle name="Normal 6 2 3 6" xfId="7970" xr:uid="{8EB0438A-1EAB-47A3-AA3D-C22AF2980126}"/>
    <cellStyle name="Normal 6 2 4" xfId="3927" xr:uid="{00000000-0005-0000-0000-000008150000}"/>
    <cellStyle name="Normal 6 2 4 2" xfId="4553" xr:uid="{00000000-0005-0000-0000-000009150000}"/>
    <cellStyle name="Normal 6 2 4 2 2" xfId="7721" xr:uid="{00000000-0005-0000-0000-00000A150000}"/>
    <cellStyle name="Normal 6 2 4 2 2 2" xfId="10389" xr:uid="{6B3F5115-964B-4323-9456-C5894917C4DC}"/>
    <cellStyle name="Normal 6 2 4 2 3" xfId="9058" xr:uid="{D384805C-4B97-42EB-BDB4-A4722D655951}"/>
    <cellStyle name="Normal 6 2 4 3" xfId="7097" xr:uid="{00000000-0005-0000-0000-00000B150000}"/>
    <cellStyle name="Normal 6 2 4 3 2" xfId="9765" xr:uid="{5A705D10-6053-4BBA-AA11-380200A6016A}"/>
    <cellStyle name="Normal 6 2 4 4" xfId="8434" xr:uid="{C330A81C-87CB-4EDE-849F-037221B9171F}"/>
    <cellStyle name="Normal 6 2 5" xfId="3928" xr:uid="{00000000-0005-0000-0000-00000C150000}"/>
    <cellStyle name="Normal 6 2 5 2" xfId="4554" xr:uid="{00000000-0005-0000-0000-00000D150000}"/>
    <cellStyle name="Normal 6 2 5 2 2" xfId="7722" xr:uid="{00000000-0005-0000-0000-00000E150000}"/>
    <cellStyle name="Normal 6 2 5 2 2 2" xfId="10390" xr:uid="{690DA881-3407-46E6-8221-A118EAA662E7}"/>
    <cellStyle name="Normal 6 2 5 2 3" xfId="9059" xr:uid="{0DBB10A4-8C83-4832-9C22-99210A43B98C}"/>
    <cellStyle name="Normal 6 2 5 3" xfId="7098" xr:uid="{00000000-0005-0000-0000-00000F150000}"/>
    <cellStyle name="Normal 6 2 5 3 2" xfId="9766" xr:uid="{6BC54BF5-3C1F-42DE-9C35-B53612CF2D66}"/>
    <cellStyle name="Normal 6 2 5 4" xfId="8435" xr:uid="{C05B0415-9998-4F8D-9273-B619292F263B}"/>
    <cellStyle name="Normal 6 2 6" xfId="3929" xr:uid="{00000000-0005-0000-0000-000010150000}"/>
    <cellStyle name="Normal 6 2 6 2" xfId="4555" xr:uid="{00000000-0005-0000-0000-000011150000}"/>
    <cellStyle name="Normal 6 2 6 2 2" xfId="7723" xr:uid="{00000000-0005-0000-0000-000012150000}"/>
    <cellStyle name="Normal 6 2 6 2 2 2" xfId="10391" xr:uid="{3CE720B8-83FE-4077-8A9F-5B4FC3911DFD}"/>
    <cellStyle name="Normal 6 2 6 2 3" xfId="9060" xr:uid="{0A813588-45C7-4A52-9806-5FFD6B4F458C}"/>
    <cellStyle name="Normal 6 2 6 3" xfId="7099" xr:uid="{00000000-0005-0000-0000-000013150000}"/>
    <cellStyle name="Normal 6 2 6 3 2" xfId="9767" xr:uid="{2D23081B-3E1A-4CCB-9703-D3E3AA10DDD9}"/>
    <cellStyle name="Normal 6 2 6 4" xfId="8436" xr:uid="{8707505F-346E-4CF3-B1FC-A8A0029BC02D}"/>
    <cellStyle name="Normal 6 2 7" xfId="3922" xr:uid="{00000000-0005-0000-0000-000014150000}"/>
    <cellStyle name="Normal 6 2 7 2" xfId="4548" xr:uid="{00000000-0005-0000-0000-000015150000}"/>
    <cellStyle name="Normal 6 2 7 2 2" xfId="7716" xr:uid="{00000000-0005-0000-0000-000016150000}"/>
    <cellStyle name="Normal 6 2 7 2 2 2" xfId="10384" xr:uid="{0F4D7152-65D7-4E56-A98D-6A8B02BB47A6}"/>
    <cellStyle name="Normal 6 2 7 2 3" xfId="9053" xr:uid="{DF34C955-195E-401A-A974-D527D589AFF8}"/>
    <cellStyle name="Normal 6 2 7 3" xfId="7092" xr:uid="{00000000-0005-0000-0000-000017150000}"/>
    <cellStyle name="Normal 6 2 7 3 2" xfId="9760" xr:uid="{8ABE040D-098B-4F57-B903-D7A34317DB91}"/>
    <cellStyle name="Normal 6 2 7 4" xfId="8429" xr:uid="{9F6685D6-F297-4426-9546-28E21C861E30}"/>
    <cellStyle name="Normal 6 2 8" xfId="4112" xr:uid="{00000000-0005-0000-0000-000018150000}"/>
    <cellStyle name="Normal 6 2 8 2" xfId="7280" xr:uid="{00000000-0005-0000-0000-000019150000}"/>
    <cellStyle name="Normal 6 2 8 2 2" xfId="9948" xr:uid="{AB786B67-D9F0-436F-8F96-97D3B6F19EB0}"/>
    <cellStyle name="Normal 6 2 8 3" xfId="8617" xr:uid="{8C4CDF7C-2244-4D1E-AEC8-BF86983FE0DB}"/>
    <cellStyle name="Normal 6 2 9" xfId="3461" xr:uid="{00000000-0005-0000-0000-00001A150000}"/>
    <cellStyle name="Normal 6 2 9 2" xfId="6669" xr:uid="{00000000-0005-0000-0000-00001B150000}"/>
    <cellStyle name="Normal 6 2 9 2 2" xfId="9337" xr:uid="{1DCEFB49-CBAE-4DB9-B4C1-E3375A347BC6}"/>
    <cellStyle name="Normal 6 2 9 3" xfId="8001" xr:uid="{88016E53-00DD-49FA-8CB6-C1542EFFBDA4}"/>
    <cellStyle name="Normal 6 3" xfId="2619" xr:uid="{00000000-0005-0000-0000-00001C150000}"/>
    <cellStyle name="Normal 6 3 10" xfId="5673" xr:uid="{00000000-0005-0000-0000-00001D150000}"/>
    <cellStyle name="Normal 6 3 10 2" xfId="9253" xr:uid="{91CDFAF8-AF0B-4651-AAC6-06097846B39A}"/>
    <cellStyle name="Normal 6 3 11" xfId="6595" xr:uid="{00000000-0005-0000-0000-00001E150000}"/>
    <cellStyle name="Normal 6 3 11 2" xfId="9273" xr:uid="{C2F5D6B1-3B68-4FC0-A2EF-3F3989F1180F}"/>
    <cellStyle name="Normal 6 3 12" xfId="7928" xr:uid="{C3AB968A-9E87-4EC8-A456-7A28FB316670}"/>
    <cellStyle name="Normal 6 3 2" xfId="3307" xr:uid="{00000000-0005-0000-0000-00001F150000}"/>
    <cellStyle name="Normal 6 3 2 2" xfId="3932" xr:uid="{00000000-0005-0000-0000-000020150000}"/>
    <cellStyle name="Normal 6 3 2 2 2" xfId="4558" xr:uid="{00000000-0005-0000-0000-000021150000}"/>
    <cellStyle name="Normal 6 3 2 2 2 2" xfId="7726" xr:uid="{00000000-0005-0000-0000-000022150000}"/>
    <cellStyle name="Normal 6 3 2 2 2 2 2" xfId="10394" xr:uid="{C27372C5-32F7-4AAE-A6D1-B61D5D1D7506}"/>
    <cellStyle name="Normal 6 3 2 2 2 3" xfId="9063" xr:uid="{70903F34-A6B6-47DD-BF0C-AECA58351AE5}"/>
    <cellStyle name="Normal 6 3 2 2 3" xfId="7102" xr:uid="{00000000-0005-0000-0000-000023150000}"/>
    <cellStyle name="Normal 6 3 2 2 3 2" xfId="9770" xr:uid="{5B490565-8423-4327-9CB8-37D02E9CA010}"/>
    <cellStyle name="Normal 6 3 2 2 4" xfId="8439" xr:uid="{2E31DAAE-9C20-4D1D-B95E-A86095218C7B}"/>
    <cellStyle name="Normal 6 3 2 3" xfId="3933" xr:uid="{00000000-0005-0000-0000-000024150000}"/>
    <cellStyle name="Normal 6 3 2 3 2" xfId="4559" xr:uid="{00000000-0005-0000-0000-000025150000}"/>
    <cellStyle name="Normal 6 3 2 3 2 2" xfId="7727" xr:uid="{00000000-0005-0000-0000-000026150000}"/>
    <cellStyle name="Normal 6 3 2 3 2 2 2" xfId="10395" xr:uid="{A3FA5398-AAB4-43BA-AD73-D0E672B8589D}"/>
    <cellStyle name="Normal 6 3 2 3 2 3" xfId="9064" xr:uid="{05F78C77-FDC7-488A-A45A-8515C910EF77}"/>
    <cellStyle name="Normal 6 3 2 3 3" xfId="7103" xr:uid="{00000000-0005-0000-0000-000027150000}"/>
    <cellStyle name="Normal 6 3 2 3 3 2" xfId="9771" xr:uid="{AFFF6D67-CE3F-48F1-AB93-2A4D26151B44}"/>
    <cellStyle name="Normal 6 3 2 3 4" xfId="8440" xr:uid="{7FAD952B-0DD1-431C-8D92-2447212A13F6}"/>
    <cellStyle name="Normal 6 3 2 4" xfId="4557" xr:uid="{00000000-0005-0000-0000-000028150000}"/>
    <cellStyle name="Normal 6 3 2 4 2" xfId="7725" xr:uid="{00000000-0005-0000-0000-000029150000}"/>
    <cellStyle name="Normal 6 3 2 4 2 2" xfId="10393" xr:uid="{F14517B3-1F6D-4D23-833C-C3D9B84DBB85}"/>
    <cellStyle name="Normal 6 3 2 4 3" xfId="9062" xr:uid="{9F409D6B-A58D-4ABB-8C84-FB8D3108A5E3}"/>
    <cellStyle name="Normal 6 3 2 5" xfId="3931" xr:uid="{00000000-0005-0000-0000-00002A150000}"/>
    <cellStyle name="Normal 6 3 2 5 2" xfId="7101" xr:uid="{00000000-0005-0000-0000-00002B150000}"/>
    <cellStyle name="Normal 6 3 2 5 2 2" xfId="9769" xr:uid="{5A8651AC-AF90-47CF-9488-38BA2F63D705}"/>
    <cellStyle name="Normal 6 3 2 5 3" xfId="8438" xr:uid="{201B0FFB-DC3E-4DB5-A287-F5D6AB0363E4}"/>
    <cellStyle name="Normal 6 3 2 6" xfId="6616" xr:uid="{00000000-0005-0000-0000-00002C150000}"/>
    <cellStyle name="Normal 6 3 2 6 2" xfId="9293" xr:uid="{073FAADA-22D0-4098-921F-A5FDE553320A}"/>
    <cellStyle name="Normal 6 3 2 7" xfId="7953" xr:uid="{8F0A0671-4E03-4DD0-B726-B676F103CE11}"/>
    <cellStyle name="Normal 6 3 3" xfId="3934" xr:uid="{00000000-0005-0000-0000-00002D150000}"/>
    <cellStyle name="Normal 6 3 3 2" xfId="4560" xr:uid="{00000000-0005-0000-0000-00002E150000}"/>
    <cellStyle name="Normal 6 3 3 2 2" xfId="7728" xr:uid="{00000000-0005-0000-0000-00002F150000}"/>
    <cellStyle name="Normal 6 3 3 2 2 2" xfId="10396" xr:uid="{0CE27487-171C-44B6-A68F-7CBE85B7A4DE}"/>
    <cellStyle name="Normal 6 3 3 2 3" xfId="9065" xr:uid="{22CBCEAB-D170-47F9-9A77-D18894C23D1C}"/>
    <cellStyle name="Normal 6 3 3 3" xfId="7104" xr:uid="{00000000-0005-0000-0000-000030150000}"/>
    <cellStyle name="Normal 6 3 3 3 2" xfId="9772" xr:uid="{C6D01F30-1365-44E8-A1D6-EEFDC15026DF}"/>
    <cellStyle name="Normal 6 3 3 4" xfId="8441" xr:uid="{44894466-5133-4D23-941C-CEDEC17DBD86}"/>
    <cellStyle name="Normal 6 3 4" xfId="3935" xr:uid="{00000000-0005-0000-0000-000031150000}"/>
    <cellStyle name="Normal 6 3 4 2" xfId="4561" xr:uid="{00000000-0005-0000-0000-000032150000}"/>
    <cellStyle name="Normal 6 3 4 2 2" xfId="7729" xr:uid="{00000000-0005-0000-0000-000033150000}"/>
    <cellStyle name="Normal 6 3 4 2 2 2" xfId="10397" xr:uid="{26EECB0A-E480-4ECE-A2B5-06A377989BB8}"/>
    <cellStyle name="Normal 6 3 4 2 3" xfId="9066" xr:uid="{CCEE77F6-98BB-4AA4-918C-DC3E9210B045}"/>
    <cellStyle name="Normal 6 3 4 3" xfId="7105" xr:uid="{00000000-0005-0000-0000-000034150000}"/>
    <cellStyle name="Normal 6 3 4 3 2" xfId="9773" xr:uid="{FBC614DD-15FE-496C-AC1B-E0AE8EC0FAB0}"/>
    <cellStyle name="Normal 6 3 4 4" xfId="8442" xr:uid="{18B3066B-3F7A-47C8-896D-EA170AA2533E}"/>
    <cellStyle name="Normal 6 3 5" xfId="3936" xr:uid="{00000000-0005-0000-0000-000035150000}"/>
    <cellStyle name="Normal 6 3 5 2" xfId="4562" xr:uid="{00000000-0005-0000-0000-000036150000}"/>
    <cellStyle name="Normal 6 3 5 2 2" xfId="7730" xr:uid="{00000000-0005-0000-0000-000037150000}"/>
    <cellStyle name="Normal 6 3 5 2 2 2" xfId="10398" xr:uid="{1319D370-A937-46EC-8EC6-526E5295411A}"/>
    <cellStyle name="Normal 6 3 5 2 3" xfId="9067" xr:uid="{57A50B75-EC87-4825-8F47-3E9C002D75D1}"/>
    <cellStyle name="Normal 6 3 5 3" xfId="7106" xr:uid="{00000000-0005-0000-0000-000038150000}"/>
    <cellStyle name="Normal 6 3 5 3 2" xfId="9774" xr:uid="{ECF521BB-F6FE-45E9-A885-EA0624BEB715}"/>
    <cellStyle name="Normal 6 3 5 4" xfId="8443" xr:uid="{AB847F6E-459B-447E-B722-3E676EF0EBE7}"/>
    <cellStyle name="Normal 6 3 6" xfId="3937" xr:uid="{00000000-0005-0000-0000-000039150000}"/>
    <cellStyle name="Normal 6 3 6 2" xfId="4563" xr:uid="{00000000-0005-0000-0000-00003A150000}"/>
    <cellStyle name="Normal 6 3 6 2 2" xfId="7731" xr:uid="{00000000-0005-0000-0000-00003B150000}"/>
    <cellStyle name="Normal 6 3 6 2 2 2" xfId="10399" xr:uid="{CAC7AF6B-D5B5-4094-97AD-B7D87A97E348}"/>
    <cellStyle name="Normal 6 3 6 2 3" xfId="9068" xr:uid="{9C16C54B-6D36-4FDD-9702-9D3B3EB55818}"/>
    <cellStyle name="Normal 6 3 6 3" xfId="7107" xr:uid="{00000000-0005-0000-0000-00003C150000}"/>
    <cellStyle name="Normal 6 3 6 3 2" xfId="9775" xr:uid="{EDBF71C6-90BC-423E-B305-60CDBD51D2B5}"/>
    <cellStyle name="Normal 6 3 6 4" xfId="8444" xr:uid="{34F37151-52E5-4B5D-9842-FB1A3E951FD0}"/>
    <cellStyle name="Normal 6 3 7" xfId="3930" xr:uid="{00000000-0005-0000-0000-00003D150000}"/>
    <cellStyle name="Normal 6 3 7 2" xfId="4556" xr:uid="{00000000-0005-0000-0000-00003E150000}"/>
    <cellStyle name="Normal 6 3 7 2 2" xfId="7724" xr:uid="{00000000-0005-0000-0000-00003F150000}"/>
    <cellStyle name="Normal 6 3 7 2 2 2" xfId="10392" xr:uid="{BDA70B61-3AB3-4292-A962-714832999D4F}"/>
    <cellStyle name="Normal 6 3 7 2 3" xfId="9061" xr:uid="{8256126D-5991-4613-9E47-9AB7628FEA1D}"/>
    <cellStyle name="Normal 6 3 7 3" xfId="7100" xr:uid="{00000000-0005-0000-0000-000040150000}"/>
    <cellStyle name="Normal 6 3 7 3 2" xfId="9768" xr:uid="{4D74AFEE-A9D0-468E-A1F6-9798F5E86739}"/>
    <cellStyle name="Normal 6 3 7 4" xfId="8437" xr:uid="{C8C626C9-F412-4C68-8465-DF42436BFE77}"/>
    <cellStyle name="Normal 6 3 8" xfId="4120" xr:uid="{00000000-0005-0000-0000-000041150000}"/>
    <cellStyle name="Normal 6 3 8 2" xfId="7288" xr:uid="{00000000-0005-0000-0000-000042150000}"/>
    <cellStyle name="Normal 6 3 8 2 2" xfId="9956" xr:uid="{2305D0ED-37C2-40A0-BEF3-B14A6AA07241}"/>
    <cellStyle name="Normal 6 3 8 3" xfId="8625" xr:uid="{315F9232-1CC8-4259-89F1-8D94F11B6BE9}"/>
    <cellStyle name="Normal 6 3 9" xfId="3469" xr:uid="{00000000-0005-0000-0000-000043150000}"/>
    <cellStyle name="Normal 6 3 9 2" xfId="6677" xr:uid="{00000000-0005-0000-0000-000044150000}"/>
    <cellStyle name="Normal 6 3 9 2 2" xfId="9345" xr:uid="{43F43E79-7684-400B-8D5A-07FCA8182CB1}"/>
    <cellStyle name="Normal 6 3 9 3" xfId="8009" xr:uid="{B49E751A-B707-46BC-B3F2-38A4FE7A1A57}"/>
    <cellStyle name="Normal 6 4" xfId="3322" xr:uid="{00000000-0005-0000-0000-000045150000}"/>
    <cellStyle name="Normal 6 4 10" xfId="6629" xr:uid="{00000000-0005-0000-0000-000046150000}"/>
    <cellStyle name="Normal 6 4 10 2" xfId="9306" xr:uid="{DE4F80E2-3A1E-4798-9F26-5E39ECE5DAAE}"/>
    <cellStyle name="Normal 6 4 11" xfId="7966" xr:uid="{B92D11A1-E044-498A-BFC8-33EA11260CE0}"/>
    <cellStyle name="Normal 6 4 2" xfId="3939" xr:uid="{00000000-0005-0000-0000-000047150000}"/>
    <cellStyle name="Normal 6 4 2 2" xfId="3940" xr:uid="{00000000-0005-0000-0000-000048150000}"/>
    <cellStyle name="Normal 6 4 2 2 2" xfId="4566" xr:uid="{00000000-0005-0000-0000-000049150000}"/>
    <cellStyle name="Normal 6 4 2 2 2 2" xfId="7734" xr:uid="{00000000-0005-0000-0000-00004A150000}"/>
    <cellStyle name="Normal 6 4 2 2 2 2 2" xfId="10402" xr:uid="{D146298C-DFC6-44D5-ADBF-71E29066E66F}"/>
    <cellStyle name="Normal 6 4 2 2 2 3" xfId="9071" xr:uid="{9026CEFE-1497-46CD-9F22-A0C59270CC35}"/>
    <cellStyle name="Normal 6 4 2 2 3" xfId="7110" xr:uid="{00000000-0005-0000-0000-00004B150000}"/>
    <cellStyle name="Normal 6 4 2 2 3 2" xfId="9778" xr:uid="{D0DBAFD6-9D3E-4373-8B08-8C26CF0090E5}"/>
    <cellStyle name="Normal 6 4 2 2 4" xfId="8447" xr:uid="{53F306CA-CEA5-4B94-9F20-EF5BA11AC7E5}"/>
    <cellStyle name="Normal 6 4 2 3" xfId="3941" xr:uid="{00000000-0005-0000-0000-00004C150000}"/>
    <cellStyle name="Normal 6 4 2 3 2" xfId="4567" xr:uid="{00000000-0005-0000-0000-00004D150000}"/>
    <cellStyle name="Normal 6 4 2 3 2 2" xfId="7735" xr:uid="{00000000-0005-0000-0000-00004E150000}"/>
    <cellStyle name="Normal 6 4 2 3 2 2 2" xfId="10403" xr:uid="{4FD551B0-14D6-4F47-8877-ABEDEEAED090}"/>
    <cellStyle name="Normal 6 4 2 3 2 3" xfId="9072" xr:uid="{85B9146F-2AD2-4244-9E94-359F6AABBD62}"/>
    <cellStyle name="Normal 6 4 2 3 3" xfId="7111" xr:uid="{00000000-0005-0000-0000-00004F150000}"/>
    <cellStyle name="Normal 6 4 2 3 3 2" xfId="9779" xr:uid="{B18C65B1-86AA-47EA-93E6-8D87FCD61C7E}"/>
    <cellStyle name="Normal 6 4 2 3 4" xfId="8448" xr:uid="{E437587A-F9D6-49B7-8D84-838BB9E412E2}"/>
    <cellStyle name="Normal 6 4 2 4" xfId="4565" xr:uid="{00000000-0005-0000-0000-000050150000}"/>
    <cellStyle name="Normal 6 4 2 4 2" xfId="7733" xr:uid="{00000000-0005-0000-0000-000051150000}"/>
    <cellStyle name="Normal 6 4 2 4 2 2" xfId="10401" xr:uid="{23B68829-F06E-4FF4-8774-0BC1B0C92933}"/>
    <cellStyle name="Normal 6 4 2 4 3" xfId="9070" xr:uid="{8C652817-74EA-426C-923F-BEE18B6B2E9D}"/>
    <cellStyle name="Normal 6 4 2 5" xfId="7109" xr:uid="{00000000-0005-0000-0000-000052150000}"/>
    <cellStyle name="Normal 6 4 2 5 2" xfId="9777" xr:uid="{21554085-21DF-4059-8563-FCEA91D00305}"/>
    <cellStyle name="Normal 6 4 2 6" xfId="8446" xr:uid="{4C61DBF0-DAB9-44BA-AA4C-7CCB5177716C}"/>
    <cellStyle name="Normal 6 4 3" xfId="3942" xr:uid="{00000000-0005-0000-0000-000053150000}"/>
    <cellStyle name="Normal 6 4 3 2" xfId="4568" xr:uid="{00000000-0005-0000-0000-000054150000}"/>
    <cellStyle name="Normal 6 4 3 2 2" xfId="7736" xr:uid="{00000000-0005-0000-0000-000055150000}"/>
    <cellStyle name="Normal 6 4 3 2 2 2" xfId="10404" xr:uid="{87B09145-032E-494C-B7D2-58C4FC03CA82}"/>
    <cellStyle name="Normal 6 4 3 2 3" xfId="9073" xr:uid="{3D8EA8AE-9208-42E9-A00F-848F50D728D8}"/>
    <cellStyle name="Normal 6 4 3 3" xfId="7112" xr:uid="{00000000-0005-0000-0000-000056150000}"/>
    <cellStyle name="Normal 6 4 3 3 2" xfId="9780" xr:uid="{EE7A704F-4757-4F54-A5AD-F2FC731082A3}"/>
    <cellStyle name="Normal 6 4 3 4" xfId="8449" xr:uid="{E6348BEE-58C5-4B5F-92EA-06FD42920B03}"/>
    <cellStyle name="Normal 6 4 4" xfId="3943" xr:uid="{00000000-0005-0000-0000-000057150000}"/>
    <cellStyle name="Normal 6 4 4 2" xfId="4569" xr:uid="{00000000-0005-0000-0000-000058150000}"/>
    <cellStyle name="Normal 6 4 4 2 2" xfId="7737" xr:uid="{00000000-0005-0000-0000-000059150000}"/>
    <cellStyle name="Normal 6 4 4 2 2 2" xfId="10405" xr:uid="{61CE99D7-8850-42EE-93EA-7CB800A4AB4E}"/>
    <cellStyle name="Normal 6 4 4 2 3" xfId="9074" xr:uid="{3287AC60-0570-4E03-8851-8964579DDE20}"/>
    <cellStyle name="Normal 6 4 4 3" xfId="7113" xr:uid="{00000000-0005-0000-0000-00005A150000}"/>
    <cellStyle name="Normal 6 4 4 3 2" xfId="9781" xr:uid="{B67EEC58-913F-4292-98DF-E49029CBDB74}"/>
    <cellStyle name="Normal 6 4 4 4" xfId="8450" xr:uid="{940E8AEF-0470-47FB-AC1E-778C359FA3FF}"/>
    <cellStyle name="Normal 6 4 5" xfId="3944" xr:uid="{00000000-0005-0000-0000-00005B150000}"/>
    <cellStyle name="Normal 6 4 5 2" xfId="4570" xr:uid="{00000000-0005-0000-0000-00005C150000}"/>
    <cellStyle name="Normal 6 4 5 2 2" xfId="7738" xr:uid="{00000000-0005-0000-0000-00005D150000}"/>
    <cellStyle name="Normal 6 4 5 2 2 2" xfId="10406" xr:uid="{A6524FD9-817D-4AA1-9994-510B283B5645}"/>
    <cellStyle name="Normal 6 4 5 2 3" xfId="9075" xr:uid="{F7A1CD47-192B-4318-A90D-0C7D9575B38D}"/>
    <cellStyle name="Normal 6 4 5 3" xfId="7114" xr:uid="{00000000-0005-0000-0000-00005E150000}"/>
    <cellStyle name="Normal 6 4 5 3 2" xfId="9782" xr:uid="{6EFB3F38-CBD2-48FD-BA67-35730AB5DA88}"/>
    <cellStyle name="Normal 6 4 5 4" xfId="8451" xr:uid="{8FE6638A-0A50-4981-B1FF-63A212294552}"/>
    <cellStyle name="Normal 6 4 6" xfId="3938" xr:uid="{00000000-0005-0000-0000-00005F150000}"/>
    <cellStyle name="Normal 6 4 6 2" xfId="4564" xr:uid="{00000000-0005-0000-0000-000060150000}"/>
    <cellStyle name="Normal 6 4 6 2 2" xfId="7732" xr:uid="{00000000-0005-0000-0000-000061150000}"/>
    <cellStyle name="Normal 6 4 6 2 2 2" xfId="10400" xr:uid="{89876655-3333-471E-80E2-40FAFFEA78D2}"/>
    <cellStyle name="Normal 6 4 6 2 3" xfId="9069" xr:uid="{AB3554AB-8976-4313-A826-12CD919F8EA0}"/>
    <cellStyle name="Normal 6 4 6 3" xfId="7108" xr:uid="{00000000-0005-0000-0000-000062150000}"/>
    <cellStyle name="Normal 6 4 6 3 2" xfId="9776" xr:uid="{78DA1E7B-8D80-4416-8AB3-E511F2763FCA}"/>
    <cellStyle name="Normal 6 4 6 4" xfId="8445" xr:uid="{5E328278-36AE-4C7B-BEA1-E7FD226678E9}"/>
    <cellStyle name="Normal 6 4 7" xfId="4136" xr:uid="{00000000-0005-0000-0000-000063150000}"/>
    <cellStyle name="Normal 6 4 7 2" xfId="7304" xr:uid="{00000000-0005-0000-0000-000064150000}"/>
    <cellStyle name="Normal 6 4 7 2 2" xfId="9972" xr:uid="{1E53F395-18C3-43B7-B118-EE7B25E8F22D}"/>
    <cellStyle name="Normal 6 4 7 3" xfId="8641" xr:uid="{D0ACDACC-8AC3-4C1A-A867-ECEB404C024D}"/>
    <cellStyle name="Normal 6 4 8" xfId="3485" xr:uid="{00000000-0005-0000-0000-000065150000}"/>
    <cellStyle name="Normal 6 4 8 2" xfId="6693" xr:uid="{00000000-0005-0000-0000-000066150000}"/>
    <cellStyle name="Normal 6 4 8 2 2" xfId="9361" xr:uid="{3304A626-7E7B-443F-A2D3-EA9AE169D846}"/>
    <cellStyle name="Normal 6 4 8 3" xfId="8025" xr:uid="{4ABBF3F5-E252-4573-9795-4A08441928DF}"/>
    <cellStyle name="Normal 6 4 9" xfId="5302" xr:uid="{00000000-0005-0000-0000-000067150000}"/>
    <cellStyle name="Normal 6 4 9 2" xfId="9243" xr:uid="{AE91926D-C485-4D26-B274-E68D477E03C0}"/>
    <cellStyle name="Normal 6 5" xfId="3288" xr:uid="{00000000-0005-0000-0000-000068150000}"/>
    <cellStyle name="Normal 6 5 2" xfId="3946" xr:uid="{00000000-0005-0000-0000-000069150000}"/>
    <cellStyle name="Normal 6 5 2 2" xfId="3947" xr:uid="{00000000-0005-0000-0000-00006A150000}"/>
    <cellStyle name="Normal 6 5 2 2 2" xfId="4573" xr:uid="{00000000-0005-0000-0000-00006B150000}"/>
    <cellStyle name="Normal 6 5 2 2 2 2" xfId="7741" xr:uid="{00000000-0005-0000-0000-00006C150000}"/>
    <cellStyle name="Normal 6 5 2 2 2 2 2" xfId="10409" xr:uid="{655753B4-CD70-4FC7-9731-94B16610DDEF}"/>
    <cellStyle name="Normal 6 5 2 2 2 3" xfId="9078" xr:uid="{E6AA9A94-0610-4CCF-B003-48D00B58EC7F}"/>
    <cellStyle name="Normal 6 5 2 2 3" xfId="7117" xr:uid="{00000000-0005-0000-0000-00006D150000}"/>
    <cellStyle name="Normal 6 5 2 2 3 2" xfId="9785" xr:uid="{CD99B22A-10E5-4059-9841-1AAEFE7D6926}"/>
    <cellStyle name="Normal 6 5 2 2 4" xfId="8454" xr:uid="{D608777C-55C2-4B91-A922-B77045C0321B}"/>
    <cellStyle name="Normal 6 5 2 3" xfId="3948" xr:uid="{00000000-0005-0000-0000-00006E150000}"/>
    <cellStyle name="Normal 6 5 2 3 2" xfId="4574" xr:uid="{00000000-0005-0000-0000-00006F150000}"/>
    <cellStyle name="Normal 6 5 2 3 2 2" xfId="7742" xr:uid="{00000000-0005-0000-0000-000070150000}"/>
    <cellStyle name="Normal 6 5 2 3 2 2 2" xfId="10410" xr:uid="{E459143C-8492-48E6-88EC-E3E7B68FCDC6}"/>
    <cellStyle name="Normal 6 5 2 3 2 3" xfId="9079" xr:uid="{2E737256-0C51-4B4E-B5EF-BBED8F023ADC}"/>
    <cellStyle name="Normal 6 5 2 3 3" xfId="7118" xr:uid="{00000000-0005-0000-0000-000071150000}"/>
    <cellStyle name="Normal 6 5 2 3 3 2" xfId="9786" xr:uid="{B51FE208-683B-4A38-BBAD-01469F072D6B}"/>
    <cellStyle name="Normal 6 5 2 3 4" xfId="8455" xr:uid="{81DDA3DF-37A6-4386-90C9-35FFAB1FE1EF}"/>
    <cellStyle name="Normal 6 5 2 4" xfId="4572" xr:uid="{00000000-0005-0000-0000-000072150000}"/>
    <cellStyle name="Normal 6 5 2 4 2" xfId="7740" xr:uid="{00000000-0005-0000-0000-000073150000}"/>
    <cellStyle name="Normal 6 5 2 4 2 2" xfId="10408" xr:uid="{AB95E430-9A16-4670-A95F-D54710B20890}"/>
    <cellStyle name="Normal 6 5 2 4 3" xfId="9077" xr:uid="{D0965170-3533-40AD-B71C-72C746952E63}"/>
    <cellStyle name="Normal 6 5 2 5" xfId="7116" xr:uid="{00000000-0005-0000-0000-000074150000}"/>
    <cellStyle name="Normal 6 5 2 5 2" xfId="9784" xr:uid="{8B2B7CAF-98C5-4F5F-8FA6-4936818A2DD1}"/>
    <cellStyle name="Normal 6 5 2 6" xfId="8453" xr:uid="{DA292079-1C1A-415A-AD6C-F618950AD6B1}"/>
    <cellStyle name="Normal 6 5 3" xfId="3949" xr:uid="{00000000-0005-0000-0000-000075150000}"/>
    <cellStyle name="Normal 6 5 3 2" xfId="4575" xr:uid="{00000000-0005-0000-0000-000076150000}"/>
    <cellStyle name="Normal 6 5 3 2 2" xfId="7743" xr:uid="{00000000-0005-0000-0000-000077150000}"/>
    <cellStyle name="Normal 6 5 3 2 2 2" xfId="10411" xr:uid="{7F806601-C3DF-4F74-B648-60E1316E2FF4}"/>
    <cellStyle name="Normal 6 5 3 2 3" xfId="9080" xr:uid="{3EBF83A0-2A68-4F16-B528-3DC004E22C60}"/>
    <cellStyle name="Normal 6 5 3 3" xfId="7119" xr:uid="{00000000-0005-0000-0000-000078150000}"/>
    <cellStyle name="Normal 6 5 3 3 2" xfId="9787" xr:uid="{DE44CAD8-B8BD-4CF1-B9FA-C3B7071CCA65}"/>
    <cellStyle name="Normal 6 5 3 4" xfId="8456" xr:uid="{C16389EB-85A0-4535-AF01-67607CB73330}"/>
    <cellStyle name="Normal 6 5 4" xfId="3950" xr:uid="{00000000-0005-0000-0000-000079150000}"/>
    <cellStyle name="Normal 6 5 4 2" xfId="4576" xr:uid="{00000000-0005-0000-0000-00007A150000}"/>
    <cellStyle name="Normal 6 5 4 2 2" xfId="7744" xr:uid="{00000000-0005-0000-0000-00007B150000}"/>
    <cellStyle name="Normal 6 5 4 2 2 2" xfId="10412" xr:uid="{BD0C5F6E-9A6E-435E-9855-4EBC4DF3E433}"/>
    <cellStyle name="Normal 6 5 4 2 3" xfId="9081" xr:uid="{7FB21F58-7697-4EC6-8ED0-5FDC5849CE93}"/>
    <cellStyle name="Normal 6 5 4 3" xfId="7120" xr:uid="{00000000-0005-0000-0000-00007C150000}"/>
    <cellStyle name="Normal 6 5 4 3 2" xfId="9788" xr:uid="{4313E2D9-7C8F-4632-A7AC-A578F9526E0A}"/>
    <cellStyle name="Normal 6 5 4 4" xfId="8457" xr:uid="{0598BB11-4CE2-4453-B41E-0A8040B1D5E8}"/>
    <cellStyle name="Normal 6 5 5" xfId="3951" xr:uid="{00000000-0005-0000-0000-00007D150000}"/>
    <cellStyle name="Normal 6 5 5 2" xfId="4577" xr:uid="{00000000-0005-0000-0000-00007E150000}"/>
    <cellStyle name="Normal 6 5 5 2 2" xfId="7745" xr:uid="{00000000-0005-0000-0000-00007F150000}"/>
    <cellStyle name="Normal 6 5 5 2 2 2" xfId="10413" xr:uid="{9DF9E94D-79AD-4C5C-8EE8-7E0DABC08C75}"/>
    <cellStyle name="Normal 6 5 5 2 3" xfId="9082" xr:uid="{E4EAF585-4DC5-42D0-8BBA-BEFFEC8CB906}"/>
    <cellStyle name="Normal 6 5 5 3" xfId="7121" xr:uid="{00000000-0005-0000-0000-000080150000}"/>
    <cellStyle name="Normal 6 5 5 3 2" xfId="9789" xr:uid="{77DA11FC-18C8-41D0-82A8-15BF2771796C}"/>
    <cellStyle name="Normal 6 5 5 4" xfId="8458" xr:uid="{B6D480FD-6EFA-4961-959C-6B82DA98A955}"/>
    <cellStyle name="Normal 6 5 6" xfId="4571" xr:uid="{00000000-0005-0000-0000-000081150000}"/>
    <cellStyle name="Normal 6 5 6 2" xfId="7739" xr:uid="{00000000-0005-0000-0000-000082150000}"/>
    <cellStyle name="Normal 6 5 6 2 2" xfId="10407" xr:uid="{AD68E54E-AF03-4DCB-8F94-FD1A3A9421BE}"/>
    <cellStyle name="Normal 6 5 6 3" xfId="9076" xr:uid="{4EFCDC1C-37F3-49A2-81C2-BA87E030F78D}"/>
    <cellStyle name="Normal 6 5 7" xfId="3945" xr:uid="{00000000-0005-0000-0000-000083150000}"/>
    <cellStyle name="Normal 6 5 7 2" xfId="7115" xr:uid="{00000000-0005-0000-0000-000084150000}"/>
    <cellStyle name="Normal 6 5 7 2 2" xfId="9783" xr:uid="{EDC14345-9CE3-423D-AACC-6238913FA488}"/>
    <cellStyle name="Normal 6 5 7 3" xfId="8452" xr:uid="{D8F69FD5-329A-42CE-92E7-E13A2009A970}"/>
    <cellStyle name="Normal 6 5 8" xfId="6606" xr:uid="{00000000-0005-0000-0000-000085150000}"/>
    <cellStyle name="Normal 6 5 8 2" xfId="9283" xr:uid="{A1BFDDAC-4BC1-4B94-9541-A4D9FFBBA7C5}"/>
    <cellStyle name="Normal 6 5 9" xfId="7943" xr:uid="{B9DCAF64-75B3-4D5F-ACA0-BA95778F942D}"/>
    <cellStyle name="Normal 6 6" xfId="3952" xr:uid="{00000000-0005-0000-0000-000086150000}"/>
    <cellStyle name="Normal 6 6 2" xfId="3953" xr:uid="{00000000-0005-0000-0000-000087150000}"/>
    <cellStyle name="Normal 6 6 2 2" xfId="3954" xr:uid="{00000000-0005-0000-0000-000088150000}"/>
    <cellStyle name="Normal 6 6 2 2 2" xfId="4580" xr:uid="{00000000-0005-0000-0000-000089150000}"/>
    <cellStyle name="Normal 6 6 2 2 2 2" xfId="7748" xr:uid="{00000000-0005-0000-0000-00008A150000}"/>
    <cellStyle name="Normal 6 6 2 2 2 2 2" xfId="10416" xr:uid="{4DF5F466-4C61-4513-B220-7027F426BE11}"/>
    <cellStyle name="Normal 6 6 2 2 2 3" xfId="9085" xr:uid="{8BCDAF4E-FBE2-4AE7-88E8-BFC91A9F91CF}"/>
    <cellStyle name="Normal 6 6 2 2 3" xfId="7124" xr:uid="{00000000-0005-0000-0000-00008B150000}"/>
    <cellStyle name="Normal 6 6 2 2 3 2" xfId="9792" xr:uid="{BD4064E6-CC2E-4B00-BD6B-A7F72491BF04}"/>
    <cellStyle name="Normal 6 6 2 2 4" xfId="8461" xr:uid="{714EB69C-6CE9-486D-9BD6-C353DF21ED6A}"/>
    <cellStyle name="Normal 6 6 2 3" xfId="3955" xr:uid="{00000000-0005-0000-0000-00008C150000}"/>
    <cellStyle name="Normal 6 6 2 3 2" xfId="4581" xr:uid="{00000000-0005-0000-0000-00008D150000}"/>
    <cellStyle name="Normal 6 6 2 3 2 2" xfId="7749" xr:uid="{00000000-0005-0000-0000-00008E150000}"/>
    <cellStyle name="Normal 6 6 2 3 2 2 2" xfId="10417" xr:uid="{1115DF30-D3AC-4412-B715-13161C8C2AFB}"/>
    <cellStyle name="Normal 6 6 2 3 2 3" xfId="9086" xr:uid="{A649560B-924B-4B57-B501-B9E64A860939}"/>
    <cellStyle name="Normal 6 6 2 3 3" xfId="7125" xr:uid="{00000000-0005-0000-0000-00008F150000}"/>
    <cellStyle name="Normal 6 6 2 3 3 2" xfId="9793" xr:uid="{728CE56F-B09A-415F-AB9A-BF0EBA9AF2C6}"/>
    <cellStyle name="Normal 6 6 2 3 4" xfId="8462" xr:uid="{FE450B0A-8D9D-40EB-A952-281EC33BEBA2}"/>
    <cellStyle name="Normal 6 6 2 4" xfId="4579" xr:uid="{00000000-0005-0000-0000-000090150000}"/>
    <cellStyle name="Normal 6 6 2 4 2" xfId="7747" xr:uid="{00000000-0005-0000-0000-000091150000}"/>
    <cellStyle name="Normal 6 6 2 4 2 2" xfId="10415" xr:uid="{2F88C478-9B1F-4049-BD75-40BEF62C1F95}"/>
    <cellStyle name="Normal 6 6 2 4 3" xfId="9084" xr:uid="{1E0397AB-0E13-4B55-A4AE-807E3EDCE37C}"/>
    <cellStyle name="Normal 6 6 2 5" xfId="7123" xr:uid="{00000000-0005-0000-0000-000092150000}"/>
    <cellStyle name="Normal 6 6 2 5 2" xfId="9791" xr:uid="{B7F57EBE-5C11-42A1-891A-BE4D32069C72}"/>
    <cellStyle name="Normal 6 6 2 6" xfId="8460" xr:uid="{88684247-D233-4E01-819F-808E0CC7C7E3}"/>
    <cellStyle name="Normal 6 6 3" xfId="3956" xr:uid="{00000000-0005-0000-0000-000093150000}"/>
    <cellStyle name="Normal 6 6 3 2" xfId="4582" xr:uid="{00000000-0005-0000-0000-000094150000}"/>
    <cellStyle name="Normal 6 6 3 2 2" xfId="7750" xr:uid="{00000000-0005-0000-0000-000095150000}"/>
    <cellStyle name="Normal 6 6 3 2 2 2" xfId="10418" xr:uid="{16628D20-8293-43E7-BF2C-35CCEA6C0E6A}"/>
    <cellStyle name="Normal 6 6 3 2 3" xfId="9087" xr:uid="{DACA9E4C-A8A0-47B8-B5F1-35C0347DF667}"/>
    <cellStyle name="Normal 6 6 3 3" xfId="7126" xr:uid="{00000000-0005-0000-0000-000096150000}"/>
    <cellStyle name="Normal 6 6 3 3 2" xfId="9794" xr:uid="{5A42DB9A-52E7-4602-ABB0-31186B1A2E3B}"/>
    <cellStyle name="Normal 6 6 3 4" xfId="8463" xr:uid="{2AB50187-C788-4FDF-906D-34C50425299D}"/>
    <cellStyle name="Normal 6 6 4" xfId="3957" xr:uid="{00000000-0005-0000-0000-000097150000}"/>
    <cellStyle name="Normal 6 6 4 2" xfId="4583" xr:uid="{00000000-0005-0000-0000-000098150000}"/>
    <cellStyle name="Normal 6 6 4 2 2" xfId="7751" xr:uid="{00000000-0005-0000-0000-000099150000}"/>
    <cellStyle name="Normal 6 6 4 2 2 2" xfId="10419" xr:uid="{42690DC1-9E78-4084-879B-B37595D25537}"/>
    <cellStyle name="Normal 6 6 4 2 3" xfId="9088" xr:uid="{EC02F333-3DE3-468E-BE36-6E6BD90166E9}"/>
    <cellStyle name="Normal 6 6 4 3" xfId="7127" xr:uid="{00000000-0005-0000-0000-00009A150000}"/>
    <cellStyle name="Normal 6 6 4 3 2" xfId="9795" xr:uid="{E8488677-6428-4B3E-A6C7-AD5CEF2AD724}"/>
    <cellStyle name="Normal 6 6 4 4" xfId="8464" xr:uid="{BBE2AC55-56FC-4354-8A7F-A623FB9B7F05}"/>
    <cellStyle name="Normal 6 6 5" xfId="3958" xr:uid="{00000000-0005-0000-0000-00009B150000}"/>
    <cellStyle name="Normal 6 6 5 2" xfId="4584" xr:uid="{00000000-0005-0000-0000-00009C150000}"/>
    <cellStyle name="Normal 6 6 5 2 2" xfId="7752" xr:uid="{00000000-0005-0000-0000-00009D150000}"/>
    <cellStyle name="Normal 6 6 5 2 2 2" xfId="10420" xr:uid="{7D894446-645C-410D-9836-803BF485FB3E}"/>
    <cellStyle name="Normal 6 6 5 2 3" xfId="9089" xr:uid="{AB7A3F48-1233-4B9A-A86A-028377C68729}"/>
    <cellStyle name="Normal 6 6 5 3" xfId="7128" xr:uid="{00000000-0005-0000-0000-00009E150000}"/>
    <cellStyle name="Normal 6 6 5 3 2" xfId="9796" xr:uid="{1C3C224B-B434-428F-8304-9F027F653B49}"/>
    <cellStyle name="Normal 6 6 5 4" xfId="8465" xr:uid="{BD9E1313-B39C-4C51-A2C8-0BC04033A15D}"/>
    <cellStyle name="Normal 6 6 6" xfId="4578" xr:uid="{00000000-0005-0000-0000-00009F150000}"/>
    <cellStyle name="Normal 6 6 6 2" xfId="7746" xr:uid="{00000000-0005-0000-0000-0000A0150000}"/>
    <cellStyle name="Normal 6 6 6 2 2" xfId="10414" xr:uid="{0702B8E7-9141-47BC-82D9-1E69887241DC}"/>
    <cellStyle name="Normal 6 6 6 3" xfId="9083" xr:uid="{F461D069-1EF7-44FC-856F-5D252AC494CE}"/>
    <cellStyle name="Normal 6 6 7" xfId="7122" xr:uid="{00000000-0005-0000-0000-0000A1150000}"/>
    <cellStyle name="Normal 6 6 7 2" xfId="9790" xr:uid="{0EC3E1B6-F5CF-4377-9999-CE13494E8209}"/>
    <cellStyle name="Normal 6 6 8" xfId="8459" xr:uid="{C8EB41A4-474D-4EDC-9EC2-96A51DEC2826}"/>
    <cellStyle name="Normal 6 7" xfId="3959" xr:uid="{00000000-0005-0000-0000-0000A2150000}"/>
    <cellStyle name="Normal 6 7 2" xfId="3960" xr:uid="{00000000-0005-0000-0000-0000A3150000}"/>
    <cellStyle name="Normal 6 7 2 2" xfId="3961" xr:uid="{00000000-0005-0000-0000-0000A4150000}"/>
    <cellStyle name="Normal 6 7 2 2 2" xfId="4587" xr:uid="{00000000-0005-0000-0000-0000A5150000}"/>
    <cellStyle name="Normal 6 7 2 2 2 2" xfId="7755" xr:uid="{00000000-0005-0000-0000-0000A6150000}"/>
    <cellStyle name="Normal 6 7 2 2 2 2 2" xfId="10423" xr:uid="{10D64241-CFB4-4169-B098-B2C23A3BD032}"/>
    <cellStyle name="Normal 6 7 2 2 2 3" xfId="9092" xr:uid="{26DD1846-7401-4091-BE6C-0BF78F5729E9}"/>
    <cellStyle name="Normal 6 7 2 2 3" xfId="7131" xr:uid="{00000000-0005-0000-0000-0000A7150000}"/>
    <cellStyle name="Normal 6 7 2 2 3 2" xfId="9799" xr:uid="{715A0F05-9C65-4845-B65C-E97657779C50}"/>
    <cellStyle name="Normal 6 7 2 2 4" xfId="8468" xr:uid="{30DB2F32-BAF6-4333-B25C-C01BC5640ADB}"/>
    <cellStyle name="Normal 6 7 2 3" xfId="3962" xr:uid="{00000000-0005-0000-0000-0000A8150000}"/>
    <cellStyle name="Normal 6 7 2 3 2" xfId="4588" xr:uid="{00000000-0005-0000-0000-0000A9150000}"/>
    <cellStyle name="Normal 6 7 2 3 2 2" xfId="7756" xr:uid="{00000000-0005-0000-0000-0000AA150000}"/>
    <cellStyle name="Normal 6 7 2 3 2 2 2" xfId="10424" xr:uid="{F4869D39-7F2C-4369-8237-556F66C86585}"/>
    <cellStyle name="Normal 6 7 2 3 2 3" xfId="9093" xr:uid="{13C4F35B-1783-4D91-89C8-8864B503ED2F}"/>
    <cellStyle name="Normal 6 7 2 3 3" xfId="7132" xr:uid="{00000000-0005-0000-0000-0000AB150000}"/>
    <cellStyle name="Normal 6 7 2 3 3 2" xfId="9800" xr:uid="{5BA3FD20-A91B-4586-A7C4-3ECD6CCC2F0E}"/>
    <cellStyle name="Normal 6 7 2 3 4" xfId="8469" xr:uid="{570E49DD-ABB9-4695-9BAF-589674F78B4F}"/>
    <cellStyle name="Normal 6 7 2 4" xfId="4586" xr:uid="{00000000-0005-0000-0000-0000AC150000}"/>
    <cellStyle name="Normal 6 7 2 4 2" xfId="7754" xr:uid="{00000000-0005-0000-0000-0000AD150000}"/>
    <cellStyle name="Normal 6 7 2 4 2 2" xfId="10422" xr:uid="{F36C275F-856F-4772-805E-FE0E7D395EEF}"/>
    <cellStyle name="Normal 6 7 2 4 3" xfId="9091" xr:uid="{632A66C9-A0DD-49CD-BA3C-2C0CFCF81D2F}"/>
    <cellStyle name="Normal 6 7 2 5" xfId="7130" xr:uid="{00000000-0005-0000-0000-0000AE150000}"/>
    <cellStyle name="Normal 6 7 2 5 2" xfId="9798" xr:uid="{C924AF59-BCD3-4C0E-A227-4170D5D50F16}"/>
    <cellStyle name="Normal 6 7 2 6" xfId="8467" xr:uid="{CC19B11D-29D3-43B5-BBA4-F53B886DCA4F}"/>
    <cellStyle name="Normal 6 7 3" xfId="3963" xr:uid="{00000000-0005-0000-0000-0000AF150000}"/>
    <cellStyle name="Normal 6 7 3 2" xfId="4589" xr:uid="{00000000-0005-0000-0000-0000B0150000}"/>
    <cellStyle name="Normal 6 7 3 2 2" xfId="7757" xr:uid="{00000000-0005-0000-0000-0000B1150000}"/>
    <cellStyle name="Normal 6 7 3 2 2 2" xfId="10425" xr:uid="{5713706B-C0AF-4571-B5EE-6BB74160A55C}"/>
    <cellStyle name="Normal 6 7 3 2 3" xfId="9094" xr:uid="{217DCF2E-5260-4D2F-B8EC-17D9BDBED344}"/>
    <cellStyle name="Normal 6 7 3 3" xfId="7133" xr:uid="{00000000-0005-0000-0000-0000B2150000}"/>
    <cellStyle name="Normal 6 7 3 3 2" xfId="9801" xr:uid="{33BF8D79-2AC2-4552-8990-119E2C12D3FC}"/>
    <cellStyle name="Normal 6 7 3 4" xfId="8470" xr:uid="{9BD6E902-A6FF-493F-BA5C-05A7F7CDF85B}"/>
    <cellStyle name="Normal 6 7 4" xfId="3964" xr:uid="{00000000-0005-0000-0000-0000B3150000}"/>
    <cellStyle name="Normal 6 7 4 2" xfId="4590" xr:uid="{00000000-0005-0000-0000-0000B4150000}"/>
    <cellStyle name="Normal 6 7 4 2 2" xfId="7758" xr:uid="{00000000-0005-0000-0000-0000B5150000}"/>
    <cellStyle name="Normal 6 7 4 2 2 2" xfId="10426" xr:uid="{D275B795-CE53-421F-8815-3BE49DE7D649}"/>
    <cellStyle name="Normal 6 7 4 2 3" xfId="9095" xr:uid="{09CC067F-DE2F-40FD-B9CA-2A98CEDDAC84}"/>
    <cellStyle name="Normal 6 7 4 3" xfId="7134" xr:uid="{00000000-0005-0000-0000-0000B6150000}"/>
    <cellStyle name="Normal 6 7 4 3 2" xfId="9802" xr:uid="{FBE6C0ED-DC21-4156-8F59-248465618592}"/>
    <cellStyle name="Normal 6 7 4 4" xfId="8471" xr:uid="{1BF59BEB-5148-4058-90F8-8250C4D0DEE3}"/>
    <cellStyle name="Normal 6 7 5" xfId="3965" xr:uid="{00000000-0005-0000-0000-0000B7150000}"/>
    <cellStyle name="Normal 6 7 5 2" xfId="4591" xr:uid="{00000000-0005-0000-0000-0000B8150000}"/>
    <cellStyle name="Normal 6 7 5 2 2" xfId="7759" xr:uid="{00000000-0005-0000-0000-0000B9150000}"/>
    <cellStyle name="Normal 6 7 5 2 2 2" xfId="10427" xr:uid="{6F31EC3E-8C24-47F0-A4FD-7EBD3B479796}"/>
    <cellStyle name="Normal 6 7 5 2 3" xfId="9096" xr:uid="{0D9628D0-E619-4678-84C8-A312AC24209A}"/>
    <cellStyle name="Normal 6 7 5 3" xfId="7135" xr:uid="{00000000-0005-0000-0000-0000BA150000}"/>
    <cellStyle name="Normal 6 7 5 3 2" xfId="9803" xr:uid="{5A7DE2B0-6AA1-4823-B739-84465F301348}"/>
    <cellStyle name="Normal 6 7 5 4" xfId="8472" xr:uid="{41A9581F-8053-4A9A-97B6-46E2B8C13348}"/>
    <cellStyle name="Normal 6 7 6" xfId="4585" xr:uid="{00000000-0005-0000-0000-0000BB150000}"/>
    <cellStyle name="Normal 6 7 6 2" xfId="7753" xr:uid="{00000000-0005-0000-0000-0000BC150000}"/>
    <cellStyle name="Normal 6 7 6 2 2" xfId="10421" xr:uid="{D75E91B3-1078-47B3-8BBA-053B4D64DC6A}"/>
    <cellStyle name="Normal 6 7 6 3" xfId="9090" xr:uid="{60C677B7-1999-4171-A2EA-D72DD6E0743B}"/>
    <cellStyle name="Normal 6 7 7" xfId="7129" xr:uid="{00000000-0005-0000-0000-0000BD150000}"/>
    <cellStyle name="Normal 6 7 7 2" xfId="9797" xr:uid="{A4B8EEF2-67B9-4A85-A5B5-8501B55BA70C}"/>
    <cellStyle name="Normal 6 7 8" xfId="8466" xr:uid="{09EEAAC8-D5EC-4780-9A08-517952A8B9EB}"/>
    <cellStyle name="Normal 6 8" xfId="3966" xr:uid="{00000000-0005-0000-0000-0000BE150000}"/>
    <cellStyle name="Normal 6 8 2" xfId="3967" xr:uid="{00000000-0005-0000-0000-0000BF150000}"/>
    <cellStyle name="Normal 6 8 2 2" xfId="4593" xr:uid="{00000000-0005-0000-0000-0000C0150000}"/>
    <cellStyle name="Normal 6 8 2 2 2" xfId="7761" xr:uid="{00000000-0005-0000-0000-0000C1150000}"/>
    <cellStyle name="Normal 6 8 2 2 2 2" xfId="10429" xr:uid="{5AB3438B-DD86-40A5-B2CC-0924B83BB2A2}"/>
    <cellStyle name="Normal 6 8 2 2 3" xfId="9098" xr:uid="{6404FB8D-273B-4D0D-ACB2-FC39F267E87C}"/>
    <cellStyle name="Normal 6 8 2 3" xfId="7137" xr:uid="{00000000-0005-0000-0000-0000C2150000}"/>
    <cellStyle name="Normal 6 8 2 3 2" xfId="9805" xr:uid="{56294548-57FF-4584-80F2-D5AF3096F1A3}"/>
    <cellStyle name="Normal 6 8 2 4" xfId="8474" xr:uid="{C03D31DA-AFA4-46FD-AA88-53C0315B791F}"/>
    <cellStyle name="Normal 6 8 3" xfId="3968" xr:uid="{00000000-0005-0000-0000-0000C3150000}"/>
    <cellStyle name="Normal 6 8 3 2" xfId="4594" xr:uid="{00000000-0005-0000-0000-0000C4150000}"/>
    <cellStyle name="Normal 6 8 3 2 2" xfId="7762" xr:uid="{00000000-0005-0000-0000-0000C5150000}"/>
    <cellStyle name="Normal 6 8 3 2 2 2" xfId="10430" xr:uid="{CAE401A2-8E88-4A0C-952D-BBB36ED784B4}"/>
    <cellStyle name="Normal 6 8 3 2 3" xfId="9099" xr:uid="{2C3FEAB3-757C-4492-BF64-A30BA510843A}"/>
    <cellStyle name="Normal 6 8 3 3" xfId="7138" xr:uid="{00000000-0005-0000-0000-0000C6150000}"/>
    <cellStyle name="Normal 6 8 3 3 2" xfId="9806" xr:uid="{43411F5A-7B52-457F-BE28-050113BCB338}"/>
    <cellStyle name="Normal 6 8 3 4" xfId="8475" xr:uid="{92AB0D63-7BE3-47F9-B0ED-DC40050BD563}"/>
    <cellStyle name="Normal 6 8 4" xfId="4592" xr:uid="{00000000-0005-0000-0000-0000C7150000}"/>
    <cellStyle name="Normal 6 8 4 2" xfId="7760" xr:uid="{00000000-0005-0000-0000-0000C8150000}"/>
    <cellStyle name="Normal 6 8 4 2 2" xfId="10428" xr:uid="{3F1D08A0-2CB1-4CA0-A3C9-5AA5E6F4CCC9}"/>
    <cellStyle name="Normal 6 8 4 3" xfId="9097" xr:uid="{FE41FEBE-BF75-47C8-9C4F-EC39CEDFF518}"/>
    <cellStyle name="Normal 6 8 5" xfId="7136" xr:uid="{00000000-0005-0000-0000-0000C9150000}"/>
    <cellStyle name="Normal 6 8 5 2" xfId="9804" xr:uid="{A415BFC0-0BE7-4BB8-AC6E-6F1DD2241ADF}"/>
    <cellStyle name="Normal 6 8 6" xfId="8473" xr:uid="{B07D99FB-04FF-4674-AABB-BBAB9F28D387}"/>
    <cellStyle name="Normal 6 9" xfId="3969" xr:uid="{00000000-0005-0000-0000-0000CA150000}"/>
    <cellStyle name="Normal 6 9 2" xfId="3970" xr:uid="{00000000-0005-0000-0000-0000CB150000}"/>
    <cellStyle name="Normal 6 9 2 2" xfId="4596" xr:uid="{00000000-0005-0000-0000-0000CC150000}"/>
    <cellStyle name="Normal 6 9 2 2 2" xfId="7764" xr:uid="{00000000-0005-0000-0000-0000CD150000}"/>
    <cellStyle name="Normal 6 9 2 2 2 2" xfId="10432" xr:uid="{3295BD95-27CA-4884-A83A-7A191087DAD2}"/>
    <cellStyle name="Normal 6 9 2 2 3" xfId="9101" xr:uid="{9594BCB2-EFC9-481E-86AD-BA1546DC0B30}"/>
    <cellStyle name="Normal 6 9 2 3" xfId="7140" xr:uid="{00000000-0005-0000-0000-0000CE150000}"/>
    <cellStyle name="Normal 6 9 2 3 2" xfId="9808" xr:uid="{21D91492-8517-49C0-93A6-0E16DA202A3E}"/>
    <cellStyle name="Normal 6 9 2 4" xfId="8477" xr:uid="{2A38B7A2-D188-47FD-9685-0C13745D4827}"/>
    <cellStyle name="Normal 6 9 3" xfId="4595" xr:uid="{00000000-0005-0000-0000-0000CF150000}"/>
    <cellStyle name="Normal 6 9 3 2" xfId="7763" xr:uid="{00000000-0005-0000-0000-0000D0150000}"/>
    <cellStyle name="Normal 6 9 3 2 2" xfId="10431" xr:uid="{C122E8EB-3E30-4874-A192-314414CE0459}"/>
    <cellStyle name="Normal 6 9 3 3" xfId="9100" xr:uid="{26602FA3-ADF6-47FD-8D8F-F56CB8CBB915}"/>
    <cellStyle name="Normal 6 9 4" xfId="7139" xr:uid="{00000000-0005-0000-0000-0000D1150000}"/>
    <cellStyle name="Normal 6 9 4 2" xfId="9807" xr:uid="{315451AB-D76B-4AE1-A2E0-D9A70452D220}"/>
    <cellStyle name="Normal 6 9 5" xfId="8476" xr:uid="{4D348F76-64F1-4077-819A-59B12C08B5C9}"/>
    <cellStyle name="Normal 7" xfId="991" xr:uid="{00000000-0005-0000-0000-0000D2150000}"/>
    <cellStyle name="Normal 7 10" xfId="3459" xr:uid="{00000000-0005-0000-0000-0000D3150000}"/>
    <cellStyle name="Normal 7 10 2" xfId="6667" xr:uid="{00000000-0005-0000-0000-0000D4150000}"/>
    <cellStyle name="Normal 7 10 2 2" xfId="9335" xr:uid="{EF2C6845-9543-4DD3-B233-29FC017A9EC1}"/>
    <cellStyle name="Normal 7 10 3" xfId="7999" xr:uid="{D800FCE7-B36A-45D0-BFF7-14D905CC9DBE}"/>
    <cellStyle name="Normal 7 2" xfId="992" xr:uid="{00000000-0005-0000-0000-0000D5150000}"/>
    <cellStyle name="Normal 7 2 2" xfId="3323" xr:uid="{00000000-0005-0000-0000-0000D6150000}"/>
    <cellStyle name="Normal 7 2 2 2" xfId="3973" xr:uid="{00000000-0005-0000-0000-0000D7150000}"/>
    <cellStyle name="Normal 7 2 2 3" xfId="4134" xr:uid="{00000000-0005-0000-0000-0000D8150000}"/>
    <cellStyle name="Normal 7 2 2 3 2" xfId="7302" xr:uid="{00000000-0005-0000-0000-0000D9150000}"/>
    <cellStyle name="Normal 7 2 2 3 2 2" xfId="9970" xr:uid="{5C452575-0756-45F7-957D-4A7AF6DA357D}"/>
    <cellStyle name="Normal 7 2 2 3 3" xfId="8639" xr:uid="{03AA310F-E554-4294-B84F-2180E482451A}"/>
    <cellStyle name="Normal 7 2 2 4" xfId="3483" xr:uid="{00000000-0005-0000-0000-0000DA150000}"/>
    <cellStyle name="Normal 7 2 2 4 2" xfId="6691" xr:uid="{00000000-0005-0000-0000-0000DB150000}"/>
    <cellStyle name="Normal 7 2 2 4 2 2" xfId="9359" xr:uid="{781418EF-4863-41DB-A8F4-955D29CD47F8}"/>
    <cellStyle name="Normal 7 2 2 4 3" xfId="8023" xr:uid="{8D7A07C1-EC61-416D-B34B-63BC2D8B2DFA}"/>
    <cellStyle name="Normal 7 2 3" xfId="3499" xr:uid="{00000000-0005-0000-0000-0000DC150000}"/>
    <cellStyle name="Normal 7 2 3 2" xfId="3974" xr:uid="{00000000-0005-0000-0000-0000DD150000}"/>
    <cellStyle name="Normal 7 2 3 2 2" xfId="4598" xr:uid="{00000000-0005-0000-0000-0000DE150000}"/>
    <cellStyle name="Normal 7 2 3 2 2 2" xfId="7766" xr:uid="{00000000-0005-0000-0000-0000DF150000}"/>
    <cellStyle name="Normal 7 2 3 2 2 2 2" xfId="10434" xr:uid="{FED12FE9-F0D0-4FD9-9710-CEFAFA17BD21}"/>
    <cellStyle name="Normal 7 2 3 2 2 3" xfId="9103" xr:uid="{3E10E01A-3F01-4F4A-8AAD-E6E73EAC26AF}"/>
    <cellStyle name="Normal 7 2 3 2 3" xfId="7142" xr:uid="{00000000-0005-0000-0000-0000E0150000}"/>
    <cellStyle name="Normal 7 2 3 2 3 2" xfId="9810" xr:uid="{42F89C98-F34D-4E58-A61F-9A95603A4BCB}"/>
    <cellStyle name="Normal 7 2 3 2 4" xfId="8479" xr:uid="{03453C3D-A90B-420A-A032-BF9C3ACC727A}"/>
    <cellStyle name="Normal 7 2 3 3" xfId="4150" xr:uid="{00000000-0005-0000-0000-0000E1150000}"/>
    <cellStyle name="Normal 7 2 3 3 2" xfId="7318" xr:uid="{00000000-0005-0000-0000-0000E2150000}"/>
    <cellStyle name="Normal 7 2 3 3 2 2" xfId="9986" xr:uid="{CC0EBE6D-4F7F-4402-95A9-ED32E08EE7F5}"/>
    <cellStyle name="Normal 7 2 3 3 3" xfId="8655" xr:uid="{8C46A8C3-57BE-4569-9F0E-468009D11D24}"/>
    <cellStyle name="Normal 7 2 3 4" xfId="6707" xr:uid="{00000000-0005-0000-0000-0000E3150000}"/>
    <cellStyle name="Normal 7 2 3 4 2" xfId="9375" xr:uid="{60FFEB94-E54D-4363-92E7-74DD3072EE14}"/>
    <cellStyle name="Normal 7 2 3 5" xfId="8039" xr:uid="{3E52E531-AA11-48A8-9CE5-E6EF360FEFEF}"/>
    <cellStyle name="Normal 7 2 4" xfId="3972" xr:uid="{00000000-0005-0000-0000-0000E4150000}"/>
    <cellStyle name="Normal 7 2 5" xfId="4118" xr:uid="{00000000-0005-0000-0000-0000E5150000}"/>
    <cellStyle name="Normal 7 2 5 2" xfId="7286" xr:uid="{00000000-0005-0000-0000-0000E6150000}"/>
    <cellStyle name="Normal 7 2 5 2 2" xfId="9954" xr:uid="{FF829C05-BE60-4925-8634-B82DCAFFC4C4}"/>
    <cellStyle name="Normal 7 2 5 3" xfId="8623" xr:uid="{EC59734D-CDE3-48CA-9FB8-E13DBAB3057E}"/>
    <cellStyle name="Normal 7 2 6" xfId="3467" xr:uid="{00000000-0005-0000-0000-0000E7150000}"/>
    <cellStyle name="Normal 7 2 6 2" xfId="6675" xr:uid="{00000000-0005-0000-0000-0000E8150000}"/>
    <cellStyle name="Normal 7 2 6 2 2" xfId="9343" xr:uid="{95545114-902C-470A-8693-D80F8FF74A71}"/>
    <cellStyle name="Normal 7 2 6 3" xfId="8007" xr:uid="{9B140818-FB49-4568-8D04-0514C7F49318}"/>
    <cellStyle name="Normal 7 3" xfId="3475" xr:uid="{00000000-0005-0000-0000-0000E9150000}"/>
    <cellStyle name="Normal 7 3 2" xfId="3976" xr:uid="{00000000-0005-0000-0000-0000EA150000}"/>
    <cellStyle name="Normal 7 3 2 2" xfId="4600" xr:uid="{00000000-0005-0000-0000-0000EB150000}"/>
    <cellStyle name="Normal 7 3 2 2 2" xfId="7768" xr:uid="{00000000-0005-0000-0000-0000EC150000}"/>
    <cellStyle name="Normal 7 3 2 2 2 2" xfId="10436" xr:uid="{D3DA763E-D776-42C7-848F-BA1C72B96E61}"/>
    <cellStyle name="Normal 7 3 2 2 3" xfId="9105" xr:uid="{D70D8C7E-8C86-42D1-851B-B5153681C196}"/>
    <cellStyle name="Normal 7 3 2 3" xfId="7144" xr:uid="{00000000-0005-0000-0000-0000ED150000}"/>
    <cellStyle name="Normal 7 3 2 3 2" xfId="9812" xr:uid="{82222642-6100-4FC5-8F29-1EFE670CC6F6}"/>
    <cellStyle name="Normal 7 3 2 4" xfId="8481" xr:uid="{98926AC5-F6B5-4EEA-A531-94CAFE8C29E8}"/>
    <cellStyle name="Normal 7 3 3" xfId="3977" xr:uid="{00000000-0005-0000-0000-0000EE150000}"/>
    <cellStyle name="Normal 7 3 3 2" xfId="4601" xr:uid="{00000000-0005-0000-0000-0000EF150000}"/>
    <cellStyle name="Normal 7 3 3 2 2" xfId="7769" xr:uid="{00000000-0005-0000-0000-0000F0150000}"/>
    <cellStyle name="Normal 7 3 3 2 2 2" xfId="10437" xr:uid="{A2692C5F-428E-4E5B-83E4-FA2761834A26}"/>
    <cellStyle name="Normal 7 3 3 2 3" xfId="9106" xr:uid="{1B7843E2-A107-49B6-AFC9-608AC8CC9F91}"/>
    <cellStyle name="Normal 7 3 3 3" xfId="7145" xr:uid="{00000000-0005-0000-0000-0000F1150000}"/>
    <cellStyle name="Normal 7 3 3 3 2" xfId="9813" xr:uid="{52778446-2573-46E2-B3F2-078DB48EEF67}"/>
    <cellStyle name="Normal 7 3 3 4" xfId="8482" xr:uid="{638D5FCC-ACAD-43E5-BDE4-5BB5CBE974AC}"/>
    <cellStyle name="Normal 7 3 4" xfId="3975" xr:uid="{00000000-0005-0000-0000-0000F2150000}"/>
    <cellStyle name="Normal 7 3 4 2" xfId="4599" xr:uid="{00000000-0005-0000-0000-0000F3150000}"/>
    <cellStyle name="Normal 7 3 4 2 2" xfId="7767" xr:uid="{00000000-0005-0000-0000-0000F4150000}"/>
    <cellStyle name="Normal 7 3 4 2 2 2" xfId="10435" xr:uid="{11E4C65E-A884-453C-A310-F16E9BEFE69A}"/>
    <cellStyle name="Normal 7 3 4 2 3" xfId="9104" xr:uid="{9D701658-61F8-463D-98FD-A6D5C43C29C9}"/>
    <cellStyle name="Normal 7 3 4 3" xfId="7143" xr:uid="{00000000-0005-0000-0000-0000F5150000}"/>
    <cellStyle name="Normal 7 3 4 3 2" xfId="9811" xr:uid="{CB1488DB-3B8D-4CE0-9037-FC4A1C69778F}"/>
    <cellStyle name="Normal 7 3 4 4" xfId="8480" xr:uid="{D3309EFE-104D-4496-9675-CD66E07B739B}"/>
    <cellStyle name="Normal 7 3 5" xfId="4126" xr:uid="{00000000-0005-0000-0000-0000F6150000}"/>
    <cellStyle name="Normal 7 3 5 2" xfId="7294" xr:uid="{00000000-0005-0000-0000-0000F7150000}"/>
    <cellStyle name="Normal 7 3 5 2 2" xfId="9962" xr:uid="{71001676-97A6-42A0-9CA3-8699F7734508}"/>
    <cellStyle name="Normal 7 3 5 3" xfId="8631" xr:uid="{606CE119-5987-4FA0-8D81-64CC874B5794}"/>
    <cellStyle name="Normal 7 3 6" xfId="6683" xr:uid="{00000000-0005-0000-0000-0000F8150000}"/>
    <cellStyle name="Normal 7 3 6 2" xfId="9351" xr:uid="{9AEC4C8C-418B-4AF6-8A08-C828B9EA0E4A}"/>
    <cellStyle name="Normal 7 3 7" xfId="8015" xr:uid="{D72870F5-41A3-42F3-8B76-1C98555C5CF8}"/>
    <cellStyle name="Normal 7 4" xfId="3491" xr:uid="{00000000-0005-0000-0000-0000F9150000}"/>
    <cellStyle name="Normal 7 4 2" xfId="3979" xr:uid="{00000000-0005-0000-0000-0000FA150000}"/>
    <cellStyle name="Normal 7 4 2 2" xfId="4603" xr:uid="{00000000-0005-0000-0000-0000FB150000}"/>
    <cellStyle name="Normal 7 4 2 2 2" xfId="7771" xr:uid="{00000000-0005-0000-0000-0000FC150000}"/>
    <cellStyle name="Normal 7 4 2 2 2 2" xfId="10439" xr:uid="{389DE933-5CBB-4138-8DC8-93750A6F5519}"/>
    <cellStyle name="Normal 7 4 2 2 3" xfId="9108" xr:uid="{2666909C-C1D5-4A49-8F56-78FDD63B9143}"/>
    <cellStyle name="Normal 7 4 2 3" xfId="7147" xr:uid="{00000000-0005-0000-0000-0000FD150000}"/>
    <cellStyle name="Normal 7 4 2 3 2" xfId="9815" xr:uid="{4235BC40-5D43-4CFE-948A-E03C934849D1}"/>
    <cellStyle name="Normal 7 4 2 4" xfId="8484" xr:uid="{41711B96-9B03-4A8D-8D5F-CE3D09611708}"/>
    <cellStyle name="Normal 7 4 3" xfId="3978" xr:uid="{00000000-0005-0000-0000-0000FE150000}"/>
    <cellStyle name="Normal 7 4 3 2" xfId="4602" xr:uid="{00000000-0005-0000-0000-0000FF150000}"/>
    <cellStyle name="Normal 7 4 3 2 2" xfId="7770" xr:uid="{00000000-0005-0000-0000-000000160000}"/>
    <cellStyle name="Normal 7 4 3 2 2 2" xfId="10438" xr:uid="{D564DA8F-F99C-49DC-B577-A8F64DE8E3ED}"/>
    <cellStyle name="Normal 7 4 3 2 3" xfId="9107" xr:uid="{DD88B6DE-5A7B-46A6-9709-90DE8FEA0370}"/>
    <cellStyle name="Normal 7 4 3 3" xfId="7146" xr:uid="{00000000-0005-0000-0000-000001160000}"/>
    <cellStyle name="Normal 7 4 3 3 2" xfId="9814" xr:uid="{388722CE-5A27-48C6-9411-D2E467FF3BBE}"/>
    <cellStyle name="Normal 7 4 3 4" xfId="8483" xr:uid="{68C1DB7C-2534-46AB-97B9-796E8B548F6C}"/>
    <cellStyle name="Normal 7 4 4" xfId="4142" xr:uid="{00000000-0005-0000-0000-000002160000}"/>
    <cellStyle name="Normal 7 4 4 2" xfId="7310" xr:uid="{00000000-0005-0000-0000-000003160000}"/>
    <cellStyle name="Normal 7 4 4 2 2" xfId="9978" xr:uid="{25EDF879-DFC0-4DBE-9B95-09E62AB033DF}"/>
    <cellStyle name="Normal 7 4 4 3" xfId="8647" xr:uid="{FA18DB02-EE1A-4CAD-8C41-89E0FFA4BC6F}"/>
    <cellStyle name="Normal 7 4 5" xfId="6699" xr:uid="{00000000-0005-0000-0000-000004160000}"/>
    <cellStyle name="Normal 7 4 5 2" xfId="9367" xr:uid="{ABCE2A60-5B6F-4A0D-BFAC-75971D2981EE}"/>
    <cellStyle name="Normal 7 4 6" xfId="8031" xr:uid="{F42BBFAE-1EF1-4A23-ABFA-8310F7CCC2DA}"/>
    <cellStyle name="Normal 7 5" xfId="3980" xr:uid="{00000000-0005-0000-0000-000005160000}"/>
    <cellStyle name="Normal 7 5 2" xfId="4604" xr:uid="{00000000-0005-0000-0000-000006160000}"/>
    <cellStyle name="Normal 7 5 2 2" xfId="7772" xr:uid="{00000000-0005-0000-0000-000007160000}"/>
    <cellStyle name="Normal 7 5 2 2 2" xfId="10440" xr:uid="{6EDE65A0-2BAF-468D-9AEC-E5C5767ECA01}"/>
    <cellStyle name="Normal 7 5 2 3" xfId="9109" xr:uid="{626AA943-2B28-40EA-A91E-48464BF2B3C5}"/>
    <cellStyle name="Normal 7 5 3" xfId="7148" xr:uid="{00000000-0005-0000-0000-000008160000}"/>
    <cellStyle name="Normal 7 5 3 2" xfId="9816" xr:uid="{9189D92E-3156-442F-872E-FE4DF69EA76C}"/>
    <cellStyle name="Normal 7 5 4" xfId="8485" xr:uid="{5E390662-76BA-41E1-A5EA-066C2B1E5523}"/>
    <cellStyle name="Normal 7 6" xfId="3981" xr:uid="{00000000-0005-0000-0000-000009160000}"/>
    <cellStyle name="Normal 7 6 2" xfId="4605" xr:uid="{00000000-0005-0000-0000-00000A160000}"/>
    <cellStyle name="Normal 7 6 2 2" xfId="7773" xr:uid="{00000000-0005-0000-0000-00000B160000}"/>
    <cellStyle name="Normal 7 6 2 2 2" xfId="10441" xr:uid="{3E1C4519-92EE-4638-8F1C-141773E0FE36}"/>
    <cellStyle name="Normal 7 6 2 3" xfId="9110" xr:uid="{519DB85F-1316-4A74-A6F0-2DE49792B9B8}"/>
    <cellStyle name="Normal 7 6 3" xfId="7149" xr:uid="{00000000-0005-0000-0000-00000C160000}"/>
    <cellStyle name="Normal 7 6 3 2" xfId="9817" xr:uid="{14E7C1B0-D276-4C70-827C-CBAD4B5A7F6E}"/>
    <cellStyle name="Normal 7 6 4" xfId="8486" xr:uid="{7257A80E-CDC0-4FA7-B0BC-92891C2B099A}"/>
    <cellStyle name="Normal 7 7" xfId="3982" xr:uid="{00000000-0005-0000-0000-00000D160000}"/>
    <cellStyle name="Normal 7 7 2" xfId="4606" xr:uid="{00000000-0005-0000-0000-00000E160000}"/>
    <cellStyle name="Normal 7 7 2 2" xfId="7774" xr:uid="{00000000-0005-0000-0000-00000F160000}"/>
    <cellStyle name="Normal 7 7 2 2 2" xfId="10442" xr:uid="{47CCD477-5BAC-4FB3-9F9B-218B3E2A1BC8}"/>
    <cellStyle name="Normal 7 7 2 3" xfId="9111" xr:uid="{3CC09BB0-39AC-43BE-BD64-7650F8C0CA41}"/>
    <cellStyle name="Normal 7 7 3" xfId="7150" xr:uid="{00000000-0005-0000-0000-000010160000}"/>
    <cellStyle name="Normal 7 7 3 2" xfId="9818" xr:uid="{1889391A-FC79-4639-A02C-F0B33794E13C}"/>
    <cellStyle name="Normal 7 7 4" xfId="8487" xr:uid="{B6D7D6DF-CF11-4890-A513-BF296D100698}"/>
    <cellStyle name="Normal 7 8" xfId="3971" xr:uid="{00000000-0005-0000-0000-000011160000}"/>
    <cellStyle name="Normal 7 8 2" xfId="4597" xr:uid="{00000000-0005-0000-0000-000012160000}"/>
    <cellStyle name="Normal 7 8 2 2" xfId="7765" xr:uid="{00000000-0005-0000-0000-000013160000}"/>
    <cellStyle name="Normal 7 8 2 2 2" xfId="10433" xr:uid="{3257FADD-AEC9-44B2-B58C-B8D6F334FE07}"/>
    <cellStyle name="Normal 7 8 2 3" xfId="9102" xr:uid="{17817713-2B6F-4216-812F-C6CB78E3E584}"/>
    <cellStyle name="Normal 7 8 3" xfId="7141" xr:uid="{00000000-0005-0000-0000-000014160000}"/>
    <cellStyle name="Normal 7 8 3 2" xfId="9809" xr:uid="{DED08497-B556-4D54-8310-4E638C0888F1}"/>
    <cellStyle name="Normal 7 8 4" xfId="8478" xr:uid="{18179136-A14D-46A9-BDB4-4F8CB7CD5FCE}"/>
    <cellStyle name="Normal 7 9" xfId="4110" xr:uid="{00000000-0005-0000-0000-000015160000}"/>
    <cellStyle name="Normal 7 9 2" xfId="7278" xr:uid="{00000000-0005-0000-0000-000016160000}"/>
    <cellStyle name="Normal 7 9 2 2" xfId="9946" xr:uid="{AF98E47B-3A98-448B-B2E9-8FF084B52AEB}"/>
    <cellStyle name="Normal 7 9 3" xfId="8615" xr:uid="{AA87B34A-10A8-4F39-9A7D-D581CA465117}"/>
    <cellStyle name="Normal 8" xfId="993" xr:uid="{00000000-0005-0000-0000-000017160000}"/>
    <cellStyle name="Normal 8 2" xfId="994" xr:uid="{00000000-0005-0000-0000-000018160000}"/>
    <cellStyle name="Normal 8 2 2" xfId="2621" xr:uid="{00000000-0005-0000-0000-000019160000}"/>
    <cellStyle name="Normal 8 2 2 2" xfId="3308" xr:uid="{00000000-0005-0000-0000-00001A160000}"/>
    <cellStyle name="Normal 8 2 2 2 2" xfId="4609" xr:uid="{00000000-0005-0000-0000-00001B160000}"/>
    <cellStyle name="Normal 8 2 2 2 2 2" xfId="7777" xr:uid="{00000000-0005-0000-0000-00001C160000}"/>
    <cellStyle name="Normal 8 2 2 2 2 2 2" xfId="10445" xr:uid="{D1D64258-04D5-4275-9254-82B866C07A2D}"/>
    <cellStyle name="Normal 8 2 2 2 2 3" xfId="9114" xr:uid="{9999C662-FD75-4608-B1CD-50C334CBD6E5}"/>
    <cellStyle name="Normal 8 2 2 2 3" xfId="6617" xr:uid="{00000000-0005-0000-0000-00001D160000}"/>
    <cellStyle name="Normal 8 2 2 2 3 2" xfId="9294" xr:uid="{BA7F203A-4EE0-44D6-98FC-FDDA4476E58D}"/>
    <cellStyle name="Normal 8 2 2 2 4" xfId="7954" xr:uid="{EED7F042-59E8-4105-B7DA-2E2AED642CD8}"/>
    <cellStyle name="Normal 8 2 2 3" xfId="3985" xr:uid="{00000000-0005-0000-0000-00001E160000}"/>
    <cellStyle name="Normal 8 2 2 3 2" xfId="7153" xr:uid="{00000000-0005-0000-0000-00001F160000}"/>
    <cellStyle name="Normal 8 2 2 3 2 2" xfId="9821" xr:uid="{D5FF5FC1-D75A-4B29-840D-8E1A2ED7820B}"/>
    <cellStyle name="Normal 8 2 2 3 3" xfId="8490" xr:uid="{C4982554-01CC-4986-BD66-862889356104}"/>
    <cellStyle name="Normal 8 2 2 4" xfId="5674" xr:uid="{00000000-0005-0000-0000-000020160000}"/>
    <cellStyle name="Normal 8 2 2 4 2" xfId="9254" xr:uid="{BBC4F7C2-2A7B-4DDF-92C5-41F0A42A29FE}"/>
    <cellStyle name="Normal 8 2 2 5" xfId="6596" xr:uid="{00000000-0005-0000-0000-000021160000}"/>
    <cellStyle name="Normal 8 2 2 5 2" xfId="9274" xr:uid="{50712C87-41C8-4CC5-926C-204FD865FB34}"/>
    <cellStyle name="Normal 8 2 2 6" xfId="7929" xr:uid="{3FA8FDAC-C284-41ED-BF54-8EDF6C95C9BA}"/>
    <cellStyle name="Normal 8 2 3" xfId="3289" xr:uid="{00000000-0005-0000-0000-000022160000}"/>
    <cellStyle name="Normal 8 2 3 2" xfId="4610" xr:uid="{00000000-0005-0000-0000-000023160000}"/>
    <cellStyle name="Normal 8 2 3 2 2" xfId="7778" xr:uid="{00000000-0005-0000-0000-000024160000}"/>
    <cellStyle name="Normal 8 2 3 2 2 2" xfId="10446" xr:uid="{00D2E854-B55E-4D46-AB41-6D23E5890B68}"/>
    <cellStyle name="Normal 8 2 3 2 3" xfId="9115" xr:uid="{F8F42EF9-FA44-4F24-970E-53E4311D2963}"/>
    <cellStyle name="Normal 8 2 3 3" xfId="3986" xr:uid="{00000000-0005-0000-0000-000025160000}"/>
    <cellStyle name="Normal 8 2 3 3 2" xfId="7154" xr:uid="{00000000-0005-0000-0000-000026160000}"/>
    <cellStyle name="Normal 8 2 3 3 2 2" xfId="9822" xr:uid="{E2A31359-134F-4644-AC6D-EB578CFACE24}"/>
    <cellStyle name="Normal 8 2 3 3 3" xfId="8491" xr:uid="{80E50F7C-AF76-45A6-B20A-10511253C108}"/>
    <cellStyle name="Normal 8 2 3 4" xfId="6607" xr:uid="{00000000-0005-0000-0000-000027160000}"/>
    <cellStyle name="Normal 8 2 3 4 2" xfId="9284" xr:uid="{280DDB7F-FC2A-4909-88E8-10BE0A6327A0}"/>
    <cellStyle name="Normal 8 2 3 5" xfId="7944" xr:uid="{092C05EC-490B-4D03-B7A0-41442CD64ABB}"/>
    <cellStyle name="Normal 8 2 4" xfId="3987" xr:uid="{00000000-0005-0000-0000-000028160000}"/>
    <cellStyle name="Normal 8 2 4 2" xfId="4611" xr:uid="{00000000-0005-0000-0000-000029160000}"/>
    <cellStyle name="Normal 8 2 4 2 2" xfId="7779" xr:uid="{00000000-0005-0000-0000-00002A160000}"/>
    <cellStyle name="Normal 8 2 4 2 2 2" xfId="10447" xr:uid="{6A5CBFCD-AA17-4444-BB77-2975AFFCDCD0}"/>
    <cellStyle name="Normal 8 2 4 2 3" xfId="9116" xr:uid="{03FD2014-BF21-4D67-B0D7-2456ABDB5DA4}"/>
    <cellStyle name="Normal 8 2 4 3" xfId="7155" xr:uid="{00000000-0005-0000-0000-00002B160000}"/>
    <cellStyle name="Normal 8 2 4 3 2" xfId="9823" xr:uid="{A61B6B11-447C-4A64-9C3D-13130573A1DC}"/>
    <cellStyle name="Normal 8 2 4 4" xfId="8492" xr:uid="{253C5C14-9247-4940-915C-FB65D53F6594}"/>
    <cellStyle name="Normal 8 2 5" xfId="4608" xr:uid="{00000000-0005-0000-0000-00002C160000}"/>
    <cellStyle name="Normal 8 2 5 2" xfId="7776" xr:uid="{00000000-0005-0000-0000-00002D160000}"/>
    <cellStyle name="Normal 8 2 5 2 2" xfId="10444" xr:uid="{E8BB2F7E-84DB-4E5A-A113-7A6BD69C6230}"/>
    <cellStyle name="Normal 8 2 5 3" xfId="9113" xr:uid="{1024E57D-7540-423D-BDCE-097D301FF8D9}"/>
    <cellStyle name="Normal 8 2 6" xfId="3984" xr:uid="{00000000-0005-0000-0000-00002E160000}"/>
    <cellStyle name="Normal 8 2 6 2" xfId="7152" xr:uid="{00000000-0005-0000-0000-00002F160000}"/>
    <cellStyle name="Normal 8 2 6 2 2" xfId="9820" xr:uid="{3E597213-F709-413A-84A8-DBBAD3DCF786}"/>
    <cellStyle name="Normal 8 2 6 3" xfId="8489" xr:uid="{87251F1A-147E-427E-88BF-09E8B67DC970}"/>
    <cellStyle name="Normal 8 2 7" xfId="5303" xr:uid="{00000000-0005-0000-0000-000030160000}"/>
    <cellStyle name="Normal 8 2 7 2" xfId="9244" xr:uid="{54CB00F9-5398-4A73-A58A-1B6BD9A147A2}"/>
    <cellStyle name="Normal 8 2 8" xfId="6227" xr:uid="{00000000-0005-0000-0000-000031160000}"/>
    <cellStyle name="Normal 8 2 8 2" xfId="9264" xr:uid="{44192026-228B-4A7D-B2F2-27B347058699}"/>
    <cellStyle name="Normal 8 2 9" xfId="7906" xr:uid="{7BCF3934-1F75-4FDC-865E-3650F92061BF}"/>
    <cellStyle name="Normal 8 3" xfId="3324" xr:uid="{00000000-0005-0000-0000-000032160000}"/>
    <cellStyle name="Normal 8 3 2" xfId="3989" xr:uid="{00000000-0005-0000-0000-000033160000}"/>
    <cellStyle name="Normal 8 3 2 2" xfId="4613" xr:uid="{00000000-0005-0000-0000-000034160000}"/>
    <cellStyle name="Normal 8 3 2 2 2" xfId="7781" xr:uid="{00000000-0005-0000-0000-000035160000}"/>
    <cellStyle name="Normal 8 3 2 2 2 2" xfId="10449" xr:uid="{75B9D225-DAA3-478C-AB35-5A8ACEEF1CB0}"/>
    <cellStyle name="Normal 8 3 2 2 3" xfId="9118" xr:uid="{B4F5D749-20CE-417D-BEE5-BD13AC613B7F}"/>
    <cellStyle name="Normal 8 3 2 3" xfId="7157" xr:uid="{00000000-0005-0000-0000-000036160000}"/>
    <cellStyle name="Normal 8 3 2 3 2" xfId="9825" xr:uid="{6DD4B2C8-5900-47A5-A1D1-F064891DABD9}"/>
    <cellStyle name="Normal 8 3 2 4" xfId="8494" xr:uid="{5AC91562-4992-4646-B335-1A5219AB5152}"/>
    <cellStyle name="Normal 8 3 3" xfId="3990" xr:uid="{00000000-0005-0000-0000-000037160000}"/>
    <cellStyle name="Normal 8 3 3 2" xfId="4614" xr:uid="{00000000-0005-0000-0000-000038160000}"/>
    <cellStyle name="Normal 8 3 3 2 2" xfId="7782" xr:uid="{00000000-0005-0000-0000-000039160000}"/>
    <cellStyle name="Normal 8 3 3 2 2 2" xfId="10450" xr:uid="{86033592-F6E6-4A4E-9DF2-0E767116AD53}"/>
    <cellStyle name="Normal 8 3 3 2 3" xfId="9119" xr:uid="{D6277ACE-81BE-4C9C-93AA-D9450CD974AA}"/>
    <cellStyle name="Normal 8 3 3 3" xfId="7158" xr:uid="{00000000-0005-0000-0000-00003A160000}"/>
    <cellStyle name="Normal 8 3 3 3 2" xfId="9826" xr:uid="{9849FEB8-B020-466D-BE4E-69C3A893177E}"/>
    <cellStyle name="Normal 8 3 3 4" xfId="8495" xr:uid="{4A94194D-2D1B-4C11-914E-D1E334BDB62D}"/>
    <cellStyle name="Normal 8 3 4" xfId="4612" xr:uid="{00000000-0005-0000-0000-00003B160000}"/>
    <cellStyle name="Normal 8 3 4 2" xfId="7780" xr:uid="{00000000-0005-0000-0000-00003C160000}"/>
    <cellStyle name="Normal 8 3 4 2 2" xfId="10448" xr:uid="{53B0CA4D-88A7-48C7-8C7B-216EB20FA021}"/>
    <cellStyle name="Normal 8 3 4 3" xfId="9117" xr:uid="{0C91EBEF-81AC-4A69-8BD8-B6E5D7263518}"/>
    <cellStyle name="Normal 8 3 5" xfId="3988" xr:uid="{00000000-0005-0000-0000-00003D160000}"/>
    <cellStyle name="Normal 8 3 5 2" xfId="7156" xr:uid="{00000000-0005-0000-0000-00003E160000}"/>
    <cellStyle name="Normal 8 3 5 2 2" xfId="9824" xr:uid="{1524721C-9538-4AEA-98AF-58579BD99015}"/>
    <cellStyle name="Normal 8 3 5 3" xfId="8493" xr:uid="{257D0E1D-5014-4CF9-8173-CB78F49D8513}"/>
    <cellStyle name="Normal 8 4" xfId="3991" xr:uid="{00000000-0005-0000-0000-00003F160000}"/>
    <cellStyle name="Normal 8 4 2" xfId="4615" xr:uid="{00000000-0005-0000-0000-000040160000}"/>
    <cellStyle name="Normal 8 4 2 2" xfId="7783" xr:uid="{00000000-0005-0000-0000-000041160000}"/>
    <cellStyle name="Normal 8 4 2 2 2" xfId="10451" xr:uid="{5E57C8AA-5135-4B78-9876-583F45F5C5AE}"/>
    <cellStyle name="Normal 8 4 2 3" xfId="9120" xr:uid="{8CB89245-8473-4D2B-82B4-0EC04CB59D76}"/>
    <cellStyle name="Normal 8 4 3" xfId="7159" xr:uid="{00000000-0005-0000-0000-000042160000}"/>
    <cellStyle name="Normal 8 4 3 2" xfId="9827" xr:uid="{1CC730B8-7888-4780-BFC8-85A87A7BD98D}"/>
    <cellStyle name="Normal 8 4 4" xfId="8496" xr:uid="{C51AD195-9F9D-4C19-9219-D5F816B3D405}"/>
    <cellStyle name="Normal 8 5" xfId="3992" xr:uid="{00000000-0005-0000-0000-000043160000}"/>
    <cellStyle name="Normal 8 5 2" xfId="4616" xr:uid="{00000000-0005-0000-0000-000044160000}"/>
    <cellStyle name="Normal 8 5 2 2" xfId="7784" xr:uid="{00000000-0005-0000-0000-000045160000}"/>
    <cellStyle name="Normal 8 5 2 2 2" xfId="10452" xr:uid="{9191C716-6E08-46F4-9F92-6BEEB23F2F20}"/>
    <cellStyle name="Normal 8 5 2 3" xfId="9121" xr:uid="{55608E76-67D4-441C-8FD4-1EB9B118A04C}"/>
    <cellStyle name="Normal 8 5 3" xfId="7160" xr:uid="{00000000-0005-0000-0000-000046160000}"/>
    <cellStyle name="Normal 8 5 3 2" xfId="9828" xr:uid="{BE307214-92F9-43A2-955E-2B75B75BF6B1}"/>
    <cellStyle name="Normal 8 5 4" xfId="8497" xr:uid="{F3C94676-A99B-483C-B412-AD86776FD9A1}"/>
    <cellStyle name="Normal 8 6" xfId="3993" xr:uid="{00000000-0005-0000-0000-000047160000}"/>
    <cellStyle name="Normal 8 6 2" xfId="4617" xr:uid="{00000000-0005-0000-0000-000048160000}"/>
    <cellStyle name="Normal 8 6 2 2" xfId="7785" xr:uid="{00000000-0005-0000-0000-000049160000}"/>
    <cellStyle name="Normal 8 6 2 2 2" xfId="10453" xr:uid="{298EBD3E-96ED-4CB4-BA73-FC2A32F683FC}"/>
    <cellStyle name="Normal 8 6 2 3" xfId="9122" xr:uid="{06A2754C-F98F-40E8-871E-7ED9C6F83C9D}"/>
    <cellStyle name="Normal 8 6 3" xfId="7161" xr:uid="{00000000-0005-0000-0000-00004A160000}"/>
    <cellStyle name="Normal 8 6 3 2" xfId="9829" xr:uid="{2F5F8FFD-B713-42C8-881D-9A5AFFEDCFBB}"/>
    <cellStyle name="Normal 8 6 4" xfId="8498" xr:uid="{DF5EC7E7-88C9-46F4-A017-377EE846AECD}"/>
    <cellStyle name="Normal 8 7" xfId="3983" xr:uid="{00000000-0005-0000-0000-00004B160000}"/>
    <cellStyle name="Normal 8 7 2" xfId="4607" xr:uid="{00000000-0005-0000-0000-00004C160000}"/>
    <cellStyle name="Normal 8 7 2 2" xfId="7775" xr:uid="{00000000-0005-0000-0000-00004D160000}"/>
    <cellStyle name="Normal 8 7 2 2 2" xfId="10443" xr:uid="{B8400891-4BDF-49FF-8EAF-1DD7E98E2E67}"/>
    <cellStyle name="Normal 8 7 2 3" xfId="9112" xr:uid="{D177E70C-A232-40CA-A4AD-6D62A09BEFCD}"/>
    <cellStyle name="Normal 8 7 3" xfId="7151" xr:uid="{00000000-0005-0000-0000-00004E160000}"/>
    <cellStyle name="Normal 8 7 3 2" xfId="9819" xr:uid="{898AFEDF-2B1B-46D2-B4BF-663392CFF9ED}"/>
    <cellStyle name="Normal 8 7 4" xfId="8488" xr:uid="{60844957-44CC-464A-8ABB-1C86D6B03C53}"/>
    <cellStyle name="Normal 8 8" xfId="3500" xr:uid="{00000000-0005-0000-0000-00004F160000}"/>
    <cellStyle name="Normal 9" xfId="995" xr:uid="{00000000-0005-0000-0000-000050160000}"/>
    <cellStyle name="Normal 9 2" xfId="3325" xr:uid="{00000000-0005-0000-0000-000051160000}"/>
    <cellStyle name="Normal 9 2 2" xfId="3996" xr:uid="{00000000-0005-0000-0000-000052160000}"/>
    <cellStyle name="Normal 9 2 2 2" xfId="4620" xr:uid="{00000000-0005-0000-0000-000053160000}"/>
    <cellStyle name="Normal 9 2 2 2 2" xfId="7788" xr:uid="{00000000-0005-0000-0000-000054160000}"/>
    <cellStyle name="Normal 9 2 2 2 2 2" xfId="10456" xr:uid="{514C85BB-9E86-4BB6-BFCE-007FCDC89008}"/>
    <cellStyle name="Normal 9 2 2 2 3" xfId="9125" xr:uid="{1F3257BE-0FCE-4BC4-9B97-9189A02E3E0A}"/>
    <cellStyle name="Normal 9 2 2 3" xfId="7164" xr:uid="{00000000-0005-0000-0000-000055160000}"/>
    <cellStyle name="Normal 9 2 2 3 2" xfId="9832" xr:uid="{D7C6749A-8AF5-4D13-B140-39C05ABFF2CF}"/>
    <cellStyle name="Normal 9 2 2 4" xfId="8501" xr:uid="{DC8D5EBD-6163-4A7F-8FCB-C6CF16524A9C}"/>
    <cellStyle name="Normal 9 2 3" xfId="3997" xr:uid="{00000000-0005-0000-0000-000056160000}"/>
    <cellStyle name="Normal 9 2 3 2" xfId="4621" xr:uid="{00000000-0005-0000-0000-000057160000}"/>
    <cellStyle name="Normal 9 2 3 2 2" xfId="7789" xr:uid="{00000000-0005-0000-0000-000058160000}"/>
    <cellStyle name="Normal 9 2 3 2 2 2" xfId="10457" xr:uid="{186F434C-4851-4DA1-A130-9C77D83FDF2A}"/>
    <cellStyle name="Normal 9 2 3 2 3" xfId="9126" xr:uid="{7142D6F1-BF31-4513-9943-7AB010D1F52E}"/>
    <cellStyle name="Normal 9 2 3 3" xfId="7165" xr:uid="{00000000-0005-0000-0000-000059160000}"/>
    <cellStyle name="Normal 9 2 3 3 2" xfId="9833" xr:uid="{9BA08D0A-2234-4F13-AB38-1EC8A7A37702}"/>
    <cellStyle name="Normal 9 2 3 4" xfId="8502" xr:uid="{E7A5C139-142C-47DC-83C9-ACFD7EAEE46E}"/>
    <cellStyle name="Normal 9 2 4" xfId="4619" xr:uid="{00000000-0005-0000-0000-00005A160000}"/>
    <cellStyle name="Normal 9 2 4 2" xfId="7787" xr:uid="{00000000-0005-0000-0000-00005B160000}"/>
    <cellStyle name="Normal 9 2 4 2 2" xfId="10455" xr:uid="{9BD2899E-AA3E-4162-BDE0-EB6D6CC72505}"/>
    <cellStyle name="Normal 9 2 4 3" xfId="9124" xr:uid="{D489E94D-2935-40DC-931C-4F6E317BD17F}"/>
    <cellStyle name="Normal 9 2 5" xfId="3995" xr:uid="{00000000-0005-0000-0000-00005C160000}"/>
    <cellStyle name="Normal 9 2 5 2" xfId="7163" xr:uid="{00000000-0005-0000-0000-00005D160000}"/>
    <cellStyle name="Normal 9 2 5 2 2" xfId="9831" xr:uid="{768824C8-DD26-443B-8C73-76BE14DAD92B}"/>
    <cellStyle name="Normal 9 2 5 3" xfId="8500" xr:uid="{AC83A303-4856-4E9C-AD75-68D2EC457A6A}"/>
    <cellStyle name="Normal 9 3" xfId="3998" xr:uid="{00000000-0005-0000-0000-00005E160000}"/>
    <cellStyle name="Normal 9 3 2" xfId="4622" xr:uid="{00000000-0005-0000-0000-00005F160000}"/>
    <cellStyle name="Normal 9 3 2 2" xfId="7790" xr:uid="{00000000-0005-0000-0000-000060160000}"/>
    <cellStyle name="Normal 9 3 2 2 2" xfId="10458" xr:uid="{0DE082E3-9000-4540-9B68-ACAEB55481B2}"/>
    <cellStyle name="Normal 9 3 2 3" xfId="9127" xr:uid="{32F38DC1-83A7-4E47-A406-E48EB0EB699E}"/>
    <cellStyle name="Normal 9 3 3" xfId="7166" xr:uid="{00000000-0005-0000-0000-000061160000}"/>
    <cellStyle name="Normal 9 3 3 2" xfId="9834" xr:uid="{74A64C91-366A-4300-8917-08814D8CC7A9}"/>
    <cellStyle name="Normal 9 3 4" xfId="8503" xr:uid="{E4D18B84-0E2D-4335-B47E-E6CE421C176D}"/>
    <cellStyle name="Normal 9 4" xfId="3999" xr:uid="{00000000-0005-0000-0000-000062160000}"/>
    <cellStyle name="Normal 9 4 2" xfId="4623" xr:uid="{00000000-0005-0000-0000-000063160000}"/>
    <cellStyle name="Normal 9 4 2 2" xfId="7791" xr:uid="{00000000-0005-0000-0000-000064160000}"/>
    <cellStyle name="Normal 9 4 2 2 2" xfId="10459" xr:uid="{E24EF228-D163-4735-B2A8-86123EDF66FE}"/>
    <cellStyle name="Normal 9 4 2 3" xfId="9128" xr:uid="{826D71B3-EA58-4A96-91BA-7A3077ADFE5A}"/>
    <cellStyle name="Normal 9 4 3" xfId="7167" xr:uid="{00000000-0005-0000-0000-000065160000}"/>
    <cellStyle name="Normal 9 4 3 2" xfId="9835" xr:uid="{DB2BCDA6-F95D-4D12-A94F-73E8ED9919F6}"/>
    <cellStyle name="Normal 9 4 4" xfId="8504" xr:uid="{CE8EA6D9-E7DA-402C-8D11-C797B7C17285}"/>
    <cellStyle name="Normal 9 5" xfId="4000" xr:uid="{00000000-0005-0000-0000-000066160000}"/>
    <cellStyle name="Normal 9 5 2" xfId="4624" xr:uid="{00000000-0005-0000-0000-000067160000}"/>
    <cellStyle name="Normal 9 5 2 2" xfId="7792" xr:uid="{00000000-0005-0000-0000-000068160000}"/>
    <cellStyle name="Normal 9 5 2 2 2" xfId="10460" xr:uid="{2D56429A-190F-4EB3-A96D-5012F344147B}"/>
    <cellStyle name="Normal 9 5 2 3" xfId="9129" xr:uid="{4567548A-BEA5-41F7-B381-CAA97313E2F9}"/>
    <cellStyle name="Normal 9 5 3" xfId="7168" xr:uid="{00000000-0005-0000-0000-000069160000}"/>
    <cellStyle name="Normal 9 5 3 2" xfId="9836" xr:uid="{A97A3E4F-69AB-46CD-9091-15005EA54A16}"/>
    <cellStyle name="Normal 9 5 4" xfId="8505" xr:uid="{DEBAD8B1-4788-4261-89A5-EA8E90F27C60}"/>
    <cellStyle name="Normal 9 6" xfId="4618" xr:uid="{00000000-0005-0000-0000-00006A160000}"/>
    <cellStyle name="Normal 9 6 2" xfId="7786" xr:uid="{00000000-0005-0000-0000-00006B160000}"/>
    <cellStyle name="Normal 9 6 2 2" xfId="10454" xr:uid="{B6A667BF-94DB-4721-BAFB-8445EF855EAD}"/>
    <cellStyle name="Normal 9 6 3" xfId="9123" xr:uid="{451EE048-1CFD-4308-886B-104D34217443}"/>
    <cellStyle name="Normal 9 7" xfId="3994" xr:uid="{00000000-0005-0000-0000-00006C160000}"/>
    <cellStyle name="Normal 9 7 2" xfId="7162" xr:uid="{00000000-0005-0000-0000-00006D160000}"/>
    <cellStyle name="Normal 9 7 2 2" xfId="9830" xr:uid="{02F06803-82DB-4F20-AE25-FB4AF3A38679}"/>
    <cellStyle name="Normal 9 7 3" xfId="8499" xr:uid="{A83D15C9-7744-4C34-89FB-8DAA7B9F8E54}"/>
    <cellStyle name="Normal GHG Numbers (0.00)" xfId="996" xr:uid="{00000000-0005-0000-0000-00006E160000}"/>
    <cellStyle name="Normal GHG Numbers (0.00) 2" xfId="7907" xr:uid="{9B55163A-7B69-4D5E-B0B4-C32FE94DCF49}"/>
    <cellStyle name="Normal GHG Textfiels Bold" xfId="997" xr:uid="{00000000-0005-0000-0000-00006F160000}"/>
    <cellStyle name="Normal GHG-Shade" xfId="998" xr:uid="{00000000-0005-0000-0000-000070160000}"/>
    <cellStyle name="Normal GHG-Shade 2" xfId="2622" xr:uid="{00000000-0005-0000-0000-000071160000}"/>
    <cellStyle name="Normale 10" xfId="999" xr:uid="{00000000-0005-0000-0000-000072160000}"/>
    <cellStyle name="Normale 10 2" xfId="1000" xr:uid="{00000000-0005-0000-0000-000073160000}"/>
    <cellStyle name="Normale 10 2 2" xfId="2624" xr:uid="{00000000-0005-0000-0000-000074160000}"/>
    <cellStyle name="Normale 10 3" xfId="1001" xr:uid="{00000000-0005-0000-0000-000075160000}"/>
    <cellStyle name="Normale 10 3 2" xfId="2625" xr:uid="{00000000-0005-0000-0000-000076160000}"/>
    <cellStyle name="Normale 10 4" xfId="2623" xr:uid="{00000000-0005-0000-0000-000077160000}"/>
    <cellStyle name="Normale 10_EDEN industria 2008 rev" xfId="1002" xr:uid="{00000000-0005-0000-0000-000078160000}"/>
    <cellStyle name="Normale 11" xfId="1003" xr:uid="{00000000-0005-0000-0000-000079160000}"/>
    <cellStyle name="Normale 11 2" xfId="1004" xr:uid="{00000000-0005-0000-0000-00007A160000}"/>
    <cellStyle name="Normale 11 2 2" xfId="2627" xr:uid="{00000000-0005-0000-0000-00007B160000}"/>
    <cellStyle name="Normale 11 3" xfId="1005" xr:uid="{00000000-0005-0000-0000-00007C160000}"/>
    <cellStyle name="Normale 11 3 2" xfId="2628" xr:uid="{00000000-0005-0000-0000-00007D160000}"/>
    <cellStyle name="Normale 11 4" xfId="2626" xr:uid="{00000000-0005-0000-0000-00007E160000}"/>
    <cellStyle name="Normale 11_EDEN industria 2008 rev" xfId="1006" xr:uid="{00000000-0005-0000-0000-00007F160000}"/>
    <cellStyle name="Normale 12" xfId="1007" xr:uid="{00000000-0005-0000-0000-000080160000}"/>
    <cellStyle name="Normale 12 2" xfId="1008" xr:uid="{00000000-0005-0000-0000-000081160000}"/>
    <cellStyle name="Normale 12 2 2" xfId="2630" xr:uid="{00000000-0005-0000-0000-000082160000}"/>
    <cellStyle name="Normale 12 3" xfId="1009" xr:uid="{00000000-0005-0000-0000-000083160000}"/>
    <cellStyle name="Normale 12 3 2" xfId="2631" xr:uid="{00000000-0005-0000-0000-000084160000}"/>
    <cellStyle name="Normale 12 4" xfId="2629" xr:uid="{00000000-0005-0000-0000-000085160000}"/>
    <cellStyle name="Normale 12_EDEN industria 2008 rev" xfId="1010" xr:uid="{00000000-0005-0000-0000-000086160000}"/>
    <cellStyle name="Normale 13" xfId="1011" xr:uid="{00000000-0005-0000-0000-000087160000}"/>
    <cellStyle name="Normale 13 2" xfId="1012" xr:uid="{00000000-0005-0000-0000-000088160000}"/>
    <cellStyle name="Normale 13 2 2" xfId="2633" xr:uid="{00000000-0005-0000-0000-000089160000}"/>
    <cellStyle name="Normale 13 3" xfId="1013" xr:uid="{00000000-0005-0000-0000-00008A160000}"/>
    <cellStyle name="Normale 13 3 2" xfId="2634" xr:uid="{00000000-0005-0000-0000-00008B160000}"/>
    <cellStyle name="Normale 13 4" xfId="2632" xr:uid="{00000000-0005-0000-0000-00008C160000}"/>
    <cellStyle name="Normale 13_EDEN industria 2008 rev" xfId="1014" xr:uid="{00000000-0005-0000-0000-00008D160000}"/>
    <cellStyle name="Normale 14" xfId="1015" xr:uid="{00000000-0005-0000-0000-00008E160000}"/>
    <cellStyle name="Normale 14 2" xfId="1016" xr:uid="{00000000-0005-0000-0000-00008F160000}"/>
    <cellStyle name="Normale 14 2 2" xfId="2636" xr:uid="{00000000-0005-0000-0000-000090160000}"/>
    <cellStyle name="Normale 14 3" xfId="1017" xr:uid="{00000000-0005-0000-0000-000091160000}"/>
    <cellStyle name="Normale 14 3 2" xfId="2637" xr:uid="{00000000-0005-0000-0000-000092160000}"/>
    <cellStyle name="Normale 14 4" xfId="2635" xr:uid="{00000000-0005-0000-0000-000093160000}"/>
    <cellStyle name="Normale 14_EDEN industria 2008 rev" xfId="1018" xr:uid="{00000000-0005-0000-0000-000094160000}"/>
    <cellStyle name="Normale 15" xfId="1019" xr:uid="{00000000-0005-0000-0000-000095160000}"/>
    <cellStyle name="Normale 15 2" xfId="1020" xr:uid="{00000000-0005-0000-0000-000096160000}"/>
    <cellStyle name="Normale 15 2 2" xfId="2639" xr:uid="{00000000-0005-0000-0000-000097160000}"/>
    <cellStyle name="Normale 15 3" xfId="1021" xr:uid="{00000000-0005-0000-0000-000098160000}"/>
    <cellStyle name="Normale 15 3 2" xfId="2640" xr:uid="{00000000-0005-0000-0000-000099160000}"/>
    <cellStyle name="Normale 15 4" xfId="2638" xr:uid="{00000000-0005-0000-0000-00009A160000}"/>
    <cellStyle name="Normale 15_EDEN industria 2008 rev" xfId="1022" xr:uid="{00000000-0005-0000-0000-00009B160000}"/>
    <cellStyle name="Normale 16" xfId="1023" xr:uid="{00000000-0005-0000-0000-00009C160000}"/>
    <cellStyle name="Normale 16 2" xfId="2641" xr:uid="{00000000-0005-0000-0000-00009D160000}"/>
    <cellStyle name="Normale 17" xfId="1024" xr:uid="{00000000-0005-0000-0000-00009E160000}"/>
    <cellStyle name="Normale 17 2" xfId="2642" xr:uid="{00000000-0005-0000-0000-00009F160000}"/>
    <cellStyle name="Normale 18" xfId="1025" xr:uid="{00000000-0005-0000-0000-0000A0160000}"/>
    <cellStyle name="Normale 19" xfId="1026" xr:uid="{00000000-0005-0000-0000-0000A1160000}"/>
    <cellStyle name="Normale 2" xfId="1027" xr:uid="{00000000-0005-0000-0000-0000A2160000}"/>
    <cellStyle name="Normale 2 2" xfId="1028" xr:uid="{00000000-0005-0000-0000-0000A3160000}"/>
    <cellStyle name="Normale 2 2 2" xfId="2644" xr:uid="{00000000-0005-0000-0000-0000A4160000}"/>
    <cellStyle name="Normale 2 3" xfId="2643" xr:uid="{00000000-0005-0000-0000-0000A5160000}"/>
    <cellStyle name="Normale 2_EDEN industria 2008 rev" xfId="1029" xr:uid="{00000000-0005-0000-0000-0000A6160000}"/>
    <cellStyle name="Normale 20" xfId="1030" xr:uid="{00000000-0005-0000-0000-0000A7160000}"/>
    <cellStyle name="Normale 20 2" xfId="2645" xr:uid="{00000000-0005-0000-0000-0000A8160000}"/>
    <cellStyle name="Normale 21" xfId="1031" xr:uid="{00000000-0005-0000-0000-0000A9160000}"/>
    <cellStyle name="Normale 21 2" xfId="2646" xr:uid="{00000000-0005-0000-0000-0000AA160000}"/>
    <cellStyle name="Normale 22" xfId="1032" xr:uid="{00000000-0005-0000-0000-0000AB160000}"/>
    <cellStyle name="Normale 22 2" xfId="2647" xr:uid="{00000000-0005-0000-0000-0000AC160000}"/>
    <cellStyle name="Normale 23" xfId="1033" xr:uid="{00000000-0005-0000-0000-0000AD160000}"/>
    <cellStyle name="Normale 23 2" xfId="2648" xr:uid="{00000000-0005-0000-0000-0000AE160000}"/>
    <cellStyle name="Normale 24" xfId="1034" xr:uid="{00000000-0005-0000-0000-0000AF160000}"/>
    <cellStyle name="Normale 24 2" xfId="2649" xr:uid="{00000000-0005-0000-0000-0000B0160000}"/>
    <cellStyle name="Normale 25" xfId="1035" xr:uid="{00000000-0005-0000-0000-0000B1160000}"/>
    <cellStyle name="Normale 25 2" xfId="2650" xr:uid="{00000000-0005-0000-0000-0000B2160000}"/>
    <cellStyle name="Normale 26" xfId="1036" xr:uid="{00000000-0005-0000-0000-0000B3160000}"/>
    <cellStyle name="Normale 26 2" xfId="2651" xr:uid="{00000000-0005-0000-0000-0000B4160000}"/>
    <cellStyle name="Normale 27" xfId="1037" xr:uid="{00000000-0005-0000-0000-0000B5160000}"/>
    <cellStyle name="Normale 27 2" xfId="2652" xr:uid="{00000000-0005-0000-0000-0000B6160000}"/>
    <cellStyle name="Normale 28" xfId="1038" xr:uid="{00000000-0005-0000-0000-0000B7160000}"/>
    <cellStyle name="Normale 28 2" xfId="2653" xr:uid="{00000000-0005-0000-0000-0000B8160000}"/>
    <cellStyle name="Normale 29" xfId="1039" xr:uid="{00000000-0005-0000-0000-0000B9160000}"/>
    <cellStyle name="Normale 29 2" xfId="2654" xr:uid="{00000000-0005-0000-0000-0000BA160000}"/>
    <cellStyle name="Normale 3" xfId="1040" xr:uid="{00000000-0005-0000-0000-0000BB160000}"/>
    <cellStyle name="Normale 3 2" xfId="1041" xr:uid="{00000000-0005-0000-0000-0000BC160000}"/>
    <cellStyle name="Normale 3 2 2" xfId="2656" xr:uid="{00000000-0005-0000-0000-0000BD160000}"/>
    <cellStyle name="Normale 3 3" xfId="1042" xr:uid="{00000000-0005-0000-0000-0000BE160000}"/>
    <cellStyle name="Normale 3 3 2" xfId="2657" xr:uid="{00000000-0005-0000-0000-0000BF160000}"/>
    <cellStyle name="Normale 3 4" xfId="2655" xr:uid="{00000000-0005-0000-0000-0000C0160000}"/>
    <cellStyle name="Normale 3_EDEN industria 2008 rev" xfId="1043" xr:uid="{00000000-0005-0000-0000-0000C1160000}"/>
    <cellStyle name="Normale 30" xfId="1044" xr:uid="{00000000-0005-0000-0000-0000C2160000}"/>
    <cellStyle name="Normale 30 2" xfId="2658" xr:uid="{00000000-0005-0000-0000-0000C3160000}"/>
    <cellStyle name="Normale 31" xfId="1045" xr:uid="{00000000-0005-0000-0000-0000C4160000}"/>
    <cellStyle name="Normale 31 2" xfId="2659" xr:uid="{00000000-0005-0000-0000-0000C5160000}"/>
    <cellStyle name="Normale 32" xfId="1046" xr:uid="{00000000-0005-0000-0000-0000C6160000}"/>
    <cellStyle name="Normale 32 2" xfId="2660" xr:uid="{00000000-0005-0000-0000-0000C7160000}"/>
    <cellStyle name="Normale 33" xfId="1047" xr:uid="{00000000-0005-0000-0000-0000C8160000}"/>
    <cellStyle name="Normale 33 2" xfId="2661" xr:uid="{00000000-0005-0000-0000-0000C9160000}"/>
    <cellStyle name="Normale 34" xfId="1048" xr:uid="{00000000-0005-0000-0000-0000CA160000}"/>
    <cellStyle name="Normale 34 2" xfId="2662" xr:uid="{00000000-0005-0000-0000-0000CB160000}"/>
    <cellStyle name="Normale 35" xfId="1049" xr:uid="{00000000-0005-0000-0000-0000CC160000}"/>
    <cellStyle name="Normale 35 2" xfId="2663" xr:uid="{00000000-0005-0000-0000-0000CD160000}"/>
    <cellStyle name="Normale 36" xfId="1050" xr:uid="{00000000-0005-0000-0000-0000CE160000}"/>
    <cellStyle name="Normale 36 2" xfId="2664" xr:uid="{00000000-0005-0000-0000-0000CF160000}"/>
    <cellStyle name="Normale 37" xfId="1051" xr:uid="{00000000-0005-0000-0000-0000D0160000}"/>
    <cellStyle name="Normale 37 2" xfId="2665" xr:uid="{00000000-0005-0000-0000-0000D1160000}"/>
    <cellStyle name="Normale 38" xfId="1052" xr:uid="{00000000-0005-0000-0000-0000D2160000}"/>
    <cellStyle name="Normale 38 2" xfId="2666" xr:uid="{00000000-0005-0000-0000-0000D3160000}"/>
    <cellStyle name="Normale 39" xfId="1053" xr:uid="{00000000-0005-0000-0000-0000D4160000}"/>
    <cellStyle name="Normale 39 2" xfId="2667" xr:uid="{00000000-0005-0000-0000-0000D5160000}"/>
    <cellStyle name="Normale 4" xfId="1054" xr:uid="{00000000-0005-0000-0000-0000D6160000}"/>
    <cellStyle name="Normale 4 2" xfId="1055" xr:uid="{00000000-0005-0000-0000-0000D7160000}"/>
    <cellStyle name="Normale 4 2 2" xfId="2669" xr:uid="{00000000-0005-0000-0000-0000D8160000}"/>
    <cellStyle name="Normale 4 3" xfId="1056" xr:uid="{00000000-0005-0000-0000-0000D9160000}"/>
    <cellStyle name="Normale 4 3 2" xfId="2670" xr:uid="{00000000-0005-0000-0000-0000DA160000}"/>
    <cellStyle name="Normale 4 4" xfId="2668" xr:uid="{00000000-0005-0000-0000-0000DB160000}"/>
    <cellStyle name="Normale 4_EDEN industria 2008 rev" xfId="1057" xr:uid="{00000000-0005-0000-0000-0000DC160000}"/>
    <cellStyle name="Normale 40" xfId="1058" xr:uid="{00000000-0005-0000-0000-0000DD160000}"/>
    <cellStyle name="Normale 40 2" xfId="2671" xr:uid="{00000000-0005-0000-0000-0000DE160000}"/>
    <cellStyle name="Normale 41" xfId="1059" xr:uid="{00000000-0005-0000-0000-0000DF160000}"/>
    <cellStyle name="Normale 41 2" xfId="2672" xr:uid="{00000000-0005-0000-0000-0000E0160000}"/>
    <cellStyle name="Normale 42" xfId="1060" xr:uid="{00000000-0005-0000-0000-0000E1160000}"/>
    <cellStyle name="Normale 42 2" xfId="2673" xr:uid="{00000000-0005-0000-0000-0000E2160000}"/>
    <cellStyle name="Normale 43" xfId="1061" xr:uid="{00000000-0005-0000-0000-0000E3160000}"/>
    <cellStyle name="Normale 43 2" xfId="2674" xr:uid="{00000000-0005-0000-0000-0000E4160000}"/>
    <cellStyle name="Normale 44" xfId="1062" xr:uid="{00000000-0005-0000-0000-0000E5160000}"/>
    <cellStyle name="Normale 44 2" xfId="2675" xr:uid="{00000000-0005-0000-0000-0000E6160000}"/>
    <cellStyle name="Normale 45" xfId="1063" xr:uid="{00000000-0005-0000-0000-0000E7160000}"/>
    <cellStyle name="Normale 45 2" xfId="2676" xr:uid="{00000000-0005-0000-0000-0000E8160000}"/>
    <cellStyle name="Normale 46" xfId="1064" xr:uid="{00000000-0005-0000-0000-0000E9160000}"/>
    <cellStyle name="Normale 46 2" xfId="2677" xr:uid="{00000000-0005-0000-0000-0000EA160000}"/>
    <cellStyle name="Normale 47" xfId="1065" xr:uid="{00000000-0005-0000-0000-0000EB160000}"/>
    <cellStyle name="Normale 47 2" xfId="2678" xr:uid="{00000000-0005-0000-0000-0000EC160000}"/>
    <cellStyle name="Normale 48" xfId="1066" xr:uid="{00000000-0005-0000-0000-0000ED160000}"/>
    <cellStyle name="Normale 48 2" xfId="2679" xr:uid="{00000000-0005-0000-0000-0000EE160000}"/>
    <cellStyle name="Normale 49" xfId="1067" xr:uid="{00000000-0005-0000-0000-0000EF160000}"/>
    <cellStyle name="Normale 49 2" xfId="2680" xr:uid="{00000000-0005-0000-0000-0000F0160000}"/>
    <cellStyle name="Normale 5" xfId="1068" xr:uid="{00000000-0005-0000-0000-0000F1160000}"/>
    <cellStyle name="Normale 5 2" xfId="1069" xr:uid="{00000000-0005-0000-0000-0000F2160000}"/>
    <cellStyle name="Normale 5 2 2" xfId="2682" xr:uid="{00000000-0005-0000-0000-0000F3160000}"/>
    <cellStyle name="Normale 5 3" xfId="1070" xr:uid="{00000000-0005-0000-0000-0000F4160000}"/>
    <cellStyle name="Normale 5 3 2" xfId="2683" xr:uid="{00000000-0005-0000-0000-0000F5160000}"/>
    <cellStyle name="Normale 5 4" xfId="2681" xr:uid="{00000000-0005-0000-0000-0000F6160000}"/>
    <cellStyle name="Normale 5_EDEN industria 2008 rev" xfId="1071" xr:uid="{00000000-0005-0000-0000-0000F7160000}"/>
    <cellStyle name="Normale 50" xfId="1072" xr:uid="{00000000-0005-0000-0000-0000F8160000}"/>
    <cellStyle name="Normale 50 2" xfId="2684" xr:uid="{00000000-0005-0000-0000-0000F9160000}"/>
    <cellStyle name="Normale 51" xfId="1073" xr:uid="{00000000-0005-0000-0000-0000FA160000}"/>
    <cellStyle name="Normale 51 2" xfId="2685" xr:uid="{00000000-0005-0000-0000-0000FB160000}"/>
    <cellStyle name="Normale 52" xfId="1074" xr:uid="{00000000-0005-0000-0000-0000FC160000}"/>
    <cellStyle name="Normale 52 2" xfId="2686" xr:uid="{00000000-0005-0000-0000-0000FD160000}"/>
    <cellStyle name="Normale 53" xfId="1075" xr:uid="{00000000-0005-0000-0000-0000FE160000}"/>
    <cellStyle name="Normale 53 2" xfId="2687" xr:uid="{00000000-0005-0000-0000-0000FF160000}"/>
    <cellStyle name="Normale 54" xfId="1076" xr:uid="{00000000-0005-0000-0000-000000170000}"/>
    <cellStyle name="Normale 54 2" xfId="2688" xr:uid="{00000000-0005-0000-0000-000001170000}"/>
    <cellStyle name="Normale 55" xfId="1077" xr:uid="{00000000-0005-0000-0000-000002170000}"/>
    <cellStyle name="Normale 55 2" xfId="2689" xr:uid="{00000000-0005-0000-0000-000003170000}"/>
    <cellStyle name="Normale 56" xfId="1078" xr:uid="{00000000-0005-0000-0000-000004170000}"/>
    <cellStyle name="Normale 56 2" xfId="2690" xr:uid="{00000000-0005-0000-0000-000005170000}"/>
    <cellStyle name="Normale 57" xfId="1079" xr:uid="{00000000-0005-0000-0000-000006170000}"/>
    <cellStyle name="Normale 57 2" xfId="2691" xr:uid="{00000000-0005-0000-0000-000007170000}"/>
    <cellStyle name="Normale 58" xfId="1080" xr:uid="{00000000-0005-0000-0000-000008170000}"/>
    <cellStyle name="Normale 58 2" xfId="2692" xr:uid="{00000000-0005-0000-0000-000009170000}"/>
    <cellStyle name="Normale 59" xfId="1081" xr:uid="{00000000-0005-0000-0000-00000A170000}"/>
    <cellStyle name="Normale 59 2" xfId="2693" xr:uid="{00000000-0005-0000-0000-00000B170000}"/>
    <cellStyle name="Normale 6" xfId="1082" xr:uid="{00000000-0005-0000-0000-00000C170000}"/>
    <cellStyle name="Normale 6 2" xfId="1083" xr:uid="{00000000-0005-0000-0000-00000D170000}"/>
    <cellStyle name="Normale 6 2 2" xfId="2695" xr:uid="{00000000-0005-0000-0000-00000E170000}"/>
    <cellStyle name="Normale 6 3" xfId="1084" xr:uid="{00000000-0005-0000-0000-00000F170000}"/>
    <cellStyle name="Normale 6 3 2" xfId="2696" xr:uid="{00000000-0005-0000-0000-000010170000}"/>
    <cellStyle name="Normale 6 4" xfId="2694" xr:uid="{00000000-0005-0000-0000-000011170000}"/>
    <cellStyle name="Normale 6_EDEN industria 2008 rev" xfId="1085" xr:uid="{00000000-0005-0000-0000-000012170000}"/>
    <cellStyle name="Normale 60" xfId="1086" xr:uid="{00000000-0005-0000-0000-000013170000}"/>
    <cellStyle name="Normale 60 2" xfId="2697" xr:uid="{00000000-0005-0000-0000-000014170000}"/>
    <cellStyle name="Normale 61" xfId="1087" xr:uid="{00000000-0005-0000-0000-000015170000}"/>
    <cellStyle name="Normale 61 2" xfId="2698" xr:uid="{00000000-0005-0000-0000-000016170000}"/>
    <cellStyle name="Normale 62" xfId="1088" xr:uid="{00000000-0005-0000-0000-000017170000}"/>
    <cellStyle name="Normale 62 2" xfId="2699" xr:uid="{00000000-0005-0000-0000-000018170000}"/>
    <cellStyle name="Normale 63" xfId="1089" xr:uid="{00000000-0005-0000-0000-000019170000}"/>
    <cellStyle name="Normale 63 2" xfId="2700" xr:uid="{00000000-0005-0000-0000-00001A170000}"/>
    <cellStyle name="Normale 64" xfId="1090" xr:uid="{00000000-0005-0000-0000-00001B170000}"/>
    <cellStyle name="Normale 64 2" xfId="2701" xr:uid="{00000000-0005-0000-0000-00001C170000}"/>
    <cellStyle name="Normale 65" xfId="1091" xr:uid="{00000000-0005-0000-0000-00001D170000}"/>
    <cellStyle name="Normale 65 2" xfId="2702" xr:uid="{00000000-0005-0000-0000-00001E170000}"/>
    <cellStyle name="Normale 7" xfId="1092" xr:uid="{00000000-0005-0000-0000-00001F170000}"/>
    <cellStyle name="Normale 7 2" xfId="1093" xr:uid="{00000000-0005-0000-0000-000020170000}"/>
    <cellStyle name="Normale 7 2 2" xfId="2704" xr:uid="{00000000-0005-0000-0000-000021170000}"/>
    <cellStyle name="Normale 7 3" xfId="1094" xr:uid="{00000000-0005-0000-0000-000022170000}"/>
    <cellStyle name="Normale 7 3 2" xfId="2705" xr:uid="{00000000-0005-0000-0000-000023170000}"/>
    <cellStyle name="Normale 7 4" xfId="2703" xr:uid="{00000000-0005-0000-0000-000024170000}"/>
    <cellStyle name="Normale 7_EDEN industria 2008 rev" xfId="1095" xr:uid="{00000000-0005-0000-0000-000025170000}"/>
    <cellStyle name="Normale 8" xfId="1096" xr:uid="{00000000-0005-0000-0000-000026170000}"/>
    <cellStyle name="Normale 8 2" xfId="1097" xr:uid="{00000000-0005-0000-0000-000027170000}"/>
    <cellStyle name="Normale 8 2 2" xfId="2707" xr:uid="{00000000-0005-0000-0000-000028170000}"/>
    <cellStyle name="Normale 8 3" xfId="1098" xr:uid="{00000000-0005-0000-0000-000029170000}"/>
    <cellStyle name="Normale 8 3 2" xfId="2708" xr:uid="{00000000-0005-0000-0000-00002A170000}"/>
    <cellStyle name="Normale 8 4" xfId="2706" xr:uid="{00000000-0005-0000-0000-00002B170000}"/>
    <cellStyle name="Normale 8_EDEN industria 2008 rev" xfId="1099" xr:uid="{00000000-0005-0000-0000-00002C170000}"/>
    <cellStyle name="Normale 9" xfId="1100" xr:uid="{00000000-0005-0000-0000-00002D170000}"/>
    <cellStyle name="Normale 9 2" xfId="1101" xr:uid="{00000000-0005-0000-0000-00002E170000}"/>
    <cellStyle name="Normale 9 2 2" xfId="2710" xr:uid="{00000000-0005-0000-0000-00002F170000}"/>
    <cellStyle name="Normale 9 3" xfId="1102" xr:uid="{00000000-0005-0000-0000-000030170000}"/>
    <cellStyle name="Normale 9 3 2" xfId="2711" xr:uid="{00000000-0005-0000-0000-000031170000}"/>
    <cellStyle name="Normale 9 4" xfId="2709" xr:uid="{00000000-0005-0000-0000-000032170000}"/>
    <cellStyle name="Normale 9_EDEN industria 2008 rev" xfId="1103" xr:uid="{00000000-0005-0000-0000-000033170000}"/>
    <cellStyle name="Normale_B2020" xfId="1104" xr:uid="{00000000-0005-0000-0000-000034170000}"/>
    <cellStyle name="Nota" xfId="1105" xr:uid="{00000000-0005-0000-0000-000035170000}"/>
    <cellStyle name="Nota 2" xfId="1106" xr:uid="{00000000-0005-0000-0000-000036170000}"/>
    <cellStyle name="Nota 2 2" xfId="2712" xr:uid="{00000000-0005-0000-0000-000037170000}"/>
    <cellStyle name="Nota 2 2 2" xfId="7930" xr:uid="{B6DA7A8C-C10C-4B5C-BB4A-A0D31564751A}"/>
    <cellStyle name="Nota 2 3" xfId="7909" xr:uid="{C8B5CEAA-3C54-4FC7-9B70-3DA5588D76CD}"/>
    <cellStyle name="Nota 3" xfId="1107" xr:uid="{00000000-0005-0000-0000-000038170000}"/>
    <cellStyle name="Nota 3 2" xfId="1108" xr:uid="{00000000-0005-0000-0000-000039170000}"/>
    <cellStyle name="Nota 3 2 2" xfId="7911" xr:uid="{DF10C08E-F714-4532-8C62-5A1B7251AFAF}"/>
    <cellStyle name="Nota 3 3" xfId="1109" xr:uid="{00000000-0005-0000-0000-00003A170000}"/>
    <cellStyle name="Nota 3 3 2" xfId="2714" xr:uid="{00000000-0005-0000-0000-00003B170000}"/>
    <cellStyle name="Nota 3 3 2 2" xfId="7932" xr:uid="{CAA918BD-3206-429B-9E90-95BBC5A09D5F}"/>
    <cellStyle name="Nota 3 3 3" xfId="7912" xr:uid="{51F1FD56-5F38-46C6-B845-BAE6B134F252}"/>
    <cellStyle name="Nota 3 4" xfId="2713" xr:uid="{00000000-0005-0000-0000-00003C170000}"/>
    <cellStyle name="Nota 3 4 2" xfId="7931" xr:uid="{33F6CD17-766B-4278-B952-8283DF934EF9}"/>
    <cellStyle name="Nota 3 5" xfId="7910" xr:uid="{61EB38F4-1FAA-4E02-82DD-1811516DDE27}"/>
    <cellStyle name="Nota 4" xfId="1110" xr:uid="{00000000-0005-0000-0000-00003D170000}"/>
    <cellStyle name="Nota 4 2" xfId="1111" xr:uid="{00000000-0005-0000-0000-00003E170000}"/>
    <cellStyle name="Nota 4 2 2" xfId="2716" xr:uid="{00000000-0005-0000-0000-00003F170000}"/>
    <cellStyle name="Nota 4 2 2 2" xfId="7934" xr:uid="{114D5B7C-36B5-4C05-80A9-B704EBDCDDFF}"/>
    <cellStyle name="Nota 4 2 3" xfId="7914" xr:uid="{25027738-C06A-4E8F-844C-955EE9DF5C1D}"/>
    <cellStyle name="Nota 4 3" xfId="2715" xr:uid="{00000000-0005-0000-0000-000040170000}"/>
    <cellStyle name="Nota 4 3 2" xfId="7933" xr:uid="{413F1CA3-58B2-4166-AB33-6FE75E411682}"/>
    <cellStyle name="Nota 4 4" xfId="7913" xr:uid="{E8900E93-D78A-40AB-9948-AB9CD58B03A0}"/>
    <cellStyle name="Nota 5" xfId="1112" xr:uid="{00000000-0005-0000-0000-000041170000}"/>
    <cellStyle name="Nota 5 2" xfId="7915" xr:uid="{B39132AB-C724-4AC1-B99D-F9898CCB817A}"/>
    <cellStyle name="Nota 6" xfId="7908" xr:uid="{A0EBFD9C-C937-49F7-BE1A-93EEB69EFB28}"/>
    <cellStyle name="Note 2" xfId="3450" xr:uid="{00000000-0005-0000-0000-000042170000}"/>
    <cellStyle name="Note 2 2" xfId="3522" xr:uid="{00000000-0005-0000-0000-000043170000}"/>
    <cellStyle name="Note 2 2 2" xfId="8050" xr:uid="{B2AB5F45-A61E-4BBB-AE06-B274C86CA233}"/>
    <cellStyle name="Note 2 3" xfId="7996" xr:uid="{F77A14BF-A587-452B-8A97-F958876AF407}"/>
    <cellStyle name="Nuovo" xfId="1113" xr:uid="{00000000-0005-0000-0000-000044170000}"/>
    <cellStyle name="Nuovo 10" xfId="1114" xr:uid="{00000000-0005-0000-0000-000045170000}"/>
    <cellStyle name="Nuovo 10 2" xfId="1115" xr:uid="{00000000-0005-0000-0000-000046170000}"/>
    <cellStyle name="Nuovo 10 2 2" xfId="2717" xr:uid="{00000000-0005-0000-0000-000047170000}"/>
    <cellStyle name="Nuovo 10 3" xfId="1116" xr:uid="{00000000-0005-0000-0000-000048170000}"/>
    <cellStyle name="Nuovo 10 3 2" xfId="1117" xr:uid="{00000000-0005-0000-0000-000049170000}"/>
    <cellStyle name="Nuovo 10 3 3" xfId="1118" xr:uid="{00000000-0005-0000-0000-00004A170000}"/>
    <cellStyle name="Nuovo 10 3 3 2" xfId="2719" xr:uid="{00000000-0005-0000-0000-00004B170000}"/>
    <cellStyle name="Nuovo 10 3 4" xfId="2718" xr:uid="{00000000-0005-0000-0000-00004C170000}"/>
    <cellStyle name="Nuovo 10 4" xfId="1119" xr:uid="{00000000-0005-0000-0000-00004D170000}"/>
    <cellStyle name="Nuovo 10 4 2" xfId="1120" xr:uid="{00000000-0005-0000-0000-00004E170000}"/>
    <cellStyle name="Nuovo 10 4 2 2" xfId="2721" xr:uid="{00000000-0005-0000-0000-00004F170000}"/>
    <cellStyle name="Nuovo 10 4 3" xfId="2720" xr:uid="{00000000-0005-0000-0000-000050170000}"/>
    <cellStyle name="Nuovo 10 5" xfId="1121" xr:uid="{00000000-0005-0000-0000-000051170000}"/>
    <cellStyle name="Nuovo 11" xfId="1122" xr:uid="{00000000-0005-0000-0000-000052170000}"/>
    <cellStyle name="Nuovo 11 2" xfId="1123" xr:uid="{00000000-0005-0000-0000-000053170000}"/>
    <cellStyle name="Nuovo 11 2 2" xfId="2722" xr:uid="{00000000-0005-0000-0000-000054170000}"/>
    <cellStyle name="Nuovo 11 3" xfId="1124" xr:uid="{00000000-0005-0000-0000-000055170000}"/>
    <cellStyle name="Nuovo 11 3 2" xfId="1125" xr:uid="{00000000-0005-0000-0000-000056170000}"/>
    <cellStyle name="Nuovo 11 3 3" xfId="1126" xr:uid="{00000000-0005-0000-0000-000057170000}"/>
    <cellStyle name="Nuovo 11 3 3 2" xfId="2724" xr:uid="{00000000-0005-0000-0000-000058170000}"/>
    <cellStyle name="Nuovo 11 3 4" xfId="2723" xr:uid="{00000000-0005-0000-0000-000059170000}"/>
    <cellStyle name="Nuovo 11 4" xfId="1127" xr:uid="{00000000-0005-0000-0000-00005A170000}"/>
    <cellStyle name="Nuovo 11 4 2" xfId="1128" xr:uid="{00000000-0005-0000-0000-00005B170000}"/>
    <cellStyle name="Nuovo 11 4 2 2" xfId="2726" xr:uid="{00000000-0005-0000-0000-00005C170000}"/>
    <cellStyle name="Nuovo 11 4 3" xfId="2725" xr:uid="{00000000-0005-0000-0000-00005D170000}"/>
    <cellStyle name="Nuovo 11 5" xfId="1129" xr:uid="{00000000-0005-0000-0000-00005E170000}"/>
    <cellStyle name="Nuovo 12" xfId="1130" xr:uid="{00000000-0005-0000-0000-00005F170000}"/>
    <cellStyle name="Nuovo 12 2" xfId="1131" xr:uid="{00000000-0005-0000-0000-000060170000}"/>
    <cellStyle name="Nuovo 12 2 2" xfId="2727" xr:uid="{00000000-0005-0000-0000-000061170000}"/>
    <cellStyle name="Nuovo 12 3" xfId="1132" xr:uid="{00000000-0005-0000-0000-000062170000}"/>
    <cellStyle name="Nuovo 12 3 2" xfId="1133" xr:uid="{00000000-0005-0000-0000-000063170000}"/>
    <cellStyle name="Nuovo 12 3 3" xfId="1134" xr:uid="{00000000-0005-0000-0000-000064170000}"/>
    <cellStyle name="Nuovo 12 3 3 2" xfId="2729" xr:uid="{00000000-0005-0000-0000-000065170000}"/>
    <cellStyle name="Nuovo 12 3 4" xfId="2728" xr:uid="{00000000-0005-0000-0000-000066170000}"/>
    <cellStyle name="Nuovo 12 4" xfId="1135" xr:uid="{00000000-0005-0000-0000-000067170000}"/>
    <cellStyle name="Nuovo 12 4 2" xfId="1136" xr:uid="{00000000-0005-0000-0000-000068170000}"/>
    <cellStyle name="Nuovo 12 4 2 2" xfId="2731" xr:uid="{00000000-0005-0000-0000-000069170000}"/>
    <cellStyle name="Nuovo 12 4 3" xfId="2730" xr:uid="{00000000-0005-0000-0000-00006A170000}"/>
    <cellStyle name="Nuovo 12 5" xfId="1137" xr:uid="{00000000-0005-0000-0000-00006B170000}"/>
    <cellStyle name="Nuovo 13" xfId="1138" xr:uid="{00000000-0005-0000-0000-00006C170000}"/>
    <cellStyle name="Nuovo 13 2" xfId="1139" xr:uid="{00000000-0005-0000-0000-00006D170000}"/>
    <cellStyle name="Nuovo 13 2 2" xfId="2732" xr:uid="{00000000-0005-0000-0000-00006E170000}"/>
    <cellStyle name="Nuovo 13 3" xfId="1140" xr:uid="{00000000-0005-0000-0000-00006F170000}"/>
    <cellStyle name="Nuovo 13 3 2" xfId="1141" xr:uid="{00000000-0005-0000-0000-000070170000}"/>
    <cellStyle name="Nuovo 13 3 3" xfId="1142" xr:uid="{00000000-0005-0000-0000-000071170000}"/>
    <cellStyle name="Nuovo 13 3 3 2" xfId="2734" xr:uid="{00000000-0005-0000-0000-000072170000}"/>
    <cellStyle name="Nuovo 13 3 4" xfId="2733" xr:uid="{00000000-0005-0000-0000-000073170000}"/>
    <cellStyle name="Nuovo 13 4" xfId="1143" xr:uid="{00000000-0005-0000-0000-000074170000}"/>
    <cellStyle name="Nuovo 13 4 2" xfId="1144" xr:uid="{00000000-0005-0000-0000-000075170000}"/>
    <cellStyle name="Nuovo 13 4 2 2" xfId="2736" xr:uid="{00000000-0005-0000-0000-000076170000}"/>
    <cellStyle name="Nuovo 13 4 3" xfId="2735" xr:uid="{00000000-0005-0000-0000-000077170000}"/>
    <cellStyle name="Nuovo 13 5" xfId="1145" xr:uid="{00000000-0005-0000-0000-000078170000}"/>
    <cellStyle name="Nuovo 14" xfId="1146" xr:uid="{00000000-0005-0000-0000-000079170000}"/>
    <cellStyle name="Nuovo 14 2" xfId="1147" xr:uid="{00000000-0005-0000-0000-00007A170000}"/>
    <cellStyle name="Nuovo 14 2 2" xfId="2737" xr:uid="{00000000-0005-0000-0000-00007B170000}"/>
    <cellStyle name="Nuovo 14 3" xfId="1148" xr:uid="{00000000-0005-0000-0000-00007C170000}"/>
    <cellStyle name="Nuovo 14 3 2" xfId="1149" xr:uid="{00000000-0005-0000-0000-00007D170000}"/>
    <cellStyle name="Nuovo 14 3 3" xfId="1150" xr:uid="{00000000-0005-0000-0000-00007E170000}"/>
    <cellStyle name="Nuovo 14 3 3 2" xfId="2739" xr:uid="{00000000-0005-0000-0000-00007F170000}"/>
    <cellStyle name="Nuovo 14 3 4" xfId="2738" xr:uid="{00000000-0005-0000-0000-000080170000}"/>
    <cellStyle name="Nuovo 14 4" xfId="1151" xr:uid="{00000000-0005-0000-0000-000081170000}"/>
    <cellStyle name="Nuovo 14 4 2" xfId="1152" xr:uid="{00000000-0005-0000-0000-000082170000}"/>
    <cellStyle name="Nuovo 14 4 2 2" xfId="2741" xr:uid="{00000000-0005-0000-0000-000083170000}"/>
    <cellStyle name="Nuovo 14 4 3" xfId="2740" xr:uid="{00000000-0005-0000-0000-000084170000}"/>
    <cellStyle name="Nuovo 14 5" xfId="1153" xr:uid="{00000000-0005-0000-0000-000085170000}"/>
    <cellStyle name="Nuovo 15" xfId="1154" xr:uid="{00000000-0005-0000-0000-000086170000}"/>
    <cellStyle name="Nuovo 15 2" xfId="1155" xr:uid="{00000000-0005-0000-0000-000087170000}"/>
    <cellStyle name="Nuovo 15 2 2" xfId="2742" xr:uid="{00000000-0005-0000-0000-000088170000}"/>
    <cellStyle name="Nuovo 15 3" xfId="1156" xr:uid="{00000000-0005-0000-0000-000089170000}"/>
    <cellStyle name="Nuovo 15 3 2" xfId="1157" xr:uid="{00000000-0005-0000-0000-00008A170000}"/>
    <cellStyle name="Nuovo 15 3 3" xfId="1158" xr:uid="{00000000-0005-0000-0000-00008B170000}"/>
    <cellStyle name="Nuovo 15 3 3 2" xfId="2744" xr:uid="{00000000-0005-0000-0000-00008C170000}"/>
    <cellStyle name="Nuovo 15 3 4" xfId="2743" xr:uid="{00000000-0005-0000-0000-00008D170000}"/>
    <cellStyle name="Nuovo 15 4" xfId="1159" xr:uid="{00000000-0005-0000-0000-00008E170000}"/>
    <cellStyle name="Nuovo 15 4 2" xfId="1160" xr:uid="{00000000-0005-0000-0000-00008F170000}"/>
    <cellStyle name="Nuovo 15 4 2 2" xfId="2746" xr:uid="{00000000-0005-0000-0000-000090170000}"/>
    <cellStyle name="Nuovo 15 4 3" xfId="2745" xr:uid="{00000000-0005-0000-0000-000091170000}"/>
    <cellStyle name="Nuovo 15 5" xfId="1161" xr:uid="{00000000-0005-0000-0000-000092170000}"/>
    <cellStyle name="Nuovo 16" xfId="1162" xr:uid="{00000000-0005-0000-0000-000093170000}"/>
    <cellStyle name="Nuovo 16 2" xfId="1163" xr:uid="{00000000-0005-0000-0000-000094170000}"/>
    <cellStyle name="Nuovo 16 2 2" xfId="2747" xr:uid="{00000000-0005-0000-0000-000095170000}"/>
    <cellStyle name="Nuovo 16 3" xfId="1164" xr:uid="{00000000-0005-0000-0000-000096170000}"/>
    <cellStyle name="Nuovo 16 3 2" xfId="1165" xr:uid="{00000000-0005-0000-0000-000097170000}"/>
    <cellStyle name="Nuovo 16 3 3" xfId="1166" xr:uid="{00000000-0005-0000-0000-000098170000}"/>
    <cellStyle name="Nuovo 16 3 3 2" xfId="2749" xr:uid="{00000000-0005-0000-0000-000099170000}"/>
    <cellStyle name="Nuovo 16 3 4" xfId="2748" xr:uid="{00000000-0005-0000-0000-00009A170000}"/>
    <cellStyle name="Nuovo 16 4" xfId="1167" xr:uid="{00000000-0005-0000-0000-00009B170000}"/>
    <cellStyle name="Nuovo 16 4 2" xfId="1168" xr:uid="{00000000-0005-0000-0000-00009C170000}"/>
    <cellStyle name="Nuovo 16 4 2 2" xfId="2751" xr:uid="{00000000-0005-0000-0000-00009D170000}"/>
    <cellStyle name="Nuovo 16 4 3" xfId="2750" xr:uid="{00000000-0005-0000-0000-00009E170000}"/>
    <cellStyle name="Nuovo 16 5" xfId="1169" xr:uid="{00000000-0005-0000-0000-00009F170000}"/>
    <cellStyle name="Nuovo 17" xfId="1170" xr:uid="{00000000-0005-0000-0000-0000A0170000}"/>
    <cellStyle name="Nuovo 17 2" xfId="1171" xr:uid="{00000000-0005-0000-0000-0000A1170000}"/>
    <cellStyle name="Nuovo 17 2 2" xfId="2752" xr:uid="{00000000-0005-0000-0000-0000A2170000}"/>
    <cellStyle name="Nuovo 17 3" xfId="1172" xr:uid="{00000000-0005-0000-0000-0000A3170000}"/>
    <cellStyle name="Nuovo 17 3 2" xfId="1173" xr:uid="{00000000-0005-0000-0000-0000A4170000}"/>
    <cellStyle name="Nuovo 17 3 3" xfId="1174" xr:uid="{00000000-0005-0000-0000-0000A5170000}"/>
    <cellStyle name="Nuovo 17 3 3 2" xfId="2754" xr:uid="{00000000-0005-0000-0000-0000A6170000}"/>
    <cellStyle name="Nuovo 17 3 4" xfId="2753" xr:uid="{00000000-0005-0000-0000-0000A7170000}"/>
    <cellStyle name="Nuovo 17 4" xfId="1175" xr:uid="{00000000-0005-0000-0000-0000A8170000}"/>
    <cellStyle name="Nuovo 17 4 2" xfId="1176" xr:uid="{00000000-0005-0000-0000-0000A9170000}"/>
    <cellStyle name="Nuovo 17 4 2 2" xfId="2756" xr:uid="{00000000-0005-0000-0000-0000AA170000}"/>
    <cellStyle name="Nuovo 17 4 3" xfId="2755" xr:uid="{00000000-0005-0000-0000-0000AB170000}"/>
    <cellStyle name="Nuovo 17 5" xfId="1177" xr:uid="{00000000-0005-0000-0000-0000AC170000}"/>
    <cellStyle name="Nuovo 18" xfId="1178" xr:uid="{00000000-0005-0000-0000-0000AD170000}"/>
    <cellStyle name="Nuovo 18 2" xfId="1179" xr:uid="{00000000-0005-0000-0000-0000AE170000}"/>
    <cellStyle name="Nuovo 18 2 2" xfId="2757" xr:uid="{00000000-0005-0000-0000-0000AF170000}"/>
    <cellStyle name="Nuovo 18 3" xfId="1180" xr:uid="{00000000-0005-0000-0000-0000B0170000}"/>
    <cellStyle name="Nuovo 18 3 2" xfId="1181" xr:uid="{00000000-0005-0000-0000-0000B1170000}"/>
    <cellStyle name="Nuovo 18 3 3" xfId="1182" xr:uid="{00000000-0005-0000-0000-0000B2170000}"/>
    <cellStyle name="Nuovo 18 3 3 2" xfId="2759" xr:uid="{00000000-0005-0000-0000-0000B3170000}"/>
    <cellStyle name="Nuovo 18 3 4" xfId="2758" xr:uid="{00000000-0005-0000-0000-0000B4170000}"/>
    <cellStyle name="Nuovo 18 4" xfId="1183" xr:uid="{00000000-0005-0000-0000-0000B5170000}"/>
    <cellStyle name="Nuovo 18 4 2" xfId="1184" xr:uid="{00000000-0005-0000-0000-0000B6170000}"/>
    <cellStyle name="Nuovo 18 4 2 2" xfId="2761" xr:uid="{00000000-0005-0000-0000-0000B7170000}"/>
    <cellStyle name="Nuovo 18 4 3" xfId="2760" xr:uid="{00000000-0005-0000-0000-0000B8170000}"/>
    <cellStyle name="Nuovo 18 5" xfId="1185" xr:uid="{00000000-0005-0000-0000-0000B9170000}"/>
    <cellStyle name="Nuovo 19" xfId="1186" xr:uid="{00000000-0005-0000-0000-0000BA170000}"/>
    <cellStyle name="Nuovo 19 2" xfId="1187" xr:uid="{00000000-0005-0000-0000-0000BB170000}"/>
    <cellStyle name="Nuovo 19 2 2" xfId="2762" xr:uid="{00000000-0005-0000-0000-0000BC170000}"/>
    <cellStyle name="Nuovo 19 3" xfId="1188" xr:uid="{00000000-0005-0000-0000-0000BD170000}"/>
    <cellStyle name="Nuovo 19 3 2" xfId="1189" xr:uid="{00000000-0005-0000-0000-0000BE170000}"/>
    <cellStyle name="Nuovo 19 3 3" xfId="1190" xr:uid="{00000000-0005-0000-0000-0000BF170000}"/>
    <cellStyle name="Nuovo 19 3 3 2" xfId="2764" xr:uid="{00000000-0005-0000-0000-0000C0170000}"/>
    <cellStyle name="Nuovo 19 3 4" xfId="2763" xr:uid="{00000000-0005-0000-0000-0000C1170000}"/>
    <cellStyle name="Nuovo 19 4" xfId="1191" xr:uid="{00000000-0005-0000-0000-0000C2170000}"/>
    <cellStyle name="Nuovo 19 4 2" xfId="1192" xr:uid="{00000000-0005-0000-0000-0000C3170000}"/>
    <cellStyle name="Nuovo 19 4 2 2" xfId="2766" xr:uid="{00000000-0005-0000-0000-0000C4170000}"/>
    <cellStyle name="Nuovo 19 4 3" xfId="2765" xr:uid="{00000000-0005-0000-0000-0000C5170000}"/>
    <cellStyle name="Nuovo 19 5" xfId="1193" xr:uid="{00000000-0005-0000-0000-0000C6170000}"/>
    <cellStyle name="Nuovo 2" xfId="1194" xr:uid="{00000000-0005-0000-0000-0000C7170000}"/>
    <cellStyle name="Nuovo 2 2" xfId="1195" xr:uid="{00000000-0005-0000-0000-0000C8170000}"/>
    <cellStyle name="Nuovo 2 2 2" xfId="2767" xr:uid="{00000000-0005-0000-0000-0000C9170000}"/>
    <cellStyle name="Nuovo 2 3" xfId="1196" xr:uid="{00000000-0005-0000-0000-0000CA170000}"/>
    <cellStyle name="Nuovo 2 3 2" xfId="1197" xr:uid="{00000000-0005-0000-0000-0000CB170000}"/>
    <cellStyle name="Nuovo 2 3 3" xfId="1198" xr:uid="{00000000-0005-0000-0000-0000CC170000}"/>
    <cellStyle name="Nuovo 2 3 3 2" xfId="2769" xr:uid="{00000000-0005-0000-0000-0000CD170000}"/>
    <cellStyle name="Nuovo 2 3 4" xfId="2768" xr:uid="{00000000-0005-0000-0000-0000CE170000}"/>
    <cellStyle name="Nuovo 2 4" xfId="1199" xr:uid="{00000000-0005-0000-0000-0000CF170000}"/>
    <cellStyle name="Nuovo 2 4 2" xfId="1200" xr:uid="{00000000-0005-0000-0000-0000D0170000}"/>
    <cellStyle name="Nuovo 2 4 2 2" xfId="2771" xr:uid="{00000000-0005-0000-0000-0000D1170000}"/>
    <cellStyle name="Nuovo 2 4 3" xfId="2770" xr:uid="{00000000-0005-0000-0000-0000D2170000}"/>
    <cellStyle name="Nuovo 2 5" xfId="1201" xr:uid="{00000000-0005-0000-0000-0000D3170000}"/>
    <cellStyle name="Nuovo 20" xfId="1202" xr:uid="{00000000-0005-0000-0000-0000D4170000}"/>
    <cellStyle name="Nuovo 20 2" xfId="1203" xr:uid="{00000000-0005-0000-0000-0000D5170000}"/>
    <cellStyle name="Nuovo 20 2 2" xfId="2772" xr:uid="{00000000-0005-0000-0000-0000D6170000}"/>
    <cellStyle name="Nuovo 20 3" xfId="1204" xr:uid="{00000000-0005-0000-0000-0000D7170000}"/>
    <cellStyle name="Nuovo 20 3 2" xfId="1205" xr:uid="{00000000-0005-0000-0000-0000D8170000}"/>
    <cellStyle name="Nuovo 20 3 3" xfId="1206" xr:uid="{00000000-0005-0000-0000-0000D9170000}"/>
    <cellStyle name="Nuovo 20 3 3 2" xfId="2774" xr:uid="{00000000-0005-0000-0000-0000DA170000}"/>
    <cellStyle name="Nuovo 20 3 4" xfId="2773" xr:uid="{00000000-0005-0000-0000-0000DB170000}"/>
    <cellStyle name="Nuovo 20 4" xfId="1207" xr:uid="{00000000-0005-0000-0000-0000DC170000}"/>
    <cellStyle name="Nuovo 20 4 2" xfId="1208" xr:uid="{00000000-0005-0000-0000-0000DD170000}"/>
    <cellStyle name="Nuovo 20 4 2 2" xfId="2776" xr:uid="{00000000-0005-0000-0000-0000DE170000}"/>
    <cellStyle name="Nuovo 20 4 3" xfId="2775" xr:uid="{00000000-0005-0000-0000-0000DF170000}"/>
    <cellStyle name="Nuovo 20 5" xfId="1209" xr:uid="{00000000-0005-0000-0000-0000E0170000}"/>
    <cellStyle name="Nuovo 21" xfId="1210" xr:uid="{00000000-0005-0000-0000-0000E1170000}"/>
    <cellStyle name="Nuovo 21 2" xfId="1211" xr:uid="{00000000-0005-0000-0000-0000E2170000}"/>
    <cellStyle name="Nuovo 21 2 2" xfId="2777" xr:uid="{00000000-0005-0000-0000-0000E3170000}"/>
    <cellStyle name="Nuovo 21 3" xfId="1212" xr:uid="{00000000-0005-0000-0000-0000E4170000}"/>
    <cellStyle name="Nuovo 21 3 2" xfId="1213" xr:uid="{00000000-0005-0000-0000-0000E5170000}"/>
    <cellStyle name="Nuovo 21 3 3" xfId="1214" xr:uid="{00000000-0005-0000-0000-0000E6170000}"/>
    <cellStyle name="Nuovo 21 3 3 2" xfId="2779" xr:uid="{00000000-0005-0000-0000-0000E7170000}"/>
    <cellStyle name="Nuovo 21 3 4" xfId="2778" xr:uid="{00000000-0005-0000-0000-0000E8170000}"/>
    <cellStyle name="Nuovo 21 4" xfId="1215" xr:uid="{00000000-0005-0000-0000-0000E9170000}"/>
    <cellStyle name="Nuovo 21 4 2" xfId="1216" xr:uid="{00000000-0005-0000-0000-0000EA170000}"/>
    <cellStyle name="Nuovo 21 4 2 2" xfId="2781" xr:uid="{00000000-0005-0000-0000-0000EB170000}"/>
    <cellStyle name="Nuovo 21 4 3" xfId="2780" xr:uid="{00000000-0005-0000-0000-0000EC170000}"/>
    <cellStyle name="Nuovo 21 5" xfId="1217" xr:uid="{00000000-0005-0000-0000-0000ED170000}"/>
    <cellStyle name="Nuovo 22" xfId="1218" xr:uid="{00000000-0005-0000-0000-0000EE170000}"/>
    <cellStyle name="Nuovo 22 2" xfId="1219" xr:uid="{00000000-0005-0000-0000-0000EF170000}"/>
    <cellStyle name="Nuovo 22 2 2" xfId="2782" xr:uid="{00000000-0005-0000-0000-0000F0170000}"/>
    <cellStyle name="Nuovo 22 3" xfId="1220" xr:uid="{00000000-0005-0000-0000-0000F1170000}"/>
    <cellStyle name="Nuovo 22 3 2" xfId="1221" xr:uid="{00000000-0005-0000-0000-0000F2170000}"/>
    <cellStyle name="Nuovo 22 3 3" xfId="1222" xr:uid="{00000000-0005-0000-0000-0000F3170000}"/>
    <cellStyle name="Nuovo 22 3 3 2" xfId="2784" xr:uid="{00000000-0005-0000-0000-0000F4170000}"/>
    <cellStyle name="Nuovo 22 3 4" xfId="2783" xr:uid="{00000000-0005-0000-0000-0000F5170000}"/>
    <cellStyle name="Nuovo 22 4" xfId="1223" xr:uid="{00000000-0005-0000-0000-0000F6170000}"/>
    <cellStyle name="Nuovo 22 4 2" xfId="1224" xr:uid="{00000000-0005-0000-0000-0000F7170000}"/>
    <cellStyle name="Nuovo 22 4 2 2" xfId="2786" xr:uid="{00000000-0005-0000-0000-0000F8170000}"/>
    <cellStyle name="Nuovo 22 4 3" xfId="2785" xr:uid="{00000000-0005-0000-0000-0000F9170000}"/>
    <cellStyle name="Nuovo 22 5" xfId="1225" xr:uid="{00000000-0005-0000-0000-0000FA170000}"/>
    <cellStyle name="Nuovo 23" xfId="1226" xr:uid="{00000000-0005-0000-0000-0000FB170000}"/>
    <cellStyle name="Nuovo 23 2" xfId="1227" xr:uid="{00000000-0005-0000-0000-0000FC170000}"/>
    <cellStyle name="Nuovo 23 2 2" xfId="2787" xr:uid="{00000000-0005-0000-0000-0000FD170000}"/>
    <cellStyle name="Nuovo 23 3" xfId="1228" xr:uid="{00000000-0005-0000-0000-0000FE170000}"/>
    <cellStyle name="Nuovo 23 3 2" xfId="1229" xr:uid="{00000000-0005-0000-0000-0000FF170000}"/>
    <cellStyle name="Nuovo 23 3 3" xfId="1230" xr:uid="{00000000-0005-0000-0000-000000180000}"/>
    <cellStyle name="Nuovo 23 3 3 2" xfId="2789" xr:uid="{00000000-0005-0000-0000-000001180000}"/>
    <cellStyle name="Nuovo 23 3 4" xfId="2788" xr:uid="{00000000-0005-0000-0000-000002180000}"/>
    <cellStyle name="Nuovo 23 4" xfId="1231" xr:uid="{00000000-0005-0000-0000-000003180000}"/>
    <cellStyle name="Nuovo 23 4 2" xfId="1232" xr:uid="{00000000-0005-0000-0000-000004180000}"/>
    <cellStyle name="Nuovo 23 4 2 2" xfId="2791" xr:uid="{00000000-0005-0000-0000-000005180000}"/>
    <cellStyle name="Nuovo 23 4 3" xfId="2790" xr:uid="{00000000-0005-0000-0000-000006180000}"/>
    <cellStyle name="Nuovo 23 5" xfId="1233" xr:uid="{00000000-0005-0000-0000-000007180000}"/>
    <cellStyle name="Nuovo 24" xfId="1234" xr:uid="{00000000-0005-0000-0000-000008180000}"/>
    <cellStyle name="Nuovo 24 2" xfId="1235" xr:uid="{00000000-0005-0000-0000-000009180000}"/>
    <cellStyle name="Nuovo 24 2 2" xfId="2792" xr:uid="{00000000-0005-0000-0000-00000A180000}"/>
    <cellStyle name="Nuovo 24 3" xfId="1236" xr:uid="{00000000-0005-0000-0000-00000B180000}"/>
    <cellStyle name="Nuovo 24 3 2" xfId="1237" xr:uid="{00000000-0005-0000-0000-00000C180000}"/>
    <cellStyle name="Nuovo 24 3 3" xfId="1238" xr:uid="{00000000-0005-0000-0000-00000D180000}"/>
    <cellStyle name="Nuovo 24 3 3 2" xfId="2794" xr:uid="{00000000-0005-0000-0000-00000E180000}"/>
    <cellStyle name="Nuovo 24 3 4" xfId="2793" xr:uid="{00000000-0005-0000-0000-00000F180000}"/>
    <cellStyle name="Nuovo 24 4" xfId="1239" xr:uid="{00000000-0005-0000-0000-000010180000}"/>
    <cellStyle name="Nuovo 24 4 2" xfId="1240" xr:uid="{00000000-0005-0000-0000-000011180000}"/>
    <cellStyle name="Nuovo 24 4 2 2" xfId="2796" xr:uid="{00000000-0005-0000-0000-000012180000}"/>
    <cellStyle name="Nuovo 24 4 3" xfId="2795" xr:uid="{00000000-0005-0000-0000-000013180000}"/>
    <cellStyle name="Nuovo 24 5" xfId="1241" xr:uid="{00000000-0005-0000-0000-000014180000}"/>
    <cellStyle name="Nuovo 25" xfId="1242" xr:uid="{00000000-0005-0000-0000-000015180000}"/>
    <cellStyle name="Nuovo 25 2" xfId="1243" xr:uid="{00000000-0005-0000-0000-000016180000}"/>
    <cellStyle name="Nuovo 25 2 2" xfId="2797" xr:uid="{00000000-0005-0000-0000-000017180000}"/>
    <cellStyle name="Nuovo 25 3" xfId="1244" xr:uid="{00000000-0005-0000-0000-000018180000}"/>
    <cellStyle name="Nuovo 25 3 2" xfId="1245" xr:uid="{00000000-0005-0000-0000-000019180000}"/>
    <cellStyle name="Nuovo 25 3 3" xfId="1246" xr:uid="{00000000-0005-0000-0000-00001A180000}"/>
    <cellStyle name="Nuovo 25 3 3 2" xfId="2799" xr:uid="{00000000-0005-0000-0000-00001B180000}"/>
    <cellStyle name="Nuovo 25 3 4" xfId="2798" xr:uid="{00000000-0005-0000-0000-00001C180000}"/>
    <cellStyle name="Nuovo 25 4" xfId="1247" xr:uid="{00000000-0005-0000-0000-00001D180000}"/>
    <cellStyle name="Nuovo 25 4 2" xfId="1248" xr:uid="{00000000-0005-0000-0000-00001E180000}"/>
    <cellStyle name="Nuovo 25 4 2 2" xfId="2801" xr:uid="{00000000-0005-0000-0000-00001F180000}"/>
    <cellStyle name="Nuovo 25 4 3" xfId="2800" xr:uid="{00000000-0005-0000-0000-000020180000}"/>
    <cellStyle name="Nuovo 25 5" xfId="1249" xr:uid="{00000000-0005-0000-0000-000021180000}"/>
    <cellStyle name="Nuovo 26" xfId="1250" xr:uid="{00000000-0005-0000-0000-000022180000}"/>
    <cellStyle name="Nuovo 26 2" xfId="1251" xr:uid="{00000000-0005-0000-0000-000023180000}"/>
    <cellStyle name="Nuovo 26 2 2" xfId="2802" xr:uid="{00000000-0005-0000-0000-000024180000}"/>
    <cellStyle name="Nuovo 26 3" xfId="1252" xr:uid="{00000000-0005-0000-0000-000025180000}"/>
    <cellStyle name="Nuovo 26 3 2" xfId="1253" xr:uid="{00000000-0005-0000-0000-000026180000}"/>
    <cellStyle name="Nuovo 26 3 3" xfId="1254" xr:uid="{00000000-0005-0000-0000-000027180000}"/>
    <cellStyle name="Nuovo 26 3 3 2" xfId="2804" xr:uid="{00000000-0005-0000-0000-000028180000}"/>
    <cellStyle name="Nuovo 26 3 4" xfId="2803" xr:uid="{00000000-0005-0000-0000-000029180000}"/>
    <cellStyle name="Nuovo 26 4" xfId="1255" xr:uid="{00000000-0005-0000-0000-00002A180000}"/>
    <cellStyle name="Nuovo 26 4 2" xfId="1256" xr:uid="{00000000-0005-0000-0000-00002B180000}"/>
    <cellStyle name="Nuovo 26 4 2 2" xfId="2806" xr:uid="{00000000-0005-0000-0000-00002C180000}"/>
    <cellStyle name="Nuovo 26 4 3" xfId="2805" xr:uid="{00000000-0005-0000-0000-00002D180000}"/>
    <cellStyle name="Nuovo 26 5" xfId="1257" xr:uid="{00000000-0005-0000-0000-00002E180000}"/>
    <cellStyle name="Nuovo 27" xfId="1258" xr:uid="{00000000-0005-0000-0000-00002F180000}"/>
    <cellStyle name="Nuovo 27 2" xfId="1259" xr:uid="{00000000-0005-0000-0000-000030180000}"/>
    <cellStyle name="Nuovo 27 2 2" xfId="2807" xr:uid="{00000000-0005-0000-0000-000031180000}"/>
    <cellStyle name="Nuovo 27 3" xfId="1260" xr:uid="{00000000-0005-0000-0000-000032180000}"/>
    <cellStyle name="Nuovo 27 3 2" xfId="1261" xr:uid="{00000000-0005-0000-0000-000033180000}"/>
    <cellStyle name="Nuovo 27 3 3" xfId="1262" xr:uid="{00000000-0005-0000-0000-000034180000}"/>
    <cellStyle name="Nuovo 27 3 3 2" xfId="2809" xr:uid="{00000000-0005-0000-0000-000035180000}"/>
    <cellStyle name="Nuovo 27 3 4" xfId="2808" xr:uid="{00000000-0005-0000-0000-000036180000}"/>
    <cellStyle name="Nuovo 27 4" xfId="1263" xr:uid="{00000000-0005-0000-0000-000037180000}"/>
    <cellStyle name="Nuovo 27 4 2" xfId="1264" xr:uid="{00000000-0005-0000-0000-000038180000}"/>
    <cellStyle name="Nuovo 27 4 2 2" xfId="2811" xr:uid="{00000000-0005-0000-0000-000039180000}"/>
    <cellStyle name="Nuovo 27 4 3" xfId="2810" xr:uid="{00000000-0005-0000-0000-00003A180000}"/>
    <cellStyle name="Nuovo 27 5" xfId="1265" xr:uid="{00000000-0005-0000-0000-00003B180000}"/>
    <cellStyle name="Nuovo 28" xfId="1266" xr:uid="{00000000-0005-0000-0000-00003C180000}"/>
    <cellStyle name="Nuovo 28 2" xfId="1267" xr:uid="{00000000-0005-0000-0000-00003D180000}"/>
    <cellStyle name="Nuovo 28 2 2" xfId="2812" xr:uid="{00000000-0005-0000-0000-00003E180000}"/>
    <cellStyle name="Nuovo 28 3" xfId="1268" xr:uid="{00000000-0005-0000-0000-00003F180000}"/>
    <cellStyle name="Nuovo 28 3 2" xfId="1269" xr:uid="{00000000-0005-0000-0000-000040180000}"/>
    <cellStyle name="Nuovo 28 3 3" xfId="1270" xr:uid="{00000000-0005-0000-0000-000041180000}"/>
    <cellStyle name="Nuovo 28 3 3 2" xfId="2814" xr:uid="{00000000-0005-0000-0000-000042180000}"/>
    <cellStyle name="Nuovo 28 3 4" xfId="2813" xr:uid="{00000000-0005-0000-0000-000043180000}"/>
    <cellStyle name="Nuovo 28 4" xfId="1271" xr:uid="{00000000-0005-0000-0000-000044180000}"/>
    <cellStyle name="Nuovo 28 4 2" xfId="1272" xr:uid="{00000000-0005-0000-0000-000045180000}"/>
    <cellStyle name="Nuovo 28 4 2 2" xfId="2816" xr:uid="{00000000-0005-0000-0000-000046180000}"/>
    <cellStyle name="Nuovo 28 4 3" xfId="2815" xr:uid="{00000000-0005-0000-0000-000047180000}"/>
    <cellStyle name="Nuovo 28 5" xfId="1273" xr:uid="{00000000-0005-0000-0000-000048180000}"/>
    <cellStyle name="Nuovo 29" xfId="1274" xr:uid="{00000000-0005-0000-0000-000049180000}"/>
    <cellStyle name="Nuovo 29 2" xfId="1275" xr:uid="{00000000-0005-0000-0000-00004A180000}"/>
    <cellStyle name="Nuovo 29 2 2" xfId="2817" xr:uid="{00000000-0005-0000-0000-00004B180000}"/>
    <cellStyle name="Nuovo 29 3" xfId="1276" xr:uid="{00000000-0005-0000-0000-00004C180000}"/>
    <cellStyle name="Nuovo 29 3 2" xfId="1277" xr:uid="{00000000-0005-0000-0000-00004D180000}"/>
    <cellStyle name="Nuovo 29 3 3" xfId="1278" xr:uid="{00000000-0005-0000-0000-00004E180000}"/>
    <cellStyle name="Nuovo 29 3 3 2" xfId="2819" xr:uid="{00000000-0005-0000-0000-00004F180000}"/>
    <cellStyle name="Nuovo 29 3 4" xfId="2818" xr:uid="{00000000-0005-0000-0000-000050180000}"/>
    <cellStyle name="Nuovo 29 4" xfId="1279" xr:uid="{00000000-0005-0000-0000-000051180000}"/>
    <cellStyle name="Nuovo 29 4 2" xfId="1280" xr:uid="{00000000-0005-0000-0000-000052180000}"/>
    <cellStyle name="Nuovo 29 4 2 2" xfId="2821" xr:uid="{00000000-0005-0000-0000-000053180000}"/>
    <cellStyle name="Nuovo 29 4 3" xfId="2820" xr:uid="{00000000-0005-0000-0000-000054180000}"/>
    <cellStyle name="Nuovo 29 5" xfId="1281" xr:uid="{00000000-0005-0000-0000-000055180000}"/>
    <cellStyle name="Nuovo 3" xfId="1282" xr:uid="{00000000-0005-0000-0000-000056180000}"/>
    <cellStyle name="Nuovo 3 2" xfId="1283" xr:uid="{00000000-0005-0000-0000-000057180000}"/>
    <cellStyle name="Nuovo 3 2 2" xfId="2822" xr:uid="{00000000-0005-0000-0000-000058180000}"/>
    <cellStyle name="Nuovo 3 3" xfId="1284" xr:uid="{00000000-0005-0000-0000-000059180000}"/>
    <cellStyle name="Nuovo 3 3 2" xfId="1285" xr:uid="{00000000-0005-0000-0000-00005A180000}"/>
    <cellStyle name="Nuovo 3 3 3" xfId="1286" xr:uid="{00000000-0005-0000-0000-00005B180000}"/>
    <cellStyle name="Nuovo 3 3 3 2" xfId="2824" xr:uid="{00000000-0005-0000-0000-00005C180000}"/>
    <cellStyle name="Nuovo 3 3 4" xfId="2823" xr:uid="{00000000-0005-0000-0000-00005D180000}"/>
    <cellStyle name="Nuovo 3 4" xfId="1287" xr:uid="{00000000-0005-0000-0000-00005E180000}"/>
    <cellStyle name="Nuovo 3 4 2" xfId="1288" xr:uid="{00000000-0005-0000-0000-00005F180000}"/>
    <cellStyle name="Nuovo 3 4 2 2" xfId="2826" xr:uid="{00000000-0005-0000-0000-000060180000}"/>
    <cellStyle name="Nuovo 3 4 3" xfId="2825" xr:uid="{00000000-0005-0000-0000-000061180000}"/>
    <cellStyle name="Nuovo 3 5" xfId="1289" xr:uid="{00000000-0005-0000-0000-000062180000}"/>
    <cellStyle name="Nuovo 30" xfId="1290" xr:uid="{00000000-0005-0000-0000-000063180000}"/>
    <cellStyle name="Nuovo 30 2" xfId="1291" xr:uid="{00000000-0005-0000-0000-000064180000}"/>
    <cellStyle name="Nuovo 30 2 2" xfId="2827" xr:uid="{00000000-0005-0000-0000-000065180000}"/>
    <cellStyle name="Nuovo 30 3" xfId="1292" xr:uid="{00000000-0005-0000-0000-000066180000}"/>
    <cellStyle name="Nuovo 30 3 2" xfId="1293" xr:uid="{00000000-0005-0000-0000-000067180000}"/>
    <cellStyle name="Nuovo 30 3 3" xfId="1294" xr:uid="{00000000-0005-0000-0000-000068180000}"/>
    <cellStyle name="Nuovo 30 3 3 2" xfId="2829" xr:uid="{00000000-0005-0000-0000-000069180000}"/>
    <cellStyle name="Nuovo 30 3 4" xfId="2828" xr:uid="{00000000-0005-0000-0000-00006A180000}"/>
    <cellStyle name="Nuovo 30 4" xfId="1295" xr:uid="{00000000-0005-0000-0000-00006B180000}"/>
    <cellStyle name="Nuovo 30 4 2" xfId="1296" xr:uid="{00000000-0005-0000-0000-00006C180000}"/>
    <cellStyle name="Nuovo 30 4 2 2" xfId="2831" xr:uid="{00000000-0005-0000-0000-00006D180000}"/>
    <cellStyle name="Nuovo 30 4 3" xfId="2830" xr:uid="{00000000-0005-0000-0000-00006E180000}"/>
    <cellStyle name="Nuovo 30 5" xfId="1297" xr:uid="{00000000-0005-0000-0000-00006F180000}"/>
    <cellStyle name="Nuovo 31" xfId="1298" xr:uid="{00000000-0005-0000-0000-000070180000}"/>
    <cellStyle name="Nuovo 31 2" xfId="1299" xr:uid="{00000000-0005-0000-0000-000071180000}"/>
    <cellStyle name="Nuovo 31 2 2" xfId="2832" xr:uid="{00000000-0005-0000-0000-000072180000}"/>
    <cellStyle name="Nuovo 31 3" xfId="1300" xr:uid="{00000000-0005-0000-0000-000073180000}"/>
    <cellStyle name="Nuovo 31 3 2" xfId="1301" xr:uid="{00000000-0005-0000-0000-000074180000}"/>
    <cellStyle name="Nuovo 31 3 3" xfId="1302" xr:uid="{00000000-0005-0000-0000-000075180000}"/>
    <cellStyle name="Nuovo 31 3 3 2" xfId="2834" xr:uid="{00000000-0005-0000-0000-000076180000}"/>
    <cellStyle name="Nuovo 31 3 4" xfId="2833" xr:uid="{00000000-0005-0000-0000-000077180000}"/>
    <cellStyle name="Nuovo 31 4" xfId="1303" xr:uid="{00000000-0005-0000-0000-000078180000}"/>
    <cellStyle name="Nuovo 31 4 2" xfId="1304" xr:uid="{00000000-0005-0000-0000-000079180000}"/>
    <cellStyle name="Nuovo 31 4 2 2" xfId="2836" xr:uid="{00000000-0005-0000-0000-00007A180000}"/>
    <cellStyle name="Nuovo 31 4 3" xfId="2835" xr:uid="{00000000-0005-0000-0000-00007B180000}"/>
    <cellStyle name="Nuovo 31 5" xfId="1305" xr:uid="{00000000-0005-0000-0000-00007C180000}"/>
    <cellStyle name="Nuovo 32" xfId="1306" xr:uid="{00000000-0005-0000-0000-00007D180000}"/>
    <cellStyle name="Nuovo 32 2" xfId="1307" xr:uid="{00000000-0005-0000-0000-00007E180000}"/>
    <cellStyle name="Nuovo 32 2 2" xfId="2837" xr:uid="{00000000-0005-0000-0000-00007F180000}"/>
    <cellStyle name="Nuovo 32 3" xfId="1308" xr:uid="{00000000-0005-0000-0000-000080180000}"/>
    <cellStyle name="Nuovo 32 3 2" xfId="1309" xr:uid="{00000000-0005-0000-0000-000081180000}"/>
    <cellStyle name="Nuovo 32 3 3" xfId="1310" xr:uid="{00000000-0005-0000-0000-000082180000}"/>
    <cellStyle name="Nuovo 32 3 3 2" xfId="2839" xr:uid="{00000000-0005-0000-0000-000083180000}"/>
    <cellStyle name="Nuovo 32 3 4" xfId="2838" xr:uid="{00000000-0005-0000-0000-000084180000}"/>
    <cellStyle name="Nuovo 32 4" xfId="1311" xr:uid="{00000000-0005-0000-0000-000085180000}"/>
    <cellStyle name="Nuovo 32 4 2" xfId="1312" xr:uid="{00000000-0005-0000-0000-000086180000}"/>
    <cellStyle name="Nuovo 32 4 2 2" xfId="2841" xr:uid="{00000000-0005-0000-0000-000087180000}"/>
    <cellStyle name="Nuovo 32 4 3" xfId="2840" xr:uid="{00000000-0005-0000-0000-000088180000}"/>
    <cellStyle name="Nuovo 32 5" xfId="1313" xr:uid="{00000000-0005-0000-0000-000089180000}"/>
    <cellStyle name="Nuovo 33" xfId="1314" xr:uid="{00000000-0005-0000-0000-00008A180000}"/>
    <cellStyle name="Nuovo 33 2" xfId="1315" xr:uid="{00000000-0005-0000-0000-00008B180000}"/>
    <cellStyle name="Nuovo 33 2 2" xfId="2842" xr:uid="{00000000-0005-0000-0000-00008C180000}"/>
    <cellStyle name="Nuovo 33 3" xfId="1316" xr:uid="{00000000-0005-0000-0000-00008D180000}"/>
    <cellStyle name="Nuovo 33 3 2" xfId="1317" xr:uid="{00000000-0005-0000-0000-00008E180000}"/>
    <cellStyle name="Nuovo 33 3 3" xfId="1318" xr:uid="{00000000-0005-0000-0000-00008F180000}"/>
    <cellStyle name="Nuovo 33 3 3 2" xfId="2844" xr:uid="{00000000-0005-0000-0000-000090180000}"/>
    <cellStyle name="Nuovo 33 3 4" xfId="2843" xr:uid="{00000000-0005-0000-0000-000091180000}"/>
    <cellStyle name="Nuovo 33 4" xfId="1319" xr:uid="{00000000-0005-0000-0000-000092180000}"/>
    <cellStyle name="Nuovo 33 4 2" xfId="1320" xr:uid="{00000000-0005-0000-0000-000093180000}"/>
    <cellStyle name="Nuovo 33 4 2 2" xfId="2846" xr:uid="{00000000-0005-0000-0000-000094180000}"/>
    <cellStyle name="Nuovo 33 4 3" xfId="2845" xr:uid="{00000000-0005-0000-0000-000095180000}"/>
    <cellStyle name="Nuovo 33 5" xfId="1321" xr:uid="{00000000-0005-0000-0000-000096180000}"/>
    <cellStyle name="Nuovo 34" xfId="1322" xr:uid="{00000000-0005-0000-0000-000097180000}"/>
    <cellStyle name="Nuovo 34 2" xfId="1323" xr:uid="{00000000-0005-0000-0000-000098180000}"/>
    <cellStyle name="Nuovo 34 2 2" xfId="2847" xr:uid="{00000000-0005-0000-0000-000099180000}"/>
    <cellStyle name="Nuovo 34 3" xfId="1324" xr:uid="{00000000-0005-0000-0000-00009A180000}"/>
    <cellStyle name="Nuovo 34 3 2" xfId="1325" xr:uid="{00000000-0005-0000-0000-00009B180000}"/>
    <cellStyle name="Nuovo 34 3 3" xfId="1326" xr:uid="{00000000-0005-0000-0000-00009C180000}"/>
    <cellStyle name="Nuovo 34 3 3 2" xfId="2849" xr:uid="{00000000-0005-0000-0000-00009D180000}"/>
    <cellStyle name="Nuovo 34 3 4" xfId="2848" xr:uid="{00000000-0005-0000-0000-00009E180000}"/>
    <cellStyle name="Nuovo 34 4" xfId="1327" xr:uid="{00000000-0005-0000-0000-00009F180000}"/>
    <cellStyle name="Nuovo 34 4 2" xfId="1328" xr:uid="{00000000-0005-0000-0000-0000A0180000}"/>
    <cellStyle name="Nuovo 34 4 2 2" xfId="2851" xr:uid="{00000000-0005-0000-0000-0000A1180000}"/>
    <cellStyle name="Nuovo 34 4 3" xfId="2850" xr:uid="{00000000-0005-0000-0000-0000A2180000}"/>
    <cellStyle name="Nuovo 34 5" xfId="1329" xr:uid="{00000000-0005-0000-0000-0000A3180000}"/>
    <cellStyle name="Nuovo 35" xfId="1330" xr:uid="{00000000-0005-0000-0000-0000A4180000}"/>
    <cellStyle name="Nuovo 35 2" xfId="1331" xr:uid="{00000000-0005-0000-0000-0000A5180000}"/>
    <cellStyle name="Nuovo 35 2 2" xfId="2852" xr:uid="{00000000-0005-0000-0000-0000A6180000}"/>
    <cellStyle name="Nuovo 35 3" xfId="1332" xr:uid="{00000000-0005-0000-0000-0000A7180000}"/>
    <cellStyle name="Nuovo 35 3 2" xfId="1333" xr:uid="{00000000-0005-0000-0000-0000A8180000}"/>
    <cellStyle name="Nuovo 35 3 3" xfId="1334" xr:uid="{00000000-0005-0000-0000-0000A9180000}"/>
    <cellStyle name="Nuovo 35 3 3 2" xfId="2854" xr:uid="{00000000-0005-0000-0000-0000AA180000}"/>
    <cellStyle name="Nuovo 35 3 4" xfId="2853" xr:uid="{00000000-0005-0000-0000-0000AB180000}"/>
    <cellStyle name="Nuovo 35 4" xfId="1335" xr:uid="{00000000-0005-0000-0000-0000AC180000}"/>
    <cellStyle name="Nuovo 35 4 2" xfId="1336" xr:uid="{00000000-0005-0000-0000-0000AD180000}"/>
    <cellStyle name="Nuovo 35 4 2 2" xfId="2856" xr:uid="{00000000-0005-0000-0000-0000AE180000}"/>
    <cellStyle name="Nuovo 35 4 3" xfId="2855" xr:uid="{00000000-0005-0000-0000-0000AF180000}"/>
    <cellStyle name="Nuovo 35 5" xfId="1337" xr:uid="{00000000-0005-0000-0000-0000B0180000}"/>
    <cellStyle name="Nuovo 36" xfId="1338" xr:uid="{00000000-0005-0000-0000-0000B1180000}"/>
    <cellStyle name="Nuovo 36 2" xfId="1339" xr:uid="{00000000-0005-0000-0000-0000B2180000}"/>
    <cellStyle name="Nuovo 36 2 2" xfId="2857" xr:uid="{00000000-0005-0000-0000-0000B3180000}"/>
    <cellStyle name="Nuovo 36 3" xfId="1340" xr:uid="{00000000-0005-0000-0000-0000B4180000}"/>
    <cellStyle name="Nuovo 36 3 2" xfId="1341" xr:uid="{00000000-0005-0000-0000-0000B5180000}"/>
    <cellStyle name="Nuovo 36 3 3" xfId="1342" xr:uid="{00000000-0005-0000-0000-0000B6180000}"/>
    <cellStyle name="Nuovo 36 3 3 2" xfId="2859" xr:uid="{00000000-0005-0000-0000-0000B7180000}"/>
    <cellStyle name="Nuovo 36 3 4" xfId="2858" xr:uid="{00000000-0005-0000-0000-0000B8180000}"/>
    <cellStyle name="Nuovo 36 4" xfId="1343" xr:uid="{00000000-0005-0000-0000-0000B9180000}"/>
    <cellStyle name="Nuovo 36 4 2" xfId="1344" xr:uid="{00000000-0005-0000-0000-0000BA180000}"/>
    <cellStyle name="Nuovo 36 4 2 2" xfId="2861" xr:uid="{00000000-0005-0000-0000-0000BB180000}"/>
    <cellStyle name="Nuovo 36 4 3" xfId="2860" xr:uid="{00000000-0005-0000-0000-0000BC180000}"/>
    <cellStyle name="Nuovo 36 5" xfId="1345" xr:uid="{00000000-0005-0000-0000-0000BD180000}"/>
    <cellStyle name="Nuovo 37" xfId="1346" xr:uid="{00000000-0005-0000-0000-0000BE180000}"/>
    <cellStyle name="Nuovo 37 2" xfId="1347" xr:uid="{00000000-0005-0000-0000-0000BF180000}"/>
    <cellStyle name="Nuovo 37 2 2" xfId="2862" xr:uid="{00000000-0005-0000-0000-0000C0180000}"/>
    <cellStyle name="Nuovo 37 3" xfId="1348" xr:uid="{00000000-0005-0000-0000-0000C1180000}"/>
    <cellStyle name="Nuovo 37 3 2" xfId="1349" xr:uid="{00000000-0005-0000-0000-0000C2180000}"/>
    <cellStyle name="Nuovo 37 3 3" xfId="1350" xr:uid="{00000000-0005-0000-0000-0000C3180000}"/>
    <cellStyle name="Nuovo 37 3 3 2" xfId="2864" xr:uid="{00000000-0005-0000-0000-0000C4180000}"/>
    <cellStyle name="Nuovo 37 3 4" xfId="2863" xr:uid="{00000000-0005-0000-0000-0000C5180000}"/>
    <cellStyle name="Nuovo 37 4" xfId="1351" xr:uid="{00000000-0005-0000-0000-0000C6180000}"/>
    <cellStyle name="Nuovo 37 4 2" xfId="1352" xr:uid="{00000000-0005-0000-0000-0000C7180000}"/>
    <cellStyle name="Nuovo 37 4 2 2" xfId="2866" xr:uid="{00000000-0005-0000-0000-0000C8180000}"/>
    <cellStyle name="Nuovo 37 4 3" xfId="2865" xr:uid="{00000000-0005-0000-0000-0000C9180000}"/>
    <cellStyle name="Nuovo 37 5" xfId="1353" xr:uid="{00000000-0005-0000-0000-0000CA180000}"/>
    <cellStyle name="Nuovo 38" xfId="1354" xr:uid="{00000000-0005-0000-0000-0000CB180000}"/>
    <cellStyle name="Nuovo 38 2" xfId="1355" xr:uid="{00000000-0005-0000-0000-0000CC180000}"/>
    <cellStyle name="Nuovo 38 2 2" xfId="2867" xr:uid="{00000000-0005-0000-0000-0000CD180000}"/>
    <cellStyle name="Nuovo 38 3" xfId="1356" xr:uid="{00000000-0005-0000-0000-0000CE180000}"/>
    <cellStyle name="Nuovo 38 3 2" xfId="1357" xr:uid="{00000000-0005-0000-0000-0000CF180000}"/>
    <cellStyle name="Nuovo 38 3 3" xfId="1358" xr:uid="{00000000-0005-0000-0000-0000D0180000}"/>
    <cellStyle name="Nuovo 38 3 3 2" xfId="2869" xr:uid="{00000000-0005-0000-0000-0000D1180000}"/>
    <cellStyle name="Nuovo 38 3 4" xfId="2868" xr:uid="{00000000-0005-0000-0000-0000D2180000}"/>
    <cellStyle name="Nuovo 38 4" xfId="1359" xr:uid="{00000000-0005-0000-0000-0000D3180000}"/>
    <cellStyle name="Nuovo 38 4 2" xfId="1360" xr:uid="{00000000-0005-0000-0000-0000D4180000}"/>
    <cellStyle name="Nuovo 38 4 2 2" xfId="2871" xr:uid="{00000000-0005-0000-0000-0000D5180000}"/>
    <cellStyle name="Nuovo 38 4 3" xfId="2870" xr:uid="{00000000-0005-0000-0000-0000D6180000}"/>
    <cellStyle name="Nuovo 38 5" xfId="1361" xr:uid="{00000000-0005-0000-0000-0000D7180000}"/>
    <cellStyle name="Nuovo 39" xfId="1362" xr:uid="{00000000-0005-0000-0000-0000D8180000}"/>
    <cellStyle name="Nuovo 39 2" xfId="1363" xr:uid="{00000000-0005-0000-0000-0000D9180000}"/>
    <cellStyle name="Nuovo 39 2 2" xfId="2872" xr:uid="{00000000-0005-0000-0000-0000DA180000}"/>
    <cellStyle name="Nuovo 39 3" xfId="1364" xr:uid="{00000000-0005-0000-0000-0000DB180000}"/>
    <cellStyle name="Nuovo 39 3 2" xfId="1365" xr:uid="{00000000-0005-0000-0000-0000DC180000}"/>
    <cellStyle name="Nuovo 39 3 3" xfId="1366" xr:uid="{00000000-0005-0000-0000-0000DD180000}"/>
    <cellStyle name="Nuovo 39 3 3 2" xfId="2874" xr:uid="{00000000-0005-0000-0000-0000DE180000}"/>
    <cellStyle name="Nuovo 39 3 4" xfId="2873" xr:uid="{00000000-0005-0000-0000-0000DF180000}"/>
    <cellStyle name="Nuovo 39 4" xfId="1367" xr:uid="{00000000-0005-0000-0000-0000E0180000}"/>
    <cellStyle name="Nuovo 39 4 2" xfId="1368" xr:uid="{00000000-0005-0000-0000-0000E1180000}"/>
    <cellStyle name="Nuovo 39 4 2 2" xfId="2876" xr:uid="{00000000-0005-0000-0000-0000E2180000}"/>
    <cellStyle name="Nuovo 39 4 3" xfId="2875" xr:uid="{00000000-0005-0000-0000-0000E3180000}"/>
    <cellStyle name="Nuovo 39 5" xfId="1369" xr:uid="{00000000-0005-0000-0000-0000E4180000}"/>
    <cellStyle name="Nuovo 4" xfId="1370" xr:uid="{00000000-0005-0000-0000-0000E5180000}"/>
    <cellStyle name="Nuovo 4 2" xfId="1371" xr:uid="{00000000-0005-0000-0000-0000E6180000}"/>
    <cellStyle name="Nuovo 4 2 2" xfId="2877" xr:uid="{00000000-0005-0000-0000-0000E7180000}"/>
    <cellStyle name="Nuovo 4 3" xfId="1372" xr:uid="{00000000-0005-0000-0000-0000E8180000}"/>
    <cellStyle name="Nuovo 4 3 2" xfId="1373" xr:uid="{00000000-0005-0000-0000-0000E9180000}"/>
    <cellStyle name="Nuovo 4 3 3" xfId="1374" xr:uid="{00000000-0005-0000-0000-0000EA180000}"/>
    <cellStyle name="Nuovo 4 3 3 2" xfId="2879" xr:uid="{00000000-0005-0000-0000-0000EB180000}"/>
    <cellStyle name="Nuovo 4 3 4" xfId="2878" xr:uid="{00000000-0005-0000-0000-0000EC180000}"/>
    <cellStyle name="Nuovo 4 4" xfId="1375" xr:uid="{00000000-0005-0000-0000-0000ED180000}"/>
    <cellStyle name="Nuovo 4 4 2" xfId="1376" xr:uid="{00000000-0005-0000-0000-0000EE180000}"/>
    <cellStyle name="Nuovo 4 4 2 2" xfId="2881" xr:uid="{00000000-0005-0000-0000-0000EF180000}"/>
    <cellStyle name="Nuovo 4 4 3" xfId="2880" xr:uid="{00000000-0005-0000-0000-0000F0180000}"/>
    <cellStyle name="Nuovo 4 5" xfId="1377" xr:uid="{00000000-0005-0000-0000-0000F1180000}"/>
    <cellStyle name="Nuovo 40" xfId="1378" xr:uid="{00000000-0005-0000-0000-0000F2180000}"/>
    <cellStyle name="Nuovo 40 2" xfId="1379" xr:uid="{00000000-0005-0000-0000-0000F3180000}"/>
    <cellStyle name="Nuovo 40 2 2" xfId="2882" xr:uid="{00000000-0005-0000-0000-0000F4180000}"/>
    <cellStyle name="Nuovo 40 3" xfId="1380" xr:uid="{00000000-0005-0000-0000-0000F5180000}"/>
    <cellStyle name="Nuovo 40 3 2" xfId="1381" xr:uid="{00000000-0005-0000-0000-0000F6180000}"/>
    <cellStyle name="Nuovo 40 3 3" xfId="1382" xr:uid="{00000000-0005-0000-0000-0000F7180000}"/>
    <cellStyle name="Nuovo 40 3 3 2" xfId="2884" xr:uid="{00000000-0005-0000-0000-0000F8180000}"/>
    <cellStyle name="Nuovo 40 3 4" xfId="2883" xr:uid="{00000000-0005-0000-0000-0000F9180000}"/>
    <cellStyle name="Nuovo 40 4" xfId="1383" xr:uid="{00000000-0005-0000-0000-0000FA180000}"/>
    <cellStyle name="Nuovo 40 4 2" xfId="1384" xr:uid="{00000000-0005-0000-0000-0000FB180000}"/>
    <cellStyle name="Nuovo 40 4 2 2" xfId="2886" xr:uid="{00000000-0005-0000-0000-0000FC180000}"/>
    <cellStyle name="Nuovo 40 4 3" xfId="2885" xr:uid="{00000000-0005-0000-0000-0000FD180000}"/>
    <cellStyle name="Nuovo 40 5" xfId="1385" xr:uid="{00000000-0005-0000-0000-0000FE180000}"/>
    <cellStyle name="Nuovo 41" xfId="1386" xr:uid="{00000000-0005-0000-0000-0000FF180000}"/>
    <cellStyle name="Nuovo 41 2" xfId="1387" xr:uid="{00000000-0005-0000-0000-000000190000}"/>
    <cellStyle name="Nuovo 41 2 2" xfId="2887" xr:uid="{00000000-0005-0000-0000-000001190000}"/>
    <cellStyle name="Nuovo 41 3" xfId="1388" xr:uid="{00000000-0005-0000-0000-000002190000}"/>
    <cellStyle name="Nuovo 41 3 2" xfId="1389" xr:uid="{00000000-0005-0000-0000-000003190000}"/>
    <cellStyle name="Nuovo 41 3 3" xfId="1390" xr:uid="{00000000-0005-0000-0000-000004190000}"/>
    <cellStyle name="Nuovo 41 3 3 2" xfId="2889" xr:uid="{00000000-0005-0000-0000-000005190000}"/>
    <cellStyle name="Nuovo 41 3 4" xfId="2888" xr:uid="{00000000-0005-0000-0000-000006190000}"/>
    <cellStyle name="Nuovo 41 4" xfId="1391" xr:uid="{00000000-0005-0000-0000-000007190000}"/>
    <cellStyle name="Nuovo 41 4 2" xfId="1392" xr:uid="{00000000-0005-0000-0000-000008190000}"/>
    <cellStyle name="Nuovo 41 4 2 2" xfId="2891" xr:uid="{00000000-0005-0000-0000-000009190000}"/>
    <cellStyle name="Nuovo 41 4 3" xfId="2890" xr:uid="{00000000-0005-0000-0000-00000A190000}"/>
    <cellStyle name="Nuovo 41 5" xfId="1393" xr:uid="{00000000-0005-0000-0000-00000B190000}"/>
    <cellStyle name="Nuovo 42" xfId="1394" xr:uid="{00000000-0005-0000-0000-00000C190000}"/>
    <cellStyle name="Nuovo 42 2" xfId="1395" xr:uid="{00000000-0005-0000-0000-00000D190000}"/>
    <cellStyle name="Nuovo 42 2 2" xfId="2892" xr:uid="{00000000-0005-0000-0000-00000E190000}"/>
    <cellStyle name="Nuovo 42 3" xfId="1396" xr:uid="{00000000-0005-0000-0000-00000F190000}"/>
    <cellStyle name="Nuovo 42 3 2" xfId="1397" xr:uid="{00000000-0005-0000-0000-000010190000}"/>
    <cellStyle name="Nuovo 42 3 3" xfId="1398" xr:uid="{00000000-0005-0000-0000-000011190000}"/>
    <cellStyle name="Nuovo 42 3 3 2" xfId="2894" xr:uid="{00000000-0005-0000-0000-000012190000}"/>
    <cellStyle name="Nuovo 42 3 4" xfId="2893" xr:uid="{00000000-0005-0000-0000-000013190000}"/>
    <cellStyle name="Nuovo 42 4" xfId="1399" xr:uid="{00000000-0005-0000-0000-000014190000}"/>
    <cellStyle name="Nuovo 42 4 2" xfId="1400" xr:uid="{00000000-0005-0000-0000-000015190000}"/>
    <cellStyle name="Nuovo 42 4 2 2" xfId="2896" xr:uid="{00000000-0005-0000-0000-000016190000}"/>
    <cellStyle name="Nuovo 42 4 3" xfId="2895" xr:uid="{00000000-0005-0000-0000-000017190000}"/>
    <cellStyle name="Nuovo 42 5" xfId="1401" xr:uid="{00000000-0005-0000-0000-000018190000}"/>
    <cellStyle name="Nuovo 43" xfId="1402" xr:uid="{00000000-0005-0000-0000-000019190000}"/>
    <cellStyle name="Nuovo 43 2" xfId="1403" xr:uid="{00000000-0005-0000-0000-00001A190000}"/>
    <cellStyle name="Nuovo 43 2 2" xfId="2897" xr:uid="{00000000-0005-0000-0000-00001B190000}"/>
    <cellStyle name="Nuovo 43 3" xfId="1404" xr:uid="{00000000-0005-0000-0000-00001C190000}"/>
    <cellStyle name="Nuovo 43 3 2" xfId="1405" xr:uid="{00000000-0005-0000-0000-00001D190000}"/>
    <cellStyle name="Nuovo 43 3 3" xfId="1406" xr:uid="{00000000-0005-0000-0000-00001E190000}"/>
    <cellStyle name="Nuovo 43 3 3 2" xfId="2899" xr:uid="{00000000-0005-0000-0000-00001F190000}"/>
    <cellStyle name="Nuovo 43 3 4" xfId="2898" xr:uid="{00000000-0005-0000-0000-000020190000}"/>
    <cellStyle name="Nuovo 43 4" xfId="1407" xr:uid="{00000000-0005-0000-0000-000021190000}"/>
    <cellStyle name="Nuovo 43 4 2" xfId="1408" xr:uid="{00000000-0005-0000-0000-000022190000}"/>
    <cellStyle name="Nuovo 43 4 2 2" xfId="2901" xr:uid="{00000000-0005-0000-0000-000023190000}"/>
    <cellStyle name="Nuovo 43 4 3" xfId="2900" xr:uid="{00000000-0005-0000-0000-000024190000}"/>
    <cellStyle name="Nuovo 43 5" xfId="1409" xr:uid="{00000000-0005-0000-0000-000025190000}"/>
    <cellStyle name="Nuovo 44" xfId="1410" xr:uid="{00000000-0005-0000-0000-000026190000}"/>
    <cellStyle name="Nuovo 44 2" xfId="1411" xr:uid="{00000000-0005-0000-0000-000027190000}"/>
    <cellStyle name="Nuovo 44 2 2" xfId="2902" xr:uid="{00000000-0005-0000-0000-000028190000}"/>
    <cellStyle name="Nuovo 44 3" xfId="1412" xr:uid="{00000000-0005-0000-0000-000029190000}"/>
    <cellStyle name="Nuovo 44 3 2" xfId="1413" xr:uid="{00000000-0005-0000-0000-00002A190000}"/>
    <cellStyle name="Nuovo 44 3 3" xfId="1414" xr:uid="{00000000-0005-0000-0000-00002B190000}"/>
    <cellStyle name="Nuovo 44 3 3 2" xfId="2904" xr:uid="{00000000-0005-0000-0000-00002C190000}"/>
    <cellStyle name="Nuovo 44 3 4" xfId="2903" xr:uid="{00000000-0005-0000-0000-00002D190000}"/>
    <cellStyle name="Nuovo 44 4" xfId="1415" xr:uid="{00000000-0005-0000-0000-00002E190000}"/>
    <cellStyle name="Nuovo 44 4 2" xfId="1416" xr:uid="{00000000-0005-0000-0000-00002F190000}"/>
    <cellStyle name="Nuovo 44 4 2 2" xfId="2906" xr:uid="{00000000-0005-0000-0000-000030190000}"/>
    <cellStyle name="Nuovo 44 4 3" xfId="2905" xr:uid="{00000000-0005-0000-0000-000031190000}"/>
    <cellStyle name="Nuovo 44 5" xfId="1417" xr:uid="{00000000-0005-0000-0000-000032190000}"/>
    <cellStyle name="Nuovo 45" xfId="1418" xr:uid="{00000000-0005-0000-0000-000033190000}"/>
    <cellStyle name="Nuovo 45 2" xfId="2907" xr:uid="{00000000-0005-0000-0000-000034190000}"/>
    <cellStyle name="Nuovo 46" xfId="1419" xr:uid="{00000000-0005-0000-0000-000035190000}"/>
    <cellStyle name="Nuovo 46 2" xfId="1420" xr:uid="{00000000-0005-0000-0000-000036190000}"/>
    <cellStyle name="Nuovo 46 3" xfId="1421" xr:uid="{00000000-0005-0000-0000-000037190000}"/>
    <cellStyle name="Nuovo 46 3 2" xfId="2909" xr:uid="{00000000-0005-0000-0000-000038190000}"/>
    <cellStyle name="Nuovo 46 4" xfId="2908" xr:uid="{00000000-0005-0000-0000-000039190000}"/>
    <cellStyle name="Nuovo 47" xfId="1422" xr:uid="{00000000-0005-0000-0000-00003A190000}"/>
    <cellStyle name="Nuovo 47 2" xfId="1423" xr:uid="{00000000-0005-0000-0000-00003B190000}"/>
    <cellStyle name="Nuovo 47 2 2" xfId="2911" xr:uid="{00000000-0005-0000-0000-00003C190000}"/>
    <cellStyle name="Nuovo 47 3" xfId="2910" xr:uid="{00000000-0005-0000-0000-00003D190000}"/>
    <cellStyle name="Nuovo 48" xfId="1424" xr:uid="{00000000-0005-0000-0000-00003E190000}"/>
    <cellStyle name="Nuovo 5" xfId="1425" xr:uid="{00000000-0005-0000-0000-00003F190000}"/>
    <cellStyle name="Nuovo 5 2" xfId="1426" xr:uid="{00000000-0005-0000-0000-000040190000}"/>
    <cellStyle name="Nuovo 5 2 2" xfId="2912" xr:uid="{00000000-0005-0000-0000-000041190000}"/>
    <cellStyle name="Nuovo 5 3" xfId="1427" xr:uid="{00000000-0005-0000-0000-000042190000}"/>
    <cellStyle name="Nuovo 5 3 2" xfId="1428" xr:uid="{00000000-0005-0000-0000-000043190000}"/>
    <cellStyle name="Nuovo 5 3 3" xfId="1429" xr:uid="{00000000-0005-0000-0000-000044190000}"/>
    <cellStyle name="Nuovo 5 3 3 2" xfId="2914" xr:uid="{00000000-0005-0000-0000-000045190000}"/>
    <cellStyle name="Nuovo 5 3 4" xfId="2913" xr:uid="{00000000-0005-0000-0000-000046190000}"/>
    <cellStyle name="Nuovo 5 4" xfId="1430" xr:uid="{00000000-0005-0000-0000-000047190000}"/>
    <cellStyle name="Nuovo 5 4 2" xfId="1431" xr:uid="{00000000-0005-0000-0000-000048190000}"/>
    <cellStyle name="Nuovo 5 4 2 2" xfId="2916" xr:uid="{00000000-0005-0000-0000-000049190000}"/>
    <cellStyle name="Nuovo 5 4 3" xfId="2915" xr:uid="{00000000-0005-0000-0000-00004A190000}"/>
    <cellStyle name="Nuovo 5 5" xfId="1432" xr:uid="{00000000-0005-0000-0000-00004B190000}"/>
    <cellStyle name="Nuovo 6" xfId="1433" xr:uid="{00000000-0005-0000-0000-00004C190000}"/>
    <cellStyle name="Nuovo 6 2" xfId="1434" xr:uid="{00000000-0005-0000-0000-00004D190000}"/>
    <cellStyle name="Nuovo 6 2 2" xfId="2917" xr:uid="{00000000-0005-0000-0000-00004E190000}"/>
    <cellStyle name="Nuovo 6 3" xfId="1435" xr:uid="{00000000-0005-0000-0000-00004F190000}"/>
    <cellStyle name="Nuovo 6 3 2" xfId="1436" xr:uid="{00000000-0005-0000-0000-000050190000}"/>
    <cellStyle name="Nuovo 6 3 3" xfId="1437" xr:uid="{00000000-0005-0000-0000-000051190000}"/>
    <cellStyle name="Nuovo 6 3 3 2" xfId="2919" xr:uid="{00000000-0005-0000-0000-000052190000}"/>
    <cellStyle name="Nuovo 6 3 4" xfId="2918" xr:uid="{00000000-0005-0000-0000-000053190000}"/>
    <cellStyle name="Nuovo 6 4" xfId="1438" xr:uid="{00000000-0005-0000-0000-000054190000}"/>
    <cellStyle name="Nuovo 6 4 2" xfId="1439" xr:uid="{00000000-0005-0000-0000-000055190000}"/>
    <cellStyle name="Nuovo 6 4 2 2" xfId="2921" xr:uid="{00000000-0005-0000-0000-000056190000}"/>
    <cellStyle name="Nuovo 6 4 3" xfId="2920" xr:uid="{00000000-0005-0000-0000-000057190000}"/>
    <cellStyle name="Nuovo 6 5" xfId="1440" xr:uid="{00000000-0005-0000-0000-000058190000}"/>
    <cellStyle name="Nuovo 7" xfId="1441" xr:uid="{00000000-0005-0000-0000-000059190000}"/>
    <cellStyle name="Nuovo 7 2" xfId="1442" xr:uid="{00000000-0005-0000-0000-00005A190000}"/>
    <cellStyle name="Nuovo 7 2 2" xfId="2922" xr:uid="{00000000-0005-0000-0000-00005B190000}"/>
    <cellStyle name="Nuovo 7 3" xfId="1443" xr:uid="{00000000-0005-0000-0000-00005C190000}"/>
    <cellStyle name="Nuovo 7 3 2" xfId="1444" xr:uid="{00000000-0005-0000-0000-00005D190000}"/>
    <cellStyle name="Nuovo 7 3 3" xfId="1445" xr:uid="{00000000-0005-0000-0000-00005E190000}"/>
    <cellStyle name="Nuovo 7 3 3 2" xfId="2924" xr:uid="{00000000-0005-0000-0000-00005F190000}"/>
    <cellStyle name="Nuovo 7 3 4" xfId="2923" xr:uid="{00000000-0005-0000-0000-000060190000}"/>
    <cellStyle name="Nuovo 7 4" xfId="1446" xr:uid="{00000000-0005-0000-0000-000061190000}"/>
    <cellStyle name="Nuovo 7 4 2" xfId="1447" xr:uid="{00000000-0005-0000-0000-000062190000}"/>
    <cellStyle name="Nuovo 7 4 2 2" xfId="2926" xr:uid="{00000000-0005-0000-0000-000063190000}"/>
    <cellStyle name="Nuovo 7 4 3" xfId="2925" xr:uid="{00000000-0005-0000-0000-000064190000}"/>
    <cellStyle name="Nuovo 7 5" xfId="1448" xr:uid="{00000000-0005-0000-0000-000065190000}"/>
    <cellStyle name="Nuovo 8" xfId="1449" xr:uid="{00000000-0005-0000-0000-000066190000}"/>
    <cellStyle name="Nuovo 8 2" xfId="1450" xr:uid="{00000000-0005-0000-0000-000067190000}"/>
    <cellStyle name="Nuovo 8 2 2" xfId="2927" xr:uid="{00000000-0005-0000-0000-000068190000}"/>
    <cellStyle name="Nuovo 8 3" xfId="1451" xr:uid="{00000000-0005-0000-0000-000069190000}"/>
    <cellStyle name="Nuovo 8 3 2" xfId="1452" xr:uid="{00000000-0005-0000-0000-00006A190000}"/>
    <cellStyle name="Nuovo 8 3 3" xfId="1453" xr:uid="{00000000-0005-0000-0000-00006B190000}"/>
    <cellStyle name="Nuovo 8 3 3 2" xfId="2929" xr:uid="{00000000-0005-0000-0000-00006C190000}"/>
    <cellStyle name="Nuovo 8 3 4" xfId="2928" xr:uid="{00000000-0005-0000-0000-00006D190000}"/>
    <cellStyle name="Nuovo 8 4" xfId="1454" xr:uid="{00000000-0005-0000-0000-00006E190000}"/>
    <cellStyle name="Nuovo 8 4 2" xfId="1455" xr:uid="{00000000-0005-0000-0000-00006F190000}"/>
    <cellStyle name="Nuovo 8 4 2 2" xfId="2931" xr:uid="{00000000-0005-0000-0000-000070190000}"/>
    <cellStyle name="Nuovo 8 4 3" xfId="2930" xr:uid="{00000000-0005-0000-0000-000071190000}"/>
    <cellStyle name="Nuovo 8 5" xfId="1456" xr:uid="{00000000-0005-0000-0000-000072190000}"/>
    <cellStyle name="Nuovo 9" xfId="1457" xr:uid="{00000000-0005-0000-0000-000073190000}"/>
    <cellStyle name="Nuovo 9 2" xfId="1458" xr:uid="{00000000-0005-0000-0000-000074190000}"/>
    <cellStyle name="Nuovo 9 2 2" xfId="2932" xr:uid="{00000000-0005-0000-0000-000075190000}"/>
    <cellStyle name="Nuovo 9 3" xfId="1459" xr:uid="{00000000-0005-0000-0000-000076190000}"/>
    <cellStyle name="Nuovo 9 3 2" xfId="1460" xr:uid="{00000000-0005-0000-0000-000077190000}"/>
    <cellStyle name="Nuovo 9 3 3" xfId="1461" xr:uid="{00000000-0005-0000-0000-000078190000}"/>
    <cellStyle name="Nuovo 9 3 3 2" xfId="2934" xr:uid="{00000000-0005-0000-0000-000079190000}"/>
    <cellStyle name="Nuovo 9 3 4" xfId="2933" xr:uid="{00000000-0005-0000-0000-00007A190000}"/>
    <cellStyle name="Nuovo 9 4" xfId="1462" xr:uid="{00000000-0005-0000-0000-00007B190000}"/>
    <cellStyle name="Nuovo 9 4 2" xfId="1463" xr:uid="{00000000-0005-0000-0000-00007C190000}"/>
    <cellStyle name="Nuovo 9 4 2 2" xfId="2936" xr:uid="{00000000-0005-0000-0000-00007D190000}"/>
    <cellStyle name="Nuovo 9 4 3" xfId="2935" xr:uid="{00000000-0005-0000-0000-00007E190000}"/>
    <cellStyle name="Nuovo 9 5" xfId="1464" xr:uid="{00000000-0005-0000-0000-00007F190000}"/>
    <cellStyle name="Output" xfId="1465" builtinId="21" customBuiltin="1"/>
    <cellStyle name="Output 2" xfId="1466" xr:uid="{00000000-0005-0000-0000-000081190000}"/>
    <cellStyle name="Output 2 2" xfId="3523" xr:uid="{00000000-0005-0000-0000-000082190000}"/>
    <cellStyle name="Output 2 2 2" xfId="8051" xr:uid="{8C2EB57F-3D81-4E45-BAA2-0087AAF8599F}"/>
    <cellStyle name="Output 2 3" xfId="7917" xr:uid="{FA4D0587-4E08-4F11-9472-A40B3411FDFC}"/>
    <cellStyle name="Output 3" xfId="1467" xr:uid="{00000000-0005-0000-0000-000083190000}"/>
    <cellStyle name="Output 4" xfId="7916" xr:uid="{06BE80CE-A4FD-48C7-9C86-D48AC6AA9353}"/>
    <cellStyle name="Overskrift 1 2" xfId="1468" xr:uid="{00000000-0005-0000-0000-000084190000}"/>
    <cellStyle name="Overskrift 1 2 2" xfId="3525" xr:uid="{00000000-0005-0000-0000-000085190000}"/>
    <cellStyle name="Overskrift 2 2" xfId="1469" xr:uid="{00000000-0005-0000-0000-000086190000}"/>
    <cellStyle name="Overskrift 2 2 2" xfId="3526" xr:uid="{00000000-0005-0000-0000-000087190000}"/>
    <cellStyle name="Overskrift 3 2" xfId="1470" xr:uid="{00000000-0005-0000-0000-000088190000}"/>
    <cellStyle name="Overskrift 3 2 2" xfId="3527" xr:uid="{00000000-0005-0000-0000-000089190000}"/>
    <cellStyle name="Overskrift 4 2" xfId="1471" xr:uid="{00000000-0005-0000-0000-00008A190000}"/>
    <cellStyle name="Overskrift 4 2 2" xfId="3528" xr:uid="{00000000-0005-0000-0000-00008B190000}"/>
    <cellStyle name="Percen - Type1" xfId="1472" xr:uid="{00000000-0005-0000-0000-00008C190000}"/>
    <cellStyle name="Percent" xfId="1473" builtinId="5"/>
    <cellStyle name="Percent 2" xfId="1474" xr:uid="{00000000-0005-0000-0000-00008E190000}"/>
    <cellStyle name="Percent 2 2" xfId="2937" xr:uid="{00000000-0005-0000-0000-00008F190000}"/>
    <cellStyle name="Percent 2 2 2" xfId="3451" xr:uid="{00000000-0005-0000-0000-000090190000}"/>
    <cellStyle name="Percent 2 2 2 2" xfId="6665" xr:uid="{00000000-0005-0000-0000-000091190000}"/>
    <cellStyle name="Percent 3" xfId="1475" xr:uid="{00000000-0005-0000-0000-000092190000}"/>
    <cellStyle name="Percent 3 2" xfId="1476" xr:uid="{00000000-0005-0000-0000-000093190000}"/>
    <cellStyle name="Percent 3 2 2" xfId="5305" xr:uid="{00000000-0005-0000-0000-000094190000}"/>
    <cellStyle name="Percent 3 2 3" xfId="4924" xr:uid="{00000000-0005-0000-0000-000095190000}"/>
    <cellStyle name="Percent 3 3" xfId="1477" xr:uid="{00000000-0005-0000-0000-000096190000}"/>
    <cellStyle name="Percent 3 3 2" xfId="1478" xr:uid="{00000000-0005-0000-0000-000097190000}"/>
    <cellStyle name="Percent 3 3 3" xfId="1479" xr:uid="{00000000-0005-0000-0000-000098190000}"/>
    <cellStyle name="Percent 3 3 3 2" xfId="2939" xr:uid="{00000000-0005-0000-0000-000099190000}"/>
    <cellStyle name="Percent 3 3 4" xfId="2938" xr:uid="{00000000-0005-0000-0000-00009A190000}"/>
    <cellStyle name="Percent 3 4" xfId="1480" xr:uid="{00000000-0005-0000-0000-00009B190000}"/>
    <cellStyle name="Percent 3 5" xfId="1481" xr:uid="{00000000-0005-0000-0000-00009C190000}"/>
    <cellStyle name="Percent 3 5 2" xfId="2940" xr:uid="{00000000-0005-0000-0000-00009D190000}"/>
    <cellStyle name="Percent 3 6" xfId="5304" xr:uid="{00000000-0005-0000-0000-00009E190000}"/>
    <cellStyle name="Percent 4" xfId="1482" xr:uid="{00000000-0005-0000-0000-00009F190000}"/>
    <cellStyle name="Percent 4 2" xfId="1483" xr:uid="{00000000-0005-0000-0000-0000A0190000}"/>
    <cellStyle name="Percent 4 2 2" xfId="2942" xr:uid="{00000000-0005-0000-0000-0000A1190000}"/>
    <cellStyle name="Percent 4 3" xfId="2941" xr:uid="{00000000-0005-0000-0000-0000A2190000}"/>
    <cellStyle name="Percent 5" xfId="1484" xr:uid="{00000000-0005-0000-0000-0000A3190000}"/>
    <cellStyle name="Percent 5 2" xfId="3382" xr:uid="{00000000-0005-0000-0000-0000A4190000}"/>
    <cellStyle name="Percent 6" xfId="4860" xr:uid="{00000000-0005-0000-0000-0000A5190000}"/>
    <cellStyle name="Percent 6 2" xfId="9234" xr:uid="{066E826E-CB87-477B-9A78-EA82203660C9}"/>
    <cellStyle name="Percent 6 2 2" xfId="10569" xr:uid="{6C5C8DAC-6679-4025-B759-00F914F2C319}"/>
    <cellStyle name="Percentuale 10" xfId="1485" xr:uid="{00000000-0005-0000-0000-0000A6190000}"/>
    <cellStyle name="Percentuale 10 2" xfId="1486" xr:uid="{00000000-0005-0000-0000-0000A7190000}"/>
    <cellStyle name="Percentuale 10 2 2" xfId="2943" xr:uid="{00000000-0005-0000-0000-0000A8190000}"/>
    <cellStyle name="Percentuale 10 3" xfId="1487" xr:uid="{00000000-0005-0000-0000-0000A9190000}"/>
    <cellStyle name="Percentuale 10 3 2" xfId="1488" xr:uid="{00000000-0005-0000-0000-0000AA190000}"/>
    <cellStyle name="Percentuale 10 3 3" xfId="1489" xr:uid="{00000000-0005-0000-0000-0000AB190000}"/>
    <cellStyle name="Percentuale 10 3 3 2" xfId="2945" xr:uid="{00000000-0005-0000-0000-0000AC190000}"/>
    <cellStyle name="Percentuale 10 3 4" xfId="2944" xr:uid="{00000000-0005-0000-0000-0000AD190000}"/>
    <cellStyle name="Percentuale 10 4" xfId="1490" xr:uid="{00000000-0005-0000-0000-0000AE190000}"/>
    <cellStyle name="Percentuale 10 4 2" xfId="1491" xr:uid="{00000000-0005-0000-0000-0000AF190000}"/>
    <cellStyle name="Percentuale 10 4 2 2" xfId="2947" xr:uid="{00000000-0005-0000-0000-0000B0190000}"/>
    <cellStyle name="Percentuale 10 4 3" xfId="2946" xr:uid="{00000000-0005-0000-0000-0000B1190000}"/>
    <cellStyle name="Percentuale 10 5" xfId="1492" xr:uid="{00000000-0005-0000-0000-0000B2190000}"/>
    <cellStyle name="Percentuale 11" xfId="1493" xr:uid="{00000000-0005-0000-0000-0000B3190000}"/>
    <cellStyle name="Percentuale 11 2" xfId="1494" xr:uid="{00000000-0005-0000-0000-0000B4190000}"/>
    <cellStyle name="Percentuale 11 2 2" xfId="2948" xr:uid="{00000000-0005-0000-0000-0000B5190000}"/>
    <cellStyle name="Percentuale 11 3" xfId="1495" xr:uid="{00000000-0005-0000-0000-0000B6190000}"/>
    <cellStyle name="Percentuale 11 3 2" xfId="1496" xr:uid="{00000000-0005-0000-0000-0000B7190000}"/>
    <cellStyle name="Percentuale 11 3 3" xfId="1497" xr:uid="{00000000-0005-0000-0000-0000B8190000}"/>
    <cellStyle name="Percentuale 11 3 3 2" xfId="2950" xr:uid="{00000000-0005-0000-0000-0000B9190000}"/>
    <cellStyle name="Percentuale 11 3 4" xfId="2949" xr:uid="{00000000-0005-0000-0000-0000BA190000}"/>
    <cellStyle name="Percentuale 11 4" xfId="1498" xr:uid="{00000000-0005-0000-0000-0000BB190000}"/>
    <cellStyle name="Percentuale 11 4 2" xfId="1499" xr:uid="{00000000-0005-0000-0000-0000BC190000}"/>
    <cellStyle name="Percentuale 11 4 2 2" xfId="2952" xr:uid="{00000000-0005-0000-0000-0000BD190000}"/>
    <cellStyle name="Percentuale 11 4 3" xfId="2951" xr:uid="{00000000-0005-0000-0000-0000BE190000}"/>
    <cellStyle name="Percentuale 11 5" xfId="1500" xr:uid="{00000000-0005-0000-0000-0000BF190000}"/>
    <cellStyle name="Percentuale 12" xfId="1501" xr:uid="{00000000-0005-0000-0000-0000C0190000}"/>
    <cellStyle name="Percentuale 12 2" xfId="1502" xr:uid="{00000000-0005-0000-0000-0000C1190000}"/>
    <cellStyle name="Percentuale 12 2 2" xfId="2953" xr:uid="{00000000-0005-0000-0000-0000C2190000}"/>
    <cellStyle name="Percentuale 12 3" xfId="1503" xr:uid="{00000000-0005-0000-0000-0000C3190000}"/>
    <cellStyle name="Percentuale 12 3 2" xfId="1504" xr:uid="{00000000-0005-0000-0000-0000C4190000}"/>
    <cellStyle name="Percentuale 12 3 3" xfId="1505" xr:uid="{00000000-0005-0000-0000-0000C5190000}"/>
    <cellStyle name="Percentuale 12 3 3 2" xfId="2955" xr:uid="{00000000-0005-0000-0000-0000C6190000}"/>
    <cellStyle name="Percentuale 12 3 4" xfId="2954" xr:uid="{00000000-0005-0000-0000-0000C7190000}"/>
    <cellStyle name="Percentuale 12 4" xfId="1506" xr:uid="{00000000-0005-0000-0000-0000C8190000}"/>
    <cellStyle name="Percentuale 12 4 2" xfId="1507" xr:uid="{00000000-0005-0000-0000-0000C9190000}"/>
    <cellStyle name="Percentuale 12 4 2 2" xfId="2957" xr:uid="{00000000-0005-0000-0000-0000CA190000}"/>
    <cellStyle name="Percentuale 12 4 3" xfId="2956" xr:uid="{00000000-0005-0000-0000-0000CB190000}"/>
    <cellStyle name="Percentuale 12 5" xfId="1508" xr:uid="{00000000-0005-0000-0000-0000CC190000}"/>
    <cellStyle name="Percentuale 13" xfId="1509" xr:uid="{00000000-0005-0000-0000-0000CD190000}"/>
    <cellStyle name="Percentuale 13 2" xfId="1510" xr:uid="{00000000-0005-0000-0000-0000CE190000}"/>
    <cellStyle name="Percentuale 13 2 2" xfId="2958" xr:uid="{00000000-0005-0000-0000-0000CF190000}"/>
    <cellStyle name="Percentuale 13 3" xfId="1511" xr:uid="{00000000-0005-0000-0000-0000D0190000}"/>
    <cellStyle name="Percentuale 13 3 2" xfId="1512" xr:uid="{00000000-0005-0000-0000-0000D1190000}"/>
    <cellStyle name="Percentuale 13 3 3" xfId="1513" xr:uid="{00000000-0005-0000-0000-0000D2190000}"/>
    <cellStyle name="Percentuale 13 3 3 2" xfId="2960" xr:uid="{00000000-0005-0000-0000-0000D3190000}"/>
    <cellStyle name="Percentuale 13 3 4" xfId="2959" xr:uid="{00000000-0005-0000-0000-0000D4190000}"/>
    <cellStyle name="Percentuale 13 4" xfId="1514" xr:uid="{00000000-0005-0000-0000-0000D5190000}"/>
    <cellStyle name="Percentuale 13 4 2" xfId="1515" xr:uid="{00000000-0005-0000-0000-0000D6190000}"/>
    <cellStyle name="Percentuale 13 4 2 2" xfId="2962" xr:uid="{00000000-0005-0000-0000-0000D7190000}"/>
    <cellStyle name="Percentuale 13 4 3" xfId="2961" xr:uid="{00000000-0005-0000-0000-0000D8190000}"/>
    <cellStyle name="Percentuale 13 5" xfId="1516" xr:uid="{00000000-0005-0000-0000-0000D9190000}"/>
    <cellStyle name="Percentuale 14" xfId="1517" xr:uid="{00000000-0005-0000-0000-0000DA190000}"/>
    <cellStyle name="Percentuale 14 2" xfId="1518" xr:uid="{00000000-0005-0000-0000-0000DB190000}"/>
    <cellStyle name="Percentuale 14 2 2" xfId="2963" xr:uid="{00000000-0005-0000-0000-0000DC190000}"/>
    <cellStyle name="Percentuale 14 3" xfId="1519" xr:uid="{00000000-0005-0000-0000-0000DD190000}"/>
    <cellStyle name="Percentuale 14 3 2" xfId="1520" xr:uid="{00000000-0005-0000-0000-0000DE190000}"/>
    <cellStyle name="Percentuale 14 3 3" xfId="1521" xr:uid="{00000000-0005-0000-0000-0000DF190000}"/>
    <cellStyle name="Percentuale 14 3 3 2" xfId="2965" xr:uid="{00000000-0005-0000-0000-0000E0190000}"/>
    <cellStyle name="Percentuale 14 3 4" xfId="2964" xr:uid="{00000000-0005-0000-0000-0000E1190000}"/>
    <cellStyle name="Percentuale 14 4" xfId="1522" xr:uid="{00000000-0005-0000-0000-0000E2190000}"/>
    <cellStyle name="Percentuale 14 4 2" xfId="1523" xr:uid="{00000000-0005-0000-0000-0000E3190000}"/>
    <cellStyle name="Percentuale 14 4 2 2" xfId="2967" xr:uid="{00000000-0005-0000-0000-0000E4190000}"/>
    <cellStyle name="Percentuale 14 4 3" xfId="2966" xr:uid="{00000000-0005-0000-0000-0000E5190000}"/>
    <cellStyle name="Percentuale 14 5" xfId="1524" xr:uid="{00000000-0005-0000-0000-0000E6190000}"/>
    <cellStyle name="Percentuale 15" xfId="1525" xr:uid="{00000000-0005-0000-0000-0000E7190000}"/>
    <cellStyle name="Percentuale 15 2" xfId="1526" xr:uid="{00000000-0005-0000-0000-0000E8190000}"/>
    <cellStyle name="Percentuale 15 2 2" xfId="2968" xr:uid="{00000000-0005-0000-0000-0000E9190000}"/>
    <cellStyle name="Percentuale 15 3" xfId="1527" xr:uid="{00000000-0005-0000-0000-0000EA190000}"/>
    <cellStyle name="Percentuale 15 3 2" xfId="1528" xr:uid="{00000000-0005-0000-0000-0000EB190000}"/>
    <cellStyle name="Percentuale 15 3 3" xfId="1529" xr:uid="{00000000-0005-0000-0000-0000EC190000}"/>
    <cellStyle name="Percentuale 15 3 3 2" xfId="2970" xr:uid="{00000000-0005-0000-0000-0000ED190000}"/>
    <cellStyle name="Percentuale 15 3 4" xfId="2969" xr:uid="{00000000-0005-0000-0000-0000EE190000}"/>
    <cellStyle name="Percentuale 15 4" xfId="1530" xr:uid="{00000000-0005-0000-0000-0000EF190000}"/>
    <cellStyle name="Percentuale 15 4 2" xfId="1531" xr:uid="{00000000-0005-0000-0000-0000F0190000}"/>
    <cellStyle name="Percentuale 15 4 2 2" xfId="2972" xr:uid="{00000000-0005-0000-0000-0000F1190000}"/>
    <cellStyle name="Percentuale 15 4 3" xfId="2971" xr:uid="{00000000-0005-0000-0000-0000F2190000}"/>
    <cellStyle name="Percentuale 15 5" xfId="1532" xr:uid="{00000000-0005-0000-0000-0000F3190000}"/>
    <cellStyle name="Percentuale 16" xfId="1533" xr:uid="{00000000-0005-0000-0000-0000F4190000}"/>
    <cellStyle name="Percentuale 16 2" xfId="1534" xr:uid="{00000000-0005-0000-0000-0000F5190000}"/>
    <cellStyle name="Percentuale 16 2 2" xfId="2973" xr:uid="{00000000-0005-0000-0000-0000F6190000}"/>
    <cellStyle name="Percentuale 16 3" xfId="1535" xr:uid="{00000000-0005-0000-0000-0000F7190000}"/>
    <cellStyle name="Percentuale 16 3 2" xfId="1536" xr:uid="{00000000-0005-0000-0000-0000F8190000}"/>
    <cellStyle name="Percentuale 16 3 3" xfId="1537" xr:uid="{00000000-0005-0000-0000-0000F9190000}"/>
    <cellStyle name="Percentuale 16 3 3 2" xfId="2975" xr:uid="{00000000-0005-0000-0000-0000FA190000}"/>
    <cellStyle name="Percentuale 16 3 4" xfId="2974" xr:uid="{00000000-0005-0000-0000-0000FB190000}"/>
    <cellStyle name="Percentuale 16 4" xfId="1538" xr:uid="{00000000-0005-0000-0000-0000FC190000}"/>
    <cellStyle name="Percentuale 16 4 2" xfId="1539" xr:uid="{00000000-0005-0000-0000-0000FD190000}"/>
    <cellStyle name="Percentuale 16 4 2 2" xfId="2977" xr:uid="{00000000-0005-0000-0000-0000FE190000}"/>
    <cellStyle name="Percentuale 16 4 3" xfId="2976" xr:uid="{00000000-0005-0000-0000-0000FF190000}"/>
    <cellStyle name="Percentuale 16 5" xfId="1540" xr:uid="{00000000-0005-0000-0000-0000001A0000}"/>
    <cellStyle name="Percentuale 17" xfId="1541" xr:uid="{00000000-0005-0000-0000-0000011A0000}"/>
    <cellStyle name="Percentuale 17 2" xfId="1542" xr:uid="{00000000-0005-0000-0000-0000021A0000}"/>
    <cellStyle name="Percentuale 17 2 2" xfId="2978" xr:uid="{00000000-0005-0000-0000-0000031A0000}"/>
    <cellStyle name="Percentuale 17 3" xfId="1543" xr:uid="{00000000-0005-0000-0000-0000041A0000}"/>
    <cellStyle name="Percentuale 17 3 2" xfId="1544" xr:uid="{00000000-0005-0000-0000-0000051A0000}"/>
    <cellStyle name="Percentuale 17 3 3" xfId="1545" xr:uid="{00000000-0005-0000-0000-0000061A0000}"/>
    <cellStyle name="Percentuale 17 3 3 2" xfId="2980" xr:uid="{00000000-0005-0000-0000-0000071A0000}"/>
    <cellStyle name="Percentuale 17 3 4" xfId="2979" xr:uid="{00000000-0005-0000-0000-0000081A0000}"/>
    <cellStyle name="Percentuale 17 4" xfId="1546" xr:uid="{00000000-0005-0000-0000-0000091A0000}"/>
    <cellStyle name="Percentuale 17 4 2" xfId="1547" xr:uid="{00000000-0005-0000-0000-00000A1A0000}"/>
    <cellStyle name="Percentuale 17 4 2 2" xfId="2982" xr:uid="{00000000-0005-0000-0000-00000B1A0000}"/>
    <cellStyle name="Percentuale 17 4 3" xfId="2981" xr:uid="{00000000-0005-0000-0000-00000C1A0000}"/>
    <cellStyle name="Percentuale 17 5" xfId="1548" xr:uid="{00000000-0005-0000-0000-00000D1A0000}"/>
    <cellStyle name="Percentuale 18" xfId="1549" xr:uid="{00000000-0005-0000-0000-00000E1A0000}"/>
    <cellStyle name="Percentuale 18 2" xfId="1550" xr:uid="{00000000-0005-0000-0000-00000F1A0000}"/>
    <cellStyle name="Percentuale 18 2 2" xfId="2983" xr:uid="{00000000-0005-0000-0000-0000101A0000}"/>
    <cellStyle name="Percentuale 18 3" xfId="1551" xr:uid="{00000000-0005-0000-0000-0000111A0000}"/>
    <cellStyle name="Percentuale 18 3 2" xfId="1552" xr:uid="{00000000-0005-0000-0000-0000121A0000}"/>
    <cellStyle name="Percentuale 18 3 3" xfId="1553" xr:uid="{00000000-0005-0000-0000-0000131A0000}"/>
    <cellStyle name="Percentuale 18 3 3 2" xfId="2985" xr:uid="{00000000-0005-0000-0000-0000141A0000}"/>
    <cellStyle name="Percentuale 18 3 4" xfId="2984" xr:uid="{00000000-0005-0000-0000-0000151A0000}"/>
    <cellStyle name="Percentuale 18 4" xfId="1554" xr:uid="{00000000-0005-0000-0000-0000161A0000}"/>
    <cellStyle name="Percentuale 18 4 2" xfId="1555" xr:uid="{00000000-0005-0000-0000-0000171A0000}"/>
    <cellStyle name="Percentuale 18 4 2 2" xfId="2987" xr:uid="{00000000-0005-0000-0000-0000181A0000}"/>
    <cellStyle name="Percentuale 18 4 3" xfId="2986" xr:uid="{00000000-0005-0000-0000-0000191A0000}"/>
    <cellStyle name="Percentuale 18 5" xfId="1556" xr:uid="{00000000-0005-0000-0000-00001A1A0000}"/>
    <cellStyle name="Percentuale 19" xfId="1557" xr:uid="{00000000-0005-0000-0000-00001B1A0000}"/>
    <cellStyle name="Percentuale 19 2" xfId="1558" xr:uid="{00000000-0005-0000-0000-00001C1A0000}"/>
    <cellStyle name="Percentuale 19 2 2" xfId="2988" xr:uid="{00000000-0005-0000-0000-00001D1A0000}"/>
    <cellStyle name="Percentuale 19 3" xfId="1559" xr:uid="{00000000-0005-0000-0000-00001E1A0000}"/>
    <cellStyle name="Percentuale 19 3 2" xfId="1560" xr:uid="{00000000-0005-0000-0000-00001F1A0000}"/>
    <cellStyle name="Percentuale 19 3 3" xfId="1561" xr:uid="{00000000-0005-0000-0000-0000201A0000}"/>
    <cellStyle name="Percentuale 19 3 3 2" xfId="2990" xr:uid="{00000000-0005-0000-0000-0000211A0000}"/>
    <cellStyle name="Percentuale 19 3 4" xfId="2989" xr:uid="{00000000-0005-0000-0000-0000221A0000}"/>
    <cellStyle name="Percentuale 19 4" xfId="1562" xr:uid="{00000000-0005-0000-0000-0000231A0000}"/>
    <cellStyle name="Percentuale 19 4 2" xfId="1563" xr:uid="{00000000-0005-0000-0000-0000241A0000}"/>
    <cellStyle name="Percentuale 19 4 2 2" xfId="2992" xr:uid="{00000000-0005-0000-0000-0000251A0000}"/>
    <cellStyle name="Percentuale 19 4 3" xfId="2991" xr:uid="{00000000-0005-0000-0000-0000261A0000}"/>
    <cellStyle name="Percentuale 19 5" xfId="1564" xr:uid="{00000000-0005-0000-0000-0000271A0000}"/>
    <cellStyle name="Percentuale 2" xfId="1565" xr:uid="{00000000-0005-0000-0000-0000281A0000}"/>
    <cellStyle name="Percentuale 2 2" xfId="1566" xr:uid="{00000000-0005-0000-0000-0000291A0000}"/>
    <cellStyle name="Percentuale 2 2 2" xfId="2993" xr:uid="{00000000-0005-0000-0000-00002A1A0000}"/>
    <cellStyle name="Percentuale 2 3" xfId="1567" xr:uid="{00000000-0005-0000-0000-00002B1A0000}"/>
    <cellStyle name="Percentuale 2 3 2" xfId="1568" xr:uid="{00000000-0005-0000-0000-00002C1A0000}"/>
    <cellStyle name="Percentuale 2 3 3" xfId="1569" xr:uid="{00000000-0005-0000-0000-00002D1A0000}"/>
    <cellStyle name="Percentuale 2 3 3 2" xfId="2995" xr:uid="{00000000-0005-0000-0000-00002E1A0000}"/>
    <cellStyle name="Percentuale 2 3 4" xfId="2994" xr:uid="{00000000-0005-0000-0000-00002F1A0000}"/>
    <cellStyle name="Percentuale 2 4" xfId="1570" xr:uid="{00000000-0005-0000-0000-0000301A0000}"/>
    <cellStyle name="Percentuale 2 4 2" xfId="1571" xr:uid="{00000000-0005-0000-0000-0000311A0000}"/>
    <cellStyle name="Percentuale 2 4 2 2" xfId="2997" xr:uid="{00000000-0005-0000-0000-0000321A0000}"/>
    <cellStyle name="Percentuale 2 4 3" xfId="2996" xr:uid="{00000000-0005-0000-0000-0000331A0000}"/>
    <cellStyle name="Percentuale 2 5" xfId="1572" xr:uid="{00000000-0005-0000-0000-0000341A0000}"/>
    <cellStyle name="Percentuale 20" xfId="1573" xr:uid="{00000000-0005-0000-0000-0000351A0000}"/>
    <cellStyle name="Percentuale 20 2" xfId="1574" xr:uid="{00000000-0005-0000-0000-0000361A0000}"/>
    <cellStyle name="Percentuale 20 2 2" xfId="2998" xr:uid="{00000000-0005-0000-0000-0000371A0000}"/>
    <cellStyle name="Percentuale 20 3" xfId="1575" xr:uid="{00000000-0005-0000-0000-0000381A0000}"/>
    <cellStyle name="Percentuale 20 3 2" xfId="1576" xr:uid="{00000000-0005-0000-0000-0000391A0000}"/>
    <cellStyle name="Percentuale 20 3 3" xfId="1577" xr:uid="{00000000-0005-0000-0000-00003A1A0000}"/>
    <cellStyle name="Percentuale 20 3 3 2" xfId="3000" xr:uid="{00000000-0005-0000-0000-00003B1A0000}"/>
    <cellStyle name="Percentuale 20 3 4" xfId="2999" xr:uid="{00000000-0005-0000-0000-00003C1A0000}"/>
    <cellStyle name="Percentuale 20 4" xfId="1578" xr:uid="{00000000-0005-0000-0000-00003D1A0000}"/>
    <cellStyle name="Percentuale 20 4 2" xfId="1579" xr:uid="{00000000-0005-0000-0000-00003E1A0000}"/>
    <cellStyle name="Percentuale 20 4 2 2" xfId="3002" xr:uid="{00000000-0005-0000-0000-00003F1A0000}"/>
    <cellStyle name="Percentuale 20 4 3" xfId="3001" xr:uid="{00000000-0005-0000-0000-0000401A0000}"/>
    <cellStyle name="Percentuale 20 5" xfId="1580" xr:uid="{00000000-0005-0000-0000-0000411A0000}"/>
    <cellStyle name="Percentuale 21" xfId="1581" xr:uid="{00000000-0005-0000-0000-0000421A0000}"/>
    <cellStyle name="Percentuale 21 2" xfId="1582" xr:uid="{00000000-0005-0000-0000-0000431A0000}"/>
    <cellStyle name="Percentuale 21 2 2" xfId="3003" xr:uid="{00000000-0005-0000-0000-0000441A0000}"/>
    <cellStyle name="Percentuale 21 3" xfId="1583" xr:uid="{00000000-0005-0000-0000-0000451A0000}"/>
    <cellStyle name="Percentuale 21 3 2" xfId="1584" xr:uid="{00000000-0005-0000-0000-0000461A0000}"/>
    <cellStyle name="Percentuale 21 3 3" xfId="1585" xr:uid="{00000000-0005-0000-0000-0000471A0000}"/>
    <cellStyle name="Percentuale 21 3 3 2" xfId="3005" xr:uid="{00000000-0005-0000-0000-0000481A0000}"/>
    <cellStyle name="Percentuale 21 3 4" xfId="3004" xr:uid="{00000000-0005-0000-0000-0000491A0000}"/>
    <cellStyle name="Percentuale 21 4" xfId="1586" xr:uid="{00000000-0005-0000-0000-00004A1A0000}"/>
    <cellStyle name="Percentuale 21 4 2" xfId="1587" xr:uid="{00000000-0005-0000-0000-00004B1A0000}"/>
    <cellStyle name="Percentuale 21 4 2 2" xfId="3007" xr:uid="{00000000-0005-0000-0000-00004C1A0000}"/>
    <cellStyle name="Percentuale 21 4 3" xfId="3006" xr:uid="{00000000-0005-0000-0000-00004D1A0000}"/>
    <cellStyle name="Percentuale 21 5" xfId="1588" xr:uid="{00000000-0005-0000-0000-00004E1A0000}"/>
    <cellStyle name="Percentuale 22" xfId="1589" xr:uid="{00000000-0005-0000-0000-00004F1A0000}"/>
    <cellStyle name="Percentuale 22 2" xfId="1590" xr:uid="{00000000-0005-0000-0000-0000501A0000}"/>
    <cellStyle name="Percentuale 22 2 2" xfId="3008" xr:uid="{00000000-0005-0000-0000-0000511A0000}"/>
    <cellStyle name="Percentuale 22 3" xfId="1591" xr:uid="{00000000-0005-0000-0000-0000521A0000}"/>
    <cellStyle name="Percentuale 22 3 2" xfId="1592" xr:uid="{00000000-0005-0000-0000-0000531A0000}"/>
    <cellStyle name="Percentuale 22 3 3" xfId="1593" xr:uid="{00000000-0005-0000-0000-0000541A0000}"/>
    <cellStyle name="Percentuale 22 3 3 2" xfId="3010" xr:uid="{00000000-0005-0000-0000-0000551A0000}"/>
    <cellStyle name="Percentuale 22 3 4" xfId="3009" xr:uid="{00000000-0005-0000-0000-0000561A0000}"/>
    <cellStyle name="Percentuale 22 4" xfId="1594" xr:uid="{00000000-0005-0000-0000-0000571A0000}"/>
    <cellStyle name="Percentuale 22 4 2" xfId="1595" xr:uid="{00000000-0005-0000-0000-0000581A0000}"/>
    <cellStyle name="Percentuale 22 4 2 2" xfId="3012" xr:uid="{00000000-0005-0000-0000-0000591A0000}"/>
    <cellStyle name="Percentuale 22 4 3" xfId="3011" xr:uid="{00000000-0005-0000-0000-00005A1A0000}"/>
    <cellStyle name="Percentuale 22 5" xfId="1596" xr:uid="{00000000-0005-0000-0000-00005B1A0000}"/>
    <cellStyle name="Percentuale 23" xfId="1597" xr:uid="{00000000-0005-0000-0000-00005C1A0000}"/>
    <cellStyle name="Percentuale 23 2" xfId="1598" xr:uid="{00000000-0005-0000-0000-00005D1A0000}"/>
    <cellStyle name="Percentuale 23 2 2" xfId="3013" xr:uid="{00000000-0005-0000-0000-00005E1A0000}"/>
    <cellStyle name="Percentuale 23 3" xfId="1599" xr:uid="{00000000-0005-0000-0000-00005F1A0000}"/>
    <cellStyle name="Percentuale 23 3 2" xfId="1600" xr:uid="{00000000-0005-0000-0000-0000601A0000}"/>
    <cellStyle name="Percentuale 23 3 3" xfId="1601" xr:uid="{00000000-0005-0000-0000-0000611A0000}"/>
    <cellStyle name="Percentuale 23 3 3 2" xfId="3015" xr:uid="{00000000-0005-0000-0000-0000621A0000}"/>
    <cellStyle name="Percentuale 23 3 4" xfId="3014" xr:uid="{00000000-0005-0000-0000-0000631A0000}"/>
    <cellStyle name="Percentuale 23 4" xfId="1602" xr:uid="{00000000-0005-0000-0000-0000641A0000}"/>
    <cellStyle name="Percentuale 23 4 2" xfId="1603" xr:uid="{00000000-0005-0000-0000-0000651A0000}"/>
    <cellStyle name="Percentuale 23 4 2 2" xfId="3017" xr:uid="{00000000-0005-0000-0000-0000661A0000}"/>
    <cellStyle name="Percentuale 23 4 3" xfId="3016" xr:uid="{00000000-0005-0000-0000-0000671A0000}"/>
    <cellStyle name="Percentuale 23 5" xfId="1604" xr:uid="{00000000-0005-0000-0000-0000681A0000}"/>
    <cellStyle name="Percentuale 24" xfId="1605" xr:uid="{00000000-0005-0000-0000-0000691A0000}"/>
    <cellStyle name="Percentuale 24 2" xfId="1606" xr:uid="{00000000-0005-0000-0000-00006A1A0000}"/>
    <cellStyle name="Percentuale 24 2 2" xfId="3018" xr:uid="{00000000-0005-0000-0000-00006B1A0000}"/>
    <cellStyle name="Percentuale 24 3" xfId="1607" xr:uid="{00000000-0005-0000-0000-00006C1A0000}"/>
    <cellStyle name="Percentuale 24 3 2" xfId="1608" xr:uid="{00000000-0005-0000-0000-00006D1A0000}"/>
    <cellStyle name="Percentuale 24 3 3" xfId="1609" xr:uid="{00000000-0005-0000-0000-00006E1A0000}"/>
    <cellStyle name="Percentuale 24 3 3 2" xfId="3020" xr:uid="{00000000-0005-0000-0000-00006F1A0000}"/>
    <cellStyle name="Percentuale 24 3 4" xfId="3019" xr:uid="{00000000-0005-0000-0000-0000701A0000}"/>
    <cellStyle name="Percentuale 24 4" xfId="1610" xr:uid="{00000000-0005-0000-0000-0000711A0000}"/>
    <cellStyle name="Percentuale 24 4 2" xfId="1611" xr:uid="{00000000-0005-0000-0000-0000721A0000}"/>
    <cellStyle name="Percentuale 24 4 2 2" xfId="3022" xr:uid="{00000000-0005-0000-0000-0000731A0000}"/>
    <cellStyle name="Percentuale 24 4 3" xfId="3021" xr:uid="{00000000-0005-0000-0000-0000741A0000}"/>
    <cellStyle name="Percentuale 24 5" xfId="1612" xr:uid="{00000000-0005-0000-0000-0000751A0000}"/>
    <cellStyle name="Percentuale 25" xfId="1613" xr:uid="{00000000-0005-0000-0000-0000761A0000}"/>
    <cellStyle name="Percentuale 25 2" xfId="1614" xr:uid="{00000000-0005-0000-0000-0000771A0000}"/>
    <cellStyle name="Percentuale 25 2 2" xfId="3023" xr:uid="{00000000-0005-0000-0000-0000781A0000}"/>
    <cellStyle name="Percentuale 25 3" xfId="1615" xr:uid="{00000000-0005-0000-0000-0000791A0000}"/>
    <cellStyle name="Percentuale 25 3 2" xfId="1616" xr:uid="{00000000-0005-0000-0000-00007A1A0000}"/>
    <cellStyle name="Percentuale 25 3 3" xfId="1617" xr:uid="{00000000-0005-0000-0000-00007B1A0000}"/>
    <cellStyle name="Percentuale 25 3 3 2" xfId="3025" xr:uid="{00000000-0005-0000-0000-00007C1A0000}"/>
    <cellStyle name="Percentuale 25 3 4" xfId="3024" xr:uid="{00000000-0005-0000-0000-00007D1A0000}"/>
    <cellStyle name="Percentuale 25 4" xfId="1618" xr:uid="{00000000-0005-0000-0000-00007E1A0000}"/>
    <cellStyle name="Percentuale 25 4 2" xfId="1619" xr:uid="{00000000-0005-0000-0000-00007F1A0000}"/>
    <cellStyle name="Percentuale 25 4 2 2" xfId="3027" xr:uid="{00000000-0005-0000-0000-0000801A0000}"/>
    <cellStyle name="Percentuale 25 4 3" xfId="3026" xr:uid="{00000000-0005-0000-0000-0000811A0000}"/>
    <cellStyle name="Percentuale 25 5" xfId="1620" xr:uid="{00000000-0005-0000-0000-0000821A0000}"/>
    <cellStyle name="Percentuale 26" xfId="1621" xr:uid="{00000000-0005-0000-0000-0000831A0000}"/>
    <cellStyle name="Percentuale 26 2" xfId="1622" xr:uid="{00000000-0005-0000-0000-0000841A0000}"/>
    <cellStyle name="Percentuale 26 2 2" xfId="3028" xr:uid="{00000000-0005-0000-0000-0000851A0000}"/>
    <cellStyle name="Percentuale 26 3" xfId="1623" xr:uid="{00000000-0005-0000-0000-0000861A0000}"/>
    <cellStyle name="Percentuale 26 3 2" xfId="1624" xr:uid="{00000000-0005-0000-0000-0000871A0000}"/>
    <cellStyle name="Percentuale 26 3 3" xfId="1625" xr:uid="{00000000-0005-0000-0000-0000881A0000}"/>
    <cellStyle name="Percentuale 26 3 3 2" xfId="3030" xr:uid="{00000000-0005-0000-0000-0000891A0000}"/>
    <cellStyle name="Percentuale 26 3 4" xfId="3029" xr:uid="{00000000-0005-0000-0000-00008A1A0000}"/>
    <cellStyle name="Percentuale 26 4" xfId="1626" xr:uid="{00000000-0005-0000-0000-00008B1A0000}"/>
    <cellStyle name="Percentuale 26 4 2" xfId="1627" xr:uid="{00000000-0005-0000-0000-00008C1A0000}"/>
    <cellStyle name="Percentuale 26 4 2 2" xfId="3032" xr:uid="{00000000-0005-0000-0000-00008D1A0000}"/>
    <cellStyle name="Percentuale 26 4 3" xfId="3031" xr:uid="{00000000-0005-0000-0000-00008E1A0000}"/>
    <cellStyle name="Percentuale 26 5" xfId="1628" xr:uid="{00000000-0005-0000-0000-00008F1A0000}"/>
    <cellStyle name="Percentuale 27" xfId="1629" xr:uid="{00000000-0005-0000-0000-0000901A0000}"/>
    <cellStyle name="Percentuale 27 2" xfId="1630" xr:uid="{00000000-0005-0000-0000-0000911A0000}"/>
    <cellStyle name="Percentuale 27 2 2" xfId="3033" xr:uid="{00000000-0005-0000-0000-0000921A0000}"/>
    <cellStyle name="Percentuale 27 3" xfId="1631" xr:uid="{00000000-0005-0000-0000-0000931A0000}"/>
    <cellStyle name="Percentuale 27 3 2" xfId="1632" xr:uid="{00000000-0005-0000-0000-0000941A0000}"/>
    <cellStyle name="Percentuale 27 3 3" xfId="1633" xr:uid="{00000000-0005-0000-0000-0000951A0000}"/>
    <cellStyle name="Percentuale 27 3 3 2" xfId="3035" xr:uid="{00000000-0005-0000-0000-0000961A0000}"/>
    <cellStyle name="Percentuale 27 3 4" xfId="3034" xr:uid="{00000000-0005-0000-0000-0000971A0000}"/>
    <cellStyle name="Percentuale 27 4" xfId="1634" xr:uid="{00000000-0005-0000-0000-0000981A0000}"/>
    <cellStyle name="Percentuale 27 4 2" xfId="1635" xr:uid="{00000000-0005-0000-0000-0000991A0000}"/>
    <cellStyle name="Percentuale 27 4 2 2" xfId="3037" xr:uid="{00000000-0005-0000-0000-00009A1A0000}"/>
    <cellStyle name="Percentuale 27 4 3" xfId="3036" xr:uid="{00000000-0005-0000-0000-00009B1A0000}"/>
    <cellStyle name="Percentuale 27 5" xfId="1636" xr:uid="{00000000-0005-0000-0000-00009C1A0000}"/>
    <cellStyle name="Percentuale 28" xfId="1637" xr:uid="{00000000-0005-0000-0000-00009D1A0000}"/>
    <cellStyle name="Percentuale 28 2" xfId="1638" xr:uid="{00000000-0005-0000-0000-00009E1A0000}"/>
    <cellStyle name="Percentuale 28 2 2" xfId="3038" xr:uid="{00000000-0005-0000-0000-00009F1A0000}"/>
    <cellStyle name="Percentuale 28 3" xfId="1639" xr:uid="{00000000-0005-0000-0000-0000A01A0000}"/>
    <cellStyle name="Percentuale 28 3 2" xfId="1640" xr:uid="{00000000-0005-0000-0000-0000A11A0000}"/>
    <cellStyle name="Percentuale 28 3 3" xfId="1641" xr:uid="{00000000-0005-0000-0000-0000A21A0000}"/>
    <cellStyle name="Percentuale 28 3 3 2" xfId="3040" xr:uid="{00000000-0005-0000-0000-0000A31A0000}"/>
    <cellStyle name="Percentuale 28 3 4" xfId="3039" xr:uid="{00000000-0005-0000-0000-0000A41A0000}"/>
    <cellStyle name="Percentuale 28 4" xfId="1642" xr:uid="{00000000-0005-0000-0000-0000A51A0000}"/>
    <cellStyle name="Percentuale 28 4 2" xfId="1643" xr:uid="{00000000-0005-0000-0000-0000A61A0000}"/>
    <cellStyle name="Percentuale 28 4 2 2" xfId="3042" xr:uid="{00000000-0005-0000-0000-0000A71A0000}"/>
    <cellStyle name="Percentuale 28 4 3" xfId="3041" xr:uid="{00000000-0005-0000-0000-0000A81A0000}"/>
    <cellStyle name="Percentuale 28 5" xfId="1644" xr:uid="{00000000-0005-0000-0000-0000A91A0000}"/>
    <cellStyle name="Percentuale 29" xfId="1645" xr:uid="{00000000-0005-0000-0000-0000AA1A0000}"/>
    <cellStyle name="Percentuale 29 2" xfId="1646" xr:uid="{00000000-0005-0000-0000-0000AB1A0000}"/>
    <cellStyle name="Percentuale 29 2 2" xfId="3043" xr:uid="{00000000-0005-0000-0000-0000AC1A0000}"/>
    <cellStyle name="Percentuale 29 3" xfId="1647" xr:uid="{00000000-0005-0000-0000-0000AD1A0000}"/>
    <cellStyle name="Percentuale 29 3 2" xfId="1648" xr:uid="{00000000-0005-0000-0000-0000AE1A0000}"/>
    <cellStyle name="Percentuale 29 3 3" xfId="1649" xr:uid="{00000000-0005-0000-0000-0000AF1A0000}"/>
    <cellStyle name="Percentuale 29 3 3 2" xfId="3045" xr:uid="{00000000-0005-0000-0000-0000B01A0000}"/>
    <cellStyle name="Percentuale 29 3 4" xfId="3044" xr:uid="{00000000-0005-0000-0000-0000B11A0000}"/>
    <cellStyle name="Percentuale 29 4" xfId="1650" xr:uid="{00000000-0005-0000-0000-0000B21A0000}"/>
    <cellStyle name="Percentuale 29 4 2" xfId="1651" xr:uid="{00000000-0005-0000-0000-0000B31A0000}"/>
    <cellStyle name="Percentuale 29 4 2 2" xfId="3047" xr:uid="{00000000-0005-0000-0000-0000B41A0000}"/>
    <cellStyle name="Percentuale 29 4 3" xfId="3046" xr:uid="{00000000-0005-0000-0000-0000B51A0000}"/>
    <cellStyle name="Percentuale 29 5" xfId="1652" xr:uid="{00000000-0005-0000-0000-0000B61A0000}"/>
    <cellStyle name="Percentuale 3" xfId="1653" xr:uid="{00000000-0005-0000-0000-0000B71A0000}"/>
    <cellStyle name="Percentuale 3 2" xfId="1654" xr:uid="{00000000-0005-0000-0000-0000B81A0000}"/>
    <cellStyle name="Percentuale 3 2 2" xfId="3048" xr:uid="{00000000-0005-0000-0000-0000B91A0000}"/>
    <cellStyle name="Percentuale 3 3" xfId="1655" xr:uid="{00000000-0005-0000-0000-0000BA1A0000}"/>
    <cellStyle name="Percentuale 3 3 2" xfId="1656" xr:uid="{00000000-0005-0000-0000-0000BB1A0000}"/>
    <cellStyle name="Percentuale 3 3 3" xfId="1657" xr:uid="{00000000-0005-0000-0000-0000BC1A0000}"/>
    <cellStyle name="Percentuale 3 3 3 2" xfId="3050" xr:uid="{00000000-0005-0000-0000-0000BD1A0000}"/>
    <cellStyle name="Percentuale 3 3 4" xfId="3049" xr:uid="{00000000-0005-0000-0000-0000BE1A0000}"/>
    <cellStyle name="Percentuale 3 4" xfId="1658" xr:uid="{00000000-0005-0000-0000-0000BF1A0000}"/>
    <cellStyle name="Percentuale 3 4 2" xfId="1659" xr:uid="{00000000-0005-0000-0000-0000C01A0000}"/>
    <cellStyle name="Percentuale 3 4 2 2" xfId="3052" xr:uid="{00000000-0005-0000-0000-0000C11A0000}"/>
    <cellStyle name="Percentuale 3 4 3" xfId="3051" xr:uid="{00000000-0005-0000-0000-0000C21A0000}"/>
    <cellStyle name="Percentuale 3 5" xfId="1660" xr:uid="{00000000-0005-0000-0000-0000C31A0000}"/>
    <cellStyle name="Percentuale 30" xfId="1661" xr:uid="{00000000-0005-0000-0000-0000C41A0000}"/>
    <cellStyle name="Percentuale 30 2" xfId="1662" xr:uid="{00000000-0005-0000-0000-0000C51A0000}"/>
    <cellStyle name="Percentuale 30 2 2" xfId="3053" xr:uid="{00000000-0005-0000-0000-0000C61A0000}"/>
    <cellStyle name="Percentuale 30 3" xfId="1663" xr:uid="{00000000-0005-0000-0000-0000C71A0000}"/>
    <cellStyle name="Percentuale 30 3 2" xfId="1664" xr:uid="{00000000-0005-0000-0000-0000C81A0000}"/>
    <cellStyle name="Percentuale 30 3 3" xfId="1665" xr:uid="{00000000-0005-0000-0000-0000C91A0000}"/>
    <cellStyle name="Percentuale 30 3 3 2" xfId="3055" xr:uid="{00000000-0005-0000-0000-0000CA1A0000}"/>
    <cellStyle name="Percentuale 30 3 4" xfId="3054" xr:uid="{00000000-0005-0000-0000-0000CB1A0000}"/>
    <cellStyle name="Percentuale 30 4" xfId="1666" xr:uid="{00000000-0005-0000-0000-0000CC1A0000}"/>
    <cellStyle name="Percentuale 30 4 2" xfId="1667" xr:uid="{00000000-0005-0000-0000-0000CD1A0000}"/>
    <cellStyle name="Percentuale 30 4 2 2" xfId="3057" xr:uid="{00000000-0005-0000-0000-0000CE1A0000}"/>
    <cellStyle name="Percentuale 30 4 3" xfId="3056" xr:uid="{00000000-0005-0000-0000-0000CF1A0000}"/>
    <cellStyle name="Percentuale 30 5" xfId="1668" xr:uid="{00000000-0005-0000-0000-0000D01A0000}"/>
    <cellStyle name="Percentuale 31" xfId="1669" xr:uid="{00000000-0005-0000-0000-0000D11A0000}"/>
    <cellStyle name="Percentuale 31 2" xfId="1670" xr:uid="{00000000-0005-0000-0000-0000D21A0000}"/>
    <cellStyle name="Percentuale 31 2 2" xfId="3058" xr:uid="{00000000-0005-0000-0000-0000D31A0000}"/>
    <cellStyle name="Percentuale 31 3" xfId="1671" xr:uid="{00000000-0005-0000-0000-0000D41A0000}"/>
    <cellStyle name="Percentuale 31 3 2" xfId="1672" xr:uid="{00000000-0005-0000-0000-0000D51A0000}"/>
    <cellStyle name="Percentuale 31 3 3" xfId="1673" xr:uid="{00000000-0005-0000-0000-0000D61A0000}"/>
    <cellStyle name="Percentuale 31 3 3 2" xfId="3060" xr:uid="{00000000-0005-0000-0000-0000D71A0000}"/>
    <cellStyle name="Percentuale 31 3 4" xfId="3059" xr:uid="{00000000-0005-0000-0000-0000D81A0000}"/>
    <cellStyle name="Percentuale 31 4" xfId="1674" xr:uid="{00000000-0005-0000-0000-0000D91A0000}"/>
    <cellStyle name="Percentuale 31 4 2" xfId="1675" xr:uid="{00000000-0005-0000-0000-0000DA1A0000}"/>
    <cellStyle name="Percentuale 31 4 2 2" xfId="3062" xr:uid="{00000000-0005-0000-0000-0000DB1A0000}"/>
    <cellStyle name="Percentuale 31 4 3" xfId="3061" xr:uid="{00000000-0005-0000-0000-0000DC1A0000}"/>
    <cellStyle name="Percentuale 31 5" xfId="1676" xr:uid="{00000000-0005-0000-0000-0000DD1A0000}"/>
    <cellStyle name="Percentuale 32" xfId="1677" xr:uid="{00000000-0005-0000-0000-0000DE1A0000}"/>
    <cellStyle name="Percentuale 32 2" xfId="1678" xr:uid="{00000000-0005-0000-0000-0000DF1A0000}"/>
    <cellStyle name="Percentuale 32 2 2" xfId="3063" xr:uid="{00000000-0005-0000-0000-0000E01A0000}"/>
    <cellStyle name="Percentuale 32 3" xfId="1679" xr:uid="{00000000-0005-0000-0000-0000E11A0000}"/>
    <cellStyle name="Percentuale 32 3 2" xfId="1680" xr:uid="{00000000-0005-0000-0000-0000E21A0000}"/>
    <cellStyle name="Percentuale 32 3 3" xfId="1681" xr:uid="{00000000-0005-0000-0000-0000E31A0000}"/>
    <cellStyle name="Percentuale 32 3 3 2" xfId="3065" xr:uid="{00000000-0005-0000-0000-0000E41A0000}"/>
    <cellStyle name="Percentuale 32 3 4" xfId="3064" xr:uid="{00000000-0005-0000-0000-0000E51A0000}"/>
    <cellStyle name="Percentuale 32 4" xfId="1682" xr:uid="{00000000-0005-0000-0000-0000E61A0000}"/>
    <cellStyle name="Percentuale 32 4 2" xfId="1683" xr:uid="{00000000-0005-0000-0000-0000E71A0000}"/>
    <cellStyle name="Percentuale 32 4 2 2" xfId="3067" xr:uid="{00000000-0005-0000-0000-0000E81A0000}"/>
    <cellStyle name="Percentuale 32 4 3" xfId="3066" xr:uid="{00000000-0005-0000-0000-0000E91A0000}"/>
    <cellStyle name="Percentuale 32 5" xfId="1684" xr:uid="{00000000-0005-0000-0000-0000EA1A0000}"/>
    <cellStyle name="Percentuale 33" xfId="1685" xr:uid="{00000000-0005-0000-0000-0000EB1A0000}"/>
    <cellStyle name="Percentuale 33 2" xfId="1686" xr:uid="{00000000-0005-0000-0000-0000EC1A0000}"/>
    <cellStyle name="Percentuale 33 2 2" xfId="3068" xr:uid="{00000000-0005-0000-0000-0000ED1A0000}"/>
    <cellStyle name="Percentuale 33 3" xfId="1687" xr:uid="{00000000-0005-0000-0000-0000EE1A0000}"/>
    <cellStyle name="Percentuale 33 3 2" xfId="1688" xr:uid="{00000000-0005-0000-0000-0000EF1A0000}"/>
    <cellStyle name="Percentuale 33 3 3" xfId="1689" xr:uid="{00000000-0005-0000-0000-0000F01A0000}"/>
    <cellStyle name="Percentuale 33 3 3 2" xfId="3070" xr:uid="{00000000-0005-0000-0000-0000F11A0000}"/>
    <cellStyle name="Percentuale 33 3 4" xfId="3069" xr:uid="{00000000-0005-0000-0000-0000F21A0000}"/>
    <cellStyle name="Percentuale 33 4" xfId="1690" xr:uid="{00000000-0005-0000-0000-0000F31A0000}"/>
    <cellStyle name="Percentuale 33 4 2" xfId="1691" xr:uid="{00000000-0005-0000-0000-0000F41A0000}"/>
    <cellStyle name="Percentuale 33 4 2 2" xfId="3072" xr:uid="{00000000-0005-0000-0000-0000F51A0000}"/>
    <cellStyle name="Percentuale 33 4 3" xfId="3071" xr:uid="{00000000-0005-0000-0000-0000F61A0000}"/>
    <cellStyle name="Percentuale 33 5" xfId="1692" xr:uid="{00000000-0005-0000-0000-0000F71A0000}"/>
    <cellStyle name="Percentuale 34" xfId="1693" xr:uid="{00000000-0005-0000-0000-0000F81A0000}"/>
    <cellStyle name="Percentuale 34 2" xfId="1694" xr:uid="{00000000-0005-0000-0000-0000F91A0000}"/>
    <cellStyle name="Percentuale 34 2 2" xfId="3073" xr:uid="{00000000-0005-0000-0000-0000FA1A0000}"/>
    <cellStyle name="Percentuale 34 3" xfId="1695" xr:uid="{00000000-0005-0000-0000-0000FB1A0000}"/>
    <cellStyle name="Percentuale 34 3 2" xfId="1696" xr:uid="{00000000-0005-0000-0000-0000FC1A0000}"/>
    <cellStyle name="Percentuale 34 3 3" xfId="1697" xr:uid="{00000000-0005-0000-0000-0000FD1A0000}"/>
    <cellStyle name="Percentuale 34 3 3 2" xfId="3075" xr:uid="{00000000-0005-0000-0000-0000FE1A0000}"/>
    <cellStyle name="Percentuale 34 3 4" xfId="3074" xr:uid="{00000000-0005-0000-0000-0000FF1A0000}"/>
    <cellStyle name="Percentuale 34 4" xfId="1698" xr:uid="{00000000-0005-0000-0000-0000001B0000}"/>
    <cellStyle name="Percentuale 34 4 2" xfId="1699" xr:uid="{00000000-0005-0000-0000-0000011B0000}"/>
    <cellStyle name="Percentuale 34 4 2 2" xfId="3077" xr:uid="{00000000-0005-0000-0000-0000021B0000}"/>
    <cellStyle name="Percentuale 34 4 3" xfId="3076" xr:uid="{00000000-0005-0000-0000-0000031B0000}"/>
    <cellStyle name="Percentuale 34 5" xfId="1700" xr:uid="{00000000-0005-0000-0000-0000041B0000}"/>
    <cellStyle name="Percentuale 35" xfId="1701" xr:uid="{00000000-0005-0000-0000-0000051B0000}"/>
    <cellStyle name="Percentuale 35 2" xfId="1702" xr:uid="{00000000-0005-0000-0000-0000061B0000}"/>
    <cellStyle name="Percentuale 35 2 2" xfId="3078" xr:uid="{00000000-0005-0000-0000-0000071B0000}"/>
    <cellStyle name="Percentuale 35 3" xfId="1703" xr:uid="{00000000-0005-0000-0000-0000081B0000}"/>
    <cellStyle name="Percentuale 35 3 2" xfId="1704" xr:uid="{00000000-0005-0000-0000-0000091B0000}"/>
    <cellStyle name="Percentuale 35 3 3" xfId="1705" xr:uid="{00000000-0005-0000-0000-00000A1B0000}"/>
    <cellStyle name="Percentuale 35 3 3 2" xfId="3080" xr:uid="{00000000-0005-0000-0000-00000B1B0000}"/>
    <cellStyle name="Percentuale 35 3 4" xfId="3079" xr:uid="{00000000-0005-0000-0000-00000C1B0000}"/>
    <cellStyle name="Percentuale 35 4" xfId="1706" xr:uid="{00000000-0005-0000-0000-00000D1B0000}"/>
    <cellStyle name="Percentuale 35 4 2" xfId="1707" xr:uid="{00000000-0005-0000-0000-00000E1B0000}"/>
    <cellStyle name="Percentuale 35 4 2 2" xfId="3082" xr:uid="{00000000-0005-0000-0000-00000F1B0000}"/>
    <cellStyle name="Percentuale 35 4 3" xfId="3081" xr:uid="{00000000-0005-0000-0000-0000101B0000}"/>
    <cellStyle name="Percentuale 35 5" xfId="1708" xr:uid="{00000000-0005-0000-0000-0000111B0000}"/>
    <cellStyle name="Percentuale 36" xfId="1709" xr:uid="{00000000-0005-0000-0000-0000121B0000}"/>
    <cellStyle name="Percentuale 36 2" xfId="1710" xr:uid="{00000000-0005-0000-0000-0000131B0000}"/>
    <cellStyle name="Percentuale 36 2 2" xfId="3083" xr:uid="{00000000-0005-0000-0000-0000141B0000}"/>
    <cellStyle name="Percentuale 36 3" xfId="1711" xr:uid="{00000000-0005-0000-0000-0000151B0000}"/>
    <cellStyle name="Percentuale 36 3 2" xfId="1712" xr:uid="{00000000-0005-0000-0000-0000161B0000}"/>
    <cellStyle name="Percentuale 36 3 3" xfId="1713" xr:uid="{00000000-0005-0000-0000-0000171B0000}"/>
    <cellStyle name="Percentuale 36 3 3 2" xfId="3085" xr:uid="{00000000-0005-0000-0000-0000181B0000}"/>
    <cellStyle name="Percentuale 36 3 4" xfId="3084" xr:uid="{00000000-0005-0000-0000-0000191B0000}"/>
    <cellStyle name="Percentuale 36 4" xfId="1714" xr:uid="{00000000-0005-0000-0000-00001A1B0000}"/>
    <cellStyle name="Percentuale 36 4 2" xfId="1715" xr:uid="{00000000-0005-0000-0000-00001B1B0000}"/>
    <cellStyle name="Percentuale 36 4 2 2" xfId="3087" xr:uid="{00000000-0005-0000-0000-00001C1B0000}"/>
    <cellStyle name="Percentuale 36 4 3" xfId="3086" xr:uid="{00000000-0005-0000-0000-00001D1B0000}"/>
    <cellStyle name="Percentuale 36 5" xfId="1716" xr:uid="{00000000-0005-0000-0000-00001E1B0000}"/>
    <cellStyle name="Percentuale 37" xfId="1717" xr:uid="{00000000-0005-0000-0000-00001F1B0000}"/>
    <cellStyle name="Percentuale 37 2" xfId="1718" xr:uid="{00000000-0005-0000-0000-0000201B0000}"/>
    <cellStyle name="Percentuale 37 2 2" xfId="3088" xr:uid="{00000000-0005-0000-0000-0000211B0000}"/>
    <cellStyle name="Percentuale 37 3" xfId="1719" xr:uid="{00000000-0005-0000-0000-0000221B0000}"/>
    <cellStyle name="Percentuale 37 3 2" xfId="1720" xr:uid="{00000000-0005-0000-0000-0000231B0000}"/>
    <cellStyle name="Percentuale 37 3 3" xfId="1721" xr:uid="{00000000-0005-0000-0000-0000241B0000}"/>
    <cellStyle name="Percentuale 37 3 3 2" xfId="3090" xr:uid="{00000000-0005-0000-0000-0000251B0000}"/>
    <cellStyle name="Percentuale 37 3 4" xfId="3089" xr:uid="{00000000-0005-0000-0000-0000261B0000}"/>
    <cellStyle name="Percentuale 37 4" xfId="1722" xr:uid="{00000000-0005-0000-0000-0000271B0000}"/>
    <cellStyle name="Percentuale 37 4 2" xfId="1723" xr:uid="{00000000-0005-0000-0000-0000281B0000}"/>
    <cellStyle name="Percentuale 37 4 2 2" xfId="3092" xr:uid="{00000000-0005-0000-0000-0000291B0000}"/>
    <cellStyle name="Percentuale 37 4 3" xfId="3091" xr:uid="{00000000-0005-0000-0000-00002A1B0000}"/>
    <cellStyle name="Percentuale 37 5" xfId="1724" xr:uid="{00000000-0005-0000-0000-00002B1B0000}"/>
    <cellStyle name="Percentuale 38" xfId="1725" xr:uid="{00000000-0005-0000-0000-00002C1B0000}"/>
    <cellStyle name="Percentuale 38 2" xfId="1726" xr:uid="{00000000-0005-0000-0000-00002D1B0000}"/>
    <cellStyle name="Percentuale 38 2 2" xfId="3093" xr:uid="{00000000-0005-0000-0000-00002E1B0000}"/>
    <cellStyle name="Percentuale 38 3" xfId="1727" xr:uid="{00000000-0005-0000-0000-00002F1B0000}"/>
    <cellStyle name="Percentuale 38 3 2" xfId="1728" xr:uid="{00000000-0005-0000-0000-0000301B0000}"/>
    <cellStyle name="Percentuale 38 3 3" xfId="1729" xr:uid="{00000000-0005-0000-0000-0000311B0000}"/>
    <cellStyle name="Percentuale 38 3 3 2" xfId="3095" xr:uid="{00000000-0005-0000-0000-0000321B0000}"/>
    <cellStyle name="Percentuale 38 3 4" xfId="3094" xr:uid="{00000000-0005-0000-0000-0000331B0000}"/>
    <cellStyle name="Percentuale 38 4" xfId="1730" xr:uid="{00000000-0005-0000-0000-0000341B0000}"/>
    <cellStyle name="Percentuale 38 4 2" xfId="1731" xr:uid="{00000000-0005-0000-0000-0000351B0000}"/>
    <cellStyle name="Percentuale 38 4 2 2" xfId="3097" xr:uid="{00000000-0005-0000-0000-0000361B0000}"/>
    <cellStyle name="Percentuale 38 4 3" xfId="3096" xr:uid="{00000000-0005-0000-0000-0000371B0000}"/>
    <cellStyle name="Percentuale 38 5" xfId="1732" xr:uid="{00000000-0005-0000-0000-0000381B0000}"/>
    <cellStyle name="Percentuale 39" xfId="1733" xr:uid="{00000000-0005-0000-0000-0000391B0000}"/>
    <cellStyle name="Percentuale 39 2" xfId="1734" xr:uid="{00000000-0005-0000-0000-00003A1B0000}"/>
    <cellStyle name="Percentuale 39 2 2" xfId="3098" xr:uid="{00000000-0005-0000-0000-00003B1B0000}"/>
    <cellStyle name="Percentuale 39 3" xfId="1735" xr:uid="{00000000-0005-0000-0000-00003C1B0000}"/>
    <cellStyle name="Percentuale 39 3 2" xfId="1736" xr:uid="{00000000-0005-0000-0000-00003D1B0000}"/>
    <cellStyle name="Percentuale 39 3 3" xfId="1737" xr:uid="{00000000-0005-0000-0000-00003E1B0000}"/>
    <cellStyle name="Percentuale 39 3 3 2" xfId="3100" xr:uid="{00000000-0005-0000-0000-00003F1B0000}"/>
    <cellStyle name="Percentuale 39 3 4" xfId="3099" xr:uid="{00000000-0005-0000-0000-0000401B0000}"/>
    <cellStyle name="Percentuale 39 4" xfId="1738" xr:uid="{00000000-0005-0000-0000-0000411B0000}"/>
    <cellStyle name="Percentuale 39 4 2" xfId="1739" xr:uid="{00000000-0005-0000-0000-0000421B0000}"/>
    <cellStyle name="Percentuale 39 4 2 2" xfId="3102" xr:uid="{00000000-0005-0000-0000-0000431B0000}"/>
    <cellStyle name="Percentuale 39 4 3" xfId="3101" xr:uid="{00000000-0005-0000-0000-0000441B0000}"/>
    <cellStyle name="Percentuale 39 5" xfId="1740" xr:uid="{00000000-0005-0000-0000-0000451B0000}"/>
    <cellStyle name="Percentuale 4" xfId="1741" xr:uid="{00000000-0005-0000-0000-0000461B0000}"/>
    <cellStyle name="Percentuale 4 2" xfId="1742" xr:uid="{00000000-0005-0000-0000-0000471B0000}"/>
    <cellStyle name="Percentuale 4 2 2" xfId="3103" xr:uid="{00000000-0005-0000-0000-0000481B0000}"/>
    <cellStyle name="Percentuale 4 3" xfId="1743" xr:uid="{00000000-0005-0000-0000-0000491B0000}"/>
    <cellStyle name="Percentuale 4 3 2" xfId="1744" xr:uid="{00000000-0005-0000-0000-00004A1B0000}"/>
    <cellStyle name="Percentuale 4 3 3" xfId="1745" xr:uid="{00000000-0005-0000-0000-00004B1B0000}"/>
    <cellStyle name="Percentuale 4 3 3 2" xfId="3105" xr:uid="{00000000-0005-0000-0000-00004C1B0000}"/>
    <cellStyle name="Percentuale 4 3 4" xfId="3104" xr:uid="{00000000-0005-0000-0000-00004D1B0000}"/>
    <cellStyle name="Percentuale 4 4" xfId="1746" xr:uid="{00000000-0005-0000-0000-00004E1B0000}"/>
    <cellStyle name="Percentuale 4 4 2" xfId="1747" xr:uid="{00000000-0005-0000-0000-00004F1B0000}"/>
    <cellStyle name="Percentuale 4 4 2 2" xfId="3107" xr:uid="{00000000-0005-0000-0000-0000501B0000}"/>
    <cellStyle name="Percentuale 4 4 3" xfId="3106" xr:uid="{00000000-0005-0000-0000-0000511B0000}"/>
    <cellStyle name="Percentuale 4 5" xfId="1748" xr:uid="{00000000-0005-0000-0000-0000521B0000}"/>
    <cellStyle name="Percentuale 40" xfId="1749" xr:uid="{00000000-0005-0000-0000-0000531B0000}"/>
    <cellStyle name="Percentuale 40 2" xfId="1750" xr:uid="{00000000-0005-0000-0000-0000541B0000}"/>
    <cellStyle name="Percentuale 40 2 2" xfId="3108" xr:uid="{00000000-0005-0000-0000-0000551B0000}"/>
    <cellStyle name="Percentuale 40 3" xfId="1751" xr:uid="{00000000-0005-0000-0000-0000561B0000}"/>
    <cellStyle name="Percentuale 40 3 2" xfId="1752" xr:uid="{00000000-0005-0000-0000-0000571B0000}"/>
    <cellStyle name="Percentuale 40 3 3" xfId="1753" xr:uid="{00000000-0005-0000-0000-0000581B0000}"/>
    <cellStyle name="Percentuale 40 3 3 2" xfId="3110" xr:uid="{00000000-0005-0000-0000-0000591B0000}"/>
    <cellStyle name="Percentuale 40 3 4" xfId="3109" xr:uid="{00000000-0005-0000-0000-00005A1B0000}"/>
    <cellStyle name="Percentuale 40 4" xfId="1754" xr:uid="{00000000-0005-0000-0000-00005B1B0000}"/>
    <cellStyle name="Percentuale 40 4 2" xfId="1755" xr:uid="{00000000-0005-0000-0000-00005C1B0000}"/>
    <cellStyle name="Percentuale 40 4 2 2" xfId="3112" xr:uid="{00000000-0005-0000-0000-00005D1B0000}"/>
    <cellStyle name="Percentuale 40 4 3" xfId="3111" xr:uid="{00000000-0005-0000-0000-00005E1B0000}"/>
    <cellStyle name="Percentuale 40 5" xfId="1756" xr:uid="{00000000-0005-0000-0000-00005F1B0000}"/>
    <cellStyle name="Percentuale 41" xfId="1757" xr:uid="{00000000-0005-0000-0000-0000601B0000}"/>
    <cellStyle name="Percentuale 41 2" xfId="1758" xr:uid="{00000000-0005-0000-0000-0000611B0000}"/>
    <cellStyle name="Percentuale 41 2 2" xfId="3113" xr:uid="{00000000-0005-0000-0000-0000621B0000}"/>
    <cellStyle name="Percentuale 41 3" xfId="1759" xr:uid="{00000000-0005-0000-0000-0000631B0000}"/>
    <cellStyle name="Percentuale 41 3 2" xfId="1760" xr:uid="{00000000-0005-0000-0000-0000641B0000}"/>
    <cellStyle name="Percentuale 41 3 3" xfId="1761" xr:uid="{00000000-0005-0000-0000-0000651B0000}"/>
    <cellStyle name="Percentuale 41 3 3 2" xfId="3115" xr:uid="{00000000-0005-0000-0000-0000661B0000}"/>
    <cellStyle name="Percentuale 41 3 4" xfId="3114" xr:uid="{00000000-0005-0000-0000-0000671B0000}"/>
    <cellStyle name="Percentuale 41 4" xfId="1762" xr:uid="{00000000-0005-0000-0000-0000681B0000}"/>
    <cellStyle name="Percentuale 41 4 2" xfId="1763" xr:uid="{00000000-0005-0000-0000-0000691B0000}"/>
    <cellStyle name="Percentuale 41 4 2 2" xfId="3117" xr:uid="{00000000-0005-0000-0000-00006A1B0000}"/>
    <cellStyle name="Percentuale 41 4 3" xfId="3116" xr:uid="{00000000-0005-0000-0000-00006B1B0000}"/>
    <cellStyle name="Percentuale 41 5" xfId="1764" xr:uid="{00000000-0005-0000-0000-00006C1B0000}"/>
    <cellStyle name="Percentuale 42" xfId="1765" xr:uid="{00000000-0005-0000-0000-00006D1B0000}"/>
    <cellStyle name="Percentuale 42 2" xfId="1766" xr:uid="{00000000-0005-0000-0000-00006E1B0000}"/>
    <cellStyle name="Percentuale 42 2 2" xfId="3118" xr:uid="{00000000-0005-0000-0000-00006F1B0000}"/>
    <cellStyle name="Percentuale 42 3" xfId="1767" xr:uid="{00000000-0005-0000-0000-0000701B0000}"/>
    <cellStyle name="Percentuale 42 3 2" xfId="1768" xr:uid="{00000000-0005-0000-0000-0000711B0000}"/>
    <cellStyle name="Percentuale 42 3 3" xfId="1769" xr:uid="{00000000-0005-0000-0000-0000721B0000}"/>
    <cellStyle name="Percentuale 42 3 3 2" xfId="3120" xr:uid="{00000000-0005-0000-0000-0000731B0000}"/>
    <cellStyle name="Percentuale 42 3 4" xfId="3119" xr:uid="{00000000-0005-0000-0000-0000741B0000}"/>
    <cellStyle name="Percentuale 42 4" xfId="1770" xr:uid="{00000000-0005-0000-0000-0000751B0000}"/>
    <cellStyle name="Percentuale 42 4 2" xfId="1771" xr:uid="{00000000-0005-0000-0000-0000761B0000}"/>
    <cellStyle name="Percentuale 42 4 2 2" xfId="3122" xr:uid="{00000000-0005-0000-0000-0000771B0000}"/>
    <cellStyle name="Percentuale 42 4 3" xfId="3121" xr:uid="{00000000-0005-0000-0000-0000781B0000}"/>
    <cellStyle name="Percentuale 42 5" xfId="1772" xr:uid="{00000000-0005-0000-0000-0000791B0000}"/>
    <cellStyle name="Percentuale 43" xfId="1773" xr:uid="{00000000-0005-0000-0000-00007A1B0000}"/>
    <cellStyle name="Percentuale 43 2" xfId="1774" xr:uid="{00000000-0005-0000-0000-00007B1B0000}"/>
    <cellStyle name="Percentuale 43 2 2" xfId="3123" xr:uid="{00000000-0005-0000-0000-00007C1B0000}"/>
    <cellStyle name="Percentuale 43 3" xfId="1775" xr:uid="{00000000-0005-0000-0000-00007D1B0000}"/>
    <cellStyle name="Percentuale 43 3 2" xfId="1776" xr:uid="{00000000-0005-0000-0000-00007E1B0000}"/>
    <cellStyle name="Percentuale 43 3 3" xfId="1777" xr:uid="{00000000-0005-0000-0000-00007F1B0000}"/>
    <cellStyle name="Percentuale 43 3 3 2" xfId="3125" xr:uid="{00000000-0005-0000-0000-0000801B0000}"/>
    <cellStyle name="Percentuale 43 3 4" xfId="3124" xr:uid="{00000000-0005-0000-0000-0000811B0000}"/>
    <cellStyle name="Percentuale 43 4" xfId="1778" xr:uid="{00000000-0005-0000-0000-0000821B0000}"/>
    <cellStyle name="Percentuale 43 4 2" xfId="1779" xr:uid="{00000000-0005-0000-0000-0000831B0000}"/>
    <cellStyle name="Percentuale 43 4 2 2" xfId="3127" xr:uid="{00000000-0005-0000-0000-0000841B0000}"/>
    <cellStyle name="Percentuale 43 4 3" xfId="3126" xr:uid="{00000000-0005-0000-0000-0000851B0000}"/>
    <cellStyle name="Percentuale 43 5" xfId="1780" xr:uid="{00000000-0005-0000-0000-0000861B0000}"/>
    <cellStyle name="Percentuale 44" xfId="1781" xr:uid="{00000000-0005-0000-0000-0000871B0000}"/>
    <cellStyle name="Percentuale 44 2" xfId="1782" xr:uid="{00000000-0005-0000-0000-0000881B0000}"/>
    <cellStyle name="Percentuale 44 2 2" xfId="3128" xr:uid="{00000000-0005-0000-0000-0000891B0000}"/>
    <cellStyle name="Percentuale 44 3" xfId="1783" xr:uid="{00000000-0005-0000-0000-00008A1B0000}"/>
    <cellStyle name="Percentuale 44 3 2" xfId="1784" xr:uid="{00000000-0005-0000-0000-00008B1B0000}"/>
    <cellStyle name="Percentuale 44 3 3" xfId="1785" xr:uid="{00000000-0005-0000-0000-00008C1B0000}"/>
    <cellStyle name="Percentuale 44 3 3 2" xfId="3130" xr:uid="{00000000-0005-0000-0000-00008D1B0000}"/>
    <cellStyle name="Percentuale 44 3 4" xfId="3129" xr:uid="{00000000-0005-0000-0000-00008E1B0000}"/>
    <cellStyle name="Percentuale 44 4" xfId="1786" xr:uid="{00000000-0005-0000-0000-00008F1B0000}"/>
    <cellStyle name="Percentuale 44 4 2" xfId="1787" xr:uid="{00000000-0005-0000-0000-0000901B0000}"/>
    <cellStyle name="Percentuale 44 4 2 2" xfId="3132" xr:uid="{00000000-0005-0000-0000-0000911B0000}"/>
    <cellStyle name="Percentuale 44 4 3" xfId="3131" xr:uid="{00000000-0005-0000-0000-0000921B0000}"/>
    <cellStyle name="Percentuale 44 5" xfId="1788" xr:uid="{00000000-0005-0000-0000-0000931B0000}"/>
    <cellStyle name="Percentuale 45" xfId="1789" xr:uid="{00000000-0005-0000-0000-0000941B0000}"/>
    <cellStyle name="Percentuale 45 2" xfId="1790" xr:uid="{00000000-0005-0000-0000-0000951B0000}"/>
    <cellStyle name="Percentuale 45 2 2" xfId="3133" xr:uid="{00000000-0005-0000-0000-0000961B0000}"/>
    <cellStyle name="Percentuale 45 3" xfId="1791" xr:uid="{00000000-0005-0000-0000-0000971B0000}"/>
    <cellStyle name="Percentuale 45 3 2" xfId="1792" xr:uid="{00000000-0005-0000-0000-0000981B0000}"/>
    <cellStyle name="Percentuale 45 3 3" xfId="1793" xr:uid="{00000000-0005-0000-0000-0000991B0000}"/>
    <cellStyle name="Percentuale 45 3 3 2" xfId="3135" xr:uid="{00000000-0005-0000-0000-00009A1B0000}"/>
    <cellStyle name="Percentuale 45 3 4" xfId="3134" xr:uid="{00000000-0005-0000-0000-00009B1B0000}"/>
    <cellStyle name="Percentuale 45 4" xfId="1794" xr:uid="{00000000-0005-0000-0000-00009C1B0000}"/>
    <cellStyle name="Percentuale 45 4 2" xfId="1795" xr:uid="{00000000-0005-0000-0000-00009D1B0000}"/>
    <cellStyle name="Percentuale 45 4 2 2" xfId="3137" xr:uid="{00000000-0005-0000-0000-00009E1B0000}"/>
    <cellStyle name="Percentuale 45 4 3" xfId="3136" xr:uid="{00000000-0005-0000-0000-00009F1B0000}"/>
    <cellStyle name="Percentuale 45 5" xfId="1796" xr:uid="{00000000-0005-0000-0000-0000A01B0000}"/>
    <cellStyle name="Percentuale 46" xfId="1797" xr:uid="{00000000-0005-0000-0000-0000A11B0000}"/>
    <cellStyle name="Percentuale 46 2" xfId="1798" xr:uid="{00000000-0005-0000-0000-0000A21B0000}"/>
    <cellStyle name="Percentuale 46 2 2" xfId="3138" xr:uid="{00000000-0005-0000-0000-0000A31B0000}"/>
    <cellStyle name="Percentuale 46 3" xfId="1799" xr:uid="{00000000-0005-0000-0000-0000A41B0000}"/>
    <cellStyle name="Percentuale 46 3 2" xfId="1800" xr:uid="{00000000-0005-0000-0000-0000A51B0000}"/>
    <cellStyle name="Percentuale 46 3 3" xfId="1801" xr:uid="{00000000-0005-0000-0000-0000A61B0000}"/>
    <cellStyle name="Percentuale 46 3 3 2" xfId="3140" xr:uid="{00000000-0005-0000-0000-0000A71B0000}"/>
    <cellStyle name="Percentuale 46 3 4" xfId="3139" xr:uid="{00000000-0005-0000-0000-0000A81B0000}"/>
    <cellStyle name="Percentuale 46 4" xfId="1802" xr:uid="{00000000-0005-0000-0000-0000A91B0000}"/>
    <cellStyle name="Percentuale 46 4 2" xfId="1803" xr:uid="{00000000-0005-0000-0000-0000AA1B0000}"/>
    <cellStyle name="Percentuale 46 4 2 2" xfId="3142" xr:uid="{00000000-0005-0000-0000-0000AB1B0000}"/>
    <cellStyle name="Percentuale 46 4 3" xfId="3141" xr:uid="{00000000-0005-0000-0000-0000AC1B0000}"/>
    <cellStyle name="Percentuale 46 5" xfId="1804" xr:uid="{00000000-0005-0000-0000-0000AD1B0000}"/>
    <cellStyle name="Percentuale 47" xfId="1805" xr:uid="{00000000-0005-0000-0000-0000AE1B0000}"/>
    <cellStyle name="Percentuale 47 2" xfId="1806" xr:uid="{00000000-0005-0000-0000-0000AF1B0000}"/>
    <cellStyle name="Percentuale 47 2 2" xfId="3143" xr:uid="{00000000-0005-0000-0000-0000B01B0000}"/>
    <cellStyle name="Percentuale 47 3" xfId="1807" xr:uid="{00000000-0005-0000-0000-0000B11B0000}"/>
    <cellStyle name="Percentuale 47 3 2" xfId="1808" xr:uid="{00000000-0005-0000-0000-0000B21B0000}"/>
    <cellStyle name="Percentuale 47 3 3" xfId="1809" xr:uid="{00000000-0005-0000-0000-0000B31B0000}"/>
    <cellStyle name="Percentuale 47 3 3 2" xfId="3145" xr:uid="{00000000-0005-0000-0000-0000B41B0000}"/>
    <cellStyle name="Percentuale 47 3 4" xfId="3144" xr:uid="{00000000-0005-0000-0000-0000B51B0000}"/>
    <cellStyle name="Percentuale 47 4" xfId="1810" xr:uid="{00000000-0005-0000-0000-0000B61B0000}"/>
    <cellStyle name="Percentuale 47 4 2" xfId="1811" xr:uid="{00000000-0005-0000-0000-0000B71B0000}"/>
    <cellStyle name="Percentuale 47 4 2 2" xfId="3147" xr:uid="{00000000-0005-0000-0000-0000B81B0000}"/>
    <cellStyle name="Percentuale 47 4 3" xfId="3146" xr:uid="{00000000-0005-0000-0000-0000B91B0000}"/>
    <cellStyle name="Percentuale 47 5" xfId="1812" xr:uid="{00000000-0005-0000-0000-0000BA1B0000}"/>
    <cellStyle name="Percentuale 48" xfId="1813" xr:uid="{00000000-0005-0000-0000-0000BB1B0000}"/>
    <cellStyle name="Percentuale 48 2" xfId="1814" xr:uid="{00000000-0005-0000-0000-0000BC1B0000}"/>
    <cellStyle name="Percentuale 48 2 2" xfId="3148" xr:uid="{00000000-0005-0000-0000-0000BD1B0000}"/>
    <cellStyle name="Percentuale 48 3" xfId="1815" xr:uid="{00000000-0005-0000-0000-0000BE1B0000}"/>
    <cellStyle name="Percentuale 48 3 2" xfId="1816" xr:uid="{00000000-0005-0000-0000-0000BF1B0000}"/>
    <cellStyle name="Percentuale 48 3 3" xfId="1817" xr:uid="{00000000-0005-0000-0000-0000C01B0000}"/>
    <cellStyle name="Percentuale 48 3 3 2" xfId="3150" xr:uid="{00000000-0005-0000-0000-0000C11B0000}"/>
    <cellStyle name="Percentuale 48 3 4" xfId="3149" xr:uid="{00000000-0005-0000-0000-0000C21B0000}"/>
    <cellStyle name="Percentuale 48 4" xfId="1818" xr:uid="{00000000-0005-0000-0000-0000C31B0000}"/>
    <cellStyle name="Percentuale 48 4 2" xfId="1819" xr:uid="{00000000-0005-0000-0000-0000C41B0000}"/>
    <cellStyle name="Percentuale 48 4 2 2" xfId="3152" xr:uid="{00000000-0005-0000-0000-0000C51B0000}"/>
    <cellStyle name="Percentuale 48 4 3" xfId="3151" xr:uid="{00000000-0005-0000-0000-0000C61B0000}"/>
    <cellStyle name="Percentuale 48 5" xfId="1820" xr:uid="{00000000-0005-0000-0000-0000C71B0000}"/>
    <cellStyle name="Percentuale 49" xfId="1821" xr:uid="{00000000-0005-0000-0000-0000C81B0000}"/>
    <cellStyle name="Percentuale 49 2" xfId="1822" xr:uid="{00000000-0005-0000-0000-0000C91B0000}"/>
    <cellStyle name="Percentuale 49 2 2" xfId="3153" xr:uid="{00000000-0005-0000-0000-0000CA1B0000}"/>
    <cellStyle name="Percentuale 49 3" xfId="1823" xr:uid="{00000000-0005-0000-0000-0000CB1B0000}"/>
    <cellStyle name="Percentuale 49 3 2" xfId="1824" xr:uid="{00000000-0005-0000-0000-0000CC1B0000}"/>
    <cellStyle name="Percentuale 49 3 3" xfId="1825" xr:uid="{00000000-0005-0000-0000-0000CD1B0000}"/>
    <cellStyle name="Percentuale 49 3 3 2" xfId="3155" xr:uid="{00000000-0005-0000-0000-0000CE1B0000}"/>
    <cellStyle name="Percentuale 49 3 4" xfId="3154" xr:uid="{00000000-0005-0000-0000-0000CF1B0000}"/>
    <cellStyle name="Percentuale 49 4" xfId="1826" xr:uid="{00000000-0005-0000-0000-0000D01B0000}"/>
    <cellStyle name="Percentuale 49 4 2" xfId="1827" xr:uid="{00000000-0005-0000-0000-0000D11B0000}"/>
    <cellStyle name="Percentuale 49 4 2 2" xfId="3157" xr:uid="{00000000-0005-0000-0000-0000D21B0000}"/>
    <cellStyle name="Percentuale 49 4 3" xfId="3156" xr:uid="{00000000-0005-0000-0000-0000D31B0000}"/>
    <cellStyle name="Percentuale 49 5" xfId="1828" xr:uid="{00000000-0005-0000-0000-0000D41B0000}"/>
    <cellStyle name="Percentuale 5" xfId="1829" xr:uid="{00000000-0005-0000-0000-0000D51B0000}"/>
    <cellStyle name="Percentuale 5 2" xfId="1830" xr:uid="{00000000-0005-0000-0000-0000D61B0000}"/>
    <cellStyle name="Percentuale 5 2 2" xfId="3158" xr:uid="{00000000-0005-0000-0000-0000D71B0000}"/>
    <cellStyle name="Percentuale 5 3" xfId="1831" xr:uid="{00000000-0005-0000-0000-0000D81B0000}"/>
    <cellStyle name="Percentuale 5 3 2" xfId="1832" xr:uid="{00000000-0005-0000-0000-0000D91B0000}"/>
    <cellStyle name="Percentuale 5 3 3" xfId="1833" xr:uid="{00000000-0005-0000-0000-0000DA1B0000}"/>
    <cellStyle name="Percentuale 5 3 3 2" xfId="3160" xr:uid="{00000000-0005-0000-0000-0000DB1B0000}"/>
    <cellStyle name="Percentuale 5 3 4" xfId="3159" xr:uid="{00000000-0005-0000-0000-0000DC1B0000}"/>
    <cellStyle name="Percentuale 5 4" xfId="1834" xr:uid="{00000000-0005-0000-0000-0000DD1B0000}"/>
    <cellStyle name="Percentuale 5 4 2" xfId="1835" xr:uid="{00000000-0005-0000-0000-0000DE1B0000}"/>
    <cellStyle name="Percentuale 5 4 2 2" xfId="3162" xr:uid="{00000000-0005-0000-0000-0000DF1B0000}"/>
    <cellStyle name="Percentuale 5 4 3" xfId="3161" xr:uid="{00000000-0005-0000-0000-0000E01B0000}"/>
    <cellStyle name="Percentuale 5 5" xfId="1836" xr:uid="{00000000-0005-0000-0000-0000E11B0000}"/>
    <cellStyle name="Percentuale 50" xfId="1837" xr:uid="{00000000-0005-0000-0000-0000E21B0000}"/>
    <cellStyle name="Percentuale 50 2" xfId="1838" xr:uid="{00000000-0005-0000-0000-0000E31B0000}"/>
    <cellStyle name="Percentuale 50 2 2" xfId="3163" xr:uid="{00000000-0005-0000-0000-0000E41B0000}"/>
    <cellStyle name="Percentuale 50 3" xfId="1839" xr:uid="{00000000-0005-0000-0000-0000E51B0000}"/>
    <cellStyle name="Percentuale 50 3 2" xfId="1840" xr:uid="{00000000-0005-0000-0000-0000E61B0000}"/>
    <cellStyle name="Percentuale 50 3 3" xfId="1841" xr:uid="{00000000-0005-0000-0000-0000E71B0000}"/>
    <cellStyle name="Percentuale 50 3 3 2" xfId="3165" xr:uid="{00000000-0005-0000-0000-0000E81B0000}"/>
    <cellStyle name="Percentuale 50 3 4" xfId="3164" xr:uid="{00000000-0005-0000-0000-0000E91B0000}"/>
    <cellStyle name="Percentuale 50 4" xfId="1842" xr:uid="{00000000-0005-0000-0000-0000EA1B0000}"/>
    <cellStyle name="Percentuale 50 4 2" xfId="1843" xr:uid="{00000000-0005-0000-0000-0000EB1B0000}"/>
    <cellStyle name="Percentuale 50 4 2 2" xfId="3167" xr:uid="{00000000-0005-0000-0000-0000EC1B0000}"/>
    <cellStyle name="Percentuale 50 4 3" xfId="3166" xr:uid="{00000000-0005-0000-0000-0000ED1B0000}"/>
    <cellStyle name="Percentuale 50 5" xfId="1844" xr:uid="{00000000-0005-0000-0000-0000EE1B0000}"/>
    <cellStyle name="Percentuale 51" xfId="1845" xr:uid="{00000000-0005-0000-0000-0000EF1B0000}"/>
    <cellStyle name="Percentuale 51 2" xfId="1846" xr:uid="{00000000-0005-0000-0000-0000F01B0000}"/>
    <cellStyle name="Percentuale 51 2 2" xfId="3168" xr:uid="{00000000-0005-0000-0000-0000F11B0000}"/>
    <cellStyle name="Percentuale 51 3" xfId="1847" xr:uid="{00000000-0005-0000-0000-0000F21B0000}"/>
    <cellStyle name="Percentuale 51 3 2" xfId="1848" xr:uid="{00000000-0005-0000-0000-0000F31B0000}"/>
    <cellStyle name="Percentuale 51 3 3" xfId="1849" xr:uid="{00000000-0005-0000-0000-0000F41B0000}"/>
    <cellStyle name="Percentuale 51 3 3 2" xfId="3170" xr:uid="{00000000-0005-0000-0000-0000F51B0000}"/>
    <cellStyle name="Percentuale 51 3 4" xfId="3169" xr:uid="{00000000-0005-0000-0000-0000F61B0000}"/>
    <cellStyle name="Percentuale 51 4" xfId="1850" xr:uid="{00000000-0005-0000-0000-0000F71B0000}"/>
    <cellStyle name="Percentuale 51 4 2" xfId="1851" xr:uid="{00000000-0005-0000-0000-0000F81B0000}"/>
    <cellStyle name="Percentuale 51 4 2 2" xfId="3172" xr:uid="{00000000-0005-0000-0000-0000F91B0000}"/>
    <cellStyle name="Percentuale 51 4 3" xfId="3171" xr:uid="{00000000-0005-0000-0000-0000FA1B0000}"/>
    <cellStyle name="Percentuale 51 5" xfId="1852" xr:uid="{00000000-0005-0000-0000-0000FB1B0000}"/>
    <cellStyle name="Percentuale 52" xfId="1853" xr:uid="{00000000-0005-0000-0000-0000FC1B0000}"/>
    <cellStyle name="Percentuale 52 2" xfId="1854" xr:uid="{00000000-0005-0000-0000-0000FD1B0000}"/>
    <cellStyle name="Percentuale 52 2 2" xfId="3173" xr:uid="{00000000-0005-0000-0000-0000FE1B0000}"/>
    <cellStyle name="Percentuale 52 3" xfId="1855" xr:uid="{00000000-0005-0000-0000-0000FF1B0000}"/>
    <cellStyle name="Percentuale 52 3 2" xfId="1856" xr:uid="{00000000-0005-0000-0000-0000001C0000}"/>
    <cellStyle name="Percentuale 52 3 3" xfId="1857" xr:uid="{00000000-0005-0000-0000-0000011C0000}"/>
    <cellStyle name="Percentuale 52 3 3 2" xfId="3175" xr:uid="{00000000-0005-0000-0000-0000021C0000}"/>
    <cellStyle name="Percentuale 52 3 4" xfId="3174" xr:uid="{00000000-0005-0000-0000-0000031C0000}"/>
    <cellStyle name="Percentuale 52 4" xfId="1858" xr:uid="{00000000-0005-0000-0000-0000041C0000}"/>
    <cellStyle name="Percentuale 52 4 2" xfId="1859" xr:uid="{00000000-0005-0000-0000-0000051C0000}"/>
    <cellStyle name="Percentuale 52 4 2 2" xfId="3177" xr:uid="{00000000-0005-0000-0000-0000061C0000}"/>
    <cellStyle name="Percentuale 52 4 3" xfId="3176" xr:uid="{00000000-0005-0000-0000-0000071C0000}"/>
    <cellStyle name="Percentuale 52 5" xfId="1860" xr:uid="{00000000-0005-0000-0000-0000081C0000}"/>
    <cellStyle name="Percentuale 53" xfId="1861" xr:uid="{00000000-0005-0000-0000-0000091C0000}"/>
    <cellStyle name="Percentuale 53 2" xfId="1862" xr:uid="{00000000-0005-0000-0000-00000A1C0000}"/>
    <cellStyle name="Percentuale 53 2 2" xfId="3178" xr:uid="{00000000-0005-0000-0000-00000B1C0000}"/>
    <cellStyle name="Percentuale 53 3" xfId="1863" xr:uid="{00000000-0005-0000-0000-00000C1C0000}"/>
    <cellStyle name="Percentuale 53 3 2" xfId="1864" xr:uid="{00000000-0005-0000-0000-00000D1C0000}"/>
    <cellStyle name="Percentuale 53 3 3" xfId="1865" xr:uid="{00000000-0005-0000-0000-00000E1C0000}"/>
    <cellStyle name="Percentuale 53 3 3 2" xfId="3180" xr:uid="{00000000-0005-0000-0000-00000F1C0000}"/>
    <cellStyle name="Percentuale 53 3 4" xfId="3179" xr:uid="{00000000-0005-0000-0000-0000101C0000}"/>
    <cellStyle name="Percentuale 53 4" xfId="1866" xr:uid="{00000000-0005-0000-0000-0000111C0000}"/>
    <cellStyle name="Percentuale 53 4 2" xfId="1867" xr:uid="{00000000-0005-0000-0000-0000121C0000}"/>
    <cellStyle name="Percentuale 53 4 2 2" xfId="3182" xr:uid="{00000000-0005-0000-0000-0000131C0000}"/>
    <cellStyle name="Percentuale 53 4 3" xfId="3181" xr:uid="{00000000-0005-0000-0000-0000141C0000}"/>
    <cellStyle name="Percentuale 53 5" xfId="1868" xr:uid="{00000000-0005-0000-0000-0000151C0000}"/>
    <cellStyle name="Percentuale 54" xfId="1869" xr:uid="{00000000-0005-0000-0000-0000161C0000}"/>
    <cellStyle name="Percentuale 54 2" xfId="1870" xr:uid="{00000000-0005-0000-0000-0000171C0000}"/>
    <cellStyle name="Percentuale 54 2 2" xfId="3183" xr:uid="{00000000-0005-0000-0000-0000181C0000}"/>
    <cellStyle name="Percentuale 54 3" xfId="1871" xr:uid="{00000000-0005-0000-0000-0000191C0000}"/>
    <cellStyle name="Percentuale 54 3 2" xfId="1872" xr:uid="{00000000-0005-0000-0000-00001A1C0000}"/>
    <cellStyle name="Percentuale 54 3 3" xfId="1873" xr:uid="{00000000-0005-0000-0000-00001B1C0000}"/>
    <cellStyle name="Percentuale 54 3 3 2" xfId="3185" xr:uid="{00000000-0005-0000-0000-00001C1C0000}"/>
    <cellStyle name="Percentuale 54 3 4" xfId="3184" xr:uid="{00000000-0005-0000-0000-00001D1C0000}"/>
    <cellStyle name="Percentuale 54 4" xfId="1874" xr:uid="{00000000-0005-0000-0000-00001E1C0000}"/>
    <cellStyle name="Percentuale 54 4 2" xfId="1875" xr:uid="{00000000-0005-0000-0000-00001F1C0000}"/>
    <cellStyle name="Percentuale 54 4 2 2" xfId="3187" xr:uid="{00000000-0005-0000-0000-0000201C0000}"/>
    <cellStyle name="Percentuale 54 4 3" xfId="3186" xr:uid="{00000000-0005-0000-0000-0000211C0000}"/>
    <cellStyle name="Percentuale 54 5" xfId="1876" xr:uid="{00000000-0005-0000-0000-0000221C0000}"/>
    <cellStyle name="Percentuale 55" xfId="1877" xr:uid="{00000000-0005-0000-0000-0000231C0000}"/>
    <cellStyle name="Percentuale 55 2" xfId="1878" xr:uid="{00000000-0005-0000-0000-0000241C0000}"/>
    <cellStyle name="Percentuale 55 2 2" xfId="3188" xr:uid="{00000000-0005-0000-0000-0000251C0000}"/>
    <cellStyle name="Percentuale 55 3" xfId="1879" xr:uid="{00000000-0005-0000-0000-0000261C0000}"/>
    <cellStyle name="Percentuale 55 3 2" xfId="1880" xr:uid="{00000000-0005-0000-0000-0000271C0000}"/>
    <cellStyle name="Percentuale 55 3 3" xfId="1881" xr:uid="{00000000-0005-0000-0000-0000281C0000}"/>
    <cellStyle name="Percentuale 55 3 3 2" xfId="3190" xr:uid="{00000000-0005-0000-0000-0000291C0000}"/>
    <cellStyle name="Percentuale 55 3 4" xfId="3189" xr:uid="{00000000-0005-0000-0000-00002A1C0000}"/>
    <cellStyle name="Percentuale 55 4" xfId="1882" xr:uid="{00000000-0005-0000-0000-00002B1C0000}"/>
    <cellStyle name="Percentuale 55 4 2" xfId="1883" xr:uid="{00000000-0005-0000-0000-00002C1C0000}"/>
    <cellStyle name="Percentuale 55 4 2 2" xfId="3192" xr:uid="{00000000-0005-0000-0000-00002D1C0000}"/>
    <cellStyle name="Percentuale 55 4 3" xfId="3191" xr:uid="{00000000-0005-0000-0000-00002E1C0000}"/>
    <cellStyle name="Percentuale 55 5" xfId="1884" xr:uid="{00000000-0005-0000-0000-00002F1C0000}"/>
    <cellStyle name="Percentuale 56" xfId="1885" xr:uid="{00000000-0005-0000-0000-0000301C0000}"/>
    <cellStyle name="Percentuale 56 2" xfId="1886" xr:uid="{00000000-0005-0000-0000-0000311C0000}"/>
    <cellStyle name="Percentuale 56 2 2" xfId="3193" xr:uid="{00000000-0005-0000-0000-0000321C0000}"/>
    <cellStyle name="Percentuale 56 3" xfId="1887" xr:uid="{00000000-0005-0000-0000-0000331C0000}"/>
    <cellStyle name="Percentuale 56 3 2" xfId="1888" xr:uid="{00000000-0005-0000-0000-0000341C0000}"/>
    <cellStyle name="Percentuale 56 3 3" xfId="1889" xr:uid="{00000000-0005-0000-0000-0000351C0000}"/>
    <cellStyle name="Percentuale 56 3 3 2" xfId="3195" xr:uid="{00000000-0005-0000-0000-0000361C0000}"/>
    <cellStyle name="Percentuale 56 3 4" xfId="3194" xr:uid="{00000000-0005-0000-0000-0000371C0000}"/>
    <cellStyle name="Percentuale 56 4" xfId="1890" xr:uid="{00000000-0005-0000-0000-0000381C0000}"/>
    <cellStyle name="Percentuale 56 4 2" xfId="1891" xr:uid="{00000000-0005-0000-0000-0000391C0000}"/>
    <cellStyle name="Percentuale 56 4 2 2" xfId="3197" xr:uid="{00000000-0005-0000-0000-00003A1C0000}"/>
    <cellStyle name="Percentuale 56 4 3" xfId="3196" xr:uid="{00000000-0005-0000-0000-00003B1C0000}"/>
    <cellStyle name="Percentuale 56 5" xfId="1892" xr:uid="{00000000-0005-0000-0000-00003C1C0000}"/>
    <cellStyle name="Percentuale 57" xfId="1893" xr:uid="{00000000-0005-0000-0000-00003D1C0000}"/>
    <cellStyle name="Percentuale 57 2" xfId="1894" xr:uid="{00000000-0005-0000-0000-00003E1C0000}"/>
    <cellStyle name="Percentuale 57 2 2" xfId="3198" xr:uid="{00000000-0005-0000-0000-00003F1C0000}"/>
    <cellStyle name="Percentuale 57 3" xfId="1895" xr:uid="{00000000-0005-0000-0000-0000401C0000}"/>
    <cellStyle name="Percentuale 57 3 2" xfId="1896" xr:uid="{00000000-0005-0000-0000-0000411C0000}"/>
    <cellStyle name="Percentuale 57 3 3" xfId="1897" xr:uid="{00000000-0005-0000-0000-0000421C0000}"/>
    <cellStyle name="Percentuale 57 3 3 2" xfId="3200" xr:uid="{00000000-0005-0000-0000-0000431C0000}"/>
    <cellStyle name="Percentuale 57 3 4" xfId="3199" xr:uid="{00000000-0005-0000-0000-0000441C0000}"/>
    <cellStyle name="Percentuale 57 4" xfId="1898" xr:uid="{00000000-0005-0000-0000-0000451C0000}"/>
    <cellStyle name="Percentuale 57 4 2" xfId="1899" xr:uid="{00000000-0005-0000-0000-0000461C0000}"/>
    <cellStyle name="Percentuale 57 4 2 2" xfId="3202" xr:uid="{00000000-0005-0000-0000-0000471C0000}"/>
    <cellStyle name="Percentuale 57 4 3" xfId="3201" xr:uid="{00000000-0005-0000-0000-0000481C0000}"/>
    <cellStyle name="Percentuale 57 5" xfId="1900" xr:uid="{00000000-0005-0000-0000-0000491C0000}"/>
    <cellStyle name="Percentuale 58" xfId="1901" xr:uid="{00000000-0005-0000-0000-00004A1C0000}"/>
    <cellStyle name="Percentuale 58 2" xfId="1902" xr:uid="{00000000-0005-0000-0000-00004B1C0000}"/>
    <cellStyle name="Percentuale 58 2 2" xfId="3203" xr:uid="{00000000-0005-0000-0000-00004C1C0000}"/>
    <cellStyle name="Percentuale 58 3" xfId="1903" xr:uid="{00000000-0005-0000-0000-00004D1C0000}"/>
    <cellStyle name="Percentuale 58 3 2" xfId="1904" xr:uid="{00000000-0005-0000-0000-00004E1C0000}"/>
    <cellStyle name="Percentuale 58 3 3" xfId="1905" xr:uid="{00000000-0005-0000-0000-00004F1C0000}"/>
    <cellStyle name="Percentuale 58 3 3 2" xfId="3205" xr:uid="{00000000-0005-0000-0000-0000501C0000}"/>
    <cellStyle name="Percentuale 58 3 4" xfId="3204" xr:uid="{00000000-0005-0000-0000-0000511C0000}"/>
    <cellStyle name="Percentuale 58 4" xfId="1906" xr:uid="{00000000-0005-0000-0000-0000521C0000}"/>
    <cellStyle name="Percentuale 58 4 2" xfId="1907" xr:uid="{00000000-0005-0000-0000-0000531C0000}"/>
    <cellStyle name="Percentuale 58 4 2 2" xfId="3207" xr:uid="{00000000-0005-0000-0000-0000541C0000}"/>
    <cellStyle name="Percentuale 58 4 3" xfId="3206" xr:uid="{00000000-0005-0000-0000-0000551C0000}"/>
    <cellStyle name="Percentuale 58 5" xfId="1908" xr:uid="{00000000-0005-0000-0000-0000561C0000}"/>
    <cellStyle name="Percentuale 59" xfId="1909" xr:uid="{00000000-0005-0000-0000-0000571C0000}"/>
    <cellStyle name="Percentuale 59 2" xfId="1910" xr:uid="{00000000-0005-0000-0000-0000581C0000}"/>
    <cellStyle name="Percentuale 59 2 2" xfId="3208" xr:uid="{00000000-0005-0000-0000-0000591C0000}"/>
    <cellStyle name="Percentuale 59 3" xfId="1911" xr:uid="{00000000-0005-0000-0000-00005A1C0000}"/>
    <cellStyle name="Percentuale 59 3 2" xfId="1912" xr:uid="{00000000-0005-0000-0000-00005B1C0000}"/>
    <cellStyle name="Percentuale 59 3 3" xfId="1913" xr:uid="{00000000-0005-0000-0000-00005C1C0000}"/>
    <cellStyle name="Percentuale 59 3 3 2" xfId="3210" xr:uid="{00000000-0005-0000-0000-00005D1C0000}"/>
    <cellStyle name="Percentuale 59 3 4" xfId="3209" xr:uid="{00000000-0005-0000-0000-00005E1C0000}"/>
    <cellStyle name="Percentuale 59 4" xfId="1914" xr:uid="{00000000-0005-0000-0000-00005F1C0000}"/>
    <cellStyle name="Percentuale 59 4 2" xfId="1915" xr:uid="{00000000-0005-0000-0000-0000601C0000}"/>
    <cellStyle name="Percentuale 59 4 2 2" xfId="3212" xr:uid="{00000000-0005-0000-0000-0000611C0000}"/>
    <cellStyle name="Percentuale 59 4 3" xfId="3211" xr:uid="{00000000-0005-0000-0000-0000621C0000}"/>
    <cellStyle name="Percentuale 59 5" xfId="1916" xr:uid="{00000000-0005-0000-0000-0000631C0000}"/>
    <cellStyle name="Percentuale 6" xfId="1917" xr:uid="{00000000-0005-0000-0000-0000641C0000}"/>
    <cellStyle name="Percentuale 6 2" xfId="1918" xr:uid="{00000000-0005-0000-0000-0000651C0000}"/>
    <cellStyle name="Percentuale 6 2 2" xfId="3213" xr:uid="{00000000-0005-0000-0000-0000661C0000}"/>
    <cellStyle name="Percentuale 6 3" xfId="1919" xr:uid="{00000000-0005-0000-0000-0000671C0000}"/>
    <cellStyle name="Percentuale 6 3 2" xfId="1920" xr:uid="{00000000-0005-0000-0000-0000681C0000}"/>
    <cellStyle name="Percentuale 6 3 3" xfId="1921" xr:uid="{00000000-0005-0000-0000-0000691C0000}"/>
    <cellStyle name="Percentuale 6 3 3 2" xfId="3215" xr:uid="{00000000-0005-0000-0000-00006A1C0000}"/>
    <cellStyle name="Percentuale 6 3 4" xfId="3214" xr:uid="{00000000-0005-0000-0000-00006B1C0000}"/>
    <cellStyle name="Percentuale 6 4" xfId="1922" xr:uid="{00000000-0005-0000-0000-00006C1C0000}"/>
    <cellStyle name="Percentuale 6 4 2" xfId="1923" xr:uid="{00000000-0005-0000-0000-00006D1C0000}"/>
    <cellStyle name="Percentuale 6 4 2 2" xfId="3217" xr:uid="{00000000-0005-0000-0000-00006E1C0000}"/>
    <cellStyle name="Percentuale 6 4 3" xfId="3216" xr:uid="{00000000-0005-0000-0000-00006F1C0000}"/>
    <cellStyle name="Percentuale 6 5" xfId="1924" xr:uid="{00000000-0005-0000-0000-0000701C0000}"/>
    <cellStyle name="Percentuale 60" xfId="1925" xr:uid="{00000000-0005-0000-0000-0000711C0000}"/>
    <cellStyle name="Percentuale 60 2" xfId="1926" xr:uid="{00000000-0005-0000-0000-0000721C0000}"/>
    <cellStyle name="Percentuale 60 2 2" xfId="3218" xr:uid="{00000000-0005-0000-0000-0000731C0000}"/>
    <cellStyle name="Percentuale 60 3" xfId="1927" xr:uid="{00000000-0005-0000-0000-0000741C0000}"/>
    <cellStyle name="Percentuale 60 3 2" xfId="1928" xr:uid="{00000000-0005-0000-0000-0000751C0000}"/>
    <cellStyle name="Percentuale 60 3 3" xfId="1929" xr:uid="{00000000-0005-0000-0000-0000761C0000}"/>
    <cellStyle name="Percentuale 60 3 3 2" xfId="3220" xr:uid="{00000000-0005-0000-0000-0000771C0000}"/>
    <cellStyle name="Percentuale 60 3 4" xfId="3219" xr:uid="{00000000-0005-0000-0000-0000781C0000}"/>
    <cellStyle name="Percentuale 60 4" xfId="1930" xr:uid="{00000000-0005-0000-0000-0000791C0000}"/>
    <cellStyle name="Percentuale 60 4 2" xfId="1931" xr:uid="{00000000-0005-0000-0000-00007A1C0000}"/>
    <cellStyle name="Percentuale 60 4 2 2" xfId="3222" xr:uid="{00000000-0005-0000-0000-00007B1C0000}"/>
    <cellStyle name="Percentuale 60 4 3" xfId="3221" xr:uid="{00000000-0005-0000-0000-00007C1C0000}"/>
    <cellStyle name="Percentuale 60 5" xfId="1932" xr:uid="{00000000-0005-0000-0000-00007D1C0000}"/>
    <cellStyle name="Percentuale 61" xfId="1933" xr:uid="{00000000-0005-0000-0000-00007E1C0000}"/>
    <cellStyle name="Percentuale 61 2" xfId="1934" xr:uid="{00000000-0005-0000-0000-00007F1C0000}"/>
    <cellStyle name="Percentuale 61 2 2" xfId="3223" xr:uid="{00000000-0005-0000-0000-0000801C0000}"/>
    <cellStyle name="Percentuale 61 3" xfId="1935" xr:uid="{00000000-0005-0000-0000-0000811C0000}"/>
    <cellStyle name="Percentuale 61 3 2" xfId="1936" xr:uid="{00000000-0005-0000-0000-0000821C0000}"/>
    <cellStyle name="Percentuale 61 3 3" xfId="1937" xr:uid="{00000000-0005-0000-0000-0000831C0000}"/>
    <cellStyle name="Percentuale 61 3 3 2" xfId="3225" xr:uid="{00000000-0005-0000-0000-0000841C0000}"/>
    <cellStyle name="Percentuale 61 3 4" xfId="3224" xr:uid="{00000000-0005-0000-0000-0000851C0000}"/>
    <cellStyle name="Percentuale 61 4" xfId="1938" xr:uid="{00000000-0005-0000-0000-0000861C0000}"/>
    <cellStyle name="Percentuale 61 4 2" xfId="1939" xr:uid="{00000000-0005-0000-0000-0000871C0000}"/>
    <cellStyle name="Percentuale 61 4 2 2" xfId="3227" xr:uid="{00000000-0005-0000-0000-0000881C0000}"/>
    <cellStyle name="Percentuale 61 4 3" xfId="3226" xr:uid="{00000000-0005-0000-0000-0000891C0000}"/>
    <cellStyle name="Percentuale 61 5" xfId="1940" xr:uid="{00000000-0005-0000-0000-00008A1C0000}"/>
    <cellStyle name="Percentuale 62" xfId="1941" xr:uid="{00000000-0005-0000-0000-00008B1C0000}"/>
    <cellStyle name="Percentuale 62 2" xfId="3228" xr:uid="{00000000-0005-0000-0000-00008C1C0000}"/>
    <cellStyle name="Percentuale 63" xfId="1942" xr:uid="{00000000-0005-0000-0000-00008D1C0000}"/>
    <cellStyle name="Percentuale 63 2" xfId="3229" xr:uid="{00000000-0005-0000-0000-00008E1C0000}"/>
    <cellStyle name="Percentuale 64" xfId="1943" xr:uid="{00000000-0005-0000-0000-00008F1C0000}"/>
    <cellStyle name="Percentuale 64 2" xfId="3230" xr:uid="{00000000-0005-0000-0000-0000901C0000}"/>
    <cellStyle name="Percentuale 65" xfId="1944" xr:uid="{00000000-0005-0000-0000-0000911C0000}"/>
    <cellStyle name="Percentuale 65 2" xfId="3231" xr:uid="{00000000-0005-0000-0000-0000921C0000}"/>
    <cellStyle name="Percentuale 66" xfId="1945" xr:uid="{00000000-0005-0000-0000-0000931C0000}"/>
    <cellStyle name="Percentuale 66 2" xfId="3232" xr:uid="{00000000-0005-0000-0000-0000941C0000}"/>
    <cellStyle name="Percentuale 67" xfId="1946" xr:uid="{00000000-0005-0000-0000-0000951C0000}"/>
    <cellStyle name="Percentuale 67 2" xfId="3233" xr:uid="{00000000-0005-0000-0000-0000961C0000}"/>
    <cellStyle name="Percentuale 68" xfId="1947" xr:uid="{00000000-0005-0000-0000-0000971C0000}"/>
    <cellStyle name="Percentuale 68 2" xfId="1948" xr:uid="{00000000-0005-0000-0000-0000981C0000}"/>
    <cellStyle name="Percentuale 68 2 2" xfId="3234" xr:uid="{00000000-0005-0000-0000-0000991C0000}"/>
    <cellStyle name="Percentuale 68 3" xfId="1949" xr:uid="{00000000-0005-0000-0000-00009A1C0000}"/>
    <cellStyle name="Percentuale 68 3 2" xfId="1950" xr:uid="{00000000-0005-0000-0000-00009B1C0000}"/>
    <cellStyle name="Percentuale 68 3 3" xfId="1951" xr:uid="{00000000-0005-0000-0000-00009C1C0000}"/>
    <cellStyle name="Percentuale 68 3 3 2" xfId="3236" xr:uid="{00000000-0005-0000-0000-00009D1C0000}"/>
    <cellStyle name="Percentuale 68 3 4" xfId="3235" xr:uid="{00000000-0005-0000-0000-00009E1C0000}"/>
    <cellStyle name="Percentuale 68 4" xfId="1952" xr:uid="{00000000-0005-0000-0000-00009F1C0000}"/>
    <cellStyle name="Percentuale 68 4 2" xfId="1953" xr:uid="{00000000-0005-0000-0000-0000A01C0000}"/>
    <cellStyle name="Percentuale 68 4 2 2" xfId="3238" xr:uid="{00000000-0005-0000-0000-0000A11C0000}"/>
    <cellStyle name="Percentuale 68 4 3" xfId="3237" xr:uid="{00000000-0005-0000-0000-0000A21C0000}"/>
    <cellStyle name="Percentuale 68 5" xfId="1954" xr:uid="{00000000-0005-0000-0000-0000A31C0000}"/>
    <cellStyle name="Percentuale 69" xfId="1955" xr:uid="{00000000-0005-0000-0000-0000A41C0000}"/>
    <cellStyle name="Percentuale 69 2" xfId="1956" xr:uid="{00000000-0005-0000-0000-0000A51C0000}"/>
    <cellStyle name="Percentuale 69 2 2" xfId="3239" xr:uid="{00000000-0005-0000-0000-0000A61C0000}"/>
    <cellStyle name="Percentuale 69 3" xfId="1957" xr:uid="{00000000-0005-0000-0000-0000A71C0000}"/>
    <cellStyle name="Percentuale 69 3 2" xfId="1958" xr:uid="{00000000-0005-0000-0000-0000A81C0000}"/>
    <cellStyle name="Percentuale 69 3 3" xfId="1959" xr:uid="{00000000-0005-0000-0000-0000A91C0000}"/>
    <cellStyle name="Percentuale 69 3 3 2" xfId="3241" xr:uid="{00000000-0005-0000-0000-0000AA1C0000}"/>
    <cellStyle name="Percentuale 69 3 4" xfId="3240" xr:uid="{00000000-0005-0000-0000-0000AB1C0000}"/>
    <cellStyle name="Percentuale 69 4" xfId="1960" xr:uid="{00000000-0005-0000-0000-0000AC1C0000}"/>
    <cellStyle name="Percentuale 69 4 2" xfId="1961" xr:uid="{00000000-0005-0000-0000-0000AD1C0000}"/>
    <cellStyle name="Percentuale 69 4 2 2" xfId="3243" xr:uid="{00000000-0005-0000-0000-0000AE1C0000}"/>
    <cellStyle name="Percentuale 69 4 3" xfId="3242" xr:uid="{00000000-0005-0000-0000-0000AF1C0000}"/>
    <cellStyle name="Percentuale 69 5" xfId="1962" xr:uid="{00000000-0005-0000-0000-0000B01C0000}"/>
    <cellStyle name="Percentuale 7" xfId="1963" xr:uid="{00000000-0005-0000-0000-0000B11C0000}"/>
    <cellStyle name="Percentuale 7 2" xfId="1964" xr:uid="{00000000-0005-0000-0000-0000B21C0000}"/>
    <cellStyle name="Percentuale 7 2 2" xfId="3244" xr:uid="{00000000-0005-0000-0000-0000B31C0000}"/>
    <cellStyle name="Percentuale 7 3" xfId="1965" xr:uid="{00000000-0005-0000-0000-0000B41C0000}"/>
    <cellStyle name="Percentuale 7 3 2" xfId="1966" xr:uid="{00000000-0005-0000-0000-0000B51C0000}"/>
    <cellStyle name="Percentuale 7 3 3" xfId="1967" xr:uid="{00000000-0005-0000-0000-0000B61C0000}"/>
    <cellStyle name="Percentuale 7 3 3 2" xfId="3246" xr:uid="{00000000-0005-0000-0000-0000B71C0000}"/>
    <cellStyle name="Percentuale 7 3 4" xfId="3245" xr:uid="{00000000-0005-0000-0000-0000B81C0000}"/>
    <cellStyle name="Percentuale 7 4" xfId="1968" xr:uid="{00000000-0005-0000-0000-0000B91C0000}"/>
    <cellStyle name="Percentuale 7 4 2" xfId="1969" xr:uid="{00000000-0005-0000-0000-0000BA1C0000}"/>
    <cellStyle name="Percentuale 7 4 2 2" xfId="3248" xr:uid="{00000000-0005-0000-0000-0000BB1C0000}"/>
    <cellStyle name="Percentuale 7 4 3" xfId="3247" xr:uid="{00000000-0005-0000-0000-0000BC1C0000}"/>
    <cellStyle name="Percentuale 7 5" xfId="1970" xr:uid="{00000000-0005-0000-0000-0000BD1C0000}"/>
    <cellStyle name="Percentuale 8" xfId="1971" xr:uid="{00000000-0005-0000-0000-0000BE1C0000}"/>
    <cellStyle name="Percentuale 8 2" xfId="1972" xr:uid="{00000000-0005-0000-0000-0000BF1C0000}"/>
    <cellStyle name="Percentuale 8 2 2" xfId="3249" xr:uid="{00000000-0005-0000-0000-0000C01C0000}"/>
    <cellStyle name="Percentuale 8 3" xfId="1973" xr:uid="{00000000-0005-0000-0000-0000C11C0000}"/>
    <cellStyle name="Percentuale 8 3 2" xfId="1974" xr:uid="{00000000-0005-0000-0000-0000C21C0000}"/>
    <cellStyle name="Percentuale 8 3 3" xfId="1975" xr:uid="{00000000-0005-0000-0000-0000C31C0000}"/>
    <cellStyle name="Percentuale 8 3 3 2" xfId="3251" xr:uid="{00000000-0005-0000-0000-0000C41C0000}"/>
    <cellStyle name="Percentuale 8 3 4" xfId="3250" xr:uid="{00000000-0005-0000-0000-0000C51C0000}"/>
    <cellStyle name="Percentuale 8 4" xfId="1976" xr:uid="{00000000-0005-0000-0000-0000C61C0000}"/>
    <cellStyle name="Percentuale 8 4 2" xfId="1977" xr:uid="{00000000-0005-0000-0000-0000C71C0000}"/>
    <cellStyle name="Percentuale 8 4 2 2" xfId="3253" xr:uid="{00000000-0005-0000-0000-0000C81C0000}"/>
    <cellStyle name="Percentuale 8 4 3" xfId="3252" xr:uid="{00000000-0005-0000-0000-0000C91C0000}"/>
    <cellStyle name="Percentuale 8 5" xfId="1978" xr:uid="{00000000-0005-0000-0000-0000CA1C0000}"/>
    <cellStyle name="Percentuale 9" xfId="1979" xr:uid="{00000000-0005-0000-0000-0000CB1C0000}"/>
    <cellStyle name="Percentuale 9 2" xfId="1980" xr:uid="{00000000-0005-0000-0000-0000CC1C0000}"/>
    <cellStyle name="Percentuale 9 2 2" xfId="3254" xr:uid="{00000000-0005-0000-0000-0000CD1C0000}"/>
    <cellStyle name="Percentuale 9 3" xfId="1981" xr:uid="{00000000-0005-0000-0000-0000CE1C0000}"/>
    <cellStyle name="Percentuale 9 3 2" xfId="1982" xr:uid="{00000000-0005-0000-0000-0000CF1C0000}"/>
    <cellStyle name="Percentuale 9 3 3" xfId="1983" xr:uid="{00000000-0005-0000-0000-0000D01C0000}"/>
    <cellStyle name="Percentuale 9 3 3 2" xfId="3256" xr:uid="{00000000-0005-0000-0000-0000D11C0000}"/>
    <cellStyle name="Percentuale 9 3 4" xfId="3255" xr:uid="{00000000-0005-0000-0000-0000D21C0000}"/>
    <cellStyle name="Percentuale 9 4" xfId="1984" xr:uid="{00000000-0005-0000-0000-0000D31C0000}"/>
    <cellStyle name="Percentuale 9 4 2" xfId="1985" xr:uid="{00000000-0005-0000-0000-0000D41C0000}"/>
    <cellStyle name="Percentuale 9 4 2 2" xfId="3258" xr:uid="{00000000-0005-0000-0000-0000D51C0000}"/>
    <cellStyle name="Percentuale 9 4 3" xfId="3257" xr:uid="{00000000-0005-0000-0000-0000D61C0000}"/>
    <cellStyle name="Percentuale 9 5" xfId="1986" xr:uid="{00000000-0005-0000-0000-0000D71C0000}"/>
    <cellStyle name="Procent 10" xfId="4001" xr:uid="{00000000-0005-0000-0000-0000D81C0000}"/>
    <cellStyle name="Procent 10 2" xfId="4002" xr:uid="{00000000-0005-0000-0000-0000D91C0000}"/>
    <cellStyle name="Procent 10 2 2" xfId="4626" xr:uid="{00000000-0005-0000-0000-0000DA1C0000}"/>
    <cellStyle name="Procent 10 2 2 2" xfId="7794" xr:uid="{00000000-0005-0000-0000-0000DB1C0000}"/>
    <cellStyle name="Procent 10 2 2 2 2" xfId="10462" xr:uid="{FABD477B-4A5F-489D-8166-195F0E358518}"/>
    <cellStyle name="Procent 10 2 2 3" xfId="9131" xr:uid="{8D132DBA-3BE3-4787-9CD0-F214EDE84536}"/>
    <cellStyle name="Procent 10 2 3" xfId="7170" xr:uid="{00000000-0005-0000-0000-0000DC1C0000}"/>
    <cellStyle name="Procent 10 2 3 2" xfId="9838" xr:uid="{536BD590-942A-49B7-A232-90E0BAAE655D}"/>
    <cellStyle name="Procent 10 2 4" xfId="8507" xr:uid="{544BA57D-CD70-4C67-B770-1BA1F13FD84F}"/>
    <cellStyle name="Procent 10 3" xfId="4003" xr:uid="{00000000-0005-0000-0000-0000DD1C0000}"/>
    <cellStyle name="Procent 10 3 2" xfId="4627" xr:uid="{00000000-0005-0000-0000-0000DE1C0000}"/>
    <cellStyle name="Procent 10 3 2 2" xfId="7795" xr:uid="{00000000-0005-0000-0000-0000DF1C0000}"/>
    <cellStyle name="Procent 10 3 2 2 2" xfId="10463" xr:uid="{2C1BBCB3-B59F-4AFD-9716-E15153123EF5}"/>
    <cellStyle name="Procent 10 3 2 3" xfId="9132" xr:uid="{46E3B48A-A44B-4AA2-953E-270CBF21B9E8}"/>
    <cellStyle name="Procent 10 3 3" xfId="7171" xr:uid="{00000000-0005-0000-0000-0000E01C0000}"/>
    <cellStyle name="Procent 10 3 3 2" xfId="9839" xr:uid="{F8BB7CD2-DE6E-458B-8A36-786571C73324}"/>
    <cellStyle name="Procent 10 3 4" xfId="8508" xr:uid="{F0770C1D-13E4-448A-A635-EB178DAF531D}"/>
    <cellStyle name="Procent 10 4" xfId="4004" xr:uid="{00000000-0005-0000-0000-0000E11C0000}"/>
    <cellStyle name="Procent 10 4 2" xfId="4628" xr:uid="{00000000-0005-0000-0000-0000E21C0000}"/>
    <cellStyle name="Procent 10 4 2 2" xfId="7796" xr:uid="{00000000-0005-0000-0000-0000E31C0000}"/>
    <cellStyle name="Procent 10 4 2 2 2" xfId="10464" xr:uid="{A61C7DB3-426F-4FE9-9981-DBDE4C0AF8AB}"/>
    <cellStyle name="Procent 10 4 2 3" xfId="9133" xr:uid="{5AA15EE6-AF92-4C70-AE4C-686310C34ABC}"/>
    <cellStyle name="Procent 10 4 3" xfId="7172" xr:uid="{00000000-0005-0000-0000-0000E41C0000}"/>
    <cellStyle name="Procent 10 4 3 2" xfId="9840" xr:uid="{504858BF-AD06-412A-B914-DD905CDDC062}"/>
    <cellStyle name="Procent 10 4 4" xfId="8509" xr:uid="{66442924-F7A7-47BC-B433-473F75E436AB}"/>
    <cellStyle name="Procent 10 5" xfId="4625" xr:uid="{00000000-0005-0000-0000-0000E51C0000}"/>
    <cellStyle name="Procent 10 5 2" xfId="7793" xr:uid="{00000000-0005-0000-0000-0000E61C0000}"/>
    <cellStyle name="Procent 10 5 2 2" xfId="10461" xr:uid="{73765C26-F895-41FC-AD21-3E3E0D8734EC}"/>
    <cellStyle name="Procent 10 5 3" xfId="9130" xr:uid="{491069FF-F992-4CD6-B5C1-91765EF16BC7}"/>
    <cellStyle name="Procent 10 6" xfId="7169" xr:uid="{00000000-0005-0000-0000-0000E71C0000}"/>
    <cellStyle name="Procent 10 6 2" xfId="9837" xr:uid="{E838D7AA-4FC6-4B8A-87F2-29689FC2FD5E}"/>
    <cellStyle name="Procent 10 7" xfId="8506" xr:uid="{983A1F4B-29DB-4546-B9C8-311891051C86}"/>
    <cellStyle name="Procent 11" xfId="4005" xr:uid="{00000000-0005-0000-0000-0000E81C0000}"/>
    <cellStyle name="Procent 11 2" xfId="4629" xr:uid="{00000000-0005-0000-0000-0000E91C0000}"/>
    <cellStyle name="Procent 11 2 2" xfId="7797" xr:uid="{00000000-0005-0000-0000-0000EA1C0000}"/>
    <cellStyle name="Procent 11 2 2 2" xfId="10465" xr:uid="{92E9D5FB-FE71-4B76-A73F-285A34D46D81}"/>
    <cellStyle name="Procent 11 2 3" xfId="9134" xr:uid="{31B23154-870F-4456-A249-4E4B107979B5}"/>
    <cellStyle name="Procent 11 3" xfId="7173" xr:uid="{00000000-0005-0000-0000-0000EB1C0000}"/>
    <cellStyle name="Procent 11 3 2" xfId="9841" xr:uid="{587FA1DB-08C9-4A4D-899D-159C090064CA}"/>
    <cellStyle name="Procent 11 4" xfId="8510" xr:uid="{E57CA91E-F0FA-4306-BB25-A0E54E4C465A}"/>
    <cellStyle name="Procent 12" xfId="3514" xr:uid="{00000000-0005-0000-0000-0000EC1C0000}"/>
    <cellStyle name="Procent 12 2" xfId="4155" xr:uid="{00000000-0005-0000-0000-0000ED1C0000}"/>
    <cellStyle name="Procent 12 2 2" xfId="7323" xr:uid="{00000000-0005-0000-0000-0000EE1C0000}"/>
    <cellStyle name="Procent 12 2 2 2" xfId="9991" xr:uid="{53FE67EC-5278-4AC2-AE95-FA239FE95985}"/>
    <cellStyle name="Procent 12 2 3" xfId="8660" xr:uid="{66A9B2AC-DDB7-45C0-BBCE-0D6E6AFDAC9A}"/>
    <cellStyle name="Procent 12 3" xfId="6712" xr:uid="{00000000-0005-0000-0000-0000EF1C0000}"/>
    <cellStyle name="Procent 12 3 2" xfId="9380" xr:uid="{63235A38-A926-4DC2-A561-2D82363D5B1B}"/>
    <cellStyle name="Procent 12 4" xfId="8044" xr:uid="{333C4E2B-F624-4B98-AE6C-41A10443D127}"/>
    <cellStyle name="Procent 13" xfId="4730" xr:uid="{00000000-0005-0000-0000-0000F01C0000}"/>
    <cellStyle name="Procent 2" xfId="1987" xr:uid="{00000000-0005-0000-0000-0000F11C0000}"/>
    <cellStyle name="Procent 2 10" xfId="4006" xr:uid="{00000000-0005-0000-0000-0000F21C0000}"/>
    <cellStyle name="Procent 2 10 2" xfId="4007" xr:uid="{00000000-0005-0000-0000-0000F31C0000}"/>
    <cellStyle name="Procent 2 10 2 2" xfId="4631" xr:uid="{00000000-0005-0000-0000-0000F41C0000}"/>
    <cellStyle name="Procent 2 10 2 2 2" xfId="7799" xr:uid="{00000000-0005-0000-0000-0000F51C0000}"/>
    <cellStyle name="Procent 2 10 2 2 2 2" xfId="10467" xr:uid="{CD14CAF7-9A83-4337-808B-C3518A604154}"/>
    <cellStyle name="Procent 2 10 2 2 3" xfId="9136" xr:uid="{C57D8DB3-DC07-43A3-9A73-87ADF2BF4BD9}"/>
    <cellStyle name="Procent 2 10 2 3" xfId="7175" xr:uid="{00000000-0005-0000-0000-0000F61C0000}"/>
    <cellStyle name="Procent 2 10 2 3 2" xfId="9843" xr:uid="{821287CE-612F-4A08-BC75-3233BBD3E7FB}"/>
    <cellStyle name="Procent 2 10 2 4" xfId="8512" xr:uid="{1C0543D5-5145-4823-99C2-C925509FC38F}"/>
    <cellStyle name="Procent 2 10 3" xfId="4630" xr:uid="{00000000-0005-0000-0000-0000F71C0000}"/>
    <cellStyle name="Procent 2 10 3 2" xfId="7798" xr:uid="{00000000-0005-0000-0000-0000F81C0000}"/>
    <cellStyle name="Procent 2 10 3 2 2" xfId="10466" xr:uid="{3FD1480B-1604-4480-99D6-A491AAA1AE71}"/>
    <cellStyle name="Procent 2 10 3 3" xfId="9135" xr:uid="{0F40A0F7-0183-4CCE-AF62-412FEEA4A657}"/>
    <cellStyle name="Procent 2 10 4" xfId="7174" xr:uid="{00000000-0005-0000-0000-0000F91C0000}"/>
    <cellStyle name="Procent 2 10 4 2" xfId="9842" xr:uid="{348AD40C-3A4D-4BBC-B758-AE83336166D7}"/>
    <cellStyle name="Procent 2 10 5" xfId="8511" xr:uid="{19D39248-B69A-41F7-94D7-6EB9C880FE69}"/>
    <cellStyle name="Procent 2 11" xfId="4008" xr:uid="{00000000-0005-0000-0000-0000FA1C0000}"/>
    <cellStyle name="Procent 2 11 2" xfId="4632" xr:uid="{00000000-0005-0000-0000-0000FB1C0000}"/>
    <cellStyle name="Procent 2 11 2 2" xfId="7800" xr:uid="{00000000-0005-0000-0000-0000FC1C0000}"/>
    <cellStyle name="Procent 2 11 2 2 2" xfId="10468" xr:uid="{C54C3113-300A-4785-9232-2DEF76755103}"/>
    <cellStyle name="Procent 2 11 2 3" xfId="9137" xr:uid="{27460B90-45BF-44DA-BC62-764686399822}"/>
    <cellStyle name="Procent 2 11 3" xfId="7176" xr:uid="{00000000-0005-0000-0000-0000FD1C0000}"/>
    <cellStyle name="Procent 2 11 3 2" xfId="9844" xr:uid="{60041C7D-7D28-4E96-A916-C68769F924A5}"/>
    <cellStyle name="Procent 2 11 4" xfId="8513" xr:uid="{3835859C-0D86-4781-B7D4-558F5740CF68}"/>
    <cellStyle name="Procent 2 12" xfId="4009" xr:uid="{00000000-0005-0000-0000-0000FE1C0000}"/>
    <cellStyle name="Procent 2 12 2" xfId="4633" xr:uid="{00000000-0005-0000-0000-0000FF1C0000}"/>
    <cellStyle name="Procent 2 12 2 2" xfId="7801" xr:uid="{00000000-0005-0000-0000-0000001D0000}"/>
    <cellStyle name="Procent 2 12 2 2 2" xfId="10469" xr:uid="{E3094A7E-7F86-4666-B7AA-50D1BEAA0B74}"/>
    <cellStyle name="Procent 2 12 2 3" xfId="9138" xr:uid="{EF7C17D7-B79B-43F7-A060-D8F2D33C8122}"/>
    <cellStyle name="Procent 2 12 3" xfId="7177" xr:uid="{00000000-0005-0000-0000-0000011D0000}"/>
    <cellStyle name="Procent 2 12 3 2" xfId="9845" xr:uid="{34469DAF-89ED-4485-82D9-707EF425F107}"/>
    <cellStyle name="Procent 2 12 4" xfId="8514" xr:uid="{8944A469-8289-4B6B-8825-752723F089EB}"/>
    <cellStyle name="Procent 2 13" xfId="4010" xr:uid="{00000000-0005-0000-0000-0000021D0000}"/>
    <cellStyle name="Procent 2 13 2" xfId="4634" xr:uid="{00000000-0005-0000-0000-0000031D0000}"/>
    <cellStyle name="Procent 2 13 2 2" xfId="7802" xr:uid="{00000000-0005-0000-0000-0000041D0000}"/>
    <cellStyle name="Procent 2 13 2 2 2" xfId="10470" xr:uid="{D845B649-5256-4596-AFE4-BB5105C8DFBA}"/>
    <cellStyle name="Procent 2 13 2 3" xfId="9139" xr:uid="{F280EF30-F0C2-456D-AF98-76720854EE5B}"/>
    <cellStyle name="Procent 2 13 3" xfId="7178" xr:uid="{00000000-0005-0000-0000-0000051D0000}"/>
    <cellStyle name="Procent 2 13 3 2" xfId="9846" xr:uid="{EED085F8-8E01-4832-8611-0F5B5870A7B7}"/>
    <cellStyle name="Procent 2 13 4" xfId="8515" xr:uid="{C2E6244D-0CE4-4E87-AF57-AE8AC2611077}"/>
    <cellStyle name="Procent 2 14" xfId="3511" xr:uid="{00000000-0005-0000-0000-0000061D0000}"/>
    <cellStyle name="Procent 2 14 2" xfId="4152" xr:uid="{00000000-0005-0000-0000-0000071D0000}"/>
    <cellStyle name="Procent 2 14 2 2" xfId="7320" xr:uid="{00000000-0005-0000-0000-0000081D0000}"/>
    <cellStyle name="Procent 2 14 2 2 2" xfId="9988" xr:uid="{4BDA2B70-92B6-47F3-BC32-0E0462CB53C5}"/>
    <cellStyle name="Procent 2 14 2 3" xfId="8657" xr:uid="{027AA3CE-FB61-4636-8CAE-3C8F4C25EB5C}"/>
    <cellStyle name="Procent 2 14 3" xfId="6709" xr:uid="{00000000-0005-0000-0000-0000091D0000}"/>
    <cellStyle name="Procent 2 14 3 2" xfId="9377" xr:uid="{0E2F4CD6-106F-4B6F-9EBF-55FDD5340356}"/>
    <cellStyle name="Procent 2 14 4" xfId="8041" xr:uid="{A8B189EF-F51B-4B7B-AF6D-CDDC862A9867}"/>
    <cellStyle name="Procent 2 15" xfId="4109" xr:uid="{00000000-0005-0000-0000-00000A1D0000}"/>
    <cellStyle name="Procent 2 15 2" xfId="7277" xr:uid="{00000000-0005-0000-0000-00000B1D0000}"/>
    <cellStyle name="Procent 2 15 2 2" xfId="9945" xr:uid="{546AB36E-55AC-4E37-B16A-0C7233A39314}"/>
    <cellStyle name="Procent 2 15 3" xfId="8614" xr:uid="{02C96417-E269-4C52-B262-9E254465FDE3}"/>
    <cellStyle name="Procent 2 16" xfId="3452" xr:uid="{00000000-0005-0000-0000-00000C1D0000}"/>
    <cellStyle name="Procent 2 16 2" xfId="6666" xr:uid="{00000000-0005-0000-0000-00000D1D0000}"/>
    <cellStyle name="Procent 2 16 2 2" xfId="9334" xr:uid="{74DC2EB8-40AD-40BA-A443-EEA28BA6E390}"/>
    <cellStyle name="Procent 2 16 3" xfId="7997" xr:uid="{14C64BEF-AD8A-4D2F-B93C-FEE7BE6734BB}"/>
    <cellStyle name="Procent 2 2" xfId="3259" xr:uid="{00000000-0005-0000-0000-00000E1D0000}"/>
    <cellStyle name="Procent 2 2 2" xfId="3482" xr:uid="{00000000-0005-0000-0000-00000F1D0000}"/>
    <cellStyle name="Procent 2 2 2 2" xfId="4013" xr:uid="{00000000-0005-0000-0000-0000101D0000}"/>
    <cellStyle name="Procent 2 2 2 2 2" xfId="4637" xr:uid="{00000000-0005-0000-0000-0000111D0000}"/>
    <cellStyle name="Procent 2 2 2 2 2 2" xfId="7805" xr:uid="{00000000-0005-0000-0000-0000121D0000}"/>
    <cellStyle name="Procent 2 2 2 2 2 2 2" xfId="10473" xr:uid="{6F9A23CC-7A54-4F3E-BEB6-7C3CA1753A17}"/>
    <cellStyle name="Procent 2 2 2 2 2 3" xfId="9142" xr:uid="{3937CC9C-68C0-4EAB-8E11-2E24A1A38148}"/>
    <cellStyle name="Procent 2 2 2 2 3" xfId="7181" xr:uid="{00000000-0005-0000-0000-0000131D0000}"/>
    <cellStyle name="Procent 2 2 2 2 3 2" xfId="9849" xr:uid="{BE1996C4-C189-4FB4-AB85-FF1F41B06497}"/>
    <cellStyle name="Procent 2 2 2 2 4" xfId="8518" xr:uid="{95A5F0A2-9F29-4852-B2F0-BBAB95135736}"/>
    <cellStyle name="Procent 2 2 2 3" xfId="4014" xr:uid="{00000000-0005-0000-0000-0000141D0000}"/>
    <cellStyle name="Procent 2 2 2 3 2" xfId="4638" xr:uid="{00000000-0005-0000-0000-0000151D0000}"/>
    <cellStyle name="Procent 2 2 2 3 2 2" xfId="7806" xr:uid="{00000000-0005-0000-0000-0000161D0000}"/>
    <cellStyle name="Procent 2 2 2 3 2 2 2" xfId="10474" xr:uid="{67B29DF3-4896-49ED-A3A7-633FDF7638B4}"/>
    <cellStyle name="Procent 2 2 2 3 2 3" xfId="9143" xr:uid="{AA5235EE-3E7D-407C-AF54-6B7E8CF99916}"/>
    <cellStyle name="Procent 2 2 2 3 3" xfId="7182" xr:uid="{00000000-0005-0000-0000-0000171D0000}"/>
    <cellStyle name="Procent 2 2 2 3 3 2" xfId="9850" xr:uid="{85858154-C289-4CC7-B86B-F6DE72BADBC8}"/>
    <cellStyle name="Procent 2 2 2 3 4" xfId="8519" xr:uid="{0A763277-BA43-4AFF-B418-2F45838EC734}"/>
    <cellStyle name="Procent 2 2 2 4" xfId="4015" xr:uid="{00000000-0005-0000-0000-0000181D0000}"/>
    <cellStyle name="Procent 2 2 2 4 2" xfId="4639" xr:uid="{00000000-0005-0000-0000-0000191D0000}"/>
    <cellStyle name="Procent 2 2 2 4 2 2" xfId="7807" xr:uid="{00000000-0005-0000-0000-00001A1D0000}"/>
    <cellStyle name="Procent 2 2 2 4 2 2 2" xfId="10475" xr:uid="{17AFFB55-9E92-4E1D-BC67-CD27FDA3A7E0}"/>
    <cellStyle name="Procent 2 2 2 4 2 3" xfId="9144" xr:uid="{EB3EC22B-FADF-4319-9024-FD8A6ECA0B99}"/>
    <cellStyle name="Procent 2 2 2 4 3" xfId="7183" xr:uid="{00000000-0005-0000-0000-00001B1D0000}"/>
    <cellStyle name="Procent 2 2 2 4 3 2" xfId="9851" xr:uid="{19845D3D-67A0-4548-ABCB-0808E8DDF889}"/>
    <cellStyle name="Procent 2 2 2 4 4" xfId="8520" xr:uid="{068C362B-334D-41AC-B2DA-0E7C02944F00}"/>
    <cellStyle name="Procent 2 2 2 5" xfId="4012" xr:uid="{00000000-0005-0000-0000-00001C1D0000}"/>
    <cellStyle name="Procent 2 2 2 5 2" xfId="4636" xr:uid="{00000000-0005-0000-0000-00001D1D0000}"/>
    <cellStyle name="Procent 2 2 2 5 2 2" xfId="7804" xr:uid="{00000000-0005-0000-0000-00001E1D0000}"/>
    <cellStyle name="Procent 2 2 2 5 2 2 2" xfId="10472" xr:uid="{7CD35A1D-2E0B-49A6-9E99-67A7CE8A8B78}"/>
    <cellStyle name="Procent 2 2 2 5 2 3" xfId="9141" xr:uid="{44072E16-12B0-42DB-83D3-7C6044289F94}"/>
    <cellStyle name="Procent 2 2 2 5 3" xfId="7180" xr:uid="{00000000-0005-0000-0000-00001F1D0000}"/>
    <cellStyle name="Procent 2 2 2 5 3 2" xfId="9848" xr:uid="{B053288F-5F49-4FF7-92E7-1C3865DCDB60}"/>
    <cellStyle name="Procent 2 2 2 5 4" xfId="8517" xr:uid="{FF49CADC-17E6-4E65-8F08-0A396C46E535}"/>
    <cellStyle name="Procent 2 2 2 6" xfId="4133" xr:uid="{00000000-0005-0000-0000-0000201D0000}"/>
    <cellStyle name="Procent 2 2 2 6 2" xfId="7301" xr:uid="{00000000-0005-0000-0000-0000211D0000}"/>
    <cellStyle name="Procent 2 2 2 6 2 2" xfId="9969" xr:uid="{84857762-8BC9-4655-B440-9A5433C41720}"/>
    <cellStyle name="Procent 2 2 2 6 3" xfId="8638" xr:uid="{6F51EAFF-4535-4662-9C0E-F7190B24980E}"/>
    <cellStyle name="Procent 2 2 2 7" xfId="6690" xr:uid="{00000000-0005-0000-0000-0000221D0000}"/>
    <cellStyle name="Procent 2 2 2 7 2" xfId="9358" xr:uid="{0FF0F050-7B43-49CC-AF75-BA8F5E47FFEC}"/>
    <cellStyle name="Procent 2 2 2 8" xfId="8022" xr:uid="{AA471E89-FC2D-481D-B83E-E662D4987A5C}"/>
    <cellStyle name="Procent 2 2 3" xfId="3498" xr:uid="{00000000-0005-0000-0000-0000231D0000}"/>
    <cellStyle name="Procent 2 2 3 2" xfId="4016" xr:uid="{00000000-0005-0000-0000-0000241D0000}"/>
    <cellStyle name="Procent 2 2 3 2 2" xfId="4640" xr:uid="{00000000-0005-0000-0000-0000251D0000}"/>
    <cellStyle name="Procent 2 2 3 2 2 2" xfId="7808" xr:uid="{00000000-0005-0000-0000-0000261D0000}"/>
    <cellStyle name="Procent 2 2 3 2 2 2 2" xfId="10476" xr:uid="{31D94F9F-678A-4139-8206-556F10E2334F}"/>
    <cellStyle name="Procent 2 2 3 2 2 3" xfId="9145" xr:uid="{CD8286B6-C2D2-48AD-B8A7-66EEF304444E}"/>
    <cellStyle name="Procent 2 2 3 2 3" xfId="7184" xr:uid="{00000000-0005-0000-0000-0000271D0000}"/>
    <cellStyle name="Procent 2 2 3 2 3 2" xfId="9852" xr:uid="{26DAFA86-D0AA-4CF0-8D91-56C51FE803CF}"/>
    <cellStyle name="Procent 2 2 3 2 4" xfId="8521" xr:uid="{A6F88F73-EB2C-4325-B100-ADC24D48B0C8}"/>
    <cellStyle name="Procent 2 2 3 3" xfId="4149" xr:uid="{00000000-0005-0000-0000-0000281D0000}"/>
    <cellStyle name="Procent 2 2 3 3 2" xfId="7317" xr:uid="{00000000-0005-0000-0000-0000291D0000}"/>
    <cellStyle name="Procent 2 2 3 3 2 2" xfId="9985" xr:uid="{72FA726A-9FF3-447B-8316-493E11C937B0}"/>
    <cellStyle name="Procent 2 2 3 3 3" xfId="8654" xr:uid="{C1BCFDCD-4995-44CE-9D9E-662AF4D6ACC3}"/>
    <cellStyle name="Procent 2 2 3 4" xfId="6706" xr:uid="{00000000-0005-0000-0000-00002A1D0000}"/>
    <cellStyle name="Procent 2 2 3 4 2" xfId="9374" xr:uid="{52EBC4BC-E709-4795-97FE-CB42591FE7A1}"/>
    <cellStyle name="Procent 2 2 3 5" xfId="8038" xr:uid="{BBA90012-D710-483C-B1E3-9E40A5EF9FDC}"/>
    <cellStyle name="Procent 2 2 4" xfId="4017" xr:uid="{00000000-0005-0000-0000-00002B1D0000}"/>
    <cellStyle name="Procent 2 2 4 2" xfId="4641" xr:uid="{00000000-0005-0000-0000-00002C1D0000}"/>
    <cellStyle name="Procent 2 2 4 2 2" xfId="7809" xr:uid="{00000000-0005-0000-0000-00002D1D0000}"/>
    <cellStyle name="Procent 2 2 4 2 2 2" xfId="10477" xr:uid="{83A2B23E-7A87-435A-954F-88D5BB11677E}"/>
    <cellStyle name="Procent 2 2 4 2 3" xfId="9146" xr:uid="{D10178A5-D2D3-4F1E-A0A6-748690AF420B}"/>
    <cellStyle name="Procent 2 2 4 3" xfId="7185" xr:uid="{00000000-0005-0000-0000-00002E1D0000}"/>
    <cellStyle name="Procent 2 2 4 3 2" xfId="9853" xr:uid="{05D1F146-887D-443F-BE4A-E79EA6274BB1}"/>
    <cellStyle name="Procent 2 2 4 4" xfId="8522" xr:uid="{CF365697-5ECE-4B99-916E-E858F8BC9251}"/>
    <cellStyle name="Procent 2 2 5" xfId="4018" xr:uid="{00000000-0005-0000-0000-00002F1D0000}"/>
    <cellStyle name="Procent 2 2 5 2" xfId="4642" xr:uid="{00000000-0005-0000-0000-0000301D0000}"/>
    <cellStyle name="Procent 2 2 5 2 2" xfId="7810" xr:uid="{00000000-0005-0000-0000-0000311D0000}"/>
    <cellStyle name="Procent 2 2 5 2 2 2" xfId="10478" xr:uid="{3DB61BB1-9F0C-4235-B925-49B4CF9597D0}"/>
    <cellStyle name="Procent 2 2 5 2 3" xfId="9147" xr:uid="{7C1B0FA1-950B-4B4F-A21E-368AD0DE4CD6}"/>
    <cellStyle name="Procent 2 2 5 3" xfId="7186" xr:uid="{00000000-0005-0000-0000-0000321D0000}"/>
    <cellStyle name="Procent 2 2 5 3 2" xfId="9854" xr:uid="{2A996298-20E2-48CD-9C43-A956DC1AF14B}"/>
    <cellStyle name="Procent 2 2 5 4" xfId="8523" xr:uid="{A0EAE319-EA9C-4E25-A268-595A215C0BF0}"/>
    <cellStyle name="Procent 2 2 6" xfId="4019" xr:uid="{00000000-0005-0000-0000-0000331D0000}"/>
    <cellStyle name="Procent 2 2 6 2" xfId="4643" xr:uid="{00000000-0005-0000-0000-0000341D0000}"/>
    <cellStyle name="Procent 2 2 6 2 2" xfId="7811" xr:uid="{00000000-0005-0000-0000-0000351D0000}"/>
    <cellStyle name="Procent 2 2 6 2 2 2" xfId="10479" xr:uid="{C58167CE-649E-48A1-BA2C-A127D31398A0}"/>
    <cellStyle name="Procent 2 2 6 2 3" xfId="9148" xr:uid="{0D51866C-00B2-45F5-A41A-74052BFB87C0}"/>
    <cellStyle name="Procent 2 2 6 3" xfId="7187" xr:uid="{00000000-0005-0000-0000-0000361D0000}"/>
    <cellStyle name="Procent 2 2 6 3 2" xfId="9855" xr:uid="{0867184B-269B-455A-BB88-F4E7D073A750}"/>
    <cellStyle name="Procent 2 2 6 4" xfId="8524" xr:uid="{5E1EEE7D-FB3D-421A-8F92-4F7F4EEE9BE8}"/>
    <cellStyle name="Procent 2 2 7" xfId="4011" xr:uid="{00000000-0005-0000-0000-0000371D0000}"/>
    <cellStyle name="Procent 2 2 7 2" xfId="4635" xr:uid="{00000000-0005-0000-0000-0000381D0000}"/>
    <cellStyle name="Procent 2 2 7 2 2" xfId="7803" xr:uid="{00000000-0005-0000-0000-0000391D0000}"/>
    <cellStyle name="Procent 2 2 7 2 2 2" xfId="10471" xr:uid="{CBF8BD21-EC80-4B14-A11F-77E052E2C5A0}"/>
    <cellStyle name="Procent 2 2 7 2 3" xfId="9140" xr:uid="{C5B901F4-76A5-481F-A1D5-C256510FFEAA}"/>
    <cellStyle name="Procent 2 2 7 3" xfId="7179" xr:uid="{00000000-0005-0000-0000-00003A1D0000}"/>
    <cellStyle name="Procent 2 2 7 3 2" xfId="9847" xr:uid="{A01FE267-4360-4BE4-9E80-BFEA694BE043}"/>
    <cellStyle name="Procent 2 2 7 4" xfId="8516" xr:uid="{74FB61D8-879C-4F26-8A85-4AFEE8D2851B}"/>
    <cellStyle name="Procent 2 2 8" xfId="4117" xr:uid="{00000000-0005-0000-0000-00003B1D0000}"/>
    <cellStyle name="Procent 2 2 8 2" xfId="7285" xr:uid="{00000000-0005-0000-0000-00003C1D0000}"/>
    <cellStyle name="Procent 2 2 8 2 2" xfId="9953" xr:uid="{E937001B-9E08-43EE-9B47-5C2C5756E7CE}"/>
    <cellStyle name="Procent 2 2 8 3" xfId="8622" xr:uid="{0B021A49-4499-4D54-BAA1-A424D4A18C73}"/>
    <cellStyle name="Procent 2 2 9" xfId="3466" xr:uid="{00000000-0005-0000-0000-00003D1D0000}"/>
    <cellStyle name="Procent 2 2 9 2" xfId="6674" xr:uid="{00000000-0005-0000-0000-00003E1D0000}"/>
    <cellStyle name="Procent 2 2 9 2 2" xfId="9342" xr:uid="{F5A1C321-A506-44F9-9A4D-65CFD1AA285C}"/>
    <cellStyle name="Procent 2 2 9 3" xfId="8006" xr:uid="{6E76F548-6DF0-4C33-9616-944EDA9C3FC0}"/>
    <cellStyle name="Procent 2 3" xfId="3474" xr:uid="{00000000-0005-0000-0000-00003F1D0000}"/>
    <cellStyle name="Procent 2 3 10" xfId="8014" xr:uid="{369EEF15-FF47-4151-ACCB-254D3D92CDBB}"/>
    <cellStyle name="Procent 2 3 2" xfId="4021" xr:uid="{00000000-0005-0000-0000-0000401D0000}"/>
    <cellStyle name="Procent 2 3 2 2" xfId="4022" xr:uid="{00000000-0005-0000-0000-0000411D0000}"/>
    <cellStyle name="Procent 2 3 2 2 2" xfId="4646" xr:uid="{00000000-0005-0000-0000-0000421D0000}"/>
    <cellStyle name="Procent 2 3 2 2 2 2" xfId="7814" xr:uid="{00000000-0005-0000-0000-0000431D0000}"/>
    <cellStyle name="Procent 2 3 2 2 2 2 2" xfId="10482" xr:uid="{A3061F45-7CFE-4D2A-AE9F-DCE20E59BC49}"/>
    <cellStyle name="Procent 2 3 2 2 2 3" xfId="9151" xr:uid="{77FE81EE-DFC9-46AE-89AF-1EFD324F649E}"/>
    <cellStyle name="Procent 2 3 2 2 3" xfId="7190" xr:uid="{00000000-0005-0000-0000-0000441D0000}"/>
    <cellStyle name="Procent 2 3 2 2 3 2" xfId="9858" xr:uid="{F94B5083-10CE-4AB3-9548-34C687380262}"/>
    <cellStyle name="Procent 2 3 2 2 4" xfId="8527" xr:uid="{8AFDF2BE-5818-4655-8D10-431531B71985}"/>
    <cellStyle name="Procent 2 3 2 3" xfId="4023" xr:uid="{00000000-0005-0000-0000-0000451D0000}"/>
    <cellStyle name="Procent 2 3 2 3 2" xfId="4647" xr:uid="{00000000-0005-0000-0000-0000461D0000}"/>
    <cellStyle name="Procent 2 3 2 3 2 2" xfId="7815" xr:uid="{00000000-0005-0000-0000-0000471D0000}"/>
    <cellStyle name="Procent 2 3 2 3 2 2 2" xfId="10483" xr:uid="{FEB6261D-FB86-4307-8504-22422D52F515}"/>
    <cellStyle name="Procent 2 3 2 3 2 3" xfId="9152" xr:uid="{EF8C580E-8FD1-4CA7-8E86-E3BCE1CDD3F2}"/>
    <cellStyle name="Procent 2 3 2 3 3" xfId="7191" xr:uid="{00000000-0005-0000-0000-0000481D0000}"/>
    <cellStyle name="Procent 2 3 2 3 3 2" xfId="9859" xr:uid="{57FD82BA-13DF-45BB-8001-F2602708C7F3}"/>
    <cellStyle name="Procent 2 3 2 3 4" xfId="8528" xr:uid="{542F4F2C-5ED2-47D3-AC60-618B0688363F}"/>
    <cellStyle name="Procent 2 3 2 4" xfId="4645" xr:uid="{00000000-0005-0000-0000-0000491D0000}"/>
    <cellStyle name="Procent 2 3 2 4 2" xfId="7813" xr:uid="{00000000-0005-0000-0000-00004A1D0000}"/>
    <cellStyle name="Procent 2 3 2 4 2 2" xfId="10481" xr:uid="{7813DD5B-03F9-48BF-9D68-E8E6EE0D4D49}"/>
    <cellStyle name="Procent 2 3 2 4 3" xfId="9150" xr:uid="{EA821E96-E865-4F77-A5FB-B9D42671BFF8}"/>
    <cellStyle name="Procent 2 3 2 5" xfId="7189" xr:uid="{00000000-0005-0000-0000-00004B1D0000}"/>
    <cellStyle name="Procent 2 3 2 5 2" xfId="9857" xr:uid="{0E87A5E2-53AB-4FF1-95A1-8F8B9AA940F8}"/>
    <cellStyle name="Procent 2 3 2 6" xfId="8526" xr:uid="{28598585-9395-4505-BEA4-24882401A79B}"/>
    <cellStyle name="Procent 2 3 3" xfId="4024" xr:uid="{00000000-0005-0000-0000-00004C1D0000}"/>
    <cellStyle name="Procent 2 3 3 2" xfId="4648" xr:uid="{00000000-0005-0000-0000-00004D1D0000}"/>
    <cellStyle name="Procent 2 3 3 2 2" xfId="7816" xr:uid="{00000000-0005-0000-0000-00004E1D0000}"/>
    <cellStyle name="Procent 2 3 3 2 2 2" xfId="10484" xr:uid="{84F2D589-8D11-442B-BD3F-EE66239E507F}"/>
    <cellStyle name="Procent 2 3 3 2 3" xfId="9153" xr:uid="{DE3473D8-105B-475A-8AD1-DBF33767B431}"/>
    <cellStyle name="Procent 2 3 3 3" xfId="7192" xr:uid="{00000000-0005-0000-0000-00004F1D0000}"/>
    <cellStyle name="Procent 2 3 3 3 2" xfId="9860" xr:uid="{1EF1D676-8828-4073-B819-9CB64C3CA1E7}"/>
    <cellStyle name="Procent 2 3 3 4" xfId="8529" xr:uid="{EE2AFEEE-7AB7-41A5-87F7-A27D4094E48D}"/>
    <cellStyle name="Procent 2 3 4" xfId="4025" xr:uid="{00000000-0005-0000-0000-0000501D0000}"/>
    <cellStyle name="Procent 2 3 4 2" xfId="4649" xr:uid="{00000000-0005-0000-0000-0000511D0000}"/>
    <cellStyle name="Procent 2 3 4 2 2" xfId="7817" xr:uid="{00000000-0005-0000-0000-0000521D0000}"/>
    <cellStyle name="Procent 2 3 4 2 2 2" xfId="10485" xr:uid="{AD130B8D-3760-4479-A3DE-1FBBDF16792F}"/>
    <cellStyle name="Procent 2 3 4 2 3" xfId="9154" xr:uid="{C3720A71-F054-41DD-BA83-571FF410572B}"/>
    <cellStyle name="Procent 2 3 4 3" xfId="7193" xr:uid="{00000000-0005-0000-0000-0000531D0000}"/>
    <cellStyle name="Procent 2 3 4 3 2" xfId="9861" xr:uid="{D13CC94F-BEB5-426E-B6EB-6B70C034147A}"/>
    <cellStyle name="Procent 2 3 4 4" xfId="8530" xr:uid="{D71EC2C3-7999-4A23-BC5D-5D09664D081C}"/>
    <cellStyle name="Procent 2 3 5" xfId="4026" xr:uid="{00000000-0005-0000-0000-0000541D0000}"/>
    <cellStyle name="Procent 2 3 5 2" xfId="4650" xr:uid="{00000000-0005-0000-0000-0000551D0000}"/>
    <cellStyle name="Procent 2 3 5 2 2" xfId="7818" xr:uid="{00000000-0005-0000-0000-0000561D0000}"/>
    <cellStyle name="Procent 2 3 5 2 2 2" xfId="10486" xr:uid="{A7EFE88D-0916-49C9-BD2B-C0CFA7716FCA}"/>
    <cellStyle name="Procent 2 3 5 2 3" xfId="9155" xr:uid="{1437E862-D87C-438A-9CAF-F87AF2CF1EA6}"/>
    <cellStyle name="Procent 2 3 5 3" xfId="7194" xr:uid="{00000000-0005-0000-0000-0000571D0000}"/>
    <cellStyle name="Procent 2 3 5 3 2" xfId="9862" xr:uid="{9A3734AA-E2AA-437B-B834-A17E16F32A0F}"/>
    <cellStyle name="Procent 2 3 5 4" xfId="8531" xr:uid="{4329683C-92C3-428E-9A08-32BBC07D9191}"/>
    <cellStyle name="Procent 2 3 6" xfId="4027" xr:uid="{00000000-0005-0000-0000-0000581D0000}"/>
    <cellStyle name="Procent 2 3 6 2" xfId="4651" xr:uid="{00000000-0005-0000-0000-0000591D0000}"/>
    <cellStyle name="Procent 2 3 6 2 2" xfId="7819" xr:uid="{00000000-0005-0000-0000-00005A1D0000}"/>
    <cellStyle name="Procent 2 3 6 2 2 2" xfId="10487" xr:uid="{0404D1FD-C403-4958-BA03-11F2C5EBE24A}"/>
    <cellStyle name="Procent 2 3 6 2 3" xfId="9156" xr:uid="{5716B6EF-866B-48D1-9E91-38E8BF8F1577}"/>
    <cellStyle name="Procent 2 3 6 3" xfId="7195" xr:uid="{00000000-0005-0000-0000-00005B1D0000}"/>
    <cellStyle name="Procent 2 3 6 3 2" xfId="9863" xr:uid="{815ED1A5-ADEF-43DF-9618-75F8DB56D97F}"/>
    <cellStyle name="Procent 2 3 6 4" xfId="8532" xr:uid="{FFDFB630-160E-49D6-8AD9-7DD277584061}"/>
    <cellStyle name="Procent 2 3 7" xfId="4020" xr:uid="{00000000-0005-0000-0000-00005C1D0000}"/>
    <cellStyle name="Procent 2 3 7 2" xfId="4644" xr:uid="{00000000-0005-0000-0000-00005D1D0000}"/>
    <cellStyle name="Procent 2 3 7 2 2" xfId="7812" xr:uid="{00000000-0005-0000-0000-00005E1D0000}"/>
    <cellStyle name="Procent 2 3 7 2 2 2" xfId="10480" xr:uid="{1DC9AEEA-88E7-4D5B-8A17-A51D0C2E56BC}"/>
    <cellStyle name="Procent 2 3 7 2 3" xfId="9149" xr:uid="{5DC79F68-D33B-49BA-B2F2-463B096BCD7E}"/>
    <cellStyle name="Procent 2 3 7 3" xfId="7188" xr:uid="{00000000-0005-0000-0000-00005F1D0000}"/>
    <cellStyle name="Procent 2 3 7 3 2" xfId="9856" xr:uid="{D3C26DDA-9664-4370-BCF6-0C8B15D5FC1D}"/>
    <cellStyle name="Procent 2 3 7 4" xfId="8525" xr:uid="{EF63E0CA-CFAB-4CC9-BAFE-E3B3F46D4A82}"/>
    <cellStyle name="Procent 2 3 8" xfId="4125" xr:uid="{00000000-0005-0000-0000-0000601D0000}"/>
    <cellStyle name="Procent 2 3 8 2" xfId="7293" xr:uid="{00000000-0005-0000-0000-0000611D0000}"/>
    <cellStyle name="Procent 2 3 8 2 2" xfId="9961" xr:uid="{F2F3F8F6-5B06-4E20-AD03-AFD9D46DAE34}"/>
    <cellStyle name="Procent 2 3 8 3" xfId="8630" xr:uid="{4E016FA5-42E7-4615-887D-437BD7D269B4}"/>
    <cellStyle name="Procent 2 3 9" xfId="6682" xr:uid="{00000000-0005-0000-0000-0000621D0000}"/>
    <cellStyle name="Procent 2 3 9 2" xfId="9350" xr:uid="{36E2D45F-0120-468A-899E-29A8E2F9AAC9}"/>
    <cellStyle name="Procent 2 4" xfId="3490" xr:uid="{00000000-0005-0000-0000-0000631D0000}"/>
    <cellStyle name="Procent 2 4 10" xfId="8030" xr:uid="{F317ED64-231F-454F-9FE4-35A6F9F45C0A}"/>
    <cellStyle name="Procent 2 4 2" xfId="4029" xr:uid="{00000000-0005-0000-0000-0000641D0000}"/>
    <cellStyle name="Procent 2 4 2 2" xfId="4030" xr:uid="{00000000-0005-0000-0000-0000651D0000}"/>
    <cellStyle name="Procent 2 4 2 2 2" xfId="4654" xr:uid="{00000000-0005-0000-0000-0000661D0000}"/>
    <cellStyle name="Procent 2 4 2 2 2 2" xfId="7822" xr:uid="{00000000-0005-0000-0000-0000671D0000}"/>
    <cellStyle name="Procent 2 4 2 2 2 2 2" xfId="10490" xr:uid="{832F30DB-E04F-4775-90E1-A6A6C254E141}"/>
    <cellStyle name="Procent 2 4 2 2 2 3" xfId="9159" xr:uid="{39345FB1-7D5D-4C3D-9245-E0B6E327AE18}"/>
    <cellStyle name="Procent 2 4 2 2 3" xfId="7198" xr:uid="{00000000-0005-0000-0000-0000681D0000}"/>
    <cellStyle name="Procent 2 4 2 2 3 2" xfId="9866" xr:uid="{40DB443C-9108-46EE-87BC-DC3F5A63AC0C}"/>
    <cellStyle name="Procent 2 4 2 2 4" xfId="8535" xr:uid="{25C1A888-3CD5-4366-BA1F-9EA66035A028}"/>
    <cellStyle name="Procent 2 4 2 3" xfId="4031" xr:uid="{00000000-0005-0000-0000-0000691D0000}"/>
    <cellStyle name="Procent 2 4 2 3 2" xfId="4655" xr:uid="{00000000-0005-0000-0000-00006A1D0000}"/>
    <cellStyle name="Procent 2 4 2 3 2 2" xfId="7823" xr:uid="{00000000-0005-0000-0000-00006B1D0000}"/>
    <cellStyle name="Procent 2 4 2 3 2 2 2" xfId="10491" xr:uid="{1D65F245-BD17-4306-ABEA-DE6ABC33D60B}"/>
    <cellStyle name="Procent 2 4 2 3 2 3" xfId="9160" xr:uid="{28305BD5-DC42-4EB9-9500-CDAE6401B809}"/>
    <cellStyle name="Procent 2 4 2 3 3" xfId="7199" xr:uid="{00000000-0005-0000-0000-00006C1D0000}"/>
    <cellStyle name="Procent 2 4 2 3 3 2" xfId="9867" xr:uid="{389C9116-07D2-48BE-8F15-47D731CFB3F5}"/>
    <cellStyle name="Procent 2 4 2 3 4" xfId="8536" xr:uid="{FE17F3BA-9D1A-422F-8DFC-EF322BD66D26}"/>
    <cellStyle name="Procent 2 4 2 4" xfId="4653" xr:uid="{00000000-0005-0000-0000-00006D1D0000}"/>
    <cellStyle name="Procent 2 4 2 4 2" xfId="7821" xr:uid="{00000000-0005-0000-0000-00006E1D0000}"/>
    <cellStyle name="Procent 2 4 2 4 2 2" xfId="10489" xr:uid="{1B1D0BA0-CC56-490F-A347-66A762963A8A}"/>
    <cellStyle name="Procent 2 4 2 4 3" xfId="9158" xr:uid="{860CC2BB-081F-40C5-B1B8-AB3C98465634}"/>
    <cellStyle name="Procent 2 4 2 5" xfId="7197" xr:uid="{00000000-0005-0000-0000-00006F1D0000}"/>
    <cellStyle name="Procent 2 4 2 5 2" xfId="9865" xr:uid="{8F036B52-06BB-4365-A2AA-DB90EA7535FA}"/>
    <cellStyle name="Procent 2 4 2 6" xfId="8534" xr:uid="{6A5EF11A-AB78-4E0D-BCB3-2D976218D003}"/>
    <cellStyle name="Procent 2 4 3" xfId="4032" xr:uid="{00000000-0005-0000-0000-0000701D0000}"/>
    <cellStyle name="Procent 2 4 3 2" xfId="4656" xr:uid="{00000000-0005-0000-0000-0000711D0000}"/>
    <cellStyle name="Procent 2 4 3 2 2" xfId="7824" xr:uid="{00000000-0005-0000-0000-0000721D0000}"/>
    <cellStyle name="Procent 2 4 3 2 2 2" xfId="10492" xr:uid="{E4A2406D-A9A3-42E9-8527-85F741649AB9}"/>
    <cellStyle name="Procent 2 4 3 2 3" xfId="9161" xr:uid="{D364DF5D-B6CB-4A46-AD52-22809D68CE90}"/>
    <cellStyle name="Procent 2 4 3 3" xfId="7200" xr:uid="{00000000-0005-0000-0000-0000731D0000}"/>
    <cellStyle name="Procent 2 4 3 3 2" xfId="9868" xr:uid="{EED733D4-D34B-44C3-B2C5-D6E8325C34C1}"/>
    <cellStyle name="Procent 2 4 3 4" xfId="8537" xr:uid="{FDF59500-9943-4811-A3FE-041C71CE051D}"/>
    <cellStyle name="Procent 2 4 4" xfId="4033" xr:uid="{00000000-0005-0000-0000-0000741D0000}"/>
    <cellStyle name="Procent 2 4 4 2" xfId="4657" xr:uid="{00000000-0005-0000-0000-0000751D0000}"/>
    <cellStyle name="Procent 2 4 4 2 2" xfId="7825" xr:uid="{00000000-0005-0000-0000-0000761D0000}"/>
    <cellStyle name="Procent 2 4 4 2 2 2" xfId="10493" xr:uid="{C46E6B2D-666E-4EBC-9CBA-CF1D48BC197B}"/>
    <cellStyle name="Procent 2 4 4 2 3" xfId="9162" xr:uid="{A5D0C6F3-F3A3-457F-BEB7-0A18FF314DA5}"/>
    <cellStyle name="Procent 2 4 4 3" xfId="7201" xr:uid="{00000000-0005-0000-0000-0000771D0000}"/>
    <cellStyle name="Procent 2 4 4 3 2" xfId="9869" xr:uid="{678D8D2F-D6A1-434E-9A7A-25B2087B500D}"/>
    <cellStyle name="Procent 2 4 4 4" xfId="8538" xr:uid="{E4EF9173-CAB9-41AE-954E-C9A406A55A04}"/>
    <cellStyle name="Procent 2 4 5" xfId="4034" xr:uid="{00000000-0005-0000-0000-0000781D0000}"/>
    <cellStyle name="Procent 2 4 5 2" xfId="4658" xr:uid="{00000000-0005-0000-0000-0000791D0000}"/>
    <cellStyle name="Procent 2 4 5 2 2" xfId="7826" xr:uid="{00000000-0005-0000-0000-00007A1D0000}"/>
    <cellStyle name="Procent 2 4 5 2 2 2" xfId="10494" xr:uid="{0BEEF31E-1A39-4F8B-8544-1A4701600489}"/>
    <cellStyle name="Procent 2 4 5 2 3" xfId="9163" xr:uid="{AC37D10F-9B93-493A-8798-44C4035A8F99}"/>
    <cellStyle name="Procent 2 4 5 3" xfId="7202" xr:uid="{00000000-0005-0000-0000-00007B1D0000}"/>
    <cellStyle name="Procent 2 4 5 3 2" xfId="9870" xr:uid="{1F1B7AC3-4715-483C-A2EE-5DD77831D511}"/>
    <cellStyle name="Procent 2 4 5 4" xfId="8539" xr:uid="{217F3700-EA77-4974-B6FF-714333FECFF2}"/>
    <cellStyle name="Procent 2 4 6" xfId="4035" xr:uid="{00000000-0005-0000-0000-00007C1D0000}"/>
    <cellStyle name="Procent 2 4 6 2" xfId="4659" xr:uid="{00000000-0005-0000-0000-00007D1D0000}"/>
    <cellStyle name="Procent 2 4 6 2 2" xfId="7827" xr:uid="{00000000-0005-0000-0000-00007E1D0000}"/>
    <cellStyle name="Procent 2 4 6 2 2 2" xfId="10495" xr:uid="{A492135B-1CC6-4AA6-9C2E-8B6A6F080776}"/>
    <cellStyle name="Procent 2 4 6 2 3" xfId="9164" xr:uid="{1BBAFDEE-5EBC-4311-A622-116AA0930D2C}"/>
    <cellStyle name="Procent 2 4 6 3" xfId="7203" xr:uid="{00000000-0005-0000-0000-00007F1D0000}"/>
    <cellStyle name="Procent 2 4 6 3 2" xfId="9871" xr:uid="{7B7290AA-E7F3-4653-AE3F-BE6FA8E34D9B}"/>
    <cellStyle name="Procent 2 4 6 4" xfId="8540" xr:uid="{B975AE6B-E1F9-4DF8-87A6-C0BC6FF562C7}"/>
    <cellStyle name="Procent 2 4 7" xfId="4028" xr:uid="{00000000-0005-0000-0000-0000801D0000}"/>
    <cellStyle name="Procent 2 4 7 2" xfId="4652" xr:uid="{00000000-0005-0000-0000-0000811D0000}"/>
    <cellStyle name="Procent 2 4 7 2 2" xfId="7820" xr:uid="{00000000-0005-0000-0000-0000821D0000}"/>
    <cellStyle name="Procent 2 4 7 2 2 2" xfId="10488" xr:uid="{04120887-94BF-4402-B8B8-6FCE895D7C89}"/>
    <cellStyle name="Procent 2 4 7 2 3" xfId="9157" xr:uid="{DA146FB7-4BE5-4E7D-B1AE-12B94230C304}"/>
    <cellStyle name="Procent 2 4 7 3" xfId="7196" xr:uid="{00000000-0005-0000-0000-0000831D0000}"/>
    <cellStyle name="Procent 2 4 7 3 2" xfId="9864" xr:uid="{2E915AD2-DBE0-465A-BC48-322268D9B22D}"/>
    <cellStyle name="Procent 2 4 7 4" xfId="8533" xr:uid="{953CEFC9-A85F-4415-A32C-B5D8BD0367E7}"/>
    <cellStyle name="Procent 2 4 8" xfId="4141" xr:uid="{00000000-0005-0000-0000-0000841D0000}"/>
    <cellStyle name="Procent 2 4 8 2" xfId="7309" xr:uid="{00000000-0005-0000-0000-0000851D0000}"/>
    <cellStyle name="Procent 2 4 8 2 2" xfId="9977" xr:uid="{7BC3391D-039D-46BE-BBBC-8DE804B4B837}"/>
    <cellStyle name="Procent 2 4 8 3" xfId="8646" xr:uid="{FA07EC63-BD3C-4F91-BE8E-29D3C5C48033}"/>
    <cellStyle name="Procent 2 4 9" xfId="6698" xr:uid="{00000000-0005-0000-0000-0000861D0000}"/>
    <cellStyle name="Procent 2 4 9 2" xfId="9366" xr:uid="{B04A48FA-3CC6-4FEC-9613-E2E6857A64EE}"/>
    <cellStyle name="Procent 2 5" xfId="3383" xr:uid="{00000000-0005-0000-0000-0000871D0000}"/>
    <cellStyle name="Procent 2 5 2" xfId="4037" xr:uid="{00000000-0005-0000-0000-0000881D0000}"/>
    <cellStyle name="Procent 2 5 2 2" xfId="4038" xr:uid="{00000000-0005-0000-0000-0000891D0000}"/>
    <cellStyle name="Procent 2 5 2 2 2" xfId="4662" xr:uid="{00000000-0005-0000-0000-00008A1D0000}"/>
    <cellStyle name="Procent 2 5 2 2 2 2" xfId="7830" xr:uid="{00000000-0005-0000-0000-00008B1D0000}"/>
    <cellStyle name="Procent 2 5 2 2 2 2 2" xfId="10498" xr:uid="{0BBD9024-9366-4847-B60A-1DBDA44FC8D7}"/>
    <cellStyle name="Procent 2 5 2 2 2 3" xfId="9167" xr:uid="{F192C891-E8D7-442A-9705-4B812B9F392D}"/>
    <cellStyle name="Procent 2 5 2 2 3" xfId="7206" xr:uid="{00000000-0005-0000-0000-00008C1D0000}"/>
    <cellStyle name="Procent 2 5 2 2 3 2" xfId="9874" xr:uid="{C5D7CB9C-6843-49B6-8DC7-896D124A3DA1}"/>
    <cellStyle name="Procent 2 5 2 2 4" xfId="8543" xr:uid="{A7674158-F479-4A9F-96AB-E2001955E71F}"/>
    <cellStyle name="Procent 2 5 2 3" xfId="4039" xr:uid="{00000000-0005-0000-0000-00008D1D0000}"/>
    <cellStyle name="Procent 2 5 2 3 2" xfId="4663" xr:uid="{00000000-0005-0000-0000-00008E1D0000}"/>
    <cellStyle name="Procent 2 5 2 3 2 2" xfId="7831" xr:uid="{00000000-0005-0000-0000-00008F1D0000}"/>
    <cellStyle name="Procent 2 5 2 3 2 2 2" xfId="10499" xr:uid="{E1A85E0A-6985-4080-B684-DC01D9DFE999}"/>
    <cellStyle name="Procent 2 5 2 3 2 3" xfId="9168" xr:uid="{3E5C8C21-2AC9-4D90-AA18-9AEDA9F04180}"/>
    <cellStyle name="Procent 2 5 2 3 3" xfId="7207" xr:uid="{00000000-0005-0000-0000-0000901D0000}"/>
    <cellStyle name="Procent 2 5 2 3 3 2" xfId="9875" xr:uid="{7414DE99-9089-4315-963E-E9D77767195A}"/>
    <cellStyle name="Procent 2 5 2 3 4" xfId="8544" xr:uid="{C4526ACF-770D-4232-87E5-3BC822F1EF31}"/>
    <cellStyle name="Procent 2 5 2 4" xfId="4661" xr:uid="{00000000-0005-0000-0000-0000911D0000}"/>
    <cellStyle name="Procent 2 5 2 4 2" xfId="7829" xr:uid="{00000000-0005-0000-0000-0000921D0000}"/>
    <cellStyle name="Procent 2 5 2 4 2 2" xfId="10497" xr:uid="{590178B0-3717-4ADF-AF05-5599B01A642F}"/>
    <cellStyle name="Procent 2 5 2 4 3" xfId="9166" xr:uid="{054E5C8D-2EA5-4EBC-B61C-579E75B775B3}"/>
    <cellStyle name="Procent 2 5 2 5" xfId="7205" xr:uid="{00000000-0005-0000-0000-0000931D0000}"/>
    <cellStyle name="Procent 2 5 2 5 2" xfId="9873" xr:uid="{1A4F22FA-CAFB-4E28-87DD-07E5310A507A}"/>
    <cellStyle name="Procent 2 5 2 6" xfId="8542" xr:uid="{6DF36D96-5E7F-43DB-A260-742ABD537A5F}"/>
    <cellStyle name="Procent 2 5 3" xfId="4040" xr:uid="{00000000-0005-0000-0000-0000941D0000}"/>
    <cellStyle name="Procent 2 5 3 2" xfId="4664" xr:uid="{00000000-0005-0000-0000-0000951D0000}"/>
    <cellStyle name="Procent 2 5 3 2 2" xfId="7832" xr:uid="{00000000-0005-0000-0000-0000961D0000}"/>
    <cellStyle name="Procent 2 5 3 2 2 2" xfId="10500" xr:uid="{D6B9A7EF-F734-4253-AA87-BB71CF99B8B0}"/>
    <cellStyle name="Procent 2 5 3 2 3" xfId="9169" xr:uid="{AFA35E87-54BD-4885-8E00-3D328698C301}"/>
    <cellStyle name="Procent 2 5 3 3" xfId="7208" xr:uid="{00000000-0005-0000-0000-0000971D0000}"/>
    <cellStyle name="Procent 2 5 3 3 2" xfId="9876" xr:uid="{25736ACC-0DC1-42C2-9953-3EDEF9AF9039}"/>
    <cellStyle name="Procent 2 5 3 4" xfId="8545" xr:uid="{15818A28-1EBE-4927-8824-69142ED0978A}"/>
    <cellStyle name="Procent 2 5 4" xfId="4041" xr:uid="{00000000-0005-0000-0000-0000981D0000}"/>
    <cellStyle name="Procent 2 5 4 2" xfId="4665" xr:uid="{00000000-0005-0000-0000-0000991D0000}"/>
    <cellStyle name="Procent 2 5 4 2 2" xfId="7833" xr:uid="{00000000-0005-0000-0000-00009A1D0000}"/>
    <cellStyle name="Procent 2 5 4 2 2 2" xfId="10501" xr:uid="{42454538-250D-434A-8606-97D91120DC09}"/>
    <cellStyle name="Procent 2 5 4 2 3" xfId="9170" xr:uid="{45297068-6206-48C6-8321-A0CB345C1395}"/>
    <cellStyle name="Procent 2 5 4 3" xfId="7209" xr:uid="{00000000-0005-0000-0000-00009B1D0000}"/>
    <cellStyle name="Procent 2 5 4 3 2" xfId="9877" xr:uid="{BC19D650-203F-42B9-B243-3BD06D1D80C9}"/>
    <cellStyle name="Procent 2 5 4 4" xfId="8546" xr:uid="{398C7853-D21F-4C3C-A65B-DC51F78A2836}"/>
    <cellStyle name="Procent 2 5 5" xfId="4042" xr:uid="{00000000-0005-0000-0000-00009C1D0000}"/>
    <cellStyle name="Procent 2 5 5 2" xfId="4666" xr:uid="{00000000-0005-0000-0000-00009D1D0000}"/>
    <cellStyle name="Procent 2 5 5 2 2" xfId="7834" xr:uid="{00000000-0005-0000-0000-00009E1D0000}"/>
    <cellStyle name="Procent 2 5 5 2 2 2" xfId="10502" xr:uid="{CFC02F82-7D22-4692-935C-5E4A1D84395B}"/>
    <cellStyle name="Procent 2 5 5 2 3" xfId="9171" xr:uid="{C363B1CF-8128-449D-8E80-847CA2A53AEC}"/>
    <cellStyle name="Procent 2 5 5 3" xfId="7210" xr:uid="{00000000-0005-0000-0000-00009F1D0000}"/>
    <cellStyle name="Procent 2 5 5 3 2" xfId="9878" xr:uid="{03FA0968-C143-4B6D-9D28-A8E6CC83C7A2}"/>
    <cellStyle name="Procent 2 5 5 4" xfId="8547" xr:uid="{34C14A91-83EC-4D3B-82DC-7BD7BF7572FF}"/>
    <cellStyle name="Procent 2 5 6" xfId="4036" xr:uid="{00000000-0005-0000-0000-0000A01D0000}"/>
    <cellStyle name="Procent 2 5 6 2" xfId="4660" xr:uid="{00000000-0005-0000-0000-0000A11D0000}"/>
    <cellStyle name="Procent 2 5 6 2 2" xfId="7828" xr:uid="{00000000-0005-0000-0000-0000A21D0000}"/>
    <cellStyle name="Procent 2 5 6 2 2 2" xfId="10496" xr:uid="{E3EF3CEE-ECFE-4831-A5B6-7F5A915BB45B}"/>
    <cellStyle name="Procent 2 5 6 2 3" xfId="9165" xr:uid="{99EAF94E-D32C-471E-A19F-739CBBFE700E}"/>
    <cellStyle name="Procent 2 5 6 3" xfId="7204" xr:uid="{00000000-0005-0000-0000-0000A31D0000}"/>
    <cellStyle name="Procent 2 5 6 3 2" xfId="9872" xr:uid="{532A4CC0-825E-4C60-8B2D-B56554AEFB18}"/>
    <cellStyle name="Procent 2 5 6 4" xfId="8541" xr:uid="{5E29811D-8035-4266-8B7B-83F554DD8195}"/>
    <cellStyle name="Procent 2 6" xfId="4043" xr:uid="{00000000-0005-0000-0000-0000A41D0000}"/>
    <cellStyle name="Procent 2 6 2" xfId="4044" xr:uid="{00000000-0005-0000-0000-0000A51D0000}"/>
    <cellStyle name="Procent 2 6 2 2" xfId="4045" xr:uid="{00000000-0005-0000-0000-0000A61D0000}"/>
    <cellStyle name="Procent 2 6 2 2 2" xfId="4669" xr:uid="{00000000-0005-0000-0000-0000A71D0000}"/>
    <cellStyle name="Procent 2 6 2 2 2 2" xfId="7837" xr:uid="{00000000-0005-0000-0000-0000A81D0000}"/>
    <cellStyle name="Procent 2 6 2 2 2 2 2" xfId="10505" xr:uid="{4F278ECD-CB43-4DEF-A20D-8E998DF14935}"/>
    <cellStyle name="Procent 2 6 2 2 2 3" xfId="9174" xr:uid="{91E153D1-DFCB-45E2-AF84-8A5584F71FA7}"/>
    <cellStyle name="Procent 2 6 2 2 3" xfId="7213" xr:uid="{00000000-0005-0000-0000-0000A91D0000}"/>
    <cellStyle name="Procent 2 6 2 2 3 2" xfId="9881" xr:uid="{7CC0BF41-8DEC-4664-BFB7-505D6325D5F6}"/>
    <cellStyle name="Procent 2 6 2 2 4" xfId="8550" xr:uid="{A624920A-2972-48AE-A5A0-87BFE6E37925}"/>
    <cellStyle name="Procent 2 6 2 3" xfId="4046" xr:uid="{00000000-0005-0000-0000-0000AA1D0000}"/>
    <cellStyle name="Procent 2 6 2 3 2" xfId="4670" xr:uid="{00000000-0005-0000-0000-0000AB1D0000}"/>
    <cellStyle name="Procent 2 6 2 3 2 2" xfId="7838" xr:uid="{00000000-0005-0000-0000-0000AC1D0000}"/>
    <cellStyle name="Procent 2 6 2 3 2 2 2" xfId="10506" xr:uid="{45E830AA-26E6-482C-8F0E-59BC3FFF9771}"/>
    <cellStyle name="Procent 2 6 2 3 2 3" xfId="9175" xr:uid="{0DA2148A-F683-45AC-9A2F-347ED38A7BBE}"/>
    <cellStyle name="Procent 2 6 2 3 3" xfId="7214" xr:uid="{00000000-0005-0000-0000-0000AD1D0000}"/>
    <cellStyle name="Procent 2 6 2 3 3 2" xfId="9882" xr:uid="{55CA6940-CDCB-4FA3-A71F-75653FD74040}"/>
    <cellStyle name="Procent 2 6 2 3 4" xfId="8551" xr:uid="{69FFBAD7-71F7-4FAA-BD9A-124C4043F0A1}"/>
    <cellStyle name="Procent 2 6 2 4" xfId="4668" xr:uid="{00000000-0005-0000-0000-0000AE1D0000}"/>
    <cellStyle name="Procent 2 6 2 4 2" xfId="7836" xr:uid="{00000000-0005-0000-0000-0000AF1D0000}"/>
    <cellStyle name="Procent 2 6 2 4 2 2" xfId="10504" xr:uid="{860F31B1-3CE2-46CC-A55E-96F62BEC186F}"/>
    <cellStyle name="Procent 2 6 2 4 3" xfId="9173" xr:uid="{A1260CFB-40F7-45F6-9C3B-989B60EC791A}"/>
    <cellStyle name="Procent 2 6 2 5" xfId="7212" xr:uid="{00000000-0005-0000-0000-0000B01D0000}"/>
    <cellStyle name="Procent 2 6 2 5 2" xfId="9880" xr:uid="{B629BCAD-E255-4756-B93F-2EA97C72EED3}"/>
    <cellStyle name="Procent 2 6 2 6" xfId="8549" xr:uid="{FF3DF334-6ABF-4BF3-889B-7D94BFD4D7EE}"/>
    <cellStyle name="Procent 2 6 3" xfId="4047" xr:uid="{00000000-0005-0000-0000-0000B11D0000}"/>
    <cellStyle name="Procent 2 6 3 2" xfId="4671" xr:uid="{00000000-0005-0000-0000-0000B21D0000}"/>
    <cellStyle name="Procent 2 6 3 2 2" xfId="7839" xr:uid="{00000000-0005-0000-0000-0000B31D0000}"/>
    <cellStyle name="Procent 2 6 3 2 2 2" xfId="10507" xr:uid="{389B8B13-E4DF-4B7B-BAA7-1381E9A249D1}"/>
    <cellStyle name="Procent 2 6 3 2 3" xfId="9176" xr:uid="{C3931775-D25F-4C24-85ED-203F1CB57449}"/>
    <cellStyle name="Procent 2 6 3 3" xfId="7215" xr:uid="{00000000-0005-0000-0000-0000B41D0000}"/>
    <cellStyle name="Procent 2 6 3 3 2" xfId="9883" xr:uid="{4E8EE36C-33D6-4B75-95F2-FF89CAD2A7C7}"/>
    <cellStyle name="Procent 2 6 3 4" xfId="8552" xr:uid="{6B17790A-6C7F-4643-AB8E-4890681B0FD5}"/>
    <cellStyle name="Procent 2 6 4" xfId="4048" xr:uid="{00000000-0005-0000-0000-0000B51D0000}"/>
    <cellStyle name="Procent 2 6 4 2" xfId="4672" xr:uid="{00000000-0005-0000-0000-0000B61D0000}"/>
    <cellStyle name="Procent 2 6 4 2 2" xfId="7840" xr:uid="{00000000-0005-0000-0000-0000B71D0000}"/>
    <cellStyle name="Procent 2 6 4 2 2 2" xfId="10508" xr:uid="{A1590E7D-3F0C-4AC1-8A59-AF2C85C02C9B}"/>
    <cellStyle name="Procent 2 6 4 2 3" xfId="9177" xr:uid="{A68F63C7-D69A-442F-985C-BC89CF2F004F}"/>
    <cellStyle name="Procent 2 6 4 3" xfId="7216" xr:uid="{00000000-0005-0000-0000-0000B81D0000}"/>
    <cellStyle name="Procent 2 6 4 3 2" xfId="9884" xr:uid="{D6832EAF-65A9-4778-8059-4F7F5B435D3E}"/>
    <cellStyle name="Procent 2 6 4 4" xfId="8553" xr:uid="{14580434-66FB-4514-A823-65011BFEDCB0}"/>
    <cellStyle name="Procent 2 6 5" xfId="4049" xr:uid="{00000000-0005-0000-0000-0000B91D0000}"/>
    <cellStyle name="Procent 2 6 5 2" xfId="4673" xr:uid="{00000000-0005-0000-0000-0000BA1D0000}"/>
    <cellStyle name="Procent 2 6 5 2 2" xfId="7841" xr:uid="{00000000-0005-0000-0000-0000BB1D0000}"/>
    <cellStyle name="Procent 2 6 5 2 2 2" xfId="10509" xr:uid="{FB500599-856E-42CC-9F5C-4C9317D15C23}"/>
    <cellStyle name="Procent 2 6 5 2 3" xfId="9178" xr:uid="{EA7F6AC4-04B2-4067-8F7B-4756215D50B0}"/>
    <cellStyle name="Procent 2 6 5 3" xfId="7217" xr:uid="{00000000-0005-0000-0000-0000BC1D0000}"/>
    <cellStyle name="Procent 2 6 5 3 2" xfId="9885" xr:uid="{71A4DB98-CDA1-4206-999A-55A0B47241FA}"/>
    <cellStyle name="Procent 2 6 5 4" xfId="8554" xr:uid="{DE1EC676-C05F-43D3-B74C-7E8999CD27A6}"/>
    <cellStyle name="Procent 2 6 6" xfId="4667" xr:uid="{00000000-0005-0000-0000-0000BD1D0000}"/>
    <cellStyle name="Procent 2 6 6 2" xfId="7835" xr:uid="{00000000-0005-0000-0000-0000BE1D0000}"/>
    <cellStyle name="Procent 2 6 6 2 2" xfId="10503" xr:uid="{8AB74ECB-8130-4E0D-9243-754BFF892AC4}"/>
    <cellStyle name="Procent 2 6 6 3" xfId="9172" xr:uid="{F454F22B-D4A4-4F6A-885F-D440EA944643}"/>
    <cellStyle name="Procent 2 6 7" xfId="7211" xr:uid="{00000000-0005-0000-0000-0000BF1D0000}"/>
    <cellStyle name="Procent 2 6 7 2" xfId="9879" xr:uid="{79E3D1E6-0FBA-41A3-9602-9B413AB66D54}"/>
    <cellStyle name="Procent 2 6 8" xfId="8548" xr:uid="{57D117CA-0121-4A79-9191-81D6939CF7E7}"/>
    <cellStyle name="Procent 2 7" xfId="4050" xr:uid="{00000000-0005-0000-0000-0000C01D0000}"/>
    <cellStyle name="Procent 2 7 2" xfId="4051" xr:uid="{00000000-0005-0000-0000-0000C11D0000}"/>
    <cellStyle name="Procent 2 7 2 2" xfId="4052" xr:uid="{00000000-0005-0000-0000-0000C21D0000}"/>
    <cellStyle name="Procent 2 7 2 2 2" xfId="4676" xr:uid="{00000000-0005-0000-0000-0000C31D0000}"/>
    <cellStyle name="Procent 2 7 2 2 2 2" xfId="7844" xr:uid="{00000000-0005-0000-0000-0000C41D0000}"/>
    <cellStyle name="Procent 2 7 2 2 2 2 2" xfId="10512" xr:uid="{F075E23B-DA75-4DF8-BB56-35F13C2DEFE9}"/>
    <cellStyle name="Procent 2 7 2 2 2 3" xfId="9181" xr:uid="{67D08925-E59D-4603-9947-9DBBD2A041FE}"/>
    <cellStyle name="Procent 2 7 2 2 3" xfId="7220" xr:uid="{00000000-0005-0000-0000-0000C51D0000}"/>
    <cellStyle name="Procent 2 7 2 2 3 2" xfId="9888" xr:uid="{C75A3067-7F7B-47D1-8AA4-F9A8EADCE23C}"/>
    <cellStyle name="Procent 2 7 2 2 4" xfId="8557" xr:uid="{4AE70850-04E8-4680-8C7D-D198AB55E083}"/>
    <cellStyle name="Procent 2 7 2 3" xfId="4053" xr:uid="{00000000-0005-0000-0000-0000C61D0000}"/>
    <cellStyle name="Procent 2 7 2 3 2" xfId="4677" xr:uid="{00000000-0005-0000-0000-0000C71D0000}"/>
    <cellStyle name="Procent 2 7 2 3 2 2" xfId="7845" xr:uid="{00000000-0005-0000-0000-0000C81D0000}"/>
    <cellStyle name="Procent 2 7 2 3 2 2 2" xfId="10513" xr:uid="{75F46C01-FE3C-4359-9B28-47E947BCE72B}"/>
    <cellStyle name="Procent 2 7 2 3 2 3" xfId="9182" xr:uid="{028EA06E-D765-4CAF-8F55-BC95A8664F3B}"/>
    <cellStyle name="Procent 2 7 2 3 3" xfId="7221" xr:uid="{00000000-0005-0000-0000-0000C91D0000}"/>
    <cellStyle name="Procent 2 7 2 3 3 2" xfId="9889" xr:uid="{CE69E3F2-34A8-47A5-8CA7-C5CDE0CC780A}"/>
    <cellStyle name="Procent 2 7 2 3 4" xfId="8558" xr:uid="{03C54F9E-2F22-4E50-9F33-D64869718030}"/>
    <cellStyle name="Procent 2 7 2 4" xfId="4675" xr:uid="{00000000-0005-0000-0000-0000CA1D0000}"/>
    <cellStyle name="Procent 2 7 2 4 2" xfId="7843" xr:uid="{00000000-0005-0000-0000-0000CB1D0000}"/>
    <cellStyle name="Procent 2 7 2 4 2 2" xfId="10511" xr:uid="{F710B655-075D-4CFC-BB5D-32C1D9BA572D}"/>
    <cellStyle name="Procent 2 7 2 4 3" xfId="9180" xr:uid="{17BF913C-73AA-41E3-8485-2722DFC5DC96}"/>
    <cellStyle name="Procent 2 7 2 5" xfId="7219" xr:uid="{00000000-0005-0000-0000-0000CC1D0000}"/>
    <cellStyle name="Procent 2 7 2 5 2" xfId="9887" xr:uid="{A49ABCF4-E0FA-49C4-9A18-F44D5D1D32DF}"/>
    <cellStyle name="Procent 2 7 2 6" xfId="8556" xr:uid="{E98C2CD5-85CB-49F4-A93E-711CBD08017A}"/>
    <cellStyle name="Procent 2 7 3" xfId="4054" xr:uid="{00000000-0005-0000-0000-0000CD1D0000}"/>
    <cellStyle name="Procent 2 7 3 2" xfId="4678" xr:uid="{00000000-0005-0000-0000-0000CE1D0000}"/>
    <cellStyle name="Procent 2 7 3 2 2" xfId="7846" xr:uid="{00000000-0005-0000-0000-0000CF1D0000}"/>
    <cellStyle name="Procent 2 7 3 2 2 2" xfId="10514" xr:uid="{212C9B4F-2FF5-4648-AED8-52FC4D6817D5}"/>
    <cellStyle name="Procent 2 7 3 2 3" xfId="9183" xr:uid="{DCF9C974-0166-48F4-8165-155EFE765A89}"/>
    <cellStyle name="Procent 2 7 3 3" xfId="7222" xr:uid="{00000000-0005-0000-0000-0000D01D0000}"/>
    <cellStyle name="Procent 2 7 3 3 2" xfId="9890" xr:uid="{E90B315A-BF04-4314-96F3-A29BA82D1B49}"/>
    <cellStyle name="Procent 2 7 3 4" xfId="8559" xr:uid="{6F2F2D09-D491-4800-A44C-41337361B545}"/>
    <cellStyle name="Procent 2 7 4" xfId="4055" xr:uid="{00000000-0005-0000-0000-0000D11D0000}"/>
    <cellStyle name="Procent 2 7 4 2" xfId="4679" xr:uid="{00000000-0005-0000-0000-0000D21D0000}"/>
    <cellStyle name="Procent 2 7 4 2 2" xfId="7847" xr:uid="{00000000-0005-0000-0000-0000D31D0000}"/>
    <cellStyle name="Procent 2 7 4 2 2 2" xfId="10515" xr:uid="{0BF1DDA1-10FC-4273-B278-72071710C615}"/>
    <cellStyle name="Procent 2 7 4 2 3" xfId="9184" xr:uid="{7857E7B0-BA35-4ED7-AAE0-1B43B6C75E8F}"/>
    <cellStyle name="Procent 2 7 4 3" xfId="7223" xr:uid="{00000000-0005-0000-0000-0000D41D0000}"/>
    <cellStyle name="Procent 2 7 4 3 2" xfId="9891" xr:uid="{5F1D48D6-A243-4D18-A540-F55FB8C50997}"/>
    <cellStyle name="Procent 2 7 4 4" xfId="8560" xr:uid="{BF1D9026-01E6-42D8-BE3E-DEF70BA1191B}"/>
    <cellStyle name="Procent 2 7 5" xfId="4056" xr:uid="{00000000-0005-0000-0000-0000D51D0000}"/>
    <cellStyle name="Procent 2 7 5 2" xfId="4680" xr:uid="{00000000-0005-0000-0000-0000D61D0000}"/>
    <cellStyle name="Procent 2 7 5 2 2" xfId="7848" xr:uid="{00000000-0005-0000-0000-0000D71D0000}"/>
    <cellStyle name="Procent 2 7 5 2 2 2" xfId="10516" xr:uid="{BB8570CF-BE4A-4722-B7AF-528107854C74}"/>
    <cellStyle name="Procent 2 7 5 2 3" xfId="9185" xr:uid="{66CE0258-9899-49B8-8E8C-08B0331D435A}"/>
    <cellStyle name="Procent 2 7 5 3" xfId="7224" xr:uid="{00000000-0005-0000-0000-0000D81D0000}"/>
    <cellStyle name="Procent 2 7 5 3 2" xfId="9892" xr:uid="{40ECFAD5-FD12-407C-AE23-F475894E1B7B}"/>
    <cellStyle name="Procent 2 7 5 4" xfId="8561" xr:uid="{E93CD833-65A7-45CE-90BA-C62C24733AFF}"/>
    <cellStyle name="Procent 2 7 6" xfId="4674" xr:uid="{00000000-0005-0000-0000-0000D91D0000}"/>
    <cellStyle name="Procent 2 7 6 2" xfId="7842" xr:uid="{00000000-0005-0000-0000-0000DA1D0000}"/>
    <cellStyle name="Procent 2 7 6 2 2" xfId="10510" xr:uid="{31E225EE-DC82-450A-9C42-62872FE03200}"/>
    <cellStyle name="Procent 2 7 6 3" xfId="9179" xr:uid="{1EF9C40A-8C7B-4BC2-96B4-125718945F7D}"/>
    <cellStyle name="Procent 2 7 7" xfId="7218" xr:uid="{00000000-0005-0000-0000-0000DB1D0000}"/>
    <cellStyle name="Procent 2 7 7 2" xfId="9886" xr:uid="{8AAA9524-C960-4A21-A54E-1FDA735A2CF2}"/>
    <cellStyle name="Procent 2 7 8" xfId="8555" xr:uid="{F6256020-D598-4480-B606-3FF9755CD0A9}"/>
    <cellStyle name="Procent 2 8" xfId="4057" xr:uid="{00000000-0005-0000-0000-0000DC1D0000}"/>
    <cellStyle name="Procent 2 8 2" xfId="4058" xr:uid="{00000000-0005-0000-0000-0000DD1D0000}"/>
    <cellStyle name="Procent 2 8 2 2" xfId="4059" xr:uid="{00000000-0005-0000-0000-0000DE1D0000}"/>
    <cellStyle name="Procent 2 8 2 2 2" xfId="4683" xr:uid="{00000000-0005-0000-0000-0000DF1D0000}"/>
    <cellStyle name="Procent 2 8 2 2 2 2" xfId="7851" xr:uid="{00000000-0005-0000-0000-0000E01D0000}"/>
    <cellStyle name="Procent 2 8 2 2 2 2 2" xfId="10519" xr:uid="{CDA234CA-16A8-469F-9B7F-90153B480642}"/>
    <cellStyle name="Procent 2 8 2 2 2 3" xfId="9188" xr:uid="{3522CCD6-C298-4FDB-A516-FED900A695B4}"/>
    <cellStyle name="Procent 2 8 2 2 3" xfId="7227" xr:uid="{00000000-0005-0000-0000-0000E11D0000}"/>
    <cellStyle name="Procent 2 8 2 2 3 2" xfId="9895" xr:uid="{532E7D69-3F9C-4278-9FD0-2E644AC0DD56}"/>
    <cellStyle name="Procent 2 8 2 2 4" xfId="8564" xr:uid="{6FEFEA86-DC52-4FB9-AFA5-84DC560475CC}"/>
    <cellStyle name="Procent 2 8 2 3" xfId="4060" xr:uid="{00000000-0005-0000-0000-0000E21D0000}"/>
    <cellStyle name="Procent 2 8 2 3 2" xfId="4684" xr:uid="{00000000-0005-0000-0000-0000E31D0000}"/>
    <cellStyle name="Procent 2 8 2 3 2 2" xfId="7852" xr:uid="{00000000-0005-0000-0000-0000E41D0000}"/>
    <cellStyle name="Procent 2 8 2 3 2 2 2" xfId="10520" xr:uid="{CADD1E65-91F8-4DE8-8D38-6922BDCD433E}"/>
    <cellStyle name="Procent 2 8 2 3 2 3" xfId="9189" xr:uid="{F89E2A93-3408-4AB8-8BFE-DD400515CA5C}"/>
    <cellStyle name="Procent 2 8 2 3 3" xfId="7228" xr:uid="{00000000-0005-0000-0000-0000E51D0000}"/>
    <cellStyle name="Procent 2 8 2 3 3 2" xfId="9896" xr:uid="{7794EDCB-5F61-42F2-AFB3-6A946990247C}"/>
    <cellStyle name="Procent 2 8 2 3 4" xfId="8565" xr:uid="{F00AD329-16B7-4B81-8847-126251C47CFC}"/>
    <cellStyle name="Procent 2 8 2 4" xfId="4682" xr:uid="{00000000-0005-0000-0000-0000E61D0000}"/>
    <cellStyle name="Procent 2 8 2 4 2" xfId="7850" xr:uid="{00000000-0005-0000-0000-0000E71D0000}"/>
    <cellStyle name="Procent 2 8 2 4 2 2" xfId="10518" xr:uid="{586C652D-CF63-4FD5-9EAC-7885538129D3}"/>
    <cellStyle name="Procent 2 8 2 4 3" xfId="9187" xr:uid="{EA13222F-DE8B-4FB8-B756-8219BDF0A9D7}"/>
    <cellStyle name="Procent 2 8 2 5" xfId="7226" xr:uid="{00000000-0005-0000-0000-0000E81D0000}"/>
    <cellStyle name="Procent 2 8 2 5 2" xfId="9894" xr:uid="{582E96DB-221B-4273-8AF1-E104A40A7F7E}"/>
    <cellStyle name="Procent 2 8 2 6" xfId="8563" xr:uid="{F7DA6FFE-0AFF-4155-837C-4CC7193092B5}"/>
    <cellStyle name="Procent 2 8 3" xfId="4061" xr:uid="{00000000-0005-0000-0000-0000E91D0000}"/>
    <cellStyle name="Procent 2 8 3 2" xfId="4685" xr:uid="{00000000-0005-0000-0000-0000EA1D0000}"/>
    <cellStyle name="Procent 2 8 3 2 2" xfId="7853" xr:uid="{00000000-0005-0000-0000-0000EB1D0000}"/>
    <cellStyle name="Procent 2 8 3 2 2 2" xfId="10521" xr:uid="{34FD75E1-5D67-4652-8A17-A1751C5FEAE5}"/>
    <cellStyle name="Procent 2 8 3 2 3" xfId="9190" xr:uid="{0A4725B9-B7B1-4919-8A06-2F46D2AD2165}"/>
    <cellStyle name="Procent 2 8 3 3" xfId="7229" xr:uid="{00000000-0005-0000-0000-0000EC1D0000}"/>
    <cellStyle name="Procent 2 8 3 3 2" xfId="9897" xr:uid="{65911D09-3903-495B-8473-7534A4CDB7FD}"/>
    <cellStyle name="Procent 2 8 3 4" xfId="8566" xr:uid="{FE29BA72-CF69-422B-BA6C-233148BE7BAD}"/>
    <cellStyle name="Procent 2 8 4" xfId="4062" xr:uid="{00000000-0005-0000-0000-0000ED1D0000}"/>
    <cellStyle name="Procent 2 8 4 2" xfId="4686" xr:uid="{00000000-0005-0000-0000-0000EE1D0000}"/>
    <cellStyle name="Procent 2 8 4 2 2" xfId="7854" xr:uid="{00000000-0005-0000-0000-0000EF1D0000}"/>
    <cellStyle name="Procent 2 8 4 2 2 2" xfId="10522" xr:uid="{9EFACC7F-A34E-4E65-99BC-ABA009549466}"/>
    <cellStyle name="Procent 2 8 4 2 3" xfId="9191" xr:uid="{C86DB19C-8186-4113-9556-30528A4982FE}"/>
    <cellStyle name="Procent 2 8 4 3" xfId="7230" xr:uid="{00000000-0005-0000-0000-0000F01D0000}"/>
    <cellStyle name="Procent 2 8 4 3 2" xfId="9898" xr:uid="{0259D1D0-7DC6-4A09-9737-51E5C3A04819}"/>
    <cellStyle name="Procent 2 8 4 4" xfId="8567" xr:uid="{994500A9-B560-45A5-8043-21C4996AFC70}"/>
    <cellStyle name="Procent 2 8 5" xfId="4063" xr:uid="{00000000-0005-0000-0000-0000F11D0000}"/>
    <cellStyle name="Procent 2 8 5 2" xfId="4687" xr:uid="{00000000-0005-0000-0000-0000F21D0000}"/>
    <cellStyle name="Procent 2 8 5 2 2" xfId="7855" xr:uid="{00000000-0005-0000-0000-0000F31D0000}"/>
    <cellStyle name="Procent 2 8 5 2 2 2" xfId="10523" xr:uid="{9A729FA0-9FCD-41AD-AB8E-199662CFE1A8}"/>
    <cellStyle name="Procent 2 8 5 2 3" xfId="9192" xr:uid="{C27C0E06-129E-4AED-8CE2-0E7C8C850E57}"/>
    <cellStyle name="Procent 2 8 5 3" xfId="7231" xr:uid="{00000000-0005-0000-0000-0000F41D0000}"/>
    <cellStyle name="Procent 2 8 5 3 2" xfId="9899" xr:uid="{096F31C0-3937-4617-AA4F-24FA71313BAF}"/>
    <cellStyle name="Procent 2 8 5 4" xfId="8568" xr:uid="{3ECD4E0A-2776-40C0-B176-9EAF08C7FB0D}"/>
    <cellStyle name="Procent 2 8 6" xfId="4681" xr:uid="{00000000-0005-0000-0000-0000F51D0000}"/>
    <cellStyle name="Procent 2 8 6 2" xfId="7849" xr:uid="{00000000-0005-0000-0000-0000F61D0000}"/>
    <cellStyle name="Procent 2 8 6 2 2" xfId="10517" xr:uid="{5ACBACCD-1132-486E-BEC3-9D4A617B18D5}"/>
    <cellStyle name="Procent 2 8 6 3" xfId="9186" xr:uid="{40EF9146-5AD1-4A44-83CC-A9EB1E9115C8}"/>
    <cellStyle name="Procent 2 8 7" xfId="7225" xr:uid="{00000000-0005-0000-0000-0000F71D0000}"/>
    <cellStyle name="Procent 2 8 7 2" xfId="9893" xr:uid="{9E9203FD-BC16-49B9-9D79-9F53AE1B806C}"/>
    <cellStyle name="Procent 2 8 8" xfId="8562" xr:uid="{FE0D3FCB-8C5C-48BE-AD77-A8D708479CDB}"/>
    <cellStyle name="Procent 2 9" xfId="4064" xr:uid="{00000000-0005-0000-0000-0000F81D0000}"/>
    <cellStyle name="Procent 2 9 2" xfId="4065" xr:uid="{00000000-0005-0000-0000-0000F91D0000}"/>
    <cellStyle name="Procent 2 9 2 2" xfId="4689" xr:uid="{00000000-0005-0000-0000-0000FA1D0000}"/>
    <cellStyle name="Procent 2 9 2 2 2" xfId="7857" xr:uid="{00000000-0005-0000-0000-0000FB1D0000}"/>
    <cellStyle name="Procent 2 9 2 2 2 2" xfId="10525" xr:uid="{022D8913-5CBE-4960-9937-7682FE5E0D29}"/>
    <cellStyle name="Procent 2 9 2 2 3" xfId="9194" xr:uid="{C8A9E45C-35A6-4AEC-BBC6-5AA933EB4393}"/>
    <cellStyle name="Procent 2 9 2 3" xfId="7233" xr:uid="{00000000-0005-0000-0000-0000FC1D0000}"/>
    <cellStyle name="Procent 2 9 2 3 2" xfId="9901" xr:uid="{B8D398D0-69AA-4C19-8641-8603357CC054}"/>
    <cellStyle name="Procent 2 9 2 4" xfId="8570" xr:uid="{397A290D-0B32-4DEC-B3E2-2CFB3BF54D3C}"/>
    <cellStyle name="Procent 2 9 3" xfId="4066" xr:uid="{00000000-0005-0000-0000-0000FD1D0000}"/>
    <cellStyle name="Procent 2 9 3 2" xfId="4690" xr:uid="{00000000-0005-0000-0000-0000FE1D0000}"/>
    <cellStyle name="Procent 2 9 3 2 2" xfId="7858" xr:uid="{00000000-0005-0000-0000-0000FF1D0000}"/>
    <cellStyle name="Procent 2 9 3 2 2 2" xfId="10526" xr:uid="{ACDDD329-D20B-4758-8999-EAD2DAEC315D}"/>
    <cellStyle name="Procent 2 9 3 2 3" xfId="9195" xr:uid="{D439AC7E-544A-4FEF-ADD1-BAFF59A24598}"/>
    <cellStyle name="Procent 2 9 3 3" xfId="7234" xr:uid="{00000000-0005-0000-0000-0000001E0000}"/>
    <cellStyle name="Procent 2 9 3 3 2" xfId="9902" xr:uid="{23EED2E5-7A30-41C2-B7B4-15CFF301DFE7}"/>
    <cellStyle name="Procent 2 9 3 4" xfId="8571" xr:uid="{BFF4C8D8-8838-4449-8020-78723DF899BF}"/>
    <cellStyle name="Procent 2 9 4" xfId="4688" xr:uid="{00000000-0005-0000-0000-0000011E0000}"/>
    <cellStyle name="Procent 2 9 4 2" xfId="7856" xr:uid="{00000000-0005-0000-0000-0000021E0000}"/>
    <cellStyle name="Procent 2 9 4 2 2" xfId="10524" xr:uid="{36F0A261-B042-4D36-B669-285806162D92}"/>
    <cellStyle name="Procent 2 9 4 3" xfId="9193" xr:uid="{54EE026C-C06A-497F-B08B-A84EA2B07A7E}"/>
    <cellStyle name="Procent 2 9 5" xfId="7232" xr:uid="{00000000-0005-0000-0000-0000031E0000}"/>
    <cellStyle name="Procent 2 9 5 2" xfId="9900" xr:uid="{BF735357-5959-4242-8C1C-6D4B7179EC83}"/>
    <cellStyle name="Procent 2 9 6" xfId="8569" xr:uid="{5440F63B-CC06-40FC-9274-F35C8679692B}"/>
    <cellStyle name="Procent 3" xfId="1988" xr:uid="{00000000-0005-0000-0000-0000041E0000}"/>
    <cellStyle name="Procent 3 2" xfId="1989" xr:uid="{00000000-0005-0000-0000-0000051E0000}"/>
    <cellStyle name="Procent 3 2 2" xfId="3479" xr:uid="{00000000-0005-0000-0000-0000061E0000}"/>
    <cellStyle name="Procent 3 2 2 2" xfId="4130" xr:uid="{00000000-0005-0000-0000-0000071E0000}"/>
    <cellStyle name="Procent 3 2 2 2 2" xfId="7298" xr:uid="{00000000-0005-0000-0000-0000081E0000}"/>
    <cellStyle name="Procent 3 2 2 2 2 2" xfId="9966" xr:uid="{5AD67300-A3D0-4962-B7FB-285E8F7F57FF}"/>
    <cellStyle name="Procent 3 2 2 2 3" xfId="8635" xr:uid="{F9D59098-D72A-45DA-B12E-A889F20FEC58}"/>
    <cellStyle name="Procent 3 2 2 3" xfId="6687" xr:uid="{00000000-0005-0000-0000-0000091E0000}"/>
    <cellStyle name="Procent 3 2 2 3 2" xfId="9355" xr:uid="{BA0B3E96-E3BF-42FB-A015-DE33BC254B27}"/>
    <cellStyle name="Procent 3 2 2 4" xfId="8019" xr:uid="{A2BA9918-30DC-4297-B1C5-0EBECB66A9B8}"/>
    <cellStyle name="Procent 3 2 3" xfId="3495" xr:uid="{00000000-0005-0000-0000-00000A1E0000}"/>
    <cellStyle name="Procent 3 2 3 2" xfId="4146" xr:uid="{00000000-0005-0000-0000-00000B1E0000}"/>
    <cellStyle name="Procent 3 2 3 2 2" xfId="7314" xr:uid="{00000000-0005-0000-0000-00000C1E0000}"/>
    <cellStyle name="Procent 3 2 3 2 2 2" xfId="9982" xr:uid="{0DCA5411-FF7E-4F0D-845C-1BA69079AD8A}"/>
    <cellStyle name="Procent 3 2 3 2 3" xfId="8651" xr:uid="{86ACC211-3C35-4F42-B3A7-6A954C713ACC}"/>
    <cellStyle name="Procent 3 2 3 3" xfId="6703" xr:uid="{00000000-0005-0000-0000-00000D1E0000}"/>
    <cellStyle name="Procent 3 2 3 3 2" xfId="9371" xr:uid="{E086EFB9-1714-4649-AD09-5EE192C99BE9}"/>
    <cellStyle name="Procent 3 2 3 4" xfId="8035" xr:uid="{BC2E3A61-6AB4-4473-9636-788A7E3618C8}"/>
    <cellStyle name="Procent 3 2 4" xfId="4114" xr:uid="{00000000-0005-0000-0000-00000E1E0000}"/>
    <cellStyle name="Procent 3 2 4 2" xfId="7282" xr:uid="{00000000-0005-0000-0000-00000F1E0000}"/>
    <cellStyle name="Procent 3 2 4 2 2" xfId="9950" xr:uid="{1E2D095C-FEC0-4377-A384-8514460DCD33}"/>
    <cellStyle name="Procent 3 2 4 3" xfId="8619" xr:uid="{A739F59F-4C39-463B-ACCA-CA363E66188B}"/>
    <cellStyle name="Procent 3 2 5" xfId="3463" xr:uid="{00000000-0005-0000-0000-0000101E0000}"/>
    <cellStyle name="Procent 3 2 5 2" xfId="6671" xr:uid="{00000000-0005-0000-0000-0000111E0000}"/>
    <cellStyle name="Procent 3 2 5 2 2" xfId="9339" xr:uid="{3BAAC22A-254B-41A1-A560-8F6DCF6C0655}"/>
    <cellStyle name="Procent 3 2 5 3" xfId="8003" xr:uid="{F37666B1-5CE2-4CDD-B6EE-495A16B44B62}"/>
    <cellStyle name="Procent 3 3" xfId="3471" xr:uid="{00000000-0005-0000-0000-0000121E0000}"/>
    <cellStyle name="Procent 3 3 2" xfId="4122" xr:uid="{00000000-0005-0000-0000-0000131E0000}"/>
    <cellStyle name="Procent 3 3 2 2" xfId="7290" xr:uid="{00000000-0005-0000-0000-0000141E0000}"/>
    <cellStyle name="Procent 3 3 2 2 2" xfId="9958" xr:uid="{D4B3814E-3A08-439C-88BF-86D3B13A9C57}"/>
    <cellStyle name="Procent 3 3 2 3" xfId="8627" xr:uid="{338CD889-FB66-4665-9A7F-58D8639C9CDB}"/>
    <cellStyle name="Procent 3 3 3" xfId="6679" xr:uid="{00000000-0005-0000-0000-0000151E0000}"/>
    <cellStyle name="Procent 3 3 3 2" xfId="9347" xr:uid="{FF8BCACD-7BB2-4B00-ACDE-6F4703A9D78F}"/>
    <cellStyle name="Procent 3 3 4" xfId="8011" xr:uid="{62557662-2A73-4558-82DA-3BB9D98DCFFF}"/>
    <cellStyle name="Procent 3 4" xfId="3487" xr:uid="{00000000-0005-0000-0000-0000161E0000}"/>
    <cellStyle name="Procent 3 4 2" xfId="4138" xr:uid="{00000000-0005-0000-0000-0000171E0000}"/>
    <cellStyle name="Procent 3 4 2 2" xfId="7306" xr:uid="{00000000-0005-0000-0000-0000181E0000}"/>
    <cellStyle name="Procent 3 4 2 2 2" xfId="9974" xr:uid="{6F757ADF-3A79-4311-897E-457819C81BA2}"/>
    <cellStyle name="Procent 3 4 2 3" xfId="8643" xr:uid="{5C44EF29-AC63-4EEA-8560-BE9E5271A101}"/>
    <cellStyle name="Procent 3 4 3" xfId="6695" xr:uid="{00000000-0005-0000-0000-0000191E0000}"/>
    <cellStyle name="Procent 3 4 3 2" xfId="9363" xr:uid="{39CFA5BB-5B54-402B-8C09-38AC6DC18BBA}"/>
    <cellStyle name="Procent 3 4 4" xfId="8027" xr:uid="{E27426D9-1EBE-47A1-8190-0214929256D3}"/>
    <cellStyle name="Procent 3 5" xfId="3508" xr:uid="{00000000-0005-0000-0000-00001A1E0000}"/>
    <cellStyle name="Procent 3 6" xfId="4106" xr:uid="{00000000-0005-0000-0000-00001B1E0000}"/>
    <cellStyle name="Procent 3 6 2" xfId="7274" xr:uid="{00000000-0005-0000-0000-00001C1E0000}"/>
    <cellStyle name="Procent 3 6 2 2" xfId="9942" xr:uid="{BF86D560-16AB-41DF-82A2-55A56718B91E}"/>
    <cellStyle name="Procent 3 6 3" xfId="8611" xr:uid="{5B640CEA-98AE-4FCD-A7DC-EA758DD75F23}"/>
    <cellStyle name="Procent 3 7" xfId="3387" xr:uid="{00000000-0005-0000-0000-00001D1E0000}"/>
    <cellStyle name="Procent 3 7 2" xfId="6655" xr:uid="{00000000-0005-0000-0000-00001E1E0000}"/>
    <cellStyle name="Procent 3 7 2 2" xfId="9331" xr:uid="{C846B155-1F6A-45AC-8CE8-907DA63DE188}"/>
    <cellStyle name="Procent 3 7 3" xfId="7991" xr:uid="{58BD578C-61BC-4AC5-89BA-018EF72EF288}"/>
    <cellStyle name="Procent 4" xfId="1990" xr:uid="{00000000-0005-0000-0000-00001F1E0000}"/>
    <cellStyle name="Procent 4 10" xfId="7918" xr:uid="{6D674DD6-3053-4043-9F05-A25692D9F24C}"/>
    <cellStyle name="Procent 4 2" xfId="3260" xr:uid="{00000000-0005-0000-0000-0000201E0000}"/>
    <cellStyle name="Procent 4 2 2" xfId="3309" xr:uid="{00000000-0005-0000-0000-0000211E0000}"/>
    <cellStyle name="Procent 4 2 2 2" xfId="4693" xr:uid="{00000000-0005-0000-0000-0000221E0000}"/>
    <cellStyle name="Procent 4 2 2 2 2" xfId="7861" xr:uid="{00000000-0005-0000-0000-0000231E0000}"/>
    <cellStyle name="Procent 4 2 2 2 2 2" xfId="10529" xr:uid="{013FF6E2-D9E3-4066-B9A1-D252564020BE}"/>
    <cellStyle name="Procent 4 2 2 2 3" xfId="9198" xr:uid="{FAB86C0D-17A8-4F8A-A6ED-538B61889AAF}"/>
    <cellStyle name="Procent 4 2 2 3" xfId="4069" xr:uid="{00000000-0005-0000-0000-0000241E0000}"/>
    <cellStyle name="Procent 4 2 2 3 2" xfId="7237" xr:uid="{00000000-0005-0000-0000-0000251E0000}"/>
    <cellStyle name="Procent 4 2 2 3 2 2" xfId="9905" xr:uid="{B9D291EF-A73A-4C03-A153-2AEDCF9194A3}"/>
    <cellStyle name="Procent 4 2 2 3 3" xfId="8574" xr:uid="{F9107597-B207-48F5-A694-E51FCA2967A1}"/>
    <cellStyle name="Procent 4 2 2 4" xfId="6618" xr:uid="{00000000-0005-0000-0000-0000261E0000}"/>
    <cellStyle name="Procent 4 2 2 4 2" xfId="9295" xr:uid="{FAE82FE4-9634-4202-B6FD-A04D9400CF79}"/>
    <cellStyle name="Procent 4 2 2 5" xfId="7955" xr:uid="{FD35AABA-57D7-45C1-A2AC-C2F0A842A2F6}"/>
    <cellStyle name="Procent 4 2 3" xfId="4070" xr:uid="{00000000-0005-0000-0000-0000271E0000}"/>
    <cellStyle name="Procent 4 2 3 2" xfId="4694" xr:uid="{00000000-0005-0000-0000-0000281E0000}"/>
    <cellStyle name="Procent 4 2 3 2 2" xfId="7862" xr:uid="{00000000-0005-0000-0000-0000291E0000}"/>
    <cellStyle name="Procent 4 2 3 2 2 2" xfId="10530" xr:uid="{495B1296-7919-4159-A51A-01701D0C7CD4}"/>
    <cellStyle name="Procent 4 2 3 2 3" xfId="9199" xr:uid="{95FB8D25-D860-4ECB-A4E0-6C8038AA31EB}"/>
    <cellStyle name="Procent 4 2 3 3" xfId="7238" xr:uid="{00000000-0005-0000-0000-00002A1E0000}"/>
    <cellStyle name="Procent 4 2 3 3 2" xfId="9906" xr:uid="{D0EDBA46-7E9B-4C0F-96C6-D80814D9A20C}"/>
    <cellStyle name="Procent 4 2 3 4" xfId="8575" xr:uid="{7391D25B-90E1-4CA8-BFCF-0CD533C8C3D1}"/>
    <cellStyle name="Procent 4 2 4" xfId="4692" xr:uid="{00000000-0005-0000-0000-00002B1E0000}"/>
    <cellStyle name="Procent 4 2 4 2" xfId="7860" xr:uid="{00000000-0005-0000-0000-00002C1E0000}"/>
    <cellStyle name="Procent 4 2 4 2 2" xfId="10528" xr:uid="{F8632F94-4C98-4F34-A5A4-B4E70E74BA28}"/>
    <cellStyle name="Procent 4 2 4 3" xfId="9197" xr:uid="{683BD298-0289-4AC9-B7D4-51E3773E7F46}"/>
    <cellStyle name="Procent 4 2 5" xfId="4068" xr:uid="{00000000-0005-0000-0000-00002D1E0000}"/>
    <cellStyle name="Procent 4 2 5 2" xfId="7236" xr:uid="{00000000-0005-0000-0000-00002E1E0000}"/>
    <cellStyle name="Procent 4 2 5 2 2" xfId="9904" xr:uid="{C1BC0569-42A7-4C72-8DDE-E0C3A2975875}"/>
    <cellStyle name="Procent 4 2 5 3" xfId="8573" xr:uid="{6D379306-9A6F-42D7-AB40-D5F93E70666A}"/>
    <cellStyle name="Procent 4 2 6" xfId="5675" xr:uid="{00000000-0005-0000-0000-00002F1E0000}"/>
    <cellStyle name="Procent 4 2 6 2" xfId="9255" xr:uid="{45D38DFC-B9C9-4256-B511-AE2F8A43B0CE}"/>
    <cellStyle name="Procent 4 2 7" xfId="6597" xr:uid="{00000000-0005-0000-0000-0000301E0000}"/>
    <cellStyle name="Procent 4 2 7 2" xfId="9275" xr:uid="{20073080-D22E-4777-9D6A-F004A82B7C80}"/>
    <cellStyle name="Procent 4 2 8" xfId="7935" xr:uid="{0C727732-B5AD-45E7-90C1-82E37C36B52A}"/>
    <cellStyle name="Procent 4 3" xfId="3290" xr:uid="{00000000-0005-0000-0000-0000311E0000}"/>
    <cellStyle name="Procent 4 3 2" xfId="4695" xr:uid="{00000000-0005-0000-0000-0000321E0000}"/>
    <cellStyle name="Procent 4 3 2 2" xfId="7863" xr:uid="{00000000-0005-0000-0000-0000331E0000}"/>
    <cellStyle name="Procent 4 3 2 2 2" xfId="10531" xr:uid="{EAEF60FC-09BE-4868-83C5-EC6B29624919}"/>
    <cellStyle name="Procent 4 3 2 3" xfId="9200" xr:uid="{52E38991-BA7A-4111-8EA1-BC27A483C813}"/>
    <cellStyle name="Procent 4 3 3" xfId="4071" xr:uid="{00000000-0005-0000-0000-0000341E0000}"/>
    <cellStyle name="Procent 4 3 3 2" xfId="7239" xr:uid="{00000000-0005-0000-0000-0000351E0000}"/>
    <cellStyle name="Procent 4 3 3 2 2" xfId="9907" xr:uid="{44FB791C-E01B-4FE0-AD95-0E81003DDD31}"/>
    <cellStyle name="Procent 4 3 3 3" xfId="8576" xr:uid="{987822D9-4398-45CF-8F81-BFB939D6AB87}"/>
    <cellStyle name="Procent 4 3 4" xfId="6608" xr:uid="{00000000-0005-0000-0000-0000361E0000}"/>
    <cellStyle name="Procent 4 3 4 2" xfId="9285" xr:uid="{B48163BE-8168-4E2D-AD53-F98AB24B7E69}"/>
    <cellStyle name="Procent 4 3 5" xfId="7945" xr:uid="{DEEBD2B1-6073-44DD-9751-F94ACEAD32FB}"/>
    <cellStyle name="Procent 4 4" xfId="4072" xr:uid="{00000000-0005-0000-0000-0000371E0000}"/>
    <cellStyle name="Procent 4 4 2" xfId="4696" xr:uid="{00000000-0005-0000-0000-0000381E0000}"/>
    <cellStyle name="Procent 4 4 2 2" xfId="7864" xr:uid="{00000000-0005-0000-0000-0000391E0000}"/>
    <cellStyle name="Procent 4 4 2 2 2" xfId="10532" xr:uid="{78DE2B17-DE91-424E-AEF5-3E0211E67DF4}"/>
    <cellStyle name="Procent 4 4 2 3" xfId="9201" xr:uid="{F750AC1C-AFF9-41D0-836B-516AD4A60382}"/>
    <cellStyle name="Procent 4 4 3" xfId="7240" xr:uid="{00000000-0005-0000-0000-00003A1E0000}"/>
    <cellStyle name="Procent 4 4 3 2" xfId="9908" xr:uid="{5A14AC65-D0CC-444D-8B6B-3AC5E98A4626}"/>
    <cellStyle name="Procent 4 4 4" xfId="8577" xr:uid="{587CFB34-E9C3-4E2A-9F8A-133E5E8686B5}"/>
    <cellStyle name="Procent 4 5" xfId="4073" xr:uid="{00000000-0005-0000-0000-00003B1E0000}"/>
    <cellStyle name="Procent 4 5 2" xfId="4697" xr:uid="{00000000-0005-0000-0000-00003C1E0000}"/>
    <cellStyle name="Procent 4 5 2 2" xfId="7865" xr:uid="{00000000-0005-0000-0000-00003D1E0000}"/>
    <cellStyle name="Procent 4 5 2 2 2" xfId="10533" xr:uid="{7E75CAFC-1421-43AF-B471-0A189F7EFAE7}"/>
    <cellStyle name="Procent 4 5 2 3" xfId="9202" xr:uid="{03905610-DE93-4B8C-A730-BA90E53C4D00}"/>
    <cellStyle name="Procent 4 5 3" xfId="7241" xr:uid="{00000000-0005-0000-0000-00003E1E0000}"/>
    <cellStyle name="Procent 4 5 3 2" xfId="9909" xr:uid="{4B85B5B0-C5D5-497F-856D-0490F5E79B79}"/>
    <cellStyle name="Procent 4 5 4" xfId="8578" xr:uid="{B23BF3FE-10EA-46D8-9FC4-45CF08E54D83}"/>
    <cellStyle name="Procent 4 6" xfId="4691" xr:uid="{00000000-0005-0000-0000-00003F1E0000}"/>
    <cellStyle name="Procent 4 6 2" xfId="7859" xr:uid="{00000000-0005-0000-0000-0000401E0000}"/>
    <cellStyle name="Procent 4 6 2 2" xfId="10527" xr:uid="{D3498400-2C79-4843-B0FC-371A78B093B4}"/>
    <cellStyle name="Procent 4 6 3" xfId="9196" xr:uid="{24E9D79B-CFFA-4636-9458-C8FD81B8A9ED}"/>
    <cellStyle name="Procent 4 7" xfId="4067" xr:uid="{00000000-0005-0000-0000-0000411E0000}"/>
    <cellStyle name="Procent 4 7 2" xfId="7235" xr:uid="{00000000-0005-0000-0000-0000421E0000}"/>
    <cellStyle name="Procent 4 7 2 2" xfId="9903" xr:uid="{88413B17-71F5-48C3-9B6D-DD3396754C40}"/>
    <cellStyle name="Procent 4 7 3" xfId="8572" xr:uid="{3F51BC48-1112-4F07-B70C-5EA81DBF7450}"/>
    <cellStyle name="Procent 4 8" xfId="5306" xr:uid="{00000000-0005-0000-0000-0000431E0000}"/>
    <cellStyle name="Procent 4 8 2" xfId="9245" xr:uid="{B8890867-31D1-4009-92DF-C09936D67BB3}"/>
    <cellStyle name="Procent 4 9" xfId="6228" xr:uid="{00000000-0005-0000-0000-0000441E0000}"/>
    <cellStyle name="Procent 4 9 2" xfId="9265" xr:uid="{636F26A9-6065-4E97-9264-7A67B1C7E0A8}"/>
    <cellStyle name="Procent 5" xfId="3313" xr:uid="{00000000-0005-0000-0000-0000451E0000}"/>
    <cellStyle name="Procent 5 2" xfId="4075" xr:uid="{00000000-0005-0000-0000-0000461E0000}"/>
    <cellStyle name="Procent 5 2 2" xfId="4076" xr:uid="{00000000-0005-0000-0000-0000471E0000}"/>
    <cellStyle name="Procent 5 2 2 2" xfId="4700" xr:uid="{00000000-0005-0000-0000-0000481E0000}"/>
    <cellStyle name="Procent 5 2 2 2 2" xfId="7868" xr:uid="{00000000-0005-0000-0000-0000491E0000}"/>
    <cellStyle name="Procent 5 2 2 2 2 2" xfId="10536" xr:uid="{BC64119E-CD44-4AA1-9D54-A0AA8AB5B384}"/>
    <cellStyle name="Procent 5 2 2 2 3" xfId="9205" xr:uid="{C1174979-E850-430A-A938-47099F2BAC6B}"/>
    <cellStyle name="Procent 5 2 2 3" xfId="7244" xr:uid="{00000000-0005-0000-0000-00004A1E0000}"/>
    <cellStyle name="Procent 5 2 2 3 2" xfId="9912" xr:uid="{B25143BA-718A-4B00-8425-4A10FBD1FD28}"/>
    <cellStyle name="Procent 5 2 2 4" xfId="8581" xr:uid="{260C3D76-7131-45E6-92EA-351BF1EBFEC2}"/>
    <cellStyle name="Procent 5 2 3" xfId="4077" xr:uid="{00000000-0005-0000-0000-00004B1E0000}"/>
    <cellStyle name="Procent 5 2 3 2" xfId="4701" xr:uid="{00000000-0005-0000-0000-00004C1E0000}"/>
    <cellStyle name="Procent 5 2 3 2 2" xfId="7869" xr:uid="{00000000-0005-0000-0000-00004D1E0000}"/>
    <cellStyle name="Procent 5 2 3 2 2 2" xfId="10537" xr:uid="{609987AE-960C-4445-B63E-CDD80BC9E8E4}"/>
    <cellStyle name="Procent 5 2 3 2 3" xfId="9206" xr:uid="{F0AEB4E8-98AF-475A-AC98-C014486319AA}"/>
    <cellStyle name="Procent 5 2 3 3" xfId="7245" xr:uid="{00000000-0005-0000-0000-00004E1E0000}"/>
    <cellStyle name="Procent 5 2 3 3 2" xfId="9913" xr:uid="{A08D9B44-69F2-4C14-8F5B-D400E11E1E96}"/>
    <cellStyle name="Procent 5 2 3 4" xfId="8582" xr:uid="{BF1A964F-5209-4B8C-8734-30651EE360A4}"/>
    <cellStyle name="Procent 5 2 4" xfId="4699" xr:uid="{00000000-0005-0000-0000-00004F1E0000}"/>
    <cellStyle name="Procent 5 2 4 2" xfId="7867" xr:uid="{00000000-0005-0000-0000-0000501E0000}"/>
    <cellStyle name="Procent 5 2 4 2 2" xfId="10535" xr:uid="{88820006-EFC3-432B-A0C1-4E4254244B5B}"/>
    <cellStyle name="Procent 5 2 4 3" xfId="9204" xr:uid="{9339B913-21CE-4F08-894E-F641F5DD3033}"/>
    <cellStyle name="Procent 5 2 5" xfId="7243" xr:uid="{00000000-0005-0000-0000-0000511E0000}"/>
    <cellStyle name="Procent 5 2 5 2" xfId="9911" xr:uid="{DDAF5087-AEE3-4D2A-BBDD-3207F19AC308}"/>
    <cellStyle name="Procent 5 2 6" xfId="8580" xr:uid="{6289B5B5-1726-4AB9-88F7-FEDBB425B4AD}"/>
    <cellStyle name="Procent 5 3" xfId="4078" xr:uid="{00000000-0005-0000-0000-0000521E0000}"/>
    <cellStyle name="Procent 5 3 2" xfId="4702" xr:uid="{00000000-0005-0000-0000-0000531E0000}"/>
    <cellStyle name="Procent 5 3 2 2" xfId="7870" xr:uid="{00000000-0005-0000-0000-0000541E0000}"/>
    <cellStyle name="Procent 5 3 2 2 2" xfId="10538" xr:uid="{C17AA8D4-CC30-4E0E-9256-B0B02D13C595}"/>
    <cellStyle name="Procent 5 3 2 3" xfId="9207" xr:uid="{FC4E18C7-479C-41B9-97CC-1CEC4EA81179}"/>
    <cellStyle name="Procent 5 3 3" xfId="7246" xr:uid="{00000000-0005-0000-0000-0000551E0000}"/>
    <cellStyle name="Procent 5 3 3 2" xfId="9914" xr:uid="{F5582376-EA94-4885-B175-3A14D237C4A7}"/>
    <cellStyle name="Procent 5 3 4" xfId="8583" xr:uid="{ABB419B2-88DD-482A-834D-D3EED79AE012}"/>
    <cellStyle name="Procent 5 4" xfId="4079" xr:uid="{00000000-0005-0000-0000-0000561E0000}"/>
    <cellStyle name="Procent 5 4 2" xfId="4703" xr:uid="{00000000-0005-0000-0000-0000571E0000}"/>
    <cellStyle name="Procent 5 4 2 2" xfId="7871" xr:uid="{00000000-0005-0000-0000-0000581E0000}"/>
    <cellStyle name="Procent 5 4 2 2 2" xfId="10539" xr:uid="{0766380C-6800-49D5-945F-4E5DFF91E561}"/>
    <cellStyle name="Procent 5 4 2 3" xfId="9208" xr:uid="{D93788C7-275E-4980-8D7B-C21255A1110F}"/>
    <cellStyle name="Procent 5 4 3" xfId="7247" xr:uid="{00000000-0005-0000-0000-0000591E0000}"/>
    <cellStyle name="Procent 5 4 3 2" xfId="9915" xr:uid="{F7186AF3-C36E-4921-9C3C-EE25EA2F8E79}"/>
    <cellStyle name="Procent 5 4 4" xfId="8584" xr:uid="{ACB0F27C-C4E8-4D83-A729-F0C54AB8F426}"/>
    <cellStyle name="Procent 5 5" xfId="4080" xr:uid="{00000000-0005-0000-0000-00005A1E0000}"/>
    <cellStyle name="Procent 5 5 2" xfId="4704" xr:uid="{00000000-0005-0000-0000-00005B1E0000}"/>
    <cellStyle name="Procent 5 5 2 2" xfId="7872" xr:uid="{00000000-0005-0000-0000-00005C1E0000}"/>
    <cellStyle name="Procent 5 5 2 2 2" xfId="10540" xr:uid="{EAE17153-CA07-4CA6-806A-B8A8E8531D47}"/>
    <cellStyle name="Procent 5 5 2 3" xfId="9209" xr:uid="{59769D50-9CD5-4F19-A2BB-951A187BFF4F}"/>
    <cellStyle name="Procent 5 5 3" xfId="7248" xr:uid="{00000000-0005-0000-0000-00005D1E0000}"/>
    <cellStyle name="Procent 5 5 3 2" xfId="9916" xr:uid="{FF691900-A946-4CD6-AD62-02CFB596D2B9}"/>
    <cellStyle name="Procent 5 5 4" xfId="8585" xr:uid="{04BA1741-2DDD-4525-89CF-6FCBE0634D09}"/>
    <cellStyle name="Procent 5 6" xfId="4698" xr:uid="{00000000-0005-0000-0000-00005E1E0000}"/>
    <cellStyle name="Procent 5 6 2" xfId="7866" xr:uid="{00000000-0005-0000-0000-00005F1E0000}"/>
    <cellStyle name="Procent 5 6 2 2" xfId="10534" xr:uid="{01C8319A-43B8-4A44-88C4-D25BCFBC131B}"/>
    <cellStyle name="Procent 5 6 3" xfId="9203" xr:uid="{4C54DCDF-B56D-41BC-8657-07E06EB0D50E}"/>
    <cellStyle name="Procent 5 7" xfId="4074" xr:uid="{00000000-0005-0000-0000-0000601E0000}"/>
    <cellStyle name="Procent 5 7 2" xfId="7242" xr:uid="{00000000-0005-0000-0000-0000611E0000}"/>
    <cellStyle name="Procent 5 7 2 2" xfId="9910" xr:uid="{FD431B64-D114-4768-8311-F979E2ED86C7}"/>
    <cellStyle name="Procent 5 7 3" xfId="8579" xr:uid="{245BACC4-D35F-4C5B-BB81-2DCFAC522BB2}"/>
    <cellStyle name="Procent 5 8" xfId="6622" xr:uid="{00000000-0005-0000-0000-0000621E0000}"/>
    <cellStyle name="Procent 5 8 2" xfId="9299" xr:uid="{72AE3D8B-67BF-4CD1-B4DB-1E87D29879C0}"/>
    <cellStyle name="Procent 5 9" xfId="7959" xr:uid="{5F2A582E-E74B-49A7-B8B0-1B35DF8CFCA8}"/>
    <cellStyle name="Procent 6" xfId="3364" xr:uid="{00000000-0005-0000-0000-0000631E0000}"/>
    <cellStyle name="Procent 6 2" xfId="4081" xr:uid="{00000000-0005-0000-0000-0000641E0000}"/>
    <cellStyle name="Procent 6 2 2" xfId="4082" xr:uid="{00000000-0005-0000-0000-0000651E0000}"/>
    <cellStyle name="Procent 6 2 2 2" xfId="4707" xr:uid="{00000000-0005-0000-0000-0000661E0000}"/>
    <cellStyle name="Procent 6 2 2 2 2" xfId="7875" xr:uid="{00000000-0005-0000-0000-0000671E0000}"/>
    <cellStyle name="Procent 6 2 2 2 2 2" xfId="10543" xr:uid="{397B4AE4-97A3-4659-9D74-7F2D84EDB3BB}"/>
    <cellStyle name="Procent 6 2 2 2 3" xfId="9212" xr:uid="{DF2CD389-1918-4846-91F2-51995602A3ED}"/>
    <cellStyle name="Procent 6 2 2 3" xfId="7250" xr:uid="{00000000-0005-0000-0000-0000681E0000}"/>
    <cellStyle name="Procent 6 2 2 3 2" xfId="9918" xr:uid="{8809C70D-ABE1-4E1D-ADDB-1E92D13D10CF}"/>
    <cellStyle name="Procent 6 2 2 4" xfId="8587" xr:uid="{29742668-9821-4D8D-837E-145897190A19}"/>
    <cellStyle name="Procent 6 2 3" xfId="4083" xr:uid="{00000000-0005-0000-0000-0000691E0000}"/>
    <cellStyle name="Procent 6 2 3 2" xfId="4708" xr:uid="{00000000-0005-0000-0000-00006A1E0000}"/>
    <cellStyle name="Procent 6 2 3 2 2" xfId="7876" xr:uid="{00000000-0005-0000-0000-00006B1E0000}"/>
    <cellStyle name="Procent 6 2 3 2 2 2" xfId="10544" xr:uid="{6C36C7E4-9487-4964-BB56-0F7B663511CC}"/>
    <cellStyle name="Procent 6 2 3 2 3" xfId="9213" xr:uid="{A0BA3CCC-34FE-41EC-BB7F-D16C5B4A2669}"/>
    <cellStyle name="Procent 6 2 3 3" xfId="7251" xr:uid="{00000000-0005-0000-0000-00006C1E0000}"/>
    <cellStyle name="Procent 6 2 3 3 2" xfId="9919" xr:uid="{ABD957C9-C0C4-4044-A842-1BE1C053F65C}"/>
    <cellStyle name="Procent 6 2 3 4" xfId="8588" xr:uid="{BCD648FD-86E3-4B6F-9BC5-ED7F7F89229B}"/>
    <cellStyle name="Procent 6 2 4" xfId="4706" xr:uid="{00000000-0005-0000-0000-00006D1E0000}"/>
    <cellStyle name="Procent 6 2 4 2" xfId="7874" xr:uid="{00000000-0005-0000-0000-00006E1E0000}"/>
    <cellStyle name="Procent 6 2 4 2 2" xfId="10542" xr:uid="{CD8A3A8E-5D42-47E8-9123-321A1B8A2C98}"/>
    <cellStyle name="Procent 6 2 4 3" xfId="9211" xr:uid="{4B9A0247-189E-41B6-AFDF-EEAFEFCF264C}"/>
    <cellStyle name="Procent 6 2 5" xfId="7249" xr:uid="{00000000-0005-0000-0000-00006F1E0000}"/>
    <cellStyle name="Procent 6 2 5 2" xfId="9917" xr:uid="{2BCA75D6-55B2-4876-BF63-722BBD8A4DF2}"/>
    <cellStyle name="Procent 6 2 6" xfId="8586" xr:uid="{0E2C5B43-2F6E-48F7-96A9-9449C475FDE1}"/>
    <cellStyle name="Procent 6 3" xfId="4084" xr:uid="{00000000-0005-0000-0000-0000701E0000}"/>
    <cellStyle name="Procent 6 3 2" xfId="4709" xr:uid="{00000000-0005-0000-0000-0000711E0000}"/>
    <cellStyle name="Procent 6 3 2 2" xfId="7877" xr:uid="{00000000-0005-0000-0000-0000721E0000}"/>
    <cellStyle name="Procent 6 3 2 2 2" xfId="10545" xr:uid="{81EF4754-63F9-4F71-A008-339DC532D403}"/>
    <cellStyle name="Procent 6 3 2 3" xfId="9214" xr:uid="{1C035E19-F31A-481E-928E-03F0871BF980}"/>
    <cellStyle name="Procent 6 3 3" xfId="7252" xr:uid="{00000000-0005-0000-0000-0000731E0000}"/>
    <cellStyle name="Procent 6 3 3 2" xfId="9920" xr:uid="{CFA0C5F1-91DF-4103-A5E0-0757295E87DA}"/>
    <cellStyle name="Procent 6 3 4" xfId="8589" xr:uid="{3B5FCAF2-7D1E-4AB9-9FB2-D1CC350B4866}"/>
    <cellStyle name="Procent 6 4" xfId="4085" xr:uid="{00000000-0005-0000-0000-0000741E0000}"/>
    <cellStyle name="Procent 6 4 2" xfId="4710" xr:uid="{00000000-0005-0000-0000-0000751E0000}"/>
    <cellStyle name="Procent 6 4 2 2" xfId="7878" xr:uid="{00000000-0005-0000-0000-0000761E0000}"/>
    <cellStyle name="Procent 6 4 2 2 2" xfId="10546" xr:uid="{F38C3EBB-2E33-42D6-A610-FD333DFF2337}"/>
    <cellStyle name="Procent 6 4 2 3" xfId="9215" xr:uid="{009BCE83-4EEE-448C-90DA-68E3C11C6BAA}"/>
    <cellStyle name="Procent 6 4 3" xfId="7253" xr:uid="{00000000-0005-0000-0000-0000771E0000}"/>
    <cellStyle name="Procent 6 4 3 2" xfId="9921" xr:uid="{70F53572-F4A6-4D14-B5E3-1859D1C8D0FD}"/>
    <cellStyle name="Procent 6 4 4" xfId="8590" xr:uid="{042A8F15-6B4B-43DE-85EF-6B46FE3E6E6F}"/>
    <cellStyle name="Procent 6 5" xfId="4086" xr:uid="{00000000-0005-0000-0000-0000781E0000}"/>
    <cellStyle name="Procent 6 5 2" xfId="4711" xr:uid="{00000000-0005-0000-0000-0000791E0000}"/>
    <cellStyle name="Procent 6 5 2 2" xfId="7879" xr:uid="{00000000-0005-0000-0000-00007A1E0000}"/>
    <cellStyle name="Procent 6 5 2 2 2" xfId="10547" xr:uid="{D9595FA5-069B-46F7-9339-85155DD56C8B}"/>
    <cellStyle name="Procent 6 5 2 3" xfId="9216" xr:uid="{AB9D497A-0522-4A7B-AB60-6A30743A5D73}"/>
    <cellStyle name="Procent 6 5 3" xfId="7254" xr:uid="{00000000-0005-0000-0000-00007B1E0000}"/>
    <cellStyle name="Procent 6 5 3 2" xfId="9922" xr:uid="{40A84D46-7424-4895-9422-1250F43D074C}"/>
    <cellStyle name="Procent 6 5 4" xfId="8591" xr:uid="{99542568-3495-4887-B2D3-E7C4F7BE8A1A}"/>
    <cellStyle name="Procent 6 6" xfId="4705" xr:uid="{00000000-0005-0000-0000-00007C1E0000}"/>
    <cellStyle name="Procent 6 6 2" xfId="7873" xr:uid="{00000000-0005-0000-0000-00007D1E0000}"/>
    <cellStyle name="Procent 6 6 2 2" xfId="10541" xr:uid="{F38553F4-79A6-45CE-A979-CECF0C0CF6FE}"/>
    <cellStyle name="Procent 6 6 3" xfId="9210" xr:uid="{F4289D4F-FCF4-43D6-A8AE-5B1AC673C4BC}"/>
    <cellStyle name="Procent 6 7" xfId="6648" xr:uid="{00000000-0005-0000-0000-00007E1E0000}"/>
    <cellStyle name="Procent 6 7 2" xfId="9325" xr:uid="{E2BA293E-C100-4A5A-9234-B244B2181248}"/>
    <cellStyle name="Procent 6 8" xfId="7985" xr:uid="{6628E126-BC97-44B5-879A-A993A2B5A85E}"/>
    <cellStyle name="Procent 7" xfId="4087" xr:uid="{00000000-0005-0000-0000-00007F1E0000}"/>
    <cellStyle name="Procent 7 2" xfId="4088" xr:uid="{00000000-0005-0000-0000-0000801E0000}"/>
    <cellStyle name="Procent 7 2 2" xfId="4089" xr:uid="{00000000-0005-0000-0000-0000811E0000}"/>
    <cellStyle name="Procent 7 2 2 2" xfId="4714" xr:uid="{00000000-0005-0000-0000-0000821E0000}"/>
    <cellStyle name="Procent 7 2 2 2 2" xfId="7882" xr:uid="{00000000-0005-0000-0000-0000831E0000}"/>
    <cellStyle name="Procent 7 2 2 2 2 2" xfId="10550" xr:uid="{1952A75E-6F64-4D43-B168-70BD727548A7}"/>
    <cellStyle name="Procent 7 2 2 2 3" xfId="9219" xr:uid="{8364CE13-034D-4294-B63F-D785B61DEE1B}"/>
    <cellStyle name="Procent 7 2 2 3" xfId="7257" xr:uid="{00000000-0005-0000-0000-0000841E0000}"/>
    <cellStyle name="Procent 7 2 2 3 2" xfId="9925" xr:uid="{F5D280D1-5DDF-4D97-8503-964DAE6778CD}"/>
    <cellStyle name="Procent 7 2 2 4" xfId="8594" xr:uid="{32AE8AA7-7B87-4C9E-96B0-CF003131EA10}"/>
    <cellStyle name="Procent 7 2 3" xfId="4090" xr:uid="{00000000-0005-0000-0000-0000851E0000}"/>
    <cellStyle name="Procent 7 2 3 2" xfId="4715" xr:uid="{00000000-0005-0000-0000-0000861E0000}"/>
    <cellStyle name="Procent 7 2 3 2 2" xfId="7883" xr:uid="{00000000-0005-0000-0000-0000871E0000}"/>
    <cellStyle name="Procent 7 2 3 2 2 2" xfId="10551" xr:uid="{FD12F889-C8D6-4E5D-9C47-46108C6605EC}"/>
    <cellStyle name="Procent 7 2 3 2 3" xfId="9220" xr:uid="{BA9AE697-1FFF-4CBE-8B61-6F93BE6083C2}"/>
    <cellStyle name="Procent 7 2 3 3" xfId="7258" xr:uid="{00000000-0005-0000-0000-0000881E0000}"/>
    <cellStyle name="Procent 7 2 3 3 2" xfId="9926" xr:uid="{53B05456-398F-4610-8B80-4B6D619BC512}"/>
    <cellStyle name="Procent 7 2 3 4" xfId="8595" xr:uid="{63736B29-4B8F-4A51-8B6F-5B524A046FF8}"/>
    <cellStyle name="Procent 7 2 4" xfId="4713" xr:uid="{00000000-0005-0000-0000-0000891E0000}"/>
    <cellStyle name="Procent 7 2 4 2" xfId="7881" xr:uid="{00000000-0005-0000-0000-00008A1E0000}"/>
    <cellStyle name="Procent 7 2 4 2 2" xfId="10549" xr:uid="{35E476CB-D0C3-491B-AF27-DC96F4CB71D9}"/>
    <cellStyle name="Procent 7 2 4 3" xfId="9218" xr:uid="{9ACD78FD-2406-4BFC-8FCF-5B850CA2F7C8}"/>
    <cellStyle name="Procent 7 2 5" xfId="7256" xr:uid="{00000000-0005-0000-0000-00008B1E0000}"/>
    <cellStyle name="Procent 7 2 5 2" xfId="9924" xr:uid="{B65FAA9C-E721-47A8-AE46-C42C9CBD95DD}"/>
    <cellStyle name="Procent 7 2 6" xfId="8593" xr:uid="{8ABB9CA2-C7A1-4E77-A7FA-ADF78FC2F9A9}"/>
    <cellStyle name="Procent 7 3" xfId="4091" xr:uid="{00000000-0005-0000-0000-00008C1E0000}"/>
    <cellStyle name="Procent 7 3 2" xfId="4716" xr:uid="{00000000-0005-0000-0000-00008D1E0000}"/>
    <cellStyle name="Procent 7 3 2 2" xfId="7884" xr:uid="{00000000-0005-0000-0000-00008E1E0000}"/>
    <cellStyle name="Procent 7 3 2 2 2" xfId="10552" xr:uid="{46ACAD15-18B2-4CDD-BAE6-E464862AA910}"/>
    <cellStyle name="Procent 7 3 2 3" xfId="9221" xr:uid="{A295D357-79A1-4F48-9142-F6A3C2CFFF14}"/>
    <cellStyle name="Procent 7 3 3" xfId="7259" xr:uid="{00000000-0005-0000-0000-00008F1E0000}"/>
    <cellStyle name="Procent 7 3 3 2" xfId="9927" xr:uid="{DE28E1DF-D469-42AC-8E64-2F951B093B70}"/>
    <cellStyle name="Procent 7 3 4" xfId="8596" xr:uid="{B74B0D18-FA77-48AA-A1C7-C4E879ABC8BD}"/>
    <cellStyle name="Procent 7 4" xfId="4092" xr:uid="{00000000-0005-0000-0000-0000901E0000}"/>
    <cellStyle name="Procent 7 4 2" xfId="4717" xr:uid="{00000000-0005-0000-0000-0000911E0000}"/>
    <cellStyle name="Procent 7 4 2 2" xfId="7885" xr:uid="{00000000-0005-0000-0000-0000921E0000}"/>
    <cellStyle name="Procent 7 4 2 2 2" xfId="10553" xr:uid="{1FBD0930-55E0-4BEE-A99E-A229959AB427}"/>
    <cellStyle name="Procent 7 4 2 3" xfId="9222" xr:uid="{4DB9BE70-7875-4A77-B90B-54082C48F631}"/>
    <cellStyle name="Procent 7 4 3" xfId="7260" xr:uid="{00000000-0005-0000-0000-0000931E0000}"/>
    <cellStyle name="Procent 7 4 3 2" xfId="9928" xr:uid="{19AC7CAD-93CA-4A92-B114-DAA8B86913B6}"/>
    <cellStyle name="Procent 7 4 4" xfId="8597" xr:uid="{B1960FA2-72C5-447A-95FC-4C7EAD1B86A9}"/>
    <cellStyle name="Procent 7 5" xfId="4093" xr:uid="{00000000-0005-0000-0000-0000941E0000}"/>
    <cellStyle name="Procent 7 5 2" xfId="4718" xr:uid="{00000000-0005-0000-0000-0000951E0000}"/>
    <cellStyle name="Procent 7 5 2 2" xfId="7886" xr:uid="{00000000-0005-0000-0000-0000961E0000}"/>
    <cellStyle name="Procent 7 5 2 2 2" xfId="10554" xr:uid="{14AEB74A-E28E-4E9A-ABD9-9803ECDAA859}"/>
    <cellStyle name="Procent 7 5 2 3" xfId="9223" xr:uid="{7B821D31-EE9B-49F0-825F-3D1795B1EAAB}"/>
    <cellStyle name="Procent 7 5 3" xfId="7261" xr:uid="{00000000-0005-0000-0000-0000971E0000}"/>
    <cellStyle name="Procent 7 5 3 2" xfId="9929" xr:uid="{16FCB874-65B8-4766-AB30-F46AD33B2935}"/>
    <cellStyle name="Procent 7 5 4" xfId="8598" xr:uid="{1525A1C1-BFCE-45AB-B59E-4496901D3031}"/>
    <cellStyle name="Procent 7 6" xfId="4712" xr:uid="{00000000-0005-0000-0000-0000981E0000}"/>
    <cellStyle name="Procent 7 6 2" xfId="7880" xr:uid="{00000000-0005-0000-0000-0000991E0000}"/>
    <cellStyle name="Procent 7 6 2 2" xfId="10548" xr:uid="{898BB869-1C15-4651-A8C6-0A540CD425B6}"/>
    <cellStyle name="Procent 7 6 3" xfId="9217" xr:uid="{60928B71-AAB3-489E-8A24-AD05D938BD7E}"/>
    <cellStyle name="Procent 7 7" xfId="7255" xr:uid="{00000000-0005-0000-0000-00009A1E0000}"/>
    <cellStyle name="Procent 7 7 2" xfId="9923" xr:uid="{8D549F47-326B-4937-9E90-6E29F1DF8285}"/>
    <cellStyle name="Procent 7 8" xfId="8592" xr:uid="{AA71F8D0-C803-40C1-AF6A-16148F575290}"/>
    <cellStyle name="Procent 8" xfId="4094" xr:uid="{00000000-0005-0000-0000-00009B1E0000}"/>
    <cellStyle name="Procent 8 2" xfId="4095" xr:uid="{00000000-0005-0000-0000-00009C1E0000}"/>
    <cellStyle name="Procent 8 2 2" xfId="4096" xr:uid="{00000000-0005-0000-0000-00009D1E0000}"/>
    <cellStyle name="Procent 8 2 2 2" xfId="4721" xr:uid="{00000000-0005-0000-0000-00009E1E0000}"/>
    <cellStyle name="Procent 8 2 2 2 2" xfId="7889" xr:uid="{00000000-0005-0000-0000-00009F1E0000}"/>
    <cellStyle name="Procent 8 2 2 2 2 2" xfId="10557" xr:uid="{607EA849-F219-4CD0-BD62-3B2BA19DF544}"/>
    <cellStyle name="Procent 8 2 2 2 3" xfId="9226" xr:uid="{701AE438-188E-4DC7-B136-98D5B98140CF}"/>
    <cellStyle name="Procent 8 2 2 3" xfId="7264" xr:uid="{00000000-0005-0000-0000-0000A01E0000}"/>
    <cellStyle name="Procent 8 2 2 3 2" xfId="9932" xr:uid="{BD0F992D-F468-4EBB-8F87-5BFFB591240C}"/>
    <cellStyle name="Procent 8 2 2 4" xfId="8601" xr:uid="{EE2B7CC2-689D-41BA-9322-72317EA675A8}"/>
    <cellStyle name="Procent 8 2 3" xfId="4097" xr:uid="{00000000-0005-0000-0000-0000A11E0000}"/>
    <cellStyle name="Procent 8 2 3 2" xfId="4722" xr:uid="{00000000-0005-0000-0000-0000A21E0000}"/>
    <cellStyle name="Procent 8 2 3 2 2" xfId="7890" xr:uid="{00000000-0005-0000-0000-0000A31E0000}"/>
    <cellStyle name="Procent 8 2 3 2 2 2" xfId="10558" xr:uid="{0F8A94B2-25D3-479F-B638-94E47E86A505}"/>
    <cellStyle name="Procent 8 2 3 2 3" xfId="9227" xr:uid="{607EA6B3-A9DC-4D31-A811-D2AE3A0F2377}"/>
    <cellStyle name="Procent 8 2 3 3" xfId="7265" xr:uid="{00000000-0005-0000-0000-0000A41E0000}"/>
    <cellStyle name="Procent 8 2 3 3 2" xfId="9933" xr:uid="{71C96419-F67A-4B42-9215-5D7C23F5DFF5}"/>
    <cellStyle name="Procent 8 2 3 4" xfId="8602" xr:uid="{4758A94C-050D-4B2A-827A-6842B703DA4D}"/>
    <cellStyle name="Procent 8 2 4" xfId="4720" xr:uid="{00000000-0005-0000-0000-0000A51E0000}"/>
    <cellStyle name="Procent 8 2 4 2" xfId="7888" xr:uid="{00000000-0005-0000-0000-0000A61E0000}"/>
    <cellStyle name="Procent 8 2 4 2 2" xfId="10556" xr:uid="{4CD3536C-B02A-4C02-BC39-94A862C284B5}"/>
    <cellStyle name="Procent 8 2 4 3" xfId="9225" xr:uid="{7209FDFC-BF7C-40B7-9B2E-2A9BC8B813E0}"/>
    <cellStyle name="Procent 8 2 5" xfId="7263" xr:uid="{00000000-0005-0000-0000-0000A71E0000}"/>
    <cellStyle name="Procent 8 2 5 2" xfId="9931" xr:uid="{CEA71CA7-3714-47F1-AA32-67B7A855F0FA}"/>
    <cellStyle name="Procent 8 2 6" xfId="8600" xr:uid="{CAAA18D0-EFEE-4BFC-B329-0E5913A0F29E}"/>
    <cellStyle name="Procent 8 3" xfId="4098" xr:uid="{00000000-0005-0000-0000-0000A81E0000}"/>
    <cellStyle name="Procent 8 3 2" xfId="4723" xr:uid="{00000000-0005-0000-0000-0000A91E0000}"/>
    <cellStyle name="Procent 8 3 2 2" xfId="7891" xr:uid="{00000000-0005-0000-0000-0000AA1E0000}"/>
    <cellStyle name="Procent 8 3 2 2 2" xfId="10559" xr:uid="{A9B68C72-AC76-49F9-A206-A73267A77500}"/>
    <cellStyle name="Procent 8 3 2 3" xfId="9228" xr:uid="{DBE27AA0-4F1C-4A19-B75D-AE2CE8860124}"/>
    <cellStyle name="Procent 8 3 3" xfId="7266" xr:uid="{00000000-0005-0000-0000-0000AB1E0000}"/>
    <cellStyle name="Procent 8 3 3 2" xfId="9934" xr:uid="{D4830BB7-96F5-4AFA-A8DE-6A1BF0F4548E}"/>
    <cellStyle name="Procent 8 3 4" xfId="8603" xr:uid="{E5A3DA27-DEE5-4AA7-A071-02D2D82F0B6A}"/>
    <cellStyle name="Procent 8 4" xfId="4099" xr:uid="{00000000-0005-0000-0000-0000AC1E0000}"/>
    <cellStyle name="Procent 8 4 2" xfId="4724" xr:uid="{00000000-0005-0000-0000-0000AD1E0000}"/>
    <cellStyle name="Procent 8 4 2 2" xfId="7892" xr:uid="{00000000-0005-0000-0000-0000AE1E0000}"/>
    <cellStyle name="Procent 8 4 2 2 2" xfId="10560" xr:uid="{5C8714C8-71C9-4D15-A9EA-6FE93611A439}"/>
    <cellStyle name="Procent 8 4 2 3" xfId="9229" xr:uid="{27560DCD-AC69-410B-AC52-3D2FC1BFE0ED}"/>
    <cellStyle name="Procent 8 4 3" xfId="7267" xr:uid="{00000000-0005-0000-0000-0000AF1E0000}"/>
    <cellStyle name="Procent 8 4 3 2" xfId="9935" xr:uid="{9F9EAC21-B1D0-45FA-BB8C-F199E672924A}"/>
    <cellStyle name="Procent 8 4 4" xfId="8604" xr:uid="{27A31C73-2667-4911-9CBE-CB4DD788D9E6}"/>
    <cellStyle name="Procent 8 5" xfId="4719" xr:uid="{00000000-0005-0000-0000-0000B01E0000}"/>
    <cellStyle name="Procent 8 5 2" xfId="7887" xr:uid="{00000000-0005-0000-0000-0000B11E0000}"/>
    <cellStyle name="Procent 8 5 2 2" xfId="10555" xr:uid="{337BEDE1-0045-4CE5-8D6B-6CA2364FCEFC}"/>
    <cellStyle name="Procent 8 5 3" xfId="9224" xr:uid="{955020C8-4888-4858-8768-C213EC30E575}"/>
    <cellStyle name="Procent 8 6" xfId="7262" xr:uid="{00000000-0005-0000-0000-0000B21E0000}"/>
    <cellStyle name="Procent 8 6 2" xfId="9930" xr:uid="{6350B7C5-986F-4293-973D-28FF1CBF6FA8}"/>
    <cellStyle name="Procent 8 7" xfId="8599" xr:uid="{92427257-1F32-4F99-B2F8-4E44D3631FC6}"/>
    <cellStyle name="Procent 9" xfId="4100" xr:uid="{00000000-0005-0000-0000-0000B31E0000}"/>
    <cellStyle name="Procent 9 2" xfId="4101" xr:uid="{00000000-0005-0000-0000-0000B41E0000}"/>
    <cellStyle name="Procent 9 2 2" xfId="4726" xr:uid="{00000000-0005-0000-0000-0000B51E0000}"/>
    <cellStyle name="Procent 9 2 2 2" xfId="7894" xr:uid="{00000000-0005-0000-0000-0000B61E0000}"/>
    <cellStyle name="Procent 9 2 2 2 2" xfId="10562" xr:uid="{3032F78A-D9FE-475E-BA06-740A5F8ABCD5}"/>
    <cellStyle name="Procent 9 2 2 3" xfId="9231" xr:uid="{1926E13A-19C9-40E0-B0FB-0FDABF4CFDBA}"/>
    <cellStyle name="Procent 9 2 3" xfId="7269" xr:uid="{00000000-0005-0000-0000-0000B71E0000}"/>
    <cellStyle name="Procent 9 2 3 2" xfId="9937" xr:uid="{356E8012-D34A-47D3-8876-A5BF44B9B576}"/>
    <cellStyle name="Procent 9 2 4" xfId="8606" xr:uid="{93535316-6768-431E-A169-AB2AB043D240}"/>
    <cellStyle name="Procent 9 3" xfId="4102" xr:uid="{00000000-0005-0000-0000-0000B81E0000}"/>
    <cellStyle name="Procent 9 3 2" xfId="4727" xr:uid="{00000000-0005-0000-0000-0000B91E0000}"/>
    <cellStyle name="Procent 9 3 2 2" xfId="7895" xr:uid="{00000000-0005-0000-0000-0000BA1E0000}"/>
    <cellStyle name="Procent 9 3 2 2 2" xfId="10563" xr:uid="{1E9BC94A-656D-4C81-BB02-4C132ABFCCCC}"/>
    <cellStyle name="Procent 9 3 2 3" xfId="9232" xr:uid="{6FA4E46C-5A65-4D9F-AD1C-2720DA5B9CFF}"/>
    <cellStyle name="Procent 9 3 3" xfId="7270" xr:uid="{00000000-0005-0000-0000-0000BB1E0000}"/>
    <cellStyle name="Procent 9 3 3 2" xfId="9938" xr:uid="{AE56CAEE-927E-4644-BB7D-8C3863259742}"/>
    <cellStyle name="Procent 9 3 4" xfId="8607" xr:uid="{8E133EB2-B90F-4756-9928-097080FD4D13}"/>
    <cellStyle name="Procent 9 4" xfId="4725" xr:uid="{00000000-0005-0000-0000-0000BC1E0000}"/>
    <cellStyle name="Procent 9 4 2" xfId="7893" xr:uid="{00000000-0005-0000-0000-0000BD1E0000}"/>
    <cellStyle name="Procent 9 4 2 2" xfId="10561" xr:uid="{37D78B66-A435-4BAB-88A3-6E8C9FC737F7}"/>
    <cellStyle name="Procent 9 4 3" xfId="9230" xr:uid="{2F6D2AEE-1D27-4821-9CCA-4BF285C959B3}"/>
    <cellStyle name="Procent 9 5" xfId="7268" xr:uid="{00000000-0005-0000-0000-0000BE1E0000}"/>
    <cellStyle name="Procent 9 5 2" xfId="9936" xr:uid="{F8052F99-6439-4BBC-A3D4-D55698AF802E}"/>
    <cellStyle name="Procent 9 6" xfId="8605" xr:uid="{3D6844E0-0070-4BE9-8EEF-14980713546B}"/>
    <cellStyle name="Standard_Sce_D_Extraction" xfId="1991" xr:uid="{00000000-0005-0000-0000-0000BF1E0000}"/>
    <cellStyle name="Testo avviso" xfId="1992" xr:uid="{00000000-0005-0000-0000-0000C01E0000}"/>
    <cellStyle name="Testo descrittivo" xfId="1993" xr:uid="{00000000-0005-0000-0000-0000C11E0000}"/>
    <cellStyle name="Titel 2" xfId="3453" xr:uid="{00000000-0005-0000-0000-0000C21E0000}"/>
    <cellStyle name="Title" xfId="3330" builtinId="15" customBuiltin="1"/>
    <cellStyle name="Title 2" xfId="3454" xr:uid="{00000000-0005-0000-0000-0000C41E0000}"/>
    <cellStyle name="Titolo" xfId="1994" xr:uid="{00000000-0005-0000-0000-0000C51E0000}"/>
    <cellStyle name="Titolo 1" xfId="1995" xr:uid="{00000000-0005-0000-0000-0000C61E0000}"/>
    <cellStyle name="Titolo 2" xfId="1996" xr:uid="{00000000-0005-0000-0000-0000C71E0000}"/>
    <cellStyle name="Titolo 3" xfId="1997" xr:uid="{00000000-0005-0000-0000-0000C81E0000}"/>
    <cellStyle name="Titolo 3 2" xfId="7919" xr:uid="{EA15E9DD-B620-485F-9E8E-93D0743B54BB}"/>
    <cellStyle name="Titolo 4" xfId="1998" xr:uid="{00000000-0005-0000-0000-0000C91E0000}"/>
    <cellStyle name="Total" xfId="3337" builtinId="25" customBuiltin="1"/>
    <cellStyle name="Total 2" xfId="3455" xr:uid="{00000000-0005-0000-0000-0000CB1E0000}"/>
    <cellStyle name="Total 2 2" xfId="3524" xr:uid="{00000000-0005-0000-0000-0000CC1E0000}"/>
    <cellStyle name="Total 2 2 2" xfId="8052" xr:uid="{9934F5D2-692A-4DDD-B3BB-5F8600B1B697}"/>
    <cellStyle name="Total 2 3" xfId="7998" xr:uid="{D66F737F-3E53-4E49-A6C6-A78D3DE803AF}"/>
    <cellStyle name="Totale" xfId="1999" xr:uid="{00000000-0005-0000-0000-0000CD1E0000}"/>
    <cellStyle name="Totale 2" xfId="7920" xr:uid="{B3B48F53-6182-4B71-9E33-6B156E773867}"/>
    <cellStyle name="Ugyldig 2" xfId="3318" xr:uid="{00000000-0005-0000-0000-0000CE1E0000}"/>
    <cellStyle name="Uncertain" xfId="2000" xr:uid="{00000000-0005-0000-0000-0000CF1E0000}"/>
    <cellStyle name="Valore non valido" xfId="2001" xr:uid="{00000000-0005-0000-0000-0000D01E0000}"/>
    <cellStyle name="Valore valido" xfId="2002" xr:uid="{00000000-0005-0000-0000-0000D11E0000}"/>
    <cellStyle name="Warning Text" xfId="3335" builtinId="11" customBuiltin="1"/>
    <cellStyle name="Warning Text 2" xfId="3456" xr:uid="{00000000-0005-0000-0000-0000D31E0000}"/>
    <cellStyle name="X08_Total Oil" xfId="3457" xr:uid="{00000000-0005-0000-0000-0000D41E0000}"/>
    <cellStyle name="X12_Total Figs 1 dec" xfId="3458" xr:uid="{00000000-0005-0000-0000-0000D51E0000}"/>
    <cellStyle name="Years" xfId="2003" xr:uid="{00000000-0005-0000-0000-0000D61E0000}"/>
    <cellStyle name="Обычный_CRF2002 (1)" xfId="2004" xr:uid="{00000000-0005-0000-0000-0000D71E0000}"/>
  </cellStyles>
  <dxfs count="36">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externalLink" Target="externalLinks/externalLink10.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29" Type="http://schemas.openxmlformats.org/officeDocument/2006/relationships/externalLink" Target="externalLinks/externalLink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3.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8.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30" Type="http://schemas.openxmlformats.org/officeDocument/2006/relationships/externalLink" Target="externalLinks/externalLink19.xml"/><Relationship Id="rId35"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14</xdr:col>
      <xdr:colOff>0</xdr:colOff>
      <xdr:row>14</xdr:row>
      <xdr:rowOff>0</xdr:rowOff>
    </xdr:from>
    <xdr:to>
      <xdr:col>23</xdr:col>
      <xdr:colOff>348279</xdr:colOff>
      <xdr:row>33</xdr:row>
      <xdr:rowOff>83483</xdr:rowOff>
    </xdr:to>
    <xdr:sp macro="" textlink="">
      <xdr:nvSpPr>
        <xdr:cNvPr id="2" name="TextBox 1">
          <a:extLst>
            <a:ext uri="{FF2B5EF4-FFF2-40B4-BE49-F238E27FC236}">
              <a16:creationId xmlns:a16="http://schemas.microsoft.com/office/drawing/2014/main" id="{727C6037-582B-4B42-A4E5-5075172862F4}"/>
            </a:ext>
          </a:extLst>
        </xdr:cNvPr>
        <xdr:cNvSpPr txBox="1"/>
      </xdr:nvSpPr>
      <xdr:spPr>
        <a:xfrm>
          <a:off x="7924800" y="2438400"/>
          <a:ext cx="5834679" cy="3160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Rafs 25 Jan 2018</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table contained in the TIMES-DK version was disabled because not clear its function. We can define emissions linked to the activity of refineries and to the activity of oil and gas extraction (flares), but so far, this is neglected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Martin Hagberg 2019-10-01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t>Activated table . In</a:t>
          </a:r>
          <a:r>
            <a:rPr lang="en-US" sz="1100" baseline="0"/>
            <a:t> other files there are SUP* fuel production technologies using fossil fuels that should give CO2 emissions.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Put "0" for WST because this waste fraction represents organic waste for biogas production.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r>
            <a:rPr lang="en-US" sz="1100" b="1">
              <a:solidFill>
                <a:schemeClr val="dk1"/>
              </a:solidFill>
              <a:effectLst/>
              <a:latin typeface="+mn-lt"/>
              <a:ea typeface="+mn-ea"/>
              <a:cs typeface="+mn-cs"/>
            </a:rPr>
            <a:t>Mibsi 11/10-19</a:t>
          </a:r>
          <a:endParaRPr lang="en-GB">
            <a:effectLst/>
          </a:endParaRPr>
        </a:p>
        <a:p>
          <a:pPr eaLnBrk="1" fontAlgn="auto" latinLnBrk="0" hangingPunct="1"/>
          <a:r>
            <a:rPr lang="en-GB" sz="1100">
              <a:solidFill>
                <a:schemeClr val="dk1"/>
              </a:solidFill>
              <a:effectLst/>
              <a:latin typeface="+mn-lt"/>
              <a:ea typeface="+mn-ea"/>
              <a:cs typeface="+mn-cs"/>
            </a:rPr>
            <a:t>The table is used from TIMES-DK,</a:t>
          </a:r>
          <a:r>
            <a:rPr lang="en-GB" sz="1100" baseline="0">
              <a:solidFill>
                <a:schemeClr val="dk1"/>
              </a:solidFill>
              <a:effectLst/>
              <a:latin typeface="+mn-lt"/>
              <a:ea typeface="+mn-ea"/>
              <a:cs typeface="+mn-cs"/>
            </a:rPr>
            <a:t> Simplified to have seperate SUP fuelsand allocated SUP emissions</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B003206/AppData/Local/Microsoft/Windows/Temporary%20Internet%20Files/Content.Outlook/I9492QGX/Alternativ%20Drivmiddelmodel%20v%20%203%200%20MHO%202014-12-02.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B003206/AppData/Local/Microsoft/Windows/Temporary%20Internet%20Files/Content.Outlook/I9492QGX/Alternativ%20Drivmiddelmodel%20v%20%203%200%20MHO%202014-12-0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EDA/VEDA_Models/TIMES-DK-TRA_20140623/TIMES-DK-TRA_20140623/SubRES_TMPL/ad_beregningsmodel_version_2_1_maj_2013_(4)(1).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VEDA/VEDA_Models/TIMES-DK-TRA_20140623/TIMES-DK-TRA_20140623/SubRES_TMPL/ad_beregningsmodel_version_2_1_maj_2013_(4)(1).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O:/03%20Team%20Modeller%20og%20analyser/Br&#230;ndselspriser/Br&#230;ndselspriser%202012/Regneark/Br&#230;ndselspriser%202012%20-%2020120628.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Spot/Office/temphold/TMPL_RE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pot\Office\temphold\TMPL_RE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VEDA/VEDA_Models/Denmark/TIMES-DK_Power_master/_VT_DK_SUP_V1p9.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EDA/VEDA_Models/TIMES-DK-TRA_20140623/TIMES-DK-TRA_20140623/Supply-Use_OilProduct.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VEDA/VEDA_Models/TIMES-DK-TRA_20140623/TIMES-DK-TRA_20140623/Supply-Use_OilProduct.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C:/RAMSES/Simuleringer/2012/2012-08-27/Rettelser_foretaget_i_DATA69_20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Lame12/f$/Documents%20and%20Settings/labriet/Local%20Settings/Temp/TMPL_RE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VT_DK_SUP.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Documentation/Energy%20Balance/Energy%20Balance%20Nordi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Cockpit"/>
      <sheetName val="ResultsOneYear"/>
      <sheetName val="ResultsAllYears"/>
      <sheetName val="A4results"/>
      <sheetName val="Vehicles"/>
      <sheetName val="Fuels"/>
      <sheetName val="Basic Data"/>
      <sheetName val="PC (FORCE 1) Bio-Methanol"/>
      <sheetName val="IC (FORCE 2) ETL-Methanol"/>
      <sheetName val="PC (FORCE 3) 1G ethanol"/>
      <sheetName val="PC (FORCE 4) 2G ethano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tog-elektricitet"/>
      <sheetName val="IC Elektrolyse og komprimering"/>
      <sheetName val="IC Ladestation"/>
      <sheetName val="IC Ladestation Hybrid"/>
      <sheetName val="IC Naturgas komprimering"/>
      <sheetName val="IC Ingen mellem"/>
      <sheetName val="EU Std benzin motor"/>
      <sheetName val="EU Std diesel motor"/>
      <sheetName val="EU Diesel motor DME"/>
      <sheetName val="EU Tilpasset Otto motor"/>
      <sheetName val="EU Brændselscelle, brint"/>
      <sheetName val="EU FC, brinthybrid"/>
      <sheetName val="EU FC, methanolhybrid"/>
      <sheetName val="EU Plugin Hybrid"/>
      <sheetName val="EU Elmotor"/>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FORCE 5) 1G diesel"/>
      <sheetName val="(FORCE 6) 1G HVO DIESEL"/>
      <sheetName val="(FORCE 8)  Diesel - MOGD"/>
      <sheetName val="(FORCE 10) SNG-gasification"/>
      <sheetName val="(FORCE 11) 2G Kerosene"/>
      <sheetName val="(FORCE 12) Torrefied wood"/>
      <sheetName val="(FORCE 13) Bio-Liquid"/>
      <sheetName val="(FORCE 14) 2G bio-ethanol"/>
      <sheetName val="(FORCE 15) Ethanol+Biogas"/>
      <sheetName val="(FORCE 16) 2G Diesel"/>
      <sheetName val="(FORCE 17) SNG-biogas"/>
    </sheetNames>
    <sheetDataSet>
      <sheetData sheetId="0" refreshError="1"/>
      <sheetData sheetId="1" refreshError="1"/>
      <sheetData sheetId="2"/>
      <sheetData sheetId="3">
        <row r="5">
          <cell r="B5">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Cockpit"/>
      <sheetName val="ResultsOneYear"/>
      <sheetName val="ResultsAllYears"/>
      <sheetName val="A4results"/>
      <sheetName val="Vehicles"/>
      <sheetName val="Fuels"/>
      <sheetName val="Basic Data"/>
      <sheetName val="PC (FORCE 1) Bio-Methanol"/>
      <sheetName val="IC (FORCE 2) ETL-Methanol"/>
      <sheetName val="PC (FORCE 3) 1G ethanol"/>
      <sheetName val="PC (FORCE 4) 2G ethanol"/>
      <sheetName val="PC (FORCE 7) 2G diesel"/>
      <sheetName val="PC (FORCE 9) Bio-DME "/>
      <sheetName val="PC (FORCE 18) Bio Jetfuel"/>
      <sheetName val="PC (FORCE 19) RME Rapeseed"/>
      <sheetName val="PC (FORCE 20) Ethanol SugarBeet"/>
      <sheetName val="PC Biogas ENS"/>
      <sheetName val="PC Diesel"/>
      <sheetName val="PC Benzin"/>
      <sheetName val="PC HFO"/>
      <sheetName val="PC Jet Fuel"/>
      <sheetName val="PC Naturgas raffinering"/>
      <sheetName val="PC brint-elektricitet"/>
      <sheetName val="PC oplade-elektricitet"/>
      <sheetName val="IC Importspor"/>
      <sheetName val="IC LNG"/>
      <sheetName val="IC tog-elektricitet"/>
      <sheetName val="IC Elektrolyse og komprimering"/>
      <sheetName val="IC Ladestation"/>
      <sheetName val="IC Ladestation Hybrid"/>
      <sheetName val="IC Naturgas komprimering"/>
      <sheetName val="IC Ingen mellem"/>
      <sheetName val="EU Std benzin motor"/>
      <sheetName val="EU Std diesel motor"/>
      <sheetName val="EU Diesel motor DME"/>
      <sheetName val="EU Tilpasset Otto motor"/>
      <sheetName val="EU Brændselscelle, brint"/>
      <sheetName val="EU FC, brinthybrid"/>
      <sheetName val="EU FC, methanolhybrid"/>
      <sheetName val="EU Plugin Hybrid"/>
      <sheetName val="EU Elmotor"/>
      <sheetName val="EU Lastbil"/>
      <sheetName val="EU Lastbil DME"/>
      <sheetName val="EU Lastbil RME"/>
      <sheetName val="EU Lastbil Gas"/>
      <sheetName val="EU Bus"/>
      <sheetName val="EU Bus Gas"/>
      <sheetName val="EU Bus El"/>
      <sheetName val="EU Bus Hybrid"/>
      <sheetName val="EU 9000 TEU HFO"/>
      <sheetName val="EU 9000 TEU Diesel"/>
      <sheetName val="EU 9000 TEU Dual fuel"/>
      <sheetName val="EU Katamaran ferry"/>
      <sheetName val="EU SAS avg. airplane"/>
      <sheetName val="EU Diesel Lokaltog"/>
      <sheetName val="EU Gas Lokaltog"/>
      <sheetName val="EU Diesel IC-reg.tog"/>
      <sheetName val="EU El IC-reg.tog"/>
      <sheetName val="Sensitivity"/>
      <sheetName val="Log2015"/>
      <sheetName val="Log2020"/>
      <sheetName val="Log2035"/>
      <sheetName val="Log2050"/>
      <sheetName val="(FORCE 5) 1G diesel"/>
      <sheetName val="(FORCE 6) 1G HVO DIESEL"/>
      <sheetName val="(FORCE 8)  Diesel - MOGD"/>
      <sheetName val="(FORCE 10) SNG-gasification"/>
      <sheetName val="(FORCE 11) 2G Kerosene"/>
      <sheetName val="(FORCE 12) Torrefied wood"/>
      <sheetName val="(FORCE 13) Bio-Liquid"/>
      <sheetName val="(FORCE 14) 2G bio-ethanol"/>
      <sheetName val="(FORCE 15) Ethanol+Biogas"/>
      <sheetName val="(FORCE 16) 2G Diesel"/>
      <sheetName val="(FORCE 17) SNG-biogas"/>
    </sheetNames>
    <sheetDataSet>
      <sheetData sheetId="0" refreshError="1"/>
      <sheetData sheetId="1" refreshError="1"/>
      <sheetData sheetId="2"/>
      <sheetData sheetId="3">
        <row r="5">
          <cell r="B5">
            <v>1</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2">
          <cell r="C32">
            <v>0.05</v>
          </cell>
        </row>
        <row r="34">
          <cell r="C34">
            <v>7.45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2">
          <cell r="C32">
            <v>0.05</v>
          </cell>
        </row>
        <row r="34">
          <cell r="C34">
            <v>7.45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COMM"/>
      <sheetName val="PROC"/>
      <sheetName val="MIN-IMP-EXP"/>
      <sheetName val="BiomassCost"/>
      <sheetName val="MIN-IMP-EXP_Data"/>
      <sheetName val="Refineries"/>
      <sheetName val="Refinery_data"/>
      <sheetName val="Fuel Tech"/>
      <sheetName val="Mining NGA&amp;CRD"/>
    </sheetNames>
    <sheetDataSet>
      <sheetData sheetId="0"/>
      <sheetData sheetId="1"/>
      <sheetData sheetId="2"/>
      <sheetData sheetId="3"/>
      <sheetData sheetId="4"/>
      <sheetData sheetId="5"/>
      <sheetData sheetId="6"/>
      <sheetData sheetId="7"/>
      <sheetData sheetId="8"/>
      <sheetData sheetId="9">
        <row r="13">
          <cell r="N13">
            <v>1970</v>
          </cell>
          <cell r="O13">
            <v>0</v>
          </cell>
          <cell r="P13">
            <v>1970</v>
          </cell>
          <cell r="Q13">
            <v>0</v>
          </cell>
        </row>
        <row r="14">
          <cell r="N14">
            <v>1971</v>
          </cell>
          <cell r="O14">
            <v>0</v>
          </cell>
          <cell r="P14">
            <v>1971</v>
          </cell>
          <cell r="Q14">
            <v>0</v>
          </cell>
        </row>
        <row r="15">
          <cell r="N15">
            <v>1972</v>
          </cell>
          <cell r="O15">
            <v>3.9063762799999999</v>
          </cell>
          <cell r="P15">
            <v>1972</v>
          </cell>
          <cell r="Q15">
            <v>0</v>
          </cell>
        </row>
        <row r="16">
          <cell r="N16">
            <v>1973</v>
          </cell>
          <cell r="O16">
            <v>5.6249426600000003</v>
          </cell>
          <cell r="P16">
            <v>1973</v>
          </cell>
          <cell r="Q16">
            <v>0</v>
          </cell>
        </row>
        <row r="17">
          <cell r="N17">
            <v>1974</v>
          </cell>
          <cell r="O17">
            <v>3.8189121299999997</v>
          </cell>
          <cell r="P17">
            <v>1974</v>
          </cell>
          <cell r="Q17">
            <v>0</v>
          </cell>
        </row>
        <row r="18">
          <cell r="N18">
            <v>1975</v>
          </cell>
          <cell r="O18">
            <v>6.938282844999998</v>
          </cell>
          <cell r="P18">
            <v>1975</v>
          </cell>
          <cell r="Q18">
            <v>0</v>
          </cell>
        </row>
        <row r="19">
          <cell r="N19">
            <v>1976</v>
          </cell>
          <cell r="O19">
            <v>8.240310805</v>
          </cell>
          <cell r="P19">
            <v>1976</v>
          </cell>
          <cell r="Q19">
            <v>0</v>
          </cell>
        </row>
        <row r="20">
          <cell r="N20">
            <v>1977</v>
          </cell>
          <cell r="O20">
            <v>21.33919118</v>
          </cell>
          <cell r="P20">
            <v>1977</v>
          </cell>
          <cell r="Q20">
            <v>0</v>
          </cell>
        </row>
        <row r="21">
          <cell r="N21">
            <v>1978</v>
          </cell>
          <cell r="O21">
            <v>17.937365719999999</v>
          </cell>
          <cell r="P21">
            <v>1978</v>
          </cell>
          <cell r="Q21">
            <v>0</v>
          </cell>
        </row>
        <row r="22">
          <cell r="N22">
            <v>1979</v>
          </cell>
          <cell r="O22">
            <v>17.869240174999998</v>
          </cell>
          <cell r="P22">
            <v>1979</v>
          </cell>
          <cell r="Q22">
            <v>0</v>
          </cell>
        </row>
        <row r="23">
          <cell r="N23">
            <v>1980</v>
          </cell>
          <cell r="O23">
            <v>12.373183779999996</v>
          </cell>
          <cell r="P23">
            <v>1980</v>
          </cell>
          <cell r="Q23">
            <v>0</v>
          </cell>
        </row>
        <row r="24">
          <cell r="N24">
            <v>1981</v>
          </cell>
          <cell r="O24">
            <v>32.128483999499998</v>
          </cell>
          <cell r="P24">
            <v>1981</v>
          </cell>
          <cell r="Q24">
            <v>0</v>
          </cell>
        </row>
        <row r="25">
          <cell r="N25">
            <v>1982</v>
          </cell>
          <cell r="O25">
            <v>72.038446551499987</v>
          </cell>
          <cell r="P25">
            <v>1982</v>
          </cell>
          <cell r="Q25">
            <v>0</v>
          </cell>
        </row>
        <row r="26">
          <cell r="N26">
            <v>1983</v>
          </cell>
          <cell r="O26">
            <v>92.17126623850001</v>
          </cell>
          <cell r="P26">
            <v>1983</v>
          </cell>
          <cell r="Q26">
            <v>0</v>
          </cell>
        </row>
        <row r="27">
          <cell r="N27">
            <v>1984</v>
          </cell>
          <cell r="O27">
            <v>99.119662102999996</v>
          </cell>
          <cell r="P27">
            <v>1984</v>
          </cell>
          <cell r="Q27">
            <v>8.1751533650999999</v>
          </cell>
        </row>
        <row r="28">
          <cell r="N28">
            <v>1985</v>
          </cell>
          <cell r="O28">
            <v>126.40816951749997</v>
          </cell>
          <cell r="P28">
            <v>1985</v>
          </cell>
          <cell r="Q28">
            <v>39.534091679219991</v>
          </cell>
        </row>
        <row r="29">
          <cell r="N29">
            <v>1986</v>
          </cell>
          <cell r="O29">
            <v>156.71466416049998</v>
          </cell>
          <cell r="P29">
            <v>1986</v>
          </cell>
          <cell r="Q29">
            <v>67.011070619999998</v>
          </cell>
        </row>
        <row r="30">
          <cell r="N30">
            <v>1987</v>
          </cell>
          <cell r="O30">
            <v>198.05099557949995</v>
          </cell>
          <cell r="P30">
            <v>1987</v>
          </cell>
          <cell r="Q30">
            <v>85.441607171640001</v>
          </cell>
        </row>
        <row r="31">
          <cell r="N31">
            <v>1988</v>
          </cell>
          <cell r="O31">
            <v>203.59257536499999</v>
          </cell>
          <cell r="P31">
            <v>1988</v>
          </cell>
          <cell r="Q31">
            <v>84.357604739999999</v>
          </cell>
        </row>
        <row r="32">
          <cell r="N32">
            <v>1989</v>
          </cell>
          <cell r="O32">
            <v>236.83774117799993</v>
          </cell>
          <cell r="P32">
            <v>1989</v>
          </cell>
          <cell r="Q32">
            <v>99.710055120000007</v>
          </cell>
        </row>
        <row r="33">
          <cell r="N33">
            <v>1990</v>
          </cell>
          <cell r="O33">
            <v>255.83014421249996</v>
          </cell>
          <cell r="P33">
            <v>1990</v>
          </cell>
          <cell r="Q33">
            <v>102.20894573999999</v>
          </cell>
        </row>
        <row r="34">
          <cell r="N34">
            <v>1991</v>
          </cell>
          <cell r="O34">
            <v>301.74428235600004</v>
          </cell>
          <cell r="P34">
            <v>1991</v>
          </cell>
          <cell r="Q34">
            <v>130.33458492</v>
          </cell>
        </row>
        <row r="35">
          <cell r="N35">
            <v>1992</v>
          </cell>
          <cell r="O35">
            <v>333.50782849450002</v>
          </cell>
          <cell r="P35">
            <v>1992</v>
          </cell>
          <cell r="Q35">
            <v>134.75320500000001</v>
          </cell>
        </row>
        <row r="36">
          <cell r="N36">
            <v>1993</v>
          </cell>
          <cell r="O36">
            <v>355.40463378449994</v>
          </cell>
          <cell r="P36">
            <v>1993</v>
          </cell>
          <cell r="Q36">
            <v>148.736853252</v>
          </cell>
        </row>
        <row r="37">
          <cell r="N37">
            <v>1994</v>
          </cell>
          <cell r="O37">
            <v>392.08539908499995</v>
          </cell>
          <cell r="P37">
            <v>1994</v>
          </cell>
          <cell r="Q37">
            <v>160.69365657</v>
          </cell>
        </row>
        <row r="38">
          <cell r="N38">
            <v>1995</v>
          </cell>
          <cell r="O38">
            <v>394.31718960000001</v>
          </cell>
          <cell r="P38">
            <v>1995</v>
          </cell>
          <cell r="Q38">
            <v>174.36045233999997</v>
          </cell>
        </row>
        <row r="39">
          <cell r="N39">
            <v>1996</v>
          </cell>
          <cell r="O39">
            <v>441.76722453349998</v>
          </cell>
          <cell r="P39">
            <v>1996</v>
          </cell>
          <cell r="Q39">
            <v>212.07110844000002</v>
          </cell>
        </row>
        <row r="40">
          <cell r="N40">
            <v>1997</v>
          </cell>
          <cell r="O40">
            <v>488.55306848099985</v>
          </cell>
          <cell r="P40">
            <v>1997</v>
          </cell>
          <cell r="Q40">
            <v>258.60563430000002</v>
          </cell>
        </row>
        <row r="41">
          <cell r="N41">
            <v>1998</v>
          </cell>
          <cell r="O41">
            <v>504.77021831949997</v>
          </cell>
          <cell r="P41">
            <v>1998</v>
          </cell>
          <cell r="Q41">
            <v>246.34854178865999</v>
          </cell>
        </row>
        <row r="42">
          <cell r="N42">
            <v>1999</v>
          </cell>
          <cell r="O42">
            <v>634.57442889399988</v>
          </cell>
          <cell r="P42">
            <v>1999</v>
          </cell>
          <cell r="Q42">
            <v>251.45193919800002</v>
          </cell>
        </row>
        <row r="43">
          <cell r="N43">
            <v>2000</v>
          </cell>
          <cell r="O43">
            <v>772.4471115450001</v>
          </cell>
          <cell r="P43">
            <v>2000</v>
          </cell>
          <cell r="Q43">
            <v>264.9077108733</v>
          </cell>
        </row>
        <row r="44">
          <cell r="N44">
            <v>2001</v>
          </cell>
          <cell r="O44">
            <v>738.56745381399969</v>
          </cell>
          <cell r="P44">
            <v>2001</v>
          </cell>
          <cell r="Q44">
            <v>272.09152744379998</v>
          </cell>
        </row>
        <row r="45">
          <cell r="N45">
            <v>2002</v>
          </cell>
          <cell r="O45">
            <v>786.00341114949993</v>
          </cell>
          <cell r="P45">
            <v>2002</v>
          </cell>
          <cell r="Q45">
            <v>271.06723825847996</v>
          </cell>
        </row>
        <row r="46">
          <cell r="N46">
            <v>2003</v>
          </cell>
          <cell r="O46">
            <v>779.4855574720001</v>
          </cell>
          <cell r="P46">
            <v>2003</v>
          </cell>
          <cell r="Q46">
            <v>256.26093243269997</v>
          </cell>
        </row>
        <row r="47">
          <cell r="N47">
            <v>2004</v>
          </cell>
          <cell r="O47">
            <v>826.48621490699998</v>
          </cell>
          <cell r="P47">
            <v>2004</v>
          </cell>
          <cell r="Q47">
            <v>306.90174222611995</v>
          </cell>
        </row>
        <row r="48">
          <cell r="N48">
            <v>2005</v>
          </cell>
          <cell r="O48">
            <v>799.92979010349995</v>
          </cell>
          <cell r="P48">
            <v>2005</v>
          </cell>
          <cell r="Q48">
            <v>342.25197658242001</v>
          </cell>
        </row>
        <row r="49">
          <cell r="N49">
            <v>2006</v>
          </cell>
          <cell r="O49">
            <v>725.39404141000011</v>
          </cell>
          <cell r="P49">
            <v>2006</v>
          </cell>
          <cell r="Q49">
            <v>340.34999666268004</v>
          </cell>
        </row>
        <row r="50">
          <cell r="N50">
            <v>2007</v>
          </cell>
          <cell r="O50">
            <v>660.97930423949992</v>
          </cell>
          <cell r="P50">
            <v>2007</v>
          </cell>
          <cell r="Q50">
            <v>298.94690504946004</v>
          </cell>
        </row>
        <row r="51">
          <cell r="N51">
            <v>2008</v>
          </cell>
          <cell r="O51">
            <v>609.3534128</v>
          </cell>
          <cell r="P51">
            <v>2008</v>
          </cell>
          <cell r="Q51">
            <v>329.25697641185997</v>
          </cell>
        </row>
        <row r="52">
          <cell r="N52">
            <v>2009</v>
          </cell>
          <cell r="O52">
            <v>554.41616080549989</v>
          </cell>
          <cell r="P52">
            <v>2009</v>
          </cell>
          <cell r="Q52">
            <v>272.01112376345998</v>
          </cell>
        </row>
        <row r="53">
          <cell r="N53">
            <v>2010</v>
          </cell>
          <cell r="O53">
            <v>519.86831128894983</v>
          </cell>
          <cell r="P53">
            <v>2010</v>
          </cell>
          <cell r="Q53">
            <v>265.23685714097996</v>
          </cell>
        </row>
        <row r="54">
          <cell r="N54">
            <v>2011</v>
          </cell>
          <cell r="O54">
            <v>469.09851343060012</v>
          </cell>
          <cell r="P54">
            <v>2011</v>
          </cell>
          <cell r="Q54">
            <v>209.27847161760002</v>
          </cell>
        </row>
        <row r="55">
          <cell r="N55">
            <v>2012</v>
          </cell>
          <cell r="O55">
            <v>428.63451951864329</v>
          </cell>
          <cell r="P55">
            <v>2012</v>
          </cell>
          <cell r="Q55">
            <v>180.60129782946001</v>
          </cell>
        </row>
        <row r="56">
          <cell r="N56">
            <v>2013</v>
          </cell>
          <cell r="O56">
            <v>372.26210088398392</v>
          </cell>
          <cell r="P56">
            <v>2013</v>
          </cell>
          <cell r="Q56">
            <v>147.85709381958</v>
          </cell>
        </row>
        <row r="57">
          <cell r="N57">
            <v>2014</v>
          </cell>
          <cell r="O57">
            <v>360.69536617999637</v>
          </cell>
          <cell r="P57">
            <v>2014</v>
          </cell>
          <cell r="Q57">
            <v>165.28979713044848</v>
          </cell>
        </row>
        <row r="58">
          <cell r="N58">
            <v>2015</v>
          </cell>
          <cell r="O58">
            <v>346.42491625077844</v>
          </cell>
          <cell r="P58">
            <v>2015</v>
          </cell>
          <cell r="Q58">
            <v>147.9204524829976</v>
          </cell>
        </row>
        <row r="59">
          <cell r="N59">
            <v>2016</v>
          </cell>
          <cell r="O59">
            <v>359.37763530935962</v>
          </cell>
          <cell r="P59">
            <v>2016</v>
          </cell>
          <cell r="Q59">
            <v>137.98415725870768</v>
          </cell>
        </row>
        <row r="60">
          <cell r="N60">
            <v>2017</v>
          </cell>
          <cell r="O60">
            <v>373.83988905959052</v>
          </cell>
          <cell r="P60">
            <v>2017</v>
          </cell>
          <cell r="Q60">
            <v>140.06521490048914</v>
          </cell>
        </row>
        <row r="61">
          <cell r="N61">
            <v>2018</v>
          </cell>
          <cell r="O61">
            <v>341.44882521063067</v>
          </cell>
          <cell r="P61">
            <v>2018</v>
          </cell>
          <cell r="Q61">
            <v>142.63499572318014</v>
          </cell>
        </row>
        <row r="62">
          <cell r="N62">
            <v>2019</v>
          </cell>
          <cell r="O62">
            <v>319.51083534163627</v>
          </cell>
          <cell r="P62">
            <v>2019</v>
          </cell>
          <cell r="Q62">
            <v>147.0249989189474</v>
          </cell>
        </row>
        <row r="63">
          <cell r="N63">
            <v>2020</v>
          </cell>
          <cell r="O63">
            <v>346.12686523704082</v>
          </cell>
          <cell r="P63">
            <v>2020</v>
          </cell>
          <cell r="Q63">
            <v>134.61703455286113</v>
          </cell>
        </row>
        <row r="64">
          <cell r="N64">
            <v>2021</v>
          </cell>
          <cell r="O64">
            <v>310.39012010638231</v>
          </cell>
          <cell r="P64">
            <v>2021</v>
          </cell>
          <cell r="Q64">
            <v>117.43914602328036</v>
          </cell>
        </row>
        <row r="65">
          <cell r="N65">
            <v>2022</v>
          </cell>
          <cell r="O65">
            <v>272.44698156336995</v>
          </cell>
          <cell r="P65">
            <v>2022</v>
          </cell>
          <cell r="Q65">
            <v>105.0668244019039</v>
          </cell>
        </row>
        <row r="66">
          <cell r="N66">
            <v>2023</v>
          </cell>
          <cell r="O66">
            <v>230.1973862930702</v>
          </cell>
          <cell r="P66">
            <v>2023</v>
          </cell>
          <cell r="Q66">
            <v>93.572026320342005</v>
          </cell>
        </row>
        <row r="67">
          <cell r="N67">
            <v>2024</v>
          </cell>
          <cell r="O67">
            <v>198.31298736701311</v>
          </cell>
          <cell r="P67">
            <v>2024</v>
          </cell>
          <cell r="Q67">
            <v>82.718244404631108</v>
          </cell>
        </row>
        <row r="68">
          <cell r="N68">
            <v>2025</v>
          </cell>
          <cell r="O68">
            <v>172.73874918542745</v>
          </cell>
          <cell r="P68">
            <v>2025</v>
          </cell>
          <cell r="Q68">
            <v>83.165323453694839</v>
          </cell>
        </row>
        <row r="69">
          <cell r="N69">
            <v>2026</v>
          </cell>
          <cell r="O69">
            <v>152.17745425926154</v>
          </cell>
          <cell r="P69">
            <v>2026</v>
          </cell>
          <cell r="Q69">
            <v>73.381128938120071</v>
          </cell>
        </row>
        <row r="70">
          <cell r="N70">
            <v>2027</v>
          </cell>
          <cell r="O70">
            <v>135.62297626584467</v>
          </cell>
          <cell r="P70">
            <v>2027</v>
          </cell>
          <cell r="Q70">
            <v>61.633926702864862</v>
          </cell>
        </row>
        <row r="71">
          <cell r="N71">
            <v>2028</v>
          </cell>
          <cell r="O71">
            <v>120.66965691216404</v>
          </cell>
          <cell r="P71">
            <v>2028</v>
          </cell>
          <cell r="Q71">
            <v>50.941033193664481</v>
          </cell>
        </row>
        <row r="72">
          <cell r="N72">
            <v>2029</v>
          </cell>
          <cell r="O72">
            <v>106.96724207455215</v>
          </cell>
          <cell r="P72">
            <v>2029</v>
          </cell>
          <cell r="Q72">
            <v>41.149732286283594</v>
          </cell>
        </row>
        <row r="73">
          <cell r="N73">
            <v>2030</v>
          </cell>
          <cell r="O73">
            <v>97.946105969636946</v>
          </cell>
          <cell r="P73">
            <v>2030</v>
          </cell>
          <cell r="Q73">
            <v>36.600982586539267</v>
          </cell>
        </row>
        <row r="74">
          <cell r="N74">
            <v>2031</v>
          </cell>
          <cell r="O74">
            <v>89.247617806244889</v>
          </cell>
          <cell r="P74">
            <v>2031</v>
          </cell>
          <cell r="Q74">
            <v>35.141098751516111</v>
          </cell>
        </row>
        <row r="75">
          <cell r="N75">
            <v>2032</v>
          </cell>
          <cell r="O75">
            <v>81.555274196473732</v>
          </cell>
          <cell r="P75">
            <v>2032</v>
          </cell>
          <cell r="Q75">
            <v>27.047692823138334</v>
          </cell>
        </row>
        <row r="76">
          <cell r="N76">
            <v>2033</v>
          </cell>
          <cell r="O76">
            <v>74.824049423119121</v>
          </cell>
          <cell r="P76">
            <v>2033</v>
          </cell>
          <cell r="Q76">
            <v>14.109119613333579</v>
          </cell>
        </row>
        <row r="77">
          <cell r="N77">
            <v>2034</v>
          </cell>
          <cell r="O77">
            <v>67.990348317121516</v>
          </cell>
          <cell r="P77">
            <v>2034</v>
          </cell>
          <cell r="Q77">
            <v>10.544761254977002</v>
          </cell>
        </row>
        <row r="78">
          <cell r="N78">
            <v>2035</v>
          </cell>
          <cell r="O78">
            <v>63.035195129590818</v>
          </cell>
          <cell r="P78">
            <v>2035</v>
          </cell>
          <cell r="Q78">
            <v>8.7361544991781486</v>
          </cell>
        </row>
        <row r="79">
          <cell r="N79">
            <v>2036</v>
          </cell>
          <cell r="O79">
            <v>58.993686280687413</v>
          </cell>
          <cell r="P79">
            <v>2036</v>
          </cell>
          <cell r="Q79">
            <v>7.9136172262211169</v>
          </cell>
        </row>
        <row r="80">
          <cell r="N80">
            <v>2037</v>
          </cell>
          <cell r="O80">
            <v>54.629544719497872</v>
          </cell>
          <cell r="P80">
            <v>2037</v>
          </cell>
          <cell r="Q80">
            <v>7.1974607536135915</v>
          </cell>
        </row>
        <row r="81">
          <cell r="N81">
            <v>2038</v>
          </cell>
          <cell r="O81">
            <v>50.996951627073798</v>
          </cell>
          <cell r="P81">
            <v>2038</v>
          </cell>
          <cell r="Q81">
            <v>6.6397426927836616</v>
          </cell>
        </row>
        <row r="82">
          <cell r="N82">
            <v>2039</v>
          </cell>
          <cell r="O82">
            <v>47.389538373197347</v>
          </cell>
          <cell r="P82">
            <v>2039</v>
          </cell>
          <cell r="Q82">
            <v>6.1329731323866126</v>
          </cell>
        </row>
        <row r="83">
          <cell r="N83">
            <v>2040</v>
          </cell>
          <cell r="O83">
            <v>43.16659817762703</v>
          </cell>
          <cell r="P83">
            <v>2040</v>
          </cell>
          <cell r="Q83">
            <v>4.2868271675929117</v>
          </cell>
        </row>
        <row r="84">
          <cell r="N84">
            <v>2041</v>
          </cell>
          <cell r="O84">
            <v>38.465218850844352</v>
          </cell>
          <cell r="P84">
            <v>2041</v>
          </cell>
          <cell r="Q84">
            <v>0.44869245083362064</v>
          </cell>
        </row>
        <row r="85">
          <cell r="N85">
            <v>2042</v>
          </cell>
          <cell r="O85">
            <v>36.31459420882797</v>
          </cell>
          <cell r="P85">
            <v>2042</v>
          </cell>
          <cell r="Q85">
            <v>0.40382320575025876</v>
          </cell>
        </row>
        <row r="86">
          <cell r="N86">
            <v>2043</v>
          </cell>
          <cell r="O86">
            <v>0</v>
          </cell>
          <cell r="P86">
            <v>2043</v>
          </cell>
          <cell r="Q86">
            <v>0</v>
          </cell>
        </row>
        <row r="87">
          <cell r="N87">
            <v>2044</v>
          </cell>
          <cell r="O87">
            <v>0</v>
          </cell>
          <cell r="P87">
            <v>2044</v>
          </cell>
          <cell r="Q87">
            <v>0</v>
          </cell>
        </row>
        <row r="88">
          <cell r="N88">
            <v>2045</v>
          </cell>
          <cell r="O88">
            <v>0</v>
          </cell>
          <cell r="P88">
            <v>2045</v>
          </cell>
          <cell r="Q88">
            <v>0</v>
          </cell>
        </row>
        <row r="89">
          <cell r="N89">
            <v>2046</v>
          </cell>
          <cell r="O89">
            <v>0</v>
          </cell>
          <cell r="P89">
            <v>2046</v>
          </cell>
          <cell r="Q89">
            <v>0</v>
          </cell>
        </row>
        <row r="90">
          <cell r="N90">
            <v>2047</v>
          </cell>
          <cell r="O90">
            <v>0</v>
          </cell>
          <cell r="P90">
            <v>2047</v>
          </cell>
          <cell r="Q90">
            <v>0</v>
          </cell>
        </row>
        <row r="91">
          <cell r="N91">
            <v>2048</v>
          </cell>
          <cell r="O91">
            <v>0</v>
          </cell>
          <cell r="P91">
            <v>2048</v>
          </cell>
          <cell r="Q91">
            <v>0</v>
          </cell>
        </row>
        <row r="92">
          <cell r="N92">
            <v>2049</v>
          </cell>
          <cell r="O92">
            <v>0</v>
          </cell>
          <cell r="P92">
            <v>2049</v>
          </cell>
          <cell r="Q92">
            <v>0</v>
          </cell>
        </row>
        <row r="93">
          <cell r="N93">
            <v>2050</v>
          </cell>
          <cell r="O93">
            <v>0</v>
          </cell>
          <cell r="P93">
            <v>2050</v>
          </cell>
          <cell r="Q93">
            <v>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odities"/>
      <sheetName val="Processes"/>
      <sheetName val="MIN-IMP-EXP"/>
      <sheetName val="ETS_NETS_Prices"/>
      <sheetName val="Refineries"/>
      <sheetName val="Emis"/>
      <sheetName val="Fuel Tech"/>
      <sheetName val="BiomassCost"/>
      <sheetName val="MIN-IMP-EXP_Data"/>
      <sheetName val="Refinery_data"/>
      <sheetName val="Table1.A(a)s1"/>
      <sheetName val="Oversigt energibalance"/>
      <sheetName val="Produktion af primær energi"/>
    </sheetNames>
    <sheetDataSet>
      <sheetData sheetId="0"/>
      <sheetData sheetId="1"/>
      <sheetData sheetId="2">
        <row r="15">
          <cell r="E15" t="str">
            <v>LPG</v>
          </cell>
        </row>
      </sheetData>
      <sheetData sheetId="3"/>
      <sheetData sheetId="4"/>
      <sheetData sheetId="5"/>
      <sheetData sheetId="6"/>
      <sheetData sheetId="7"/>
      <sheetData sheetId="8"/>
      <sheetData sheetId="9">
        <row r="30">
          <cell r="G30">
            <v>72.400000000000006</v>
          </cell>
        </row>
        <row r="31">
          <cell r="G31">
            <v>10.6</v>
          </cell>
        </row>
        <row r="33">
          <cell r="G33">
            <v>101.7</v>
          </cell>
        </row>
        <row r="43">
          <cell r="G43">
            <v>207.6</v>
          </cell>
        </row>
      </sheetData>
      <sheetData sheetId="10"/>
      <sheetData sheetId="11"/>
      <sheetData sheetId="12"/>
      <sheetData sheetId="13"/>
      <sheetData sheetId="1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Refineries"/>
      <sheetName val="Refinery_data"/>
      <sheetName val="OTHRefineries"/>
      <sheetName val="Eurostats"/>
      <sheetName val="Translation"/>
    </sheetNames>
    <sheetDataSet>
      <sheetData sheetId="0"/>
      <sheetData sheetId="1">
        <row r="47">
          <cell r="Q47">
            <v>-826467.45000000007</v>
          </cell>
          <cell r="R47">
            <v>-879348.89199999999</v>
          </cell>
          <cell r="S47">
            <v>-817111.37299999991</v>
          </cell>
          <cell r="T47">
            <v>-836226.20499999996</v>
          </cell>
        </row>
        <row r="48">
          <cell r="Q48">
            <v>5556.3</v>
          </cell>
          <cell r="R48">
            <v>7320.6</v>
          </cell>
          <cell r="T48">
            <v>8812.7999999999993</v>
          </cell>
        </row>
        <row r="49">
          <cell r="Q49">
            <v>47192.5</v>
          </cell>
          <cell r="R49">
            <v>45787.8</v>
          </cell>
          <cell r="T49">
            <v>47056.98</v>
          </cell>
        </row>
        <row r="50">
          <cell r="Q50">
            <v>28264.5</v>
          </cell>
          <cell r="R50">
            <v>30838.5</v>
          </cell>
          <cell r="S50">
            <v>38016</v>
          </cell>
          <cell r="T50">
            <v>9306</v>
          </cell>
        </row>
        <row r="51">
          <cell r="Q51">
            <v>16271.2</v>
          </cell>
          <cell r="R51">
            <v>18447</v>
          </cell>
          <cell r="T51">
            <v>22975.955999999998</v>
          </cell>
        </row>
        <row r="52">
          <cell r="Q52">
            <v>12326.5</v>
          </cell>
          <cell r="R52">
            <v>10680</v>
          </cell>
          <cell r="S52">
            <v>0</v>
          </cell>
          <cell r="T52">
            <v>-7204.5659999999998</v>
          </cell>
        </row>
        <row r="53">
          <cell r="Q53">
            <v>161606.39999999999</v>
          </cell>
          <cell r="R53">
            <v>197976.7</v>
          </cell>
          <cell r="T53">
            <v>222323.94</v>
          </cell>
        </row>
        <row r="54">
          <cell r="Q54">
            <v>333895</v>
          </cell>
          <cell r="R54">
            <v>354234</v>
          </cell>
          <cell r="T54">
            <v>361836.99</v>
          </cell>
        </row>
        <row r="55">
          <cell r="Q55">
            <v>210807.2</v>
          </cell>
          <cell r="R55">
            <v>195132</v>
          </cell>
          <cell r="T55">
            <v>168071.242</v>
          </cell>
        </row>
        <row r="56">
          <cell r="Q56">
            <v>1527.5</v>
          </cell>
          <cell r="R56">
            <v>2112.5</v>
          </cell>
          <cell r="T56">
            <v>2402.0279999999998</v>
          </cell>
        </row>
      </sheetData>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Mikkel Bosack" id="{CC05C30B-6ACB-4421-9BF1-24D57E124809}" userId="S::mikkel.bosack@energymodellinglab.com::b594ae19-3675-44c5-8ed6-19b23ef79d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D5" dT="2020-09-18T09:45:09.76" personId="{CC05C30B-6ACB-4421-9BF1-24D57E124809}" id="{13C8AAA0-6E86-4EA1-8914-94D2CB36AEC4}">
    <text>Needs to verified</text>
  </threadedComment>
</ThreadedComment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9"/>
  </sheetPr>
  <dimension ref="A3:E50"/>
  <sheetViews>
    <sheetView zoomScaleNormal="100" workbookViewId="0">
      <selection activeCell="B5" sqref="B5"/>
    </sheetView>
  </sheetViews>
  <sheetFormatPr defaultColWidth="9.109375" defaultRowHeight="13.2"/>
  <cols>
    <col min="1" max="1" width="11" style="30" bestFit="1" customWidth="1"/>
    <col min="2" max="2" width="23.109375" style="30" bestFit="1" customWidth="1"/>
    <col min="3" max="3" width="28" style="30" bestFit="1" customWidth="1"/>
    <col min="4" max="4" width="16.33203125" style="30" bestFit="1" customWidth="1"/>
    <col min="5" max="5" width="144.44140625" style="30" bestFit="1" customWidth="1"/>
    <col min="6" max="8" width="9.109375" style="30"/>
    <col min="9" max="9" width="13" style="30" customWidth="1"/>
    <col min="10" max="10" width="14.44140625" style="30" bestFit="1" customWidth="1"/>
    <col min="11" max="16384" width="9.109375" style="30"/>
  </cols>
  <sheetData>
    <row r="3" spans="1:5">
      <c r="A3" s="28" t="s">
        <v>107</v>
      </c>
      <c r="B3" s="29" t="s">
        <v>108</v>
      </c>
      <c r="C3" s="29" t="s">
        <v>109</v>
      </c>
      <c r="D3" s="29" t="s">
        <v>110</v>
      </c>
      <c r="E3" s="29" t="s">
        <v>111</v>
      </c>
    </row>
    <row r="4" spans="1:5">
      <c r="A4" s="252">
        <v>43028</v>
      </c>
      <c r="B4" s="253" t="s">
        <v>617</v>
      </c>
      <c r="C4" s="253" t="s">
        <v>175</v>
      </c>
      <c r="D4" s="253"/>
      <c r="E4" s="253" t="s">
        <v>618</v>
      </c>
    </row>
    <row r="5" spans="1:5">
      <c r="A5" s="252">
        <v>42632</v>
      </c>
      <c r="B5" s="253" t="s">
        <v>596</v>
      </c>
      <c r="C5" s="253" t="s">
        <v>597</v>
      </c>
      <c r="D5" s="253"/>
      <c r="E5" s="253" t="s">
        <v>598</v>
      </c>
    </row>
    <row r="6" spans="1:5">
      <c r="A6" s="252">
        <v>42515</v>
      </c>
      <c r="B6" s="287" t="s">
        <v>525</v>
      </c>
      <c r="C6" s="287" t="s">
        <v>175</v>
      </c>
      <c r="D6" s="287"/>
      <c r="E6" s="287" t="s">
        <v>588</v>
      </c>
    </row>
    <row r="7" spans="1:5">
      <c r="A7" s="252">
        <v>42478</v>
      </c>
      <c r="B7" s="287" t="s">
        <v>197</v>
      </c>
      <c r="C7" s="287" t="s">
        <v>563</v>
      </c>
      <c r="D7" s="287"/>
      <c r="E7" s="287" t="s">
        <v>580</v>
      </c>
    </row>
    <row r="8" spans="1:5">
      <c r="A8" s="252">
        <v>42478</v>
      </c>
      <c r="B8" s="287" t="s">
        <v>197</v>
      </c>
      <c r="C8" s="287" t="s">
        <v>564</v>
      </c>
      <c r="D8" s="287"/>
      <c r="E8" s="287" t="s">
        <v>581</v>
      </c>
    </row>
    <row r="9" spans="1:5">
      <c r="A9" s="252">
        <v>42478</v>
      </c>
      <c r="B9" s="287" t="s">
        <v>197</v>
      </c>
      <c r="C9" s="287" t="s">
        <v>175</v>
      </c>
      <c r="D9" s="287" t="s">
        <v>585</v>
      </c>
      <c r="E9" s="287" t="s">
        <v>584</v>
      </c>
    </row>
    <row r="10" spans="1:5">
      <c r="A10" s="252">
        <v>42474</v>
      </c>
      <c r="B10" s="287" t="s">
        <v>578</v>
      </c>
      <c r="C10" s="253"/>
      <c r="D10" s="287"/>
      <c r="E10" s="287" t="s">
        <v>579</v>
      </c>
    </row>
    <row r="11" spans="1:5">
      <c r="A11" s="252">
        <v>42430</v>
      </c>
      <c r="B11" s="287" t="s">
        <v>525</v>
      </c>
      <c r="C11" s="253" t="s">
        <v>394</v>
      </c>
      <c r="D11" s="287" t="s">
        <v>553</v>
      </c>
      <c r="E11" s="287" t="s">
        <v>554</v>
      </c>
    </row>
    <row r="12" spans="1:5">
      <c r="A12" s="252">
        <v>42430</v>
      </c>
      <c r="B12" s="287" t="s">
        <v>525</v>
      </c>
      <c r="C12" s="30" t="s">
        <v>472</v>
      </c>
      <c r="D12" s="30" t="s">
        <v>555</v>
      </c>
      <c r="E12" s="30" t="s">
        <v>556</v>
      </c>
    </row>
    <row r="13" spans="1:5">
      <c r="A13" s="252">
        <v>42430</v>
      </c>
      <c r="B13" s="287" t="s">
        <v>525</v>
      </c>
      <c r="C13" s="253" t="s">
        <v>175</v>
      </c>
      <c r="D13" s="287" t="s">
        <v>552</v>
      </c>
      <c r="E13" s="287" t="s">
        <v>551</v>
      </c>
    </row>
    <row r="14" spans="1:5">
      <c r="A14" s="252">
        <v>42430</v>
      </c>
      <c r="B14" s="287" t="s">
        <v>525</v>
      </c>
      <c r="C14" s="253" t="s">
        <v>175</v>
      </c>
      <c r="D14" s="287" t="s">
        <v>526</v>
      </c>
      <c r="E14" s="287" t="s">
        <v>527</v>
      </c>
    </row>
    <row r="15" spans="1:5" s="254" customFormat="1">
      <c r="A15" s="252">
        <v>42318</v>
      </c>
      <c r="B15" s="253" t="s">
        <v>230</v>
      </c>
      <c r="C15" s="253" t="s">
        <v>472</v>
      </c>
      <c r="D15" s="253" t="str">
        <f>ADDRESS(ROW(ETS_NETS_Prices!E6),COLUMN(ETS_NETS_Prices!E6),4,1)&amp;":"&amp;ADDRESS(ROW(ETS_NETS_Prices!AS6),COLUMN(ETS_NETS_Prices!AS6),4,1)</f>
        <v>E6:AS6</v>
      </c>
      <c r="E15" s="253" t="s">
        <v>522</v>
      </c>
    </row>
    <row r="16" spans="1:5" s="254" customFormat="1">
      <c r="A16" s="252">
        <v>42313</v>
      </c>
      <c r="B16" s="253" t="s">
        <v>230</v>
      </c>
      <c r="C16" s="253" t="s">
        <v>175</v>
      </c>
      <c r="D16" s="253" t="e">
        <f>ADDRESS(ROW(#REF!),COLUMN(#REF!),4,1)&amp;":"&amp;ADDRESS(ROW(#REF!),COLUMN(#REF!),4,1)</f>
        <v>#REF!</v>
      </c>
      <c r="E16" s="253" t="s">
        <v>520</v>
      </c>
    </row>
    <row r="17" spans="1:5" s="254" customFormat="1">
      <c r="A17" s="252">
        <v>42313</v>
      </c>
      <c r="B17" s="253" t="s">
        <v>230</v>
      </c>
      <c r="C17" s="253" t="s">
        <v>472</v>
      </c>
      <c r="D17" s="253" t="str">
        <f>ADDRESS(ROW(ETS_NETS_Prices!B7),COLUMN(ETS_NETS_Prices!B7),4,1)&amp;":"&amp;ADDRESS(ROW(ETS_NETS_Prices!AS7),COLUMN(ETS_NETS_Prices!AS7),4,1)</f>
        <v>B7:AS7</v>
      </c>
      <c r="E17" s="253" t="s">
        <v>521</v>
      </c>
    </row>
    <row r="18" spans="1:5" s="250" customFormat="1">
      <c r="A18" s="247">
        <v>42312</v>
      </c>
      <c r="B18" s="246" t="s">
        <v>230</v>
      </c>
      <c r="C18" s="246" t="s">
        <v>187</v>
      </c>
      <c r="D18" s="246" t="e">
        <f>ADDRESS(ROW(#REF!),COLUMN(#REF!),4,1)&amp;":"&amp;ADDRESS(ROW(#REF!),COLUMN(#REF!),4,1)</f>
        <v>#REF!</v>
      </c>
      <c r="E18" s="246" t="s">
        <v>505</v>
      </c>
    </row>
    <row r="19" spans="1:5">
      <c r="A19" s="247">
        <v>42116</v>
      </c>
      <c r="B19" s="59" t="s">
        <v>230</v>
      </c>
      <c r="C19" s="246" t="s">
        <v>175</v>
      </c>
      <c r="D19" s="59" t="s">
        <v>474</v>
      </c>
      <c r="E19" s="246" t="s">
        <v>475</v>
      </c>
    </row>
    <row r="20" spans="1:5">
      <c r="A20" s="58">
        <v>42116</v>
      </c>
      <c r="B20" s="59" t="s">
        <v>230</v>
      </c>
      <c r="C20" s="246" t="s">
        <v>472</v>
      </c>
      <c r="D20" s="59"/>
      <c r="E20" s="246" t="s">
        <v>473</v>
      </c>
    </row>
    <row r="21" spans="1:5" s="60" customFormat="1">
      <c r="A21" s="58">
        <v>42046</v>
      </c>
      <c r="B21" s="59" t="s">
        <v>230</v>
      </c>
      <c r="C21" s="59" t="s">
        <v>394</v>
      </c>
      <c r="D21" s="59" t="e">
        <f>ADDRESS(ROW(#REF!),COLUMN(#REF!),4,1)&amp;":"&amp;ADDRESS(ROW(#REF!),COLUMN(#REF!),4,1)</f>
        <v>#REF!</v>
      </c>
      <c r="E21" s="59" t="s">
        <v>464</v>
      </c>
    </row>
    <row r="22" spans="1:5" s="60" customFormat="1">
      <c r="A22" s="58">
        <v>42045</v>
      </c>
      <c r="B22" s="59" t="s">
        <v>230</v>
      </c>
      <c r="C22" s="59" t="s">
        <v>394</v>
      </c>
      <c r="D22" s="59" t="str">
        <f>ADDRESS(ROW(BiomassCost!B22),COLUMN(BiomassCost!B22),4,1)&amp;":"&amp;ADDRESS(ROW(BiomassCost!AC183),COLUMN(BiomassCost!AC183),4,1)</f>
        <v>B22:AC183</v>
      </c>
      <c r="E22" s="59" t="s">
        <v>395</v>
      </c>
    </row>
    <row r="23" spans="1:5" s="60" customFormat="1">
      <c r="A23" s="58">
        <v>42044</v>
      </c>
      <c r="B23" s="59" t="s">
        <v>197</v>
      </c>
      <c r="C23" s="59" t="s">
        <v>175</v>
      </c>
      <c r="D23" s="59" t="e">
        <f>ADDRESS(ROW(#REF!),COLUMN(#REF!),4,1)&amp;":"&amp;ADDRESS(ROW(#REF!),COLUMN(#REF!),4,1)</f>
        <v>#REF!</v>
      </c>
      <c r="E23" s="59" t="s">
        <v>267</v>
      </c>
    </row>
    <row r="24" spans="1:5" s="60" customFormat="1">
      <c r="A24" s="58">
        <v>42044</v>
      </c>
      <c r="B24" s="59" t="s">
        <v>197</v>
      </c>
      <c r="C24" s="59" t="s">
        <v>121</v>
      </c>
      <c r="D24" s="59" t="e">
        <f>ADDRESS(ROW(Processes!#REF!),COLUMN(Processes!#REF!),4,1)&amp;":"&amp;ADDRESS(ROW(Processes!#REF!),COLUMN(Processes!#REF!),4,1)</f>
        <v>#REF!</v>
      </c>
      <c r="E24" s="59" t="s">
        <v>266</v>
      </c>
    </row>
    <row r="25" spans="1:5" s="60" customFormat="1">
      <c r="A25" s="58">
        <v>42044</v>
      </c>
      <c r="B25" s="59" t="s">
        <v>197</v>
      </c>
      <c r="C25" s="59" t="s">
        <v>114</v>
      </c>
      <c r="D25" s="59" t="str">
        <f>ADDRESS(ROW(Commodities!C51),COLUMN(Commodities!C51),4,1)&amp;":"&amp;ADDRESS(ROW(Commodities!K67),COLUMN(Commodities!K67),4,1)</f>
        <v>C51:K67</v>
      </c>
      <c r="E25" s="59" t="s">
        <v>265</v>
      </c>
    </row>
    <row r="26" spans="1:5" s="60" customFormat="1">
      <c r="A26" s="58">
        <v>42044</v>
      </c>
      <c r="B26" s="59" t="s">
        <v>197</v>
      </c>
      <c r="C26" s="59" t="s">
        <v>151</v>
      </c>
      <c r="D26" s="59" t="str">
        <f>ADDRESS(ROW('Fuel Tech'!B7),COLUMN('Fuel Tech'!B7),4,1)&amp;":"&amp;ADDRESS(ROW('Fuel Tech'!F8),COLUMN('Fuel Tech'!F8),4,1)</f>
        <v>B7:F8</v>
      </c>
      <c r="E26" s="59" t="s">
        <v>244</v>
      </c>
    </row>
    <row r="27" spans="1:5" s="60" customFormat="1">
      <c r="A27" s="58">
        <v>42044</v>
      </c>
      <c r="B27" s="59" t="s">
        <v>197</v>
      </c>
      <c r="C27" s="59" t="s">
        <v>121</v>
      </c>
      <c r="D27" s="59" t="e">
        <f>ADDRESS(ROW(Processes!#REF!),COLUMN(Processes!#REF!),4,1)&amp;":"&amp;ADDRESS(ROW(Processes!#REF!),COLUMN(Processes!#REF!),4,1)</f>
        <v>#REF!</v>
      </c>
      <c r="E27" s="59" t="s">
        <v>243</v>
      </c>
    </row>
    <row r="28" spans="1:5" s="60" customFormat="1">
      <c r="A28" s="58">
        <v>42044</v>
      </c>
      <c r="B28" s="59" t="s">
        <v>197</v>
      </c>
      <c r="C28" s="59" t="s">
        <v>114</v>
      </c>
      <c r="D28" s="59" t="str">
        <f>ADDRESS(ROW(Commodities!C69),COLUMN(Commodities!C69),4,1)&amp;":"&amp;ADDRESS(ROW(Commodities!K75),COLUMN(Commodities!K75),4,1)</f>
        <v>C69:K75</v>
      </c>
      <c r="E28" s="59" t="s">
        <v>242</v>
      </c>
    </row>
    <row r="29" spans="1:5" s="60" customFormat="1">
      <c r="A29" s="58">
        <v>42026</v>
      </c>
      <c r="B29" s="59" t="s">
        <v>230</v>
      </c>
      <c r="C29" s="59" t="s">
        <v>175</v>
      </c>
      <c r="D29" s="59" t="e">
        <f>ADDRESS(ROW(#REF!),COLUMN(#REF!),4,1)&amp;":"&amp;ADDRESS(ROW(#REF!),COLUMN(#REF!),4,1)</f>
        <v>#REF!</v>
      </c>
      <c r="E29" s="59" t="s">
        <v>235</v>
      </c>
    </row>
    <row r="30" spans="1:5" s="60" customFormat="1">
      <c r="A30" s="58">
        <v>42026</v>
      </c>
      <c r="B30" s="59" t="s">
        <v>230</v>
      </c>
      <c r="C30" s="59" t="s">
        <v>233</v>
      </c>
      <c r="D30" s="59"/>
      <c r="E30" s="59" t="s">
        <v>234</v>
      </c>
    </row>
    <row r="31" spans="1:5" s="60" customFormat="1">
      <c r="A31" s="58">
        <v>42026</v>
      </c>
      <c r="B31" s="59" t="s">
        <v>230</v>
      </c>
      <c r="C31" s="59" t="s">
        <v>175</v>
      </c>
      <c r="D31" s="59" t="e">
        <f>ADDRESS(ROW(#REF!),COLUMN(#REF!),4,1)&amp;":"&amp;ADDRESS(ROW(#REF!),COLUMN(#REF!),4,1)</f>
        <v>#REF!</v>
      </c>
      <c r="E31" s="59" t="s">
        <v>232</v>
      </c>
    </row>
    <row r="32" spans="1:5" s="60" customFormat="1">
      <c r="A32" s="58">
        <v>42026</v>
      </c>
      <c r="B32" s="59" t="s">
        <v>230</v>
      </c>
      <c r="C32" s="59" t="s">
        <v>175</v>
      </c>
      <c r="D32" s="59" t="e">
        <f>ADDRESS(ROW(#REF!),COLUMN(#REF!),4,1)&amp;":"&amp;ADDRESS(ROW(#REF!),COLUMN(#REF!),4,1)</f>
        <v>#REF!</v>
      </c>
      <c r="E32" s="59" t="s">
        <v>231</v>
      </c>
    </row>
    <row r="33" spans="1:5" s="60" customFormat="1">
      <c r="A33" s="58">
        <v>41956</v>
      </c>
      <c r="B33" s="59" t="s">
        <v>112</v>
      </c>
      <c r="C33" s="59" t="s">
        <v>175</v>
      </c>
      <c r="D33" s="59" t="e">
        <f>ADDRESS(ROW(#REF!),COLUMN(#REF!),4,1)</f>
        <v>#REF!</v>
      </c>
      <c r="E33" s="59" t="s">
        <v>199</v>
      </c>
    </row>
    <row r="34" spans="1:5">
      <c r="A34" s="58">
        <v>41909</v>
      </c>
      <c r="B34" s="59" t="s">
        <v>197</v>
      </c>
      <c r="C34" s="59" t="s">
        <v>175</v>
      </c>
      <c r="D34" s="59" t="e">
        <f>ADDRESS(ROW(#REF!),COLUMN(#REF!),4,1)</f>
        <v>#REF!</v>
      </c>
      <c r="E34" s="59" t="s">
        <v>198</v>
      </c>
    </row>
    <row r="35" spans="1:5" s="33" customFormat="1">
      <c r="A35" s="31">
        <v>41801</v>
      </c>
      <c r="B35" s="32" t="s">
        <v>112</v>
      </c>
      <c r="C35" s="32" t="s">
        <v>123</v>
      </c>
      <c r="D35" s="32" t="s">
        <v>124</v>
      </c>
      <c r="E35" s="32" t="s">
        <v>125</v>
      </c>
    </row>
    <row r="36" spans="1:5" s="33" customFormat="1">
      <c r="A36" s="31">
        <v>41801</v>
      </c>
      <c r="B36" s="32" t="s">
        <v>112</v>
      </c>
      <c r="C36" s="32" t="s">
        <v>121</v>
      </c>
      <c r="D36" s="32" t="s">
        <v>116</v>
      </c>
      <c r="E36" s="32" t="s">
        <v>122</v>
      </c>
    </row>
    <row r="37" spans="1:5" s="33" customFormat="1">
      <c r="A37" s="31">
        <v>41801</v>
      </c>
      <c r="B37" s="32" t="s">
        <v>112</v>
      </c>
      <c r="C37" s="32" t="s">
        <v>114</v>
      </c>
      <c r="D37" s="32" t="s">
        <v>119</v>
      </c>
      <c r="E37" s="32" t="s">
        <v>120</v>
      </c>
    </row>
    <row r="38" spans="1:5" s="33" customFormat="1">
      <c r="A38" s="31">
        <v>41801</v>
      </c>
      <c r="B38" s="32" t="s">
        <v>112</v>
      </c>
      <c r="C38" s="32" t="s">
        <v>114</v>
      </c>
      <c r="D38" s="32" t="s">
        <v>117</v>
      </c>
      <c r="E38" s="32" t="s">
        <v>118</v>
      </c>
    </row>
    <row r="39" spans="1:5" s="33" customFormat="1">
      <c r="A39" s="31">
        <v>41801</v>
      </c>
      <c r="B39" s="32" t="s">
        <v>112</v>
      </c>
      <c r="C39" s="32" t="s">
        <v>114</v>
      </c>
      <c r="D39" s="32" t="s">
        <v>116</v>
      </c>
      <c r="E39" s="32" t="s">
        <v>115</v>
      </c>
    </row>
    <row r="40" spans="1:5" s="33" customFormat="1">
      <c r="A40" s="31">
        <v>41802</v>
      </c>
      <c r="B40" s="32" t="s">
        <v>135</v>
      </c>
      <c r="C40" s="32" t="s">
        <v>123</v>
      </c>
      <c r="D40" s="32" t="s">
        <v>137</v>
      </c>
      <c r="E40" s="32" t="s">
        <v>136</v>
      </c>
    </row>
    <row r="41" spans="1:5" s="33" customFormat="1">
      <c r="A41" s="31">
        <v>41802</v>
      </c>
      <c r="B41" s="32" t="s">
        <v>142</v>
      </c>
      <c r="C41" s="32" t="s">
        <v>123</v>
      </c>
      <c r="D41" s="33" t="s">
        <v>144</v>
      </c>
      <c r="E41" s="32" t="s">
        <v>143</v>
      </c>
    </row>
    <row r="42" spans="1:5" s="33" customFormat="1">
      <c r="A42" s="31">
        <v>41802</v>
      </c>
      <c r="B42" s="32" t="s">
        <v>142</v>
      </c>
      <c r="C42" s="32" t="s">
        <v>151</v>
      </c>
      <c r="D42" s="33" t="s">
        <v>152</v>
      </c>
      <c r="E42" s="32" t="s">
        <v>153</v>
      </c>
    </row>
    <row r="43" spans="1:5" s="33" customFormat="1">
      <c r="A43" s="31">
        <v>41827</v>
      </c>
      <c r="B43" s="32" t="s">
        <v>174</v>
      </c>
      <c r="C43" s="32" t="s">
        <v>175</v>
      </c>
      <c r="D43" s="32" t="s">
        <v>177</v>
      </c>
      <c r="E43" s="32" t="s">
        <v>176</v>
      </c>
    </row>
    <row r="44" spans="1:5" s="33" customFormat="1">
      <c r="A44" s="31">
        <v>41828</v>
      </c>
      <c r="B44" s="32" t="s">
        <v>142</v>
      </c>
      <c r="C44" s="32" t="s">
        <v>184</v>
      </c>
      <c r="D44" s="32"/>
      <c r="E44" s="32" t="s">
        <v>185</v>
      </c>
    </row>
    <row r="45" spans="1:5" s="33" customFormat="1">
      <c r="A45" s="58">
        <v>41828</v>
      </c>
      <c r="B45" s="59" t="s">
        <v>186</v>
      </c>
      <c r="C45" s="59" t="s">
        <v>187</v>
      </c>
      <c r="D45" s="59" t="s">
        <v>188</v>
      </c>
      <c r="E45" s="59" t="s">
        <v>189</v>
      </c>
    </row>
    <row r="46" spans="1:5" s="33" customFormat="1">
      <c r="A46" s="58">
        <v>41828</v>
      </c>
      <c r="B46" s="59" t="s">
        <v>186</v>
      </c>
      <c r="C46" s="59" t="s">
        <v>187</v>
      </c>
      <c r="D46" s="59" t="s">
        <v>190</v>
      </c>
      <c r="E46" s="59" t="s">
        <v>191</v>
      </c>
    </row>
    <row r="47" spans="1:5" s="33" customFormat="1">
      <c r="A47" s="58">
        <v>41828</v>
      </c>
      <c r="B47" s="59" t="s">
        <v>186</v>
      </c>
      <c r="C47" s="59" t="s">
        <v>187</v>
      </c>
      <c r="D47" s="59" t="s">
        <v>192</v>
      </c>
      <c r="E47" s="59" t="s">
        <v>193</v>
      </c>
    </row>
    <row r="48" spans="1:5">
      <c r="A48" s="31"/>
      <c r="B48" s="34"/>
      <c r="C48" s="34"/>
      <c r="D48" s="35"/>
      <c r="E48" s="34"/>
    </row>
    <row r="49" spans="1:5">
      <c r="A49" s="36"/>
      <c r="B49" s="34"/>
      <c r="C49" s="34"/>
      <c r="D49" s="37"/>
      <c r="E49" s="37"/>
    </row>
    <row r="50" spans="1:5">
      <c r="A50" s="36"/>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tabColor theme="9"/>
  </sheetPr>
  <dimension ref="B1:C18"/>
  <sheetViews>
    <sheetView workbookViewId="0">
      <selection activeCell="C19" sqref="C19"/>
    </sheetView>
  </sheetViews>
  <sheetFormatPr defaultColWidth="9.109375" defaultRowHeight="14.4"/>
  <cols>
    <col min="1" max="1" width="9.109375" style="321"/>
    <col min="2" max="2" width="28.33203125" style="321" customWidth="1"/>
    <col min="3" max="3" width="138.44140625" style="321" customWidth="1"/>
    <col min="4" max="16384" width="9.109375" style="321"/>
  </cols>
  <sheetData>
    <row r="1" spans="2:3" ht="18">
      <c r="B1" s="320" t="s">
        <v>557</v>
      </c>
    </row>
    <row r="3" spans="2:3">
      <c r="B3" s="322" t="s">
        <v>558</v>
      </c>
      <c r="C3" s="326" t="s">
        <v>567</v>
      </c>
    </row>
    <row r="4" spans="2:3">
      <c r="B4" s="322" t="s">
        <v>559</v>
      </c>
      <c r="C4" s="321" t="s">
        <v>560</v>
      </c>
    </row>
    <row r="5" spans="2:3">
      <c r="B5" s="322"/>
    </row>
    <row r="6" spans="2:3">
      <c r="B6" s="322" t="s">
        <v>561</v>
      </c>
      <c r="C6" s="326" t="s">
        <v>566</v>
      </c>
    </row>
    <row r="7" spans="2:3">
      <c r="B7" s="322"/>
    </row>
    <row r="8" spans="2:3">
      <c r="B8" s="323" t="s">
        <v>562</v>
      </c>
    </row>
    <row r="9" spans="2:3">
      <c r="B9" s="322"/>
    </row>
    <row r="10" spans="2:3">
      <c r="B10" s="324" t="s">
        <v>563</v>
      </c>
      <c r="C10" s="326" t="s">
        <v>568</v>
      </c>
    </row>
    <row r="11" spans="2:3">
      <c r="B11" s="324" t="s">
        <v>564</v>
      </c>
      <c r="C11" s="321" t="s">
        <v>565</v>
      </c>
    </row>
    <row r="12" spans="2:3">
      <c r="B12" s="324" t="s">
        <v>175</v>
      </c>
      <c r="C12" s="326" t="s">
        <v>569</v>
      </c>
    </row>
    <row r="13" spans="2:3">
      <c r="B13" s="324" t="s">
        <v>472</v>
      </c>
      <c r="C13" s="326" t="s">
        <v>570</v>
      </c>
    </row>
    <row r="14" spans="2:3">
      <c r="B14" s="324" t="s">
        <v>187</v>
      </c>
      <c r="C14" s="326" t="s">
        <v>574</v>
      </c>
    </row>
    <row r="15" spans="2:3">
      <c r="B15" s="324" t="s">
        <v>151</v>
      </c>
      <c r="C15" s="326" t="s">
        <v>571</v>
      </c>
    </row>
    <row r="16" spans="2:3">
      <c r="B16" s="325" t="s">
        <v>394</v>
      </c>
      <c r="C16" s="326" t="s">
        <v>575</v>
      </c>
    </row>
    <row r="17" spans="2:3">
      <c r="B17" s="325" t="s">
        <v>572</v>
      </c>
      <c r="C17" s="326" t="s">
        <v>576</v>
      </c>
    </row>
    <row r="18" spans="2:3">
      <c r="B18" s="325" t="s">
        <v>573</v>
      </c>
      <c r="C18" s="326" t="s">
        <v>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92D050"/>
  </sheetPr>
  <dimension ref="A1:T113"/>
  <sheetViews>
    <sheetView topLeftCell="A61" zoomScale="70" zoomScaleNormal="70" workbookViewId="0">
      <selection activeCell="C73" sqref="C73"/>
    </sheetView>
  </sheetViews>
  <sheetFormatPr defaultColWidth="8.6640625" defaultRowHeight="13.2"/>
  <cols>
    <col min="1" max="1" width="8.6640625" style="331"/>
    <col min="2" max="2" width="5.6640625" customWidth="1"/>
    <col min="3" max="3" width="21.6640625" bestFit="1" customWidth="1"/>
    <col min="4" max="4" width="7.6640625" bestFit="1" customWidth="1"/>
    <col min="5" max="5" width="13.44140625" bestFit="1" customWidth="1"/>
    <col min="6" max="6" width="26.6640625" bestFit="1" customWidth="1"/>
    <col min="7" max="7" width="4.33203125" bestFit="1" customWidth="1"/>
    <col min="8" max="8" width="10.44140625" customWidth="1"/>
    <col min="9" max="9" width="11.33203125" bestFit="1" customWidth="1"/>
  </cols>
  <sheetData>
    <row r="1" spans="1:15">
      <c r="C1" s="2"/>
      <c r="D1" s="2"/>
    </row>
    <row r="2" spans="1:15">
      <c r="C2" s="2"/>
      <c r="D2" s="2"/>
    </row>
    <row r="3" spans="1:15">
      <c r="C3" s="13" t="s">
        <v>8</v>
      </c>
      <c r="D3" s="14"/>
      <c r="E3" s="15"/>
      <c r="F3" s="15"/>
      <c r="G3" s="15"/>
      <c r="H3" s="15"/>
      <c r="I3" s="15"/>
      <c r="J3" s="15"/>
      <c r="K3" s="15"/>
    </row>
    <row r="4" spans="1:15" ht="13.8">
      <c r="C4" s="16" t="s">
        <v>5</v>
      </c>
      <c r="D4" s="16" t="s">
        <v>0</v>
      </c>
      <c r="E4" s="16" t="s">
        <v>3</v>
      </c>
      <c r="F4" s="16" t="s">
        <v>4</v>
      </c>
      <c r="G4" s="16" t="s">
        <v>6</v>
      </c>
      <c r="H4" s="16" t="s">
        <v>9</v>
      </c>
      <c r="I4" s="16" t="s">
        <v>10</v>
      </c>
      <c r="J4" s="16" t="s">
        <v>11</v>
      </c>
      <c r="K4" s="16" t="s">
        <v>12</v>
      </c>
    </row>
    <row r="5" spans="1:15" ht="23.7" customHeight="1">
      <c r="C5" s="405" t="s">
        <v>32</v>
      </c>
      <c r="D5" s="406" t="s">
        <v>24</v>
      </c>
      <c r="E5" s="406" t="s">
        <v>33</v>
      </c>
      <c r="F5" s="406" t="s">
        <v>34</v>
      </c>
      <c r="G5" s="406" t="s">
        <v>6</v>
      </c>
      <c r="H5" s="406" t="s">
        <v>35</v>
      </c>
      <c r="I5" s="406" t="s">
        <v>36</v>
      </c>
      <c r="J5" s="406" t="s">
        <v>37</v>
      </c>
      <c r="K5" s="406" t="s">
        <v>38</v>
      </c>
    </row>
    <row r="6" spans="1:15" s="331" customFormat="1">
      <c r="A6" s="404" t="s">
        <v>677</v>
      </c>
      <c r="B6" s="402"/>
      <c r="C6" s="401" t="s">
        <v>39</v>
      </c>
      <c r="E6" s="327" t="s">
        <v>675</v>
      </c>
      <c r="F6" s="327" t="s">
        <v>676</v>
      </c>
      <c r="G6" s="327" t="s">
        <v>62</v>
      </c>
      <c r="H6" s="327"/>
      <c r="I6" s="327"/>
      <c r="J6" s="327"/>
      <c r="K6" s="327"/>
    </row>
    <row r="7" spans="1:15" s="331" customFormat="1">
      <c r="A7" s="404" t="s">
        <v>677</v>
      </c>
      <c r="B7" s="402"/>
      <c r="C7" s="403"/>
      <c r="E7" s="327" t="s">
        <v>678</v>
      </c>
      <c r="F7" s="327" t="s">
        <v>679</v>
      </c>
      <c r="G7" s="327" t="s">
        <v>62</v>
      </c>
      <c r="H7" s="327"/>
      <c r="I7" s="327"/>
      <c r="J7" s="327"/>
      <c r="K7" s="327"/>
    </row>
    <row r="8" spans="1:15" s="331" customFormat="1">
      <c r="A8" s="404" t="s">
        <v>677</v>
      </c>
      <c r="B8" s="402"/>
      <c r="C8" s="403"/>
      <c r="E8" s="327" t="s">
        <v>680</v>
      </c>
      <c r="F8" s="327" t="s">
        <v>681</v>
      </c>
      <c r="G8" s="327" t="s">
        <v>62</v>
      </c>
      <c r="H8" s="327"/>
      <c r="I8" s="327"/>
      <c r="J8" s="327"/>
      <c r="K8" s="327"/>
    </row>
    <row r="9" spans="1:15" s="331" customFormat="1">
      <c r="A9" s="404" t="s">
        <v>677</v>
      </c>
      <c r="B9" s="402"/>
      <c r="C9" s="403"/>
      <c r="E9" s="327" t="s">
        <v>682</v>
      </c>
      <c r="F9" s="327" t="s">
        <v>683</v>
      </c>
      <c r="G9" s="327" t="s">
        <v>62</v>
      </c>
      <c r="H9" s="327"/>
      <c r="I9" s="327"/>
      <c r="J9" s="327"/>
      <c r="K9" s="327"/>
    </row>
    <row r="10" spans="1:15" s="331" customFormat="1">
      <c r="A10" s="404" t="s">
        <v>677</v>
      </c>
      <c r="B10" s="402"/>
      <c r="C10" s="403"/>
      <c r="E10" s="327" t="s">
        <v>684</v>
      </c>
      <c r="F10" s="327" t="s">
        <v>685</v>
      </c>
      <c r="G10" s="327" t="s">
        <v>62</v>
      </c>
      <c r="H10" s="327"/>
      <c r="I10" s="327"/>
      <c r="J10" s="327"/>
      <c r="K10" s="327"/>
    </row>
    <row r="11" spans="1:15" s="331" customFormat="1">
      <c r="A11" s="404" t="s">
        <v>677</v>
      </c>
      <c r="B11" s="402"/>
      <c r="C11" s="403"/>
      <c r="E11" s="327" t="s">
        <v>686</v>
      </c>
      <c r="F11" s="327" t="s">
        <v>687</v>
      </c>
      <c r="G11" s="327" t="s">
        <v>62</v>
      </c>
      <c r="H11" s="327"/>
      <c r="I11" s="327"/>
      <c r="J11" s="327"/>
      <c r="K11" s="327"/>
    </row>
    <row r="12" spans="1:15" s="7" customFormat="1">
      <c r="A12" s="7" t="s">
        <v>645</v>
      </c>
      <c r="C12" s="68"/>
      <c r="D12" s="69"/>
      <c r="E12" s="64" t="s">
        <v>40</v>
      </c>
      <c r="F12" s="64" t="s">
        <v>49</v>
      </c>
      <c r="G12" s="63" t="s">
        <v>62</v>
      </c>
      <c r="H12" s="64"/>
      <c r="I12" s="64"/>
      <c r="J12" s="64"/>
      <c r="K12" s="64"/>
    </row>
    <row r="13" spans="1:15">
      <c r="C13" s="19"/>
      <c r="D13" s="19"/>
      <c r="E13" s="20" t="s">
        <v>41</v>
      </c>
      <c r="F13" s="20" t="s">
        <v>60</v>
      </c>
      <c r="G13" s="18" t="s">
        <v>62</v>
      </c>
      <c r="H13" s="19"/>
      <c r="I13" s="19"/>
      <c r="J13" s="19"/>
      <c r="K13" s="19"/>
    </row>
    <row r="14" spans="1:15">
      <c r="B14" s="7"/>
      <c r="C14" s="20"/>
      <c r="D14" s="19"/>
      <c r="E14" s="20" t="s">
        <v>90</v>
      </c>
      <c r="F14" s="20" t="s">
        <v>91</v>
      </c>
      <c r="G14" s="18" t="s">
        <v>62</v>
      </c>
      <c r="H14" s="19"/>
      <c r="I14" s="19"/>
      <c r="J14" s="19"/>
      <c r="K14" s="19"/>
      <c r="M14" s="38"/>
      <c r="N14" s="38"/>
      <c r="O14" s="38"/>
    </row>
    <row r="15" spans="1:15">
      <c r="B15" s="7"/>
      <c r="C15" s="20"/>
      <c r="D15" s="19"/>
      <c r="E15" s="18" t="s">
        <v>73</v>
      </c>
      <c r="F15" s="18" t="s">
        <v>113</v>
      </c>
      <c r="G15" s="18" t="s">
        <v>62</v>
      </c>
      <c r="H15" s="19"/>
      <c r="I15" s="19"/>
      <c r="J15" s="19"/>
      <c r="K15" s="19"/>
    </row>
    <row r="16" spans="1:15">
      <c r="B16" s="7"/>
      <c r="C16" s="20"/>
      <c r="D16" s="19"/>
      <c r="E16" s="18" t="s">
        <v>93</v>
      </c>
      <c r="F16" s="18" t="s">
        <v>127</v>
      </c>
      <c r="G16" s="18" t="s">
        <v>62</v>
      </c>
      <c r="H16" s="19"/>
      <c r="I16" s="19"/>
      <c r="J16" s="19"/>
      <c r="K16" s="19"/>
      <c r="M16" s="38"/>
      <c r="N16" s="38"/>
      <c r="O16" s="38"/>
    </row>
    <row r="17" spans="1:15">
      <c r="B17" s="7"/>
      <c r="C17" s="20"/>
      <c r="D17" s="19"/>
      <c r="E17" s="18" t="s">
        <v>74</v>
      </c>
      <c r="F17" s="18" t="s">
        <v>75</v>
      </c>
      <c r="G17" s="18" t="s">
        <v>62</v>
      </c>
      <c r="H17" s="19"/>
      <c r="I17" s="19"/>
      <c r="J17" s="19"/>
      <c r="K17" s="19"/>
      <c r="M17" s="38"/>
      <c r="N17" s="38"/>
      <c r="O17" s="38"/>
    </row>
    <row r="18" spans="1:15">
      <c r="B18" s="7"/>
      <c r="C18" s="20"/>
      <c r="D18" s="19"/>
      <c r="E18" s="18" t="s">
        <v>77</v>
      </c>
      <c r="F18" s="18" t="s">
        <v>76</v>
      </c>
      <c r="G18" s="18" t="s">
        <v>62</v>
      </c>
      <c r="H18" s="19"/>
      <c r="I18" s="19"/>
      <c r="J18" s="19"/>
      <c r="K18" s="19"/>
      <c r="M18" s="38"/>
      <c r="N18" s="38"/>
      <c r="O18" s="38"/>
    </row>
    <row r="19" spans="1:15">
      <c r="B19" s="7"/>
      <c r="C19" s="20"/>
      <c r="D19" s="19"/>
      <c r="E19" s="20" t="s">
        <v>45</v>
      </c>
      <c r="F19" s="20" t="s">
        <v>51</v>
      </c>
      <c r="G19" s="18" t="s">
        <v>62</v>
      </c>
      <c r="H19" s="19"/>
      <c r="I19" s="19"/>
      <c r="J19" s="19"/>
      <c r="K19" s="19"/>
    </row>
    <row r="20" spans="1:15">
      <c r="B20" s="7"/>
      <c r="C20" s="20"/>
      <c r="D20" s="328"/>
      <c r="E20" s="20" t="s">
        <v>44</v>
      </c>
      <c r="F20" s="20" t="s">
        <v>50</v>
      </c>
      <c r="G20" s="18" t="s">
        <v>62</v>
      </c>
      <c r="H20" s="328"/>
      <c r="I20" s="328"/>
      <c r="J20" s="328"/>
      <c r="K20" s="328"/>
    </row>
    <row r="21" spans="1:15" s="331" customFormat="1">
      <c r="B21" s="7"/>
      <c r="C21" s="20"/>
      <c r="D21" s="328"/>
      <c r="E21" s="20" t="s">
        <v>655</v>
      </c>
      <c r="F21" s="20" t="s">
        <v>656</v>
      </c>
      <c r="G21" s="18" t="s">
        <v>62</v>
      </c>
      <c r="H21" s="328"/>
      <c r="I21" s="328"/>
      <c r="J21" s="328"/>
      <c r="K21" s="328"/>
    </row>
    <row r="22" spans="1:15">
      <c r="C22" s="372"/>
      <c r="D22" s="372"/>
      <c r="E22" s="373" t="s">
        <v>599</v>
      </c>
      <c r="F22" s="373" t="s">
        <v>593</v>
      </c>
      <c r="G22" s="373" t="s">
        <v>62</v>
      </c>
      <c r="H22" s="373"/>
      <c r="I22" s="372"/>
      <c r="J22" s="372"/>
      <c r="K22" s="372"/>
    </row>
    <row r="23" spans="1:15">
      <c r="A23" s="331" t="s">
        <v>648</v>
      </c>
      <c r="C23" s="19"/>
      <c r="D23" s="19"/>
      <c r="E23" s="20" t="s">
        <v>126</v>
      </c>
      <c r="F23" s="20" t="s">
        <v>55</v>
      </c>
      <c r="G23" s="18" t="s">
        <v>62</v>
      </c>
      <c r="H23" s="19"/>
      <c r="I23" s="19"/>
      <c r="J23" s="19"/>
      <c r="K23" s="19"/>
    </row>
    <row r="24" spans="1:15">
      <c r="B24" s="331"/>
      <c r="C24" s="328"/>
      <c r="D24" s="328"/>
      <c r="E24" s="249" t="s">
        <v>643</v>
      </c>
      <c r="F24" s="249" t="s">
        <v>644</v>
      </c>
      <c r="G24" s="249" t="s">
        <v>62</v>
      </c>
      <c r="H24" s="20"/>
      <c r="I24" s="20"/>
      <c r="J24" s="328"/>
      <c r="K24" s="328"/>
    </row>
    <row r="25" spans="1:15" s="331" customFormat="1">
      <c r="B25"/>
      <c r="C25" s="328"/>
      <c r="D25" s="328"/>
      <c r="E25" s="18" t="s">
        <v>255</v>
      </c>
      <c r="F25" s="18" t="s">
        <v>256</v>
      </c>
      <c r="G25" s="18" t="s">
        <v>62</v>
      </c>
      <c r="H25" s="20"/>
      <c r="I25" s="328"/>
      <c r="J25" s="328"/>
      <c r="K25" s="328"/>
    </row>
    <row r="26" spans="1:15">
      <c r="B26" s="331"/>
      <c r="C26" s="328"/>
      <c r="D26" s="328"/>
      <c r="E26" s="249" t="s">
        <v>651</v>
      </c>
      <c r="F26" s="249" t="s">
        <v>652</v>
      </c>
      <c r="G26" s="18" t="s">
        <v>62</v>
      </c>
      <c r="H26" s="20"/>
      <c r="I26" s="328"/>
      <c r="J26" s="328"/>
      <c r="K26" s="328"/>
      <c r="L26" s="1"/>
      <c r="M26" s="1"/>
    </row>
    <row r="27" spans="1:15">
      <c r="B27" s="331"/>
      <c r="C27" s="328"/>
      <c r="D27" s="328"/>
      <c r="E27" s="249" t="s">
        <v>653</v>
      </c>
      <c r="F27" s="249" t="s">
        <v>654</v>
      </c>
      <c r="G27" s="18" t="s">
        <v>62</v>
      </c>
      <c r="H27" s="20"/>
      <c r="I27" s="328"/>
      <c r="J27" s="328"/>
      <c r="K27" s="328"/>
      <c r="L27" s="1"/>
      <c r="M27" s="1"/>
    </row>
    <row r="28" spans="1:15" s="331" customFormat="1">
      <c r="C28" s="328"/>
      <c r="D28" s="328"/>
      <c r="E28" s="249" t="s">
        <v>657</v>
      </c>
      <c r="F28" s="249" t="s">
        <v>658</v>
      </c>
      <c r="G28" s="249" t="s">
        <v>62</v>
      </c>
      <c r="H28" s="20"/>
      <c r="I28" s="328"/>
      <c r="J28" s="328"/>
      <c r="K28" s="328"/>
      <c r="L28" s="1"/>
      <c r="M28" s="1"/>
      <c r="N28" s="366"/>
      <c r="O28" s="366"/>
    </row>
    <row r="29" spans="1:15">
      <c r="C29" s="372"/>
      <c r="D29" s="372"/>
      <c r="E29" s="373" t="s">
        <v>589</v>
      </c>
      <c r="F29" s="373" t="s">
        <v>590</v>
      </c>
      <c r="G29" s="373" t="s">
        <v>62</v>
      </c>
      <c r="H29" s="373"/>
      <c r="I29" s="372"/>
      <c r="J29" s="372"/>
      <c r="K29" s="372"/>
    </row>
    <row r="30" spans="1:15">
      <c r="B30" s="7"/>
      <c r="C30" s="20"/>
      <c r="D30" s="19"/>
      <c r="E30" s="249" t="s">
        <v>476</v>
      </c>
      <c r="F30" s="249" t="s">
        <v>477</v>
      </c>
      <c r="G30" s="249" t="s">
        <v>62</v>
      </c>
      <c r="H30" s="19"/>
      <c r="I30" s="19"/>
      <c r="J30" s="328"/>
      <c r="K30" s="328"/>
    </row>
    <row r="31" spans="1:15">
      <c r="B31" s="7"/>
      <c r="C31" s="20"/>
      <c r="D31" s="19"/>
      <c r="E31" s="249" t="s">
        <v>478</v>
      </c>
      <c r="F31" s="249" t="s">
        <v>479</v>
      </c>
      <c r="G31" s="249" t="s">
        <v>62</v>
      </c>
      <c r="H31" s="19"/>
      <c r="I31" s="19"/>
      <c r="J31" s="328"/>
      <c r="K31" s="328"/>
    </row>
    <row r="32" spans="1:15" s="331" customFormat="1">
      <c r="B32" s="327"/>
      <c r="C32" s="327"/>
      <c r="D32" s="327"/>
      <c r="E32" s="390" t="s">
        <v>660</v>
      </c>
      <c r="F32" s="390" t="s">
        <v>659</v>
      </c>
      <c r="G32" s="390" t="s">
        <v>62</v>
      </c>
      <c r="H32" s="327"/>
      <c r="I32" s="371"/>
      <c r="J32" s="328"/>
      <c r="K32" s="328"/>
    </row>
    <row r="33" spans="1:15">
      <c r="B33" s="7"/>
      <c r="C33" s="20"/>
      <c r="D33" s="19"/>
      <c r="E33" s="249" t="s">
        <v>480</v>
      </c>
      <c r="F33" s="249" t="s">
        <v>481</v>
      </c>
      <c r="G33" s="249" t="s">
        <v>62</v>
      </c>
      <c r="H33" s="19"/>
      <c r="I33" s="19"/>
      <c r="J33" s="328"/>
      <c r="K33" s="328"/>
    </row>
    <row r="34" spans="1:15">
      <c r="B34" s="7"/>
      <c r="C34" s="20"/>
      <c r="D34" s="19"/>
      <c r="E34" s="249" t="s">
        <v>482</v>
      </c>
      <c r="F34" s="249" t="s">
        <v>483</v>
      </c>
      <c r="G34" s="249" t="s">
        <v>62</v>
      </c>
      <c r="H34" s="19"/>
      <c r="I34" s="19"/>
      <c r="J34" s="328"/>
      <c r="K34" s="328"/>
    </row>
    <row r="35" spans="1:15" s="331" customFormat="1">
      <c r="B35" s="327"/>
      <c r="C35" s="327"/>
      <c r="D35" s="327"/>
      <c r="E35" s="390" t="s">
        <v>661</v>
      </c>
      <c r="F35" s="390" t="s">
        <v>662</v>
      </c>
      <c r="G35" s="390" t="s">
        <v>62</v>
      </c>
      <c r="H35" s="327"/>
      <c r="I35" s="371"/>
      <c r="J35" s="328"/>
      <c r="K35" s="328"/>
      <c r="L35" s="1"/>
      <c r="M35" s="1"/>
    </row>
    <row r="36" spans="1:15">
      <c r="B36" s="7"/>
      <c r="C36" s="20"/>
      <c r="D36" s="19"/>
      <c r="E36" s="249" t="s">
        <v>484</v>
      </c>
      <c r="F36" s="249" t="s">
        <v>485</v>
      </c>
      <c r="G36" s="249" t="s">
        <v>62</v>
      </c>
      <c r="H36" s="19"/>
      <c r="I36" s="19"/>
      <c r="J36" s="328"/>
      <c r="K36" s="328"/>
    </row>
    <row r="37" spans="1:15" s="331" customFormat="1">
      <c r="B37" s="7"/>
      <c r="C37" s="20"/>
      <c r="D37" s="19"/>
      <c r="E37" s="249" t="s">
        <v>486</v>
      </c>
      <c r="F37" s="249" t="s">
        <v>487</v>
      </c>
      <c r="G37" s="249" t="s">
        <v>62</v>
      </c>
      <c r="H37" s="19"/>
      <c r="I37" s="19"/>
      <c r="J37" s="328"/>
      <c r="K37" s="328"/>
    </row>
    <row r="38" spans="1:15" s="331" customFormat="1">
      <c r="B38" s="327"/>
      <c r="C38" s="327"/>
      <c r="D38" s="327"/>
      <c r="E38" s="390" t="s">
        <v>663</v>
      </c>
      <c r="F38" s="390" t="s">
        <v>664</v>
      </c>
      <c r="G38" s="390" t="s">
        <v>62</v>
      </c>
      <c r="H38" s="327"/>
      <c r="I38" s="371"/>
      <c r="J38" s="328"/>
      <c r="K38" s="328"/>
    </row>
    <row r="39" spans="1:15" s="331" customFormat="1">
      <c r="B39" s="7"/>
      <c r="C39" s="20"/>
      <c r="D39" s="19"/>
      <c r="E39" s="249" t="s">
        <v>488</v>
      </c>
      <c r="F39" s="249" t="s">
        <v>489</v>
      </c>
      <c r="G39" s="249" t="s">
        <v>62</v>
      </c>
      <c r="H39" s="328"/>
      <c r="I39" s="19"/>
      <c r="J39" s="328"/>
      <c r="K39" s="328"/>
    </row>
    <row r="40" spans="1:15">
      <c r="B40" s="7"/>
      <c r="C40" s="20"/>
      <c r="D40" s="19"/>
      <c r="E40" s="249" t="s">
        <v>490</v>
      </c>
      <c r="F40" s="249" t="s">
        <v>491</v>
      </c>
      <c r="G40" s="249" t="s">
        <v>62</v>
      </c>
      <c r="H40" s="328"/>
      <c r="I40" s="19"/>
      <c r="J40" s="328"/>
      <c r="K40" s="328"/>
    </row>
    <row r="41" spans="1:15">
      <c r="B41" s="327"/>
      <c r="C41" s="327"/>
      <c r="D41" s="327"/>
      <c r="E41" s="390" t="s">
        <v>665</v>
      </c>
      <c r="F41" s="390" t="s">
        <v>666</v>
      </c>
      <c r="G41" s="390" t="s">
        <v>62</v>
      </c>
      <c r="H41" s="327"/>
      <c r="I41" s="371"/>
      <c r="J41" s="328"/>
      <c r="K41" s="328"/>
      <c r="M41" s="38"/>
      <c r="N41" s="38"/>
      <c r="O41" s="38"/>
    </row>
    <row r="42" spans="1:15">
      <c r="C42" s="328"/>
      <c r="D42" s="328"/>
      <c r="E42" s="18" t="s">
        <v>249</v>
      </c>
      <c r="F42" s="20" t="s">
        <v>251</v>
      </c>
      <c r="G42" s="18" t="s">
        <v>62</v>
      </c>
      <c r="H42" s="20"/>
      <c r="I42" s="328"/>
      <c r="J42" s="328"/>
      <c r="K42" s="328"/>
      <c r="M42" s="38"/>
      <c r="N42" s="38"/>
      <c r="O42" s="38"/>
    </row>
    <row r="43" spans="1:15" s="331" customFormat="1">
      <c r="B43"/>
      <c r="C43" s="328"/>
      <c r="D43" s="328"/>
      <c r="E43" s="18" t="s">
        <v>250</v>
      </c>
      <c r="F43" s="20" t="s">
        <v>252</v>
      </c>
      <c r="G43" s="18" t="s">
        <v>62</v>
      </c>
      <c r="H43" s="20"/>
      <c r="I43" s="328"/>
      <c r="J43" s="328"/>
      <c r="K43" s="328"/>
      <c r="M43" s="396"/>
      <c r="N43" s="396"/>
      <c r="O43" s="396"/>
    </row>
    <row r="44" spans="1:15">
      <c r="B44" s="327"/>
      <c r="C44" s="367"/>
      <c r="D44" s="367"/>
      <c r="E44" s="368" t="s">
        <v>667</v>
      </c>
      <c r="F44" s="368" t="s">
        <v>668</v>
      </c>
      <c r="G44" s="368" t="s">
        <v>62</v>
      </c>
      <c r="H44" s="367"/>
      <c r="I44" s="397"/>
      <c r="J44" s="367"/>
      <c r="K44" s="367"/>
      <c r="M44" s="38"/>
      <c r="N44" s="38"/>
      <c r="O44" s="38"/>
    </row>
    <row r="45" spans="1:15">
      <c r="A45" s="331" t="s">
        <v>56</v>
      </c>
      <c r="C45" s="392"/>
      <c r="D45" s="392"/>
      <c r="E45" s="393" t="s">
        <v>42</v>
      </c>
      <c r="F45" s="393" t="s">
        <v>56</v>
      </c>
      <c r="G45" s="394" t="s">
        <v>62</v>
      </c>
      <c r="H45" s="392"/>
      <c r="I45" s="392"/>
      <c r="J45" s="392"/>
      <c r="K45" s="392"/>
      <c r="M45" s="38"/>
      <c r="N45" s="38"/>
      <c r="O45" s="38"/>
    </row>
    <row r="46" spans="1:15" s="331" customFormat="1">
      <c r="A46" s="331" t="s">
        <v>646</v>
      </c>
      <c r="B46"/>
      <c r="C46" s="19"/>
      <c r="D46" s="19"/>
      <c r="E46" s="20" t="s">
        <v>43</v>
      </c>
      <c r="F46" s="20" t="s">
        <v>57</v>
      </c>
      <c r="G46" s="18" t="s">
        <v>62</v>
      </c>
      <c r="H46" s="19"/>
      <c r="I46" s="19"/>
      <c r="J46" s="19"/>
      <c r="K46" s="19"/>
      <c r="M46" s="396"/>
      <c r="N46" s="396"/>
      <c r="O46" s="396"/>
    </row>
    <row r="47" spans="1:15">
      <c r="B47" s="331"/>
      <c r="C47" s="328"/>
      <c r="D47" s="328"/>
      <c r="E47" s="20" t="s">
        <v>622</v>
      </c>
      <c r="F47" s="20" t="s">
        <v>623</v>
      </c>
      <c r="G47" s="249" t="s">
        <v>62</v>
      </c>
      <c r="H47" s="328"/>
      <c r="I47" s="328"/>
      <c r="J47" s="328"/>
      <c r="K47" s="328"/>
      <c r="M47" s="38"/>
      <c r="N47" s="38"/>
      <c r="O47" s="38"/>
    </row>
    <row r="48" spans="1:15">
      <c r="B48" s="7"/>
      <c r="C48" s="20"/>
      <c r="D48" s="328"/>
      <c r="E48" s="21" t="s">
        <v>70</v>
      </c>
      <c r="F48" s="21" t="s">
        <v>69</v>
      </c>
      <c r="G48" s="18" t="s">
        <v>62</v>
      </c>
      <c r="H48" s="328"/>
      <c r="I48" s="328"/>
      <c r="J48" s="328"/>
      <c r="K48" s="328"/>
      <c r="M48" s="38"/>
      <c r="N48" s="38"/>
      <c r="O48" s="38"/>
    </row>
    <row r="49" spans="1:15" s="331" customFormat="1">
      <c r="B49" s="7"/>
      <c r="C49" s="20"/>
      <c r="D49" s="328"/>
      <c r="E49" s="21" t="s">
        <v>71</v>
      </c>
      <c r="F49" s="21" t="s">
        <v>72</v>
      </c>
      <c r="G49" s="18" t="s">
        <v>62</v>
      </c>
      <c r="H49" s="328"/>
      <c r="I49" s="328"/>
      <c r="J49" s="328"/>
      <c r="K49" s="328"/>
      <c r="M49" s="396"/>
      <c r="N49" s="396"/>
      <c r="O49" s="396"/>
    </row>
    <row r="50" spans="1:15">
      <c r="B50" s="7"/>
      <c r="C50" s="20"/>
      <c r="D50" s="328"/>
      <c r="E50" s="249" t="s">
        <v>619</v>
      </c>
      <c r="F50" s="249" t="s">
        <v>620</v>
      </c>
      <c r="G50" s="249" t="s">
        <v>62</v>
      </c>
      <c r="H50" s="328"/>
      <c r="I50" s="328"/>
      <c r="J50" s="328"/>
      <c r="K50" s="328"/>
      <c r="M50" s="38"/>
      <c r="N50" s="38"/>
      <c r="O50" s="38"/>
    </row>
    <row r="51" spans="1:15">
      <c r="C51" s="25"/>
      <c r="D51" s="15"/>
      <c r="E51" s="18" t="s">
        <v>245</v>
      </c>
      <c r="F51" s="18" t="s">
        <v>246</v>
      </c>
      <c r="G51" s="18" t="s">
        <v>62</v>
      </c>
      <c r="H51" s="328"/>
      <c r="I51" s="15"/>
      <c r="J51" s="328"/>
      <c r="K51" s="15"/>
    </row>
    <row r="52" spans="1:15" s="331" customFormat="1">
      <c r="B52"/>
      <c r="C52" s="15"/>
      <c r="D52" s="15"/>
      <c r="E52" s="18" t="s">
        <v>247</v>
      </c>
      <c r="F52" s="18" t="s">
        <v>248</v>
      </c>
      <c r="G52" s="18" t="s">
        <v>62</v>
      </c>
      <c r="H52" s="389"/>
      <c r="I52" s="15"/>
      <c r="J52" s="328"/>
      <c r="K52" s="15"/>
      <c r="M52" s="396"/>
      <c r="N52" s="396"/>
      <c r="O52" s="396"/>
    </row>
    <row r="53" spans="1:15">
      <c r="C53" s="15"/>
      <c r="D53" s="15"/>
      <c r="E53" s="18" t="s">
        <v>257</v>
      </c>
      <c r="F53" s="18" t="s">
        <v>258</v>
      </c>
      <c r="G53" s="18" t="s">
        <v>62</v>
      </c>
      <c r="H53" s="389"/>
      <c r="I53" s="15"/>
      <c r="J53" s="328"/>
      <c r="K53" s="15"/>
    </row>
    <row r="54" spans="1:15">
      <c r="B54" s="331"/>
      <c r="C54" s="327"/>
      <c r="D54" s="327"/>
      <c r="E54" s="389" t="s">
        <v>642</v>
      </c>
      <c r="F54" s="389" t="s">
        <v>641</v>
      </c>
      <c r="G54" s="390" t="s">
        <v>62</v>
      </c>
      <c r="H54" s="389"/>
      <c r="I54" s="327"/>
      <c r="J54" s="328"/>
      <c r="K54" s="327"/>
    </row>
    <row r="55" spans="1:15" s="331" customFormat="1">
      <c r="B55"/>
      <c r="C55" s="372"/>
      <c r="D55" s="372"/>
      <c r="E55" s="373" t="s">
        <v>591</v>
      </c>
      <c r="F55" s="373" t="s">
        <v>592</v>
      </c>
      <c r="G55" s="373" t="s">
        <v>62</v>
      </c>
      <c r="H55" s="373"/>
      <c r="I55" s="372"/>
      <c r="J55" s="372"/>
      <c r="K55" s="372"/>
    </row>
    <row r="56" spans="1:15">
      <c r="A56" s="331" t="s">
        <v>674</v>
      </c>
      <c r="C56" s="401"/>
      <c r="D56" s="331"/>
      <c r="E56" s="327" t="s">
        <v>632</v>
      </c>
      <c r="F56" s="327" t="s">
        <v>635</v>
      </c>
      <c r="G56" s="371" t="s">
        <v>62</v>
      </c>
    </row>
    <row r="57" spans="1:15">
      <c r="A57" s="1"/>
      <c r="B57" s="1"/>
      <c r="C57" s="372"/>
      <c r="D57" s="372"/>
      <c r="E57" s="367" t="s">
        <v>631</v>
      </c>
      <c r="F57" s="367" t="s">
        <v>636</v>
      </c>
      <c r="G57" s="397" t="s">
        <v>62</v>
      </c>
      <c r="H57" s="372"/>
      <c r="I57" s="372"/>
      <c r="J57" s="372"/>
      <c r="K57" s="372"/>
    </row>
    <row r="58" spans="1:15" s="251" customFormat="1">
      <c r="A58" s="331" t="s">
        <v>647</v>
      </c>
      <c r="B58"/>
      <c r="C58" s="19"/>
      <c r="D58" s="19"/>
      <c r="E58" s="20" t="s">
        <v>46</v>
      </c>
      <c r="F58" s="20" t="s">
        <v>53</v>
      </c>
      <c r="G58" s="18" t="s">
        <v>62</v>
      </c>
      <c r="H58" s="19"/>
      <c r="I58" s="19"/>
      <c r="J58" s="19"/>
      <c r="K58" s="19"/>
      <c r="L58" s="1"/>
      <c r="M58" s="1"/>
    </row>
    <row r="59" spans="1:15">
      <c r="C59" s="19"/>
      <c r="D59" s="19"/>
      <c r="E59" s="20" t="s">
        <v>47</v>
      </c>
      <c r="F59" s="20" t="s">
        <v>52</v>
      </c>
      <c r="G59" s="18" t="s">
        <v>62</v>
      </c>
      <c r="H59" s="19"/>
      <c r="I59" s="19"/>
      <c r="J59" s="19"/>
      <c r="K59" s="19"/>
    </row>
    <row r="60" spans="1:15">
      <c r="C60" s="19"/>
      <c r="D60" s="19"/>
      <c r="E60" s="20" t="s">
        <v>48</v>
      </c>
      <c r="F60" s="20" t="s">
        <v>54</v>
      </c>
      <c r="G60" s="18" t="s">
        <v>62</v>
      </c>
      <c r="H60" s="19"/>
      <c r="I60" s="19"/>
      <c r="J60" s="19"/>
      <c r="K60" s="19"/>
    </row>
    <row r="61" spans="1:15">
      <c r="C61" s="19"/>
      <c r="D61" s="19"/>
      <c r="E61" s="20" t="s">
        <v>58</v>
      </c>
      <c r="F61" s="20" t="s">
        <v>59</v>
      </c>
      <c r="G61" s="18" t="s">
        <v>62</v>
      </c>
      <c r="H61" s="19"/>
      <c r="I61" s="19"/>
      <c r="J61" s="19"/>
      <c r="K61" s="19"/>
    </row>
    <row r="62" spans="1:15" ht="14.4">
      <c r="B62" s="251"/>
      <c r="C62" s="367"/>
      <c r="D62" s="367"/>
      <c r="E62" s="395" t="s">
        <v>582</v>
      </c>
      <c r="F62" s="395" t="s">
        <v>583</v>
      </c>
      <c r="G62" s="395" t="s">
        <v>62</v>
      </c>
      <c r="H62" s="367"/>
      <c r="I62" s="367"/>
      <c r="J62" s="367"/>
      <c r="K62" s="367"/>
    </row>
    <row r="63" spans="1:15">
      <c r="A63" s="331" t="s">
        <v>669</v>
      </c>
      <c r="C63" s="399"/>
      <c r="D63" s="399"/>
      <c r="E63" s="400" t="s">
        <v>600</v>
      </c>
      <c r="F63" s="400" t="s">
        <v>601</v>
      </c>
      <c r="G63" s="400" t="s">
        <v>62</v>
      </c>
      <c r="H63" s="400"/>
      <c r="I63" s="399"/>
      <c r="J63" s="399"/>
      <c r="K63" s="399"/>
    </row>
    <row r="64" spans="1:15" ht="14.4">
      <c r="A64" s="331" t="s">
        <v>649</v>
      </c>
      <c r="C64" s="15"/>
      <c r="D64" s="15"/>
      <c r="E64" s="18" t="s">
        <v>253</v>
      </c>
      <c r="F64" s="243" t="s">
        <v>254</v>
      </c>
      <c r="G64" s="18" t="s">
        <v>62</v>
      </c>
      <c r="H64" s="389"/>
      <c r="I64" s="15"/>
      <c r="J64" s="15"/>
      <c r="K64" s="15"/>
    </row>
    <row r="65" spans="1:20">
      <c r="C65" s="328"/>
      <c r="D65" s="328"/>
      <c r="E65" s="18" t="s">
        <v>261</v>
      </c>
      <c r="F65" s="18" t="s">
        <v>262</v>
      </c>
      <c r="G65" s="18" t="s">
        <v>62</v>
      </c>
      <c r="H65" s="20"/>
      <c r="I65" s="328"/>
      <c r="J65" s="328"/>
      <c r="K65" s="328"/>
    </row>
    <row r="66" spans="1:20">
      <c r="C66" s="328"/>
      <c r="D66" s="328"/>
      <c r="E66" s="18" t="s">
        <v>263</v>
      </c>
      <c r="F66" s="249" t="s">
        <v>264</v>
      </c>
      <c r="G66" s="18" t="s">
        <v>62</v>
      </c>
      <c r="H66" s="20"/>
      <c r="I66" s="328"/>
      <c r="J66" s="328"/>
      <c r="K66" s="328"/>
    </row>
    <row r="67" spans="1:20">
      <c r="C67" s="367"/>
      <c r="D67" s="367"/>
      <c r="E67" s="391" t="s">
        <v>259</v>
      </c>
      <c r="F67" s="391" t="s">
        <v>260</v>
      </c>
      <c r="G67" s="391" t="s">
        <v>62</v>
      </c>
      <c r="H67" s="369"/>
      <c r="I67" s="367"/>
      <c r="J67" s="367"/>
      <c r="K67" s="367"/>
    </row>
    <row r="68" spans="1:20">
      <c r="C68" s="62" t="s">
        <v>101</v>
      </c>
      <c r="D68" s="62"/>
      <c r="E68" s="63" t="s">
        <v>146</v>
      </c>
      <c r="F68" s="63" t="s">
        <v>155</v>
      </c>
      <c r="G68" s="63" t="s">
        <v>102</v>
      </c>
      <c r="H68" s="62"/>
      <c r="I68" s="62"/>
      <c r="J68" s="62"/>
      <c r="K68" s="62"/>
    </row>
    <row r="69" spans="1:20">
      <c r="C69" s="15"/>
      <c r="D69" s="15"/>
      <c r="E69" s="18" t="s">
        <v>236</v>
      </c>
      <c r="F69" s="18" t="s">
        <v>237</v>
      </c>
      <c r="G69" s="18" t="s">
        <v>102</v>
      </c>
      <c r="H69" s="15"/>
      <c r="I69" s="15"/>
      <c r="J69" s="15"/>
      <c r="K69" s="15"/>
    </row>
    <row r="70" spans="1:20">
      <c r="C70" s="327"/>
      <c r="D70" s="327"/>
      <c r="E70" s="249" t="s">
        <v>238</v>
      </c>
      <c r="F70" s="18" t="s">
        <v>239</v>
      </c>
      <c r="G70" s="18" t="s">
        <v>102</v>
      </c>
      <c r="H70" s="327"/>
      <c r="I70" s="327"/>
      <c r="J70" s="327"/>
      <c r="K70" s="327"/>
    </row>
    <row r="71" spans="1:20" s="437" customFormat="1">
      <c r="C71" s="327"/>
      <c r="D71" s="327"/>
      <c r="E71" s="371" t="s">
        <v>856</v>
      </c>
      <c r="F71" s="371" t="s">
        <v>857</v>
      </c>
      <c r="G71" s="371" t="s">
        <v>102</v>
      </c>
      <c r="H71" s="327"/>
      <c r="I71" s="327"/>
      <c r="J71" s="327"/>
      <c r="K71" s="327"/>
    </row>
    <row r="72" spans="1:20" s="331" customFormat="1">
      <c r="C72" s="327"/>
      <c r="D72" s="327"/>
      <c r="E72" s="18" t="s">
        <v>637</v>
      </c>
      <c r="F72" s="18" t="s">
        <v>637</v>
      </c>
      <c r="G72" s="18" t="s">
        <v>102</v>
      </c>
      <c r="H72" s="327"/>
      <c r="I72" s="327"/>
      <c r="J72" s="328"/>
      <c r="K72" s="327"/>
    </row>
    <row r="73" spans="1:20" s="331" customFormat="1">
      <c r="B73" s="327"/>
      <c r="C73" s="327"/>
      <c r="D73" s="327"/>
      <c r="E73" s="390" t="s">
        <v>670</v>
      </c>
      <c r="F73" s="390" t="s">
        <v>671</v>
      </c>
      <c r="G73" s="7" t="s">
        <v>102</v>
      </c>
      <c r="H73" s="389"/>
      <c r="I73" s="390"/>
      <c r="J73" s="20"/>
      <c r="K73" s="389"/>
    </row>
    <row r="74" spans="1:20" s="331" customFormat="1">
      <c r="B74" s="327"/>
      <c r="C74" s="327"/>
      <c r="D74" s="327"/>
      <c r="E74" s="7" t="s">
        <v>672</v>
      </c>
      <c r="F74" s="7" t="s">
        <v>673</v>
      </c>
      <c r="G74" s="7" t="s">
        <v>102</v>
      </c>
      <c r="H74" s="7"/>
      <c r="I74" s="390"/>
      <c r="J74" s="20"/>
      <c r="K74" s="389"/>
    </row>
    <row r="75" spans="1:20">
      <c r="C75" s="328"/>
      <c r="D75" s="328"/>
      <c r="E75" s="3" t="s">
        <v>594</v>
      </c>
      <c r="F75" s="3" t="s">
        <v>595</v>
      </c>
      <c r="G75" s="3" t="s">
        <v>102</v>
      </c>
      <c r="H75" s="328"/>
      <c r="I75" s="328"/>
      <c r="J75" s="328"/>
      <c r="K75" s="328"/>
      <c r="L75" s="1"/>
      <c r="M75" s="1"/>
      <c r="N75" s="1"/>
    </row>
    <row r="76" spans="1:20" ht="15.75" customHeight="1">
      <c r="C76" s="372"/>
      <c r="D76" s="372"/>
      <c r="E76" s="368" t="s">
        <v>615</v>
      </c>
      <c r="F76" s="368" t="s">
        <v>616</v>
      </c>
      <c r="G76" s="368" t="s">
        <v>102</v>
      </c>
      <c r="H76" s="372"/>
      <c r="I76" s="372"/>
      <c r="J76" s="372"/>
      <c r="K76" s="372"/>
      <c r="L76" s="1"/>
      <c r="M76" s="1"/>
      <c r="N76" s="1"/>
    </row>
    <row r="77" spans="1:20">
      <c r="A77" s="331" t="s">
        <v>650</v>
      </c>
      <c r="B77" s="7"/>
      <c r="C77" s="331" t="s">
        <v>39</v>
      </c>
      <c r="D77" s="19"/>
      <c r="E77" s="23" t="s">
        <v>145</v>
      </c>
      <c r="F77" s="249" t="s">
        <v>755</v>
      </c>
      <c r="G77" s="18" t="s">
        <v>62</v>
      </c>
      <c r="H77" s="19"/>
      <c r="I77" s="19"/>
      <c r="J77" s="19"/>
      <c r="K77" s="19"/>
    </row>
    <row r="78" spans="1:20">
      <c r="B78" s="3"/>
      <c r="C78" s="20"/>
      <c r="D78" s="19"/>
      <c r="E78" s="23" t="s">
        <v>240</v>
      </c>
      <c r="F78" s="249" t="s">
        <v>756</v>
      </c>
      <c r="G78" s="18" t="s">
        <v>62</v>
      </c>
      <c r="H78" s="19"/>
      <c r="I78" s="19"/>
      <c r="J78" s="19"/>
      <c r="K78" s="19"/>
      <c r="M78" s="3"/>
      <c r="N78" s="3"/>
      <c r="O78" s="3"/>
      <c r="P78" s="3"/>
      <c r="Q78" s="3"/>
      <c r="R78" s="3"/>
      <c r="S78" s="3"/>
      <c r="T78" s="3"/>
    </row>
    <row r="79" spans="1:20">
      <c r="B79" s="3"/>
      <c r="C79" s="369"/>
      <c r="D79" s="367"/>
      <c r="E79" s="431" t="s">
        <v>241</v>
      </c>
      <c r="F79" s="368" t="s">
        <v>757</v>
      </c>
      <c r="G79" s="391" t="s">
        <v>62</v>
      </c>
      <c r="H79" s="367"/>
      <c r="I79" s="367"/>
      <c r="J79" s="367"/>
      <c r="K79" s="367"/>
      <c r="L79" s="1"/>
      <c r="M79" s="3"/>
      <c r="N79" s="3"/>
      <c r="O79" s="3"/>
      <c r="P79" s="3"/>
      <c r="Q79" s="3"/>
      <c r="R79" s="3"/>
      <c r="S79" s="3"/>
      <c r="T79" s="3"/>
    </row>
    <row r="80" spans="1:20">
      <c r="C80" s="331"/>
      <c r="D80" s="331"/>
      <c r="E80" s="331" t="str">
        <f t="shared" ref="E80:E90" si="0">"SUP"&amp;E12</f>
        <v>SUPCOA</v>
      </c>
      <c r="F80" s="327" t="str">
        <f t="shared" ref="F80:F90" si="1">"Supply "&amp;F12</f>
        <v>Supply Coal</v>
      </c>
      <c r="G80" s="327" t="str">
        <f>G45</f>
        <v>PJ</v>
      </c>
    </row>
    <row r="81" spans="3:7">
      <c r="C81" s="331"/>
      <c r="D81" s="331"/>
      <c r="E81" s="331" t="str">
        <f t="shared" si="0"/>
        <v>SUPNGA</v>
      </c>
      <c r="F81" s="327" t="str">
        <f t="shared" si="1"/>
        <v>Supply Natural Gas</v>
      </c>
      <c r="G81" s="327" t="str">
        <f>G46</f>
        <v>PJ</v>
      </c>
    </row>
    <row r="82" spans="3:7">
      <c r="C82" s="331"/>
      <c r="D82" s="331"/>
      <c r="E82" s="331" t="str">
        <f t="shared" si="0"/>
        <v>SUPCRD</v>
      </c>
      <c r="F82" s="327" t="str">
        <f t="shared" si="1"/>
        <v>Supply Crude Oil</v>
      </c>
      <c r="G82" s="327" t="str">
        <f>G47</f>
        <v>PJ</v>
      </c>
    </row>
    <row r="83" spans="3:7">
      <c r="C83" s="331"/>
      <c r="D83" s="331"/>
      <c r="E83" s="331" t="str">
        <f t="shared" si="0"/>
        <v>SUPLPG</v>
      </c>
      <c r="F83" s="327" t="str">
        <f t="shared" si="1"/>
        <v>Supply Liquid petrol gas</v>
      </c>
      <c r="G83" s="327" t="str">
        <f>G23</f>
        <v>PJ</v>
      </c>
    </row>
    <row r="84" spans="3:7">
      <c r="C84" s="331"/>
      <c r="D84" s="331"/>
      <c r="E84" s="331" t="str">
        <f t="shared" si="0"/>
        <v>SUPLVN</v>
      </c>
      <c r="F84" s="327" t="str">
        <f t="shared" si="1"/>
        <v>Supply Naphtha (Petroleoum)</v>
      </c>
      <c r="G84" s="327" t="str">
        <f>G58</f>
        <v>PJ</v>
      </c>
    </row>
    <row r="85" spans="3:7">
      <c r="C85" s="331"/>
      <c r="D85" s="331"/>
      <c r="E85" s="331" t="str">
        <f t="shared" si="0"/>
        <v>SUPGSL</v>
      </c>
      <c r="F85" s="327" t="str">
        <f t="shared" si="1"/>
        <v>Supply Gasoline</v>
      </c>
      <c r="G85" s="327" t="str">
        <f>G59</f>
        <v>PJ</v>
      </c>
    </row>
    <row r="86" spans="3:7">
      <c r="C86" s="331"/>
      <c r="D86" s="331"/>
      <c r="E86" s="331" t="str">
        <f t="shared" si="0"/>
        <v>SUPKER</v>
      </c>
      <c r="F86" s="327" t="str">
        <f t="shared" si="1"/>
        <v>Supply Kerosene</v>
      </c>
      <c r="G86" s="327" t="str">
        <f>G60</f>
        <v>PJ</v>
      </c>
    </row>
    <row r="87" spans="3:7">
      <c r="C87" s="331"/>
      <c r="D87" s="331"/>
      <c r="E87" s="331" t="str">
        <f t="shared" si="0"/>
        <v>SUPDSL</v>
      </c>
      <c r="F87" s="327" t="str">
        <f t="shared" si="1"/>
        <v>Supply Diesel</v>
      </c>
      <c r="G87" s="327" t="str">
        <f>G61</f>
        <v>PJ</v>
      </c>
    </row>
    <row r="88" spans="3:7">
      <c r="C88" s="331"/>
      <c r="D88" s="331"/>
      <c r="E88" s="331" t="str">
        <f t="shared" si="0"/>
        <v>SUPHFO</v>
      </c>
      <c r="F88" s="327" t="str">
        <f t="shared" si="1"/>
        <v>Supply Heavy Fuel Oil</v>
      </c>
      <c r="G88" s="327" t="str">
        <f>G62</f>
        <v>PJ</v>
      </c>
    </row>
    <row r="89" spans="3:7">
      <c r="C89" s="331"/>
      <c r="D89" s="331"/>
      <c r="E89" s="331" t="str">
        <f t="shared" si="0"/>
        <v>SUPMGO</v>
      </c>
      <c r="F89" s="327" t="str">
        <f t="shared" si="1"/>
        <v>Supply Marine Gas Oil</v>
      </c>
      <c r="G89" s="327" t="str">
        <f>G48</f>
        <v>PJ</v>
      </c>
    </row>
    <row r="90" spans="3:7">
      <c r="C90" s="331"/>
      <c r="D90" s="331"/>
      <c r="E90" s="331" t="str">
        <f t="shared" si="0"/>
        <v>SUPAGSL</v>
      </c>
      <c r="F90" s="327" t="str">
        <f t="shared" si="1"/>
        <v>Supply Aviation gasoline</v>
      </c>
      <c r="G90" s="327" t="str">
        <f>G49</f>
        <v>PJ</v>
      </c>
    </row>
    <row r="91" spans="3:7">
      <c r="C91" s="331"/>
      <c r="D91" s="331"/>
      <c r="E91" s="331" t="str">
        <f t="shared" ref="E91:E101" si="2">"SUP"&amp;E45</f>
        <v>SUPWST</v>
      </c>
      <c r="F91" s="327" t="str">
        <f t="shared" ref="F91:F101" si="3">"Supply "&amp;F45</f>
        <v>Supply Waste</v>
      </c>
      <c r="G91" s="327" t="str">
        <f>G50</f>
        <v>PJ</v>
      </c>
    </row>
    <row r="92" spans="3:7">
      <c r="C92" s="331"/>
      <c r="D92" s="331"/>
      <c r="E92" s="331" t="str">
        <f t="shared" si="2"/>
        <v>SUPSTR</v>
      </c>
      <c r="F92" s="327" t="str">
        <f t="shared" si="3"/>
        <v>Supply Straw</v>
      </c>
      <c r="G92" s="327" t="str">
        <f t="shared" ref="G92:G98" si="4">G14</f>
        <v>PJ</v>
      </c>
    </row>
    <row r="93" spans="3:7">
      <c r="C93" s="331"/>
      <c r="D93" s="331"/>
      <c r="E93" s="331" t="str">
        <f t="shared" si="2"/>
        <v>SUPGRS</v>
      </c>
      <c r="F93" s="327" t="str">
        <f t="shared" si="3"/>
        <v>Supply Grass</v>
      </c>
      <c r="G93" s="327" t="str">
        <f t="shared" si="4"/>
        <v>PJ</v>
      </c>
    </row>
    <row r="94" spans="3:7">
      <c r="C94" s="331"/>
      <c r="D94" s="331"/>
      <c r="E94" s="331" t="str">
        <f t="shared" si="2"/>
        <v>SUPWPE</v>
      </c>
      <c r="F94" s="327" t="str">
        <f t="shared" si="3"/>
        <v>Supply Wood pellets</v>
      </c>
      <c r="G94" s="327" t="str">
        <f t="shared" si="4"/>
        <v>PJ</v>
      </c>
    </row>
    <row r="95" spans="3:7">
      <c r="C95" s="331"/>
      <c r="D95" s="331"/>
      <c r="E95" s="331" t="str">
        <f t="shared" si="2"/>
        <v>SUPWCH</v>
      </c>
      <c r="F95" s="327" t="str">
        <f t="shared" si="3"/>
        <v>Supply Wood chips and wood waste</v>
      </c>
      <c r="G95" s="327" t="str">
        <f t="shared" si="4"/>
        <v>PJ</v>
      </c>
    </row>
    <row r="96" spans="3:7">
      <c r="C96" s="331"/>
      <c r="D96" s="331"/>
      <c r="E96" s="331" t="str">
        <f t="shared" si="2"/>
        <v>SUPFIW</v>
      </c>
      <c r="F96" s="327" t="str">
        <f t="shared" si="3"/>
        <v>Supply Firewood</v>
      </c>
      <c r="G96" s="327" t="str">
        <f t="shared" si="4"/>
        <v>PJ</v>
      </c>
    </row>
    <row r="97" spans="3:11">
      <c r="C97" s="331"/>
      <c r="D97" s="331"/>
      <c r="E97" s="331" t="str">
        <f t="shared" si="2"/>
        <v>SUPCRN</v>
      </c>
      <c r="F97" s="327" t="str">
        <f t="shared" si="3"/>
        <v>Supply Corn</v>
      </c>
      <c r="G97" s="327" t="str">
        <f t="shared" si="4"/>
        <v>PJ</v>
      </c>
    </row>
    <row r="98" spans="3:11">
      <c r="C98" s="331"/>
      <c r="D98" s="331"/>
      <c r="E98" s="331" t="str">
        <f t="shared" si="2"/>
        <v>SUPRPS</v>
      </c>
      <c r="F98" s="327" t="str">
        <f t="shared" si="3"/>
        <v>Supply Rapeseed</v>
      </c>
      <c r="G98" s="327" t="str">
        <f t="shared" si="4"/>
        <v>PJ</v>
      </c>
    </row>
    <row r="99" spans="3:11">
      <c r="C99" s="331"/>
      <c r="D99" s="331"/>
      <c r="E99" s="331" t="str">
        <f t="shared" si="2"/>
        <v>SUPSGB</v>
      </c>
      <c r="F99" s="327" t="str">
        <f t="shared" si="3"/>
        <v>Supply Sugar Beet</v>
      </c>
      <c r="G99" s="327" t="str">
        <f>G30</f>
        <v>PJ</v>
      </c>
    </row>
    <row r="100" spans="3:11">
      <c r="C100" s="331"/>
      <c r="D100" s="331"/>
      <c r="E100" s="331" t="str">
        <f t="shared" si="2"/>
        <v>SUPDLI</v>
      </c>
      <c r="F100" s="327" t="str">
        <f t="shared" si="3"/>
        <v>Supply Deep Litter</v>
      </c>
      <c r="G100" s="327" t="str">
        <f>G31</f>
        <v>PJ</v>
      </c>
    </row>
    <row r="101" spans="3:11">
      <c r="C101" s="331"/>
      <c r="D101" s="331"/>
      <c r="E101" s="331" t="str">
        <f t="shared" si="2"/>
        <v>SUPMNR</v>
      </c>
      <c r="F101" s="327" t="str">
        <f t="shared" si="3"/>
        <v>Supply Manure (Gylle)</v>
      </c>
      <c r="G101" s="327" t="str">
        <f>G33</f>
        <v>PJ</v>
      </c>
    </row>
    <row r="102" spans="3:11">
      <c r="C102" s="331"/>
      <c r="D102" s="331"/>
      <c r="E102" s="331" t="str">
        <f t="shared" ref="E102:E108" si="5">"SUP"&amp;E23</f>
        <v>SUPBGA</v>
      </c>
      <c r="F102" s="327" t="str">
        <f t="shared" ref="F102:F108" si="6">"Supply "&amp;F23</f>
        <v>Supply Biogas</v>
      </c>
      <c r="G102" s="327" t="str">
        <f>G34</f>
        <v>PJ</v>
      </c>
    </row>
    <row r="103" spans="3:11">
      <c r="C103" s="331"/>
      <c r="D103" s="331"/>
      <c r="E103" s="331" t="str">
        <f t="shared" si="5"/>
        <v>SUPHFB</v>
      </c>
      <c r="F103" s="327" t="str">
        <f t="shared" si="6"/>
        <v>Supply Heavy Fuel Bio Oil</v>
      </c>
      <c r="G103" s="327" t="str">
        <f>G36</f>
        <v>PJ</v>
      </c>
    </row>
    <row r="104" spans="3:11">
      <c r="C104" s="1"/>
      <c r="D104" s="1"/>
      <c r="E104" s="331" t="str">
        <f t="shared" si="5"/>
        <v>SUPDDGS</v>
      </c>
      <c r="F104" s="327" t="str">
        <f t="shared" si="6"/>
        <v>Supply Ethanol</v>
      </c>
      <c r="G104" s="328" t="str">
        <f>G37</f>
        <v>PJ</v>
      </c>
      <c r="H104" s="1"/>
      <c r="I104" s="1"/>
      <c r="J104" s="1"/>
      <c r="K104" s="1"/>
    </row>
    <row r="105" spans="3:11">
      <c r="C105" s="1"/>
      <c r="D105" s="1"/>
      <c r="E105" s="331" t="str">
        <f t="shared" si="5"/>
        <v>SUPH2</v>
      </c>
      <c r="F105" s="327" t="str">
        <f t="shared" si="6"/>
        <v>Supply Hydrogen</v>
      </c>
      <c r="G105" s="328" t="str">
        <f>G39</f>
        <v>PJ</v>
      </c>
      <c r="H105" s="1"/>
      <c r="I105" s="1"/>
      <c r="J105" s="1"/>
      <c r="K105" s="1"/>
    </row>
    <row r="106" spans="3:11">
      <c r="C106" s="1"/>
      <c r="D106" s="1"/>
      <c r="E106" s="331" t="str">
        <f t="shared" si="5"/>
        <v>SUPH2G</v>
      </c>
      <c r="F106" s="327" t="str">
        <f t="shared" si="6"/>
        <v>Supply Hydrogen Gas</v>
      </c>
      <c r="G106" s="328" t="str">
        <f>G40</f>
        <v>PJ</v>
      </c>
      <c r="H106" s="1"/>
      <c r="I106" s="1"/>
      <c r="J106" s="1"/>
      <c r="K106" s="1"/>
    </row>
    <row r="107" spans="3:11">
      <c r="C107" s="331"/>
      <c r="D107" s="331"/>
      <c r="E107" s="1" t="str">
        <f t="shared" si="5"/>
        <v>SUPAMM</v>
      </c>
      <c r="F107" s="328" t="str">
        <f t="shared" si="6"/>
        <v>Supply Ammonia (Liquid)</v>
      </c>
      <c r="G107" s="327" t="str">
        <f>G51</f>
        <v>PJ</v>
      </c>
    </row>
    <row r="108" spans="3:11">
      <c r="C108" s="331"/>
      <c r="D108" s="331"/>
      <c r="E108" s="1" t="str">
        <f t="shared" si="5"/>
        <v>SUPDME</v>
      </c>
      <c r="F108" s="328" t="str">
        <f t="shared" si="6"/>
        <v>Supply Dimethyl ether</v>
      </c>
      <c r="G108" s="327" t="str">
        <f>G52</f>
        <v>PJ</v>
      </c>
    </row>
    <row r="109" spans="3:11">
      <c r="C109" s="331"/>
      <c r="D109" s="331"/>
      <c r="E109" s="1" t="s">
        <v>833</v>
      </c>
      <c r="F109" s="328" t="s">
        <v>837</v>
      </c>
      <c r="G109" s="327" t="s">
        <v>62</v>
      </c>
    </row>
    <row r="110" spans="3:11">
      <c r="C110" s="331"/>
      <c r="D110" s="331"/>
      <c r="E110" s="331" t="s">
        <v>834</v>
      </c>
      <c r="F110" s="327" t="s">
        <v>838</v>
      </c>
      <c r="G110" s="327" t="s">
        <v>62</v>
      </c>
    </row>
    <row r="111" spans="3:11">
      <c r="C111" s="331"/>
      <c r="D111" s="331"/>
      <c r="E111" s="331" t="s">
        <v>835</v>
      </c>
      <c r="F111" s="327" t="s">
        <v>839</v>
      </c>
      <c r="G111" s="327" t="s">
        <v>62</v>
      </c>
    </row>
    <row r="112" spans="3:11">
      <c r="C112" s="331"/>
      <c r="D112" s="331"/>
      <c r="E112" s="331" t="s">
        <v>842</v>
      </c>
      <c r="F112" s="327" t="s">
        <v>840</v>
      </c>
      <c r="G112" s="327" t="s">
        <v>62</v>
      </c>
    </row>
    <row r="113" spans="5:7">
      <c r="E113" s="331" t="s">
        <v>836</v>
      </c>
      <c r="F113" s="327" t="s">
        <v>841</v>
      </c>
      <c r="G113" s="18" t="s">
        <v>62</v>
      </c>
    </row>
  </sheetData>
  <phoneticPr fontId="32" type="noConversion"/>
  <conditionalFormatting sqref="N28:O28">
    <cfRule type="cellIs" dxfId="35" priority="1" operator="equal">
      <formula>"no"</formula>
    </cfRule>
    <cfRule type="cellIs" dxfId="34" priority="2" operator="equal">
      <formula>"yes"</formula>
    </cfRule>
  </conditionalFormatting>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rgb="FF92D050"/>
  </sheetPr>
  <dimension ref="A3:K195"/>
  <sheetViews>
    <sheetView topLeftCell="A117" zoomScaleNormal="100" workbookViewId="0">
      <selection activeCell="G152" sqref="G152"/>
    </sheetView>
  </sheetViews>
  <sheetFormatPr defaultColWidth="8.6640625" defaultRowHeight="13.2"/>
  <cols>
    <col min="1" max="1" width="5.6640625" customWidth="1"/>
    <col min="2" max="2" width="12.33203125" customWidth="1"/>
    <col min="3" max="3" width="10.44140625" customWidth="1"/>
    <col min="4" max="4" width="13.33203125" bestFit="1" customWidth="1"/>
    <col min="5" max="5" width="42.6640625" bestFit="1" customWidth="1"/>
    <col min="7" max="7" width="12" customWidth="1"/>
    <col min="8" max="8" width="12.6640625" customWidth="1"/>
    <col min="9" max="9" width="14" customWidth="1"/>
  </cols>
  <sheetData>
    <row r="3" spans="1:11">
      <c r="B3" s="13" t="s">
        <v>14</v>
      </c>
      <c r="C3" s="14"/>
      <c r="D3" s="15"/>
      <c r="E3" s="15"/>
      <c r="F3" s="15"/>
      <c r="G3" s="15"/>
      <c r="H3" s="15"/>
      <c r="I3" s="15"/>
      <c r="J3" s="15"/>
    </row>
    <row r="4" spans="1:11" ht="13.8">
      <c r="B4" s="16" t="s">
        <v>15</v>
      </c>
      <c r="C4" s="16" t="s">
        <v>0</v>
      </c>
      <c r="D4" s="16" t="s">
        <v>1</v>
      </c>
      <c r="E4" s="16" t="s">
        <v>2</v>
      </c>
      <c r="F4" s="16" t="s">
        <v>16</v>
      </c>
      <c r="G4" s="16" t="s">
        <v>17</v>
      </c>
      <c r="H4" s="16" t="s">
        <v>18</v>
      </c>
      <c r="I4" s="16" t="s">
        <v>19</v>
      </c>
      <c r="J4" s="16" t="s">
        <v>20</v>
      </c>
    </row>
    <row r="5" spans="1:11" ht="25.95" customHeight="1" thickBot="1">
      <c r="B5" s="17" t="s">
        <v>23</v>
      </c>
      <c r="C5" s="17" t="s">
        <v>24</v>
      </c>
      <c r="D5" s="17" t="s">
        <v>25</v>
      </c>
      <c r="E5" s="17" t="s">
        <v>26</v>
      </c>
      <c r="F5" s="17" t="s">
        <v>27</v>
      </c>
      <c r="G5" s="17" t="s">
        <v>28</v>
      </c>
      <c r="H5" s="17" t="s">
        <v>29</v>
      </c>
      <c r="I5" s="17" t="s">
        <v>30</v>
      </c>
      <c r="J5" s="17" t="s">
        <v>31</v>
      </c>
    </row>
    <row r="6" spans="1:11" s="7" customFormat="1">
      <c r="A6" s="3"/>
      <c r="B6" s="20" t="s">
        <v>61</v>
      </c>
      <c r="C6" s="22"/>
      <c r="D6" s="18" t="str">
        <f>$B$6&amp;Commodities!E6</f>
        <v>IMPPEA</v>
      </c>
      <c r="E6" s="18" t="str">
        <f>"Import technology - "&amp;Commodities!F6</f>
        <v>Import technology - Peat</v>
      </c>
      <c r="F6" s="20" t="s">
        <v>62</v>
      </c>
      <c r="G6" s="18"/>
      <c r="H6" s="20"/>
      <c r="I6" s="20"/>
      <c r="J6" s="20"/>
      <c r="K6" s="3"/>
    </row>
    <row r="7" spans="1:11" s="7" customFormat="1">
      <c r="A7" s="3"/>
      <c r="B7" s="20"/>
      <c r="C7" s="22"/>
      <c r="D7" s="18" t="str">
        <f>$B$6&amp;Commodities!E7</f>
        <v>IMPIWH</v>
      </c>
      <c r="E7" s="18" t="str">
        <f>"Import technology - "&amp;Commodities!F7</f>
        <v xml:space="preserve">Import technology - Industrial waste heat </v>
      </c>
      <c r="F7" s="20" t="s">
        <v>62</v>
      </c>
      <c r="G7" s="18"/>
      <c r="H7" s="20"/>
      <c r="I7" s="20"/>
      <c r="J7" s="20"/>
      <c r="K7" s="3"/>
    </row>
    <row r="8" spans="1:11" s="7" customFormat="1">
      <c r="A8" s="3"/>
      <c r="B8" s="20"/>
      <c r="C8" s="22"/>
      <c r="D8" s="18" t="str">
        <f>$B$6&amp;Commodities!E8</f>
        <v>IMPBFG</v>
      </c>
      <c r="E8" s="18" t="str">
        <f>"Import technology - "&amp;Commodities!F8</f>
        <v>Import technology - Blast furnace gas</v>
      </c>
      <c r="F8" s="20" t="s">
        <v>62</v>
      </c>
      <c r="G8" s="18"/>
      <c r="H8" s="20"/>
      <c r="I8" s="20"/>
      <c r="J8" s="20"/>
      <c r="K8" s="3"/>
    </row>
    <row r="9" spans="1:11" s="7" customFormat="1">
      <c r="A9" s="3"/>
      <c r="B9" s="20"/>
      <c r="C9" s="22"/>
      <c r="D9" s="18" t="str">
        <f>$B$6&amp;Commodities!E9</f>
        <v>IMPAMB</v>
      </c>
      <c r="E9" s="18" t="str">
        <f>"Import technology - "&amp;Commodities!F9</f>
        <v>Import technology - Ambient Temperature for heat pump</v>
      </c>
      <c r="F9" s="20" t="s">
        <v>62</v>
      </c>
      <c r="G9" s="18"/>
      <c r="H9" s="20"/>
      <c r="I9" s="20"/>
      <c r="J9" s="20"/>
      <c r="K9" s="3"/>
    </row>
    <row r="10" spans="1:11" s="7" customFormat="1">
      <c r="A10" s="3"/>
      <c r="B10" s="20"/>
      <c r="C10" s="22"/>
      <c r="D10" s="18" t="str">
        <f>$B$6&amp;Commodities!E10</f>
        <v>IMPURN</v>
      </c>
      <c r="E10" s="18" t="str">
        <f>"Import technology - "&amp;Commodities!F10</f>
        <v>Import technology - Nuclear fuel</v>
      </c>
      <c r="F10" s="20" t="s">
        <v>62</v>
      </c>
      <c r="G10" s="18"/>
      <c r="H10" s="20"/>
      <c r="I10" s="20"/>
      <c r="J10" s="20"/>
      <c r="K10" s="3"/>
    </row>
    <row r="11" spans="1:11" s="7" customFormat="1">
      <c r="A11" s="3"/>
      <c r="B11" s="20"/>
      <c r="C11" s="22"/>
      <c r="D11" s="18" t="str">
        <f>$B$6&amp;Commodities!E11</f>
        <v>IMPBLQ</v>
      </c>
      <c r="E11" s="18" t="str">
        <f>"Import technology - "&amp;Commodities!F11</f>
        <v>Import technology - Black liquor</v>
      </c>
      <c r="F11" s="20" t="s">
        <v>62</v>
      </c>
      <c r="G11" s="18"/>
      <c r="H11" s="20"/>
      <c r="I11" s="20"/>
      <c r="J11" s="20"/>
      <c r="K11" s="3"/>
    </row>
    <row r="12" spans="1:11" s="7" customFormat="1">
      <c r="A12" s="3"/>
      <c r="B12" s="20"/>
      <c r="C12" s="22"/>
      <c r="D12" s="18" t="str">
        <f>$B$6&amp;Commodities!E12</f>
        <v>IMPCOA</v>
      </c>
      <c r="E12" s="18" t="str">
        <f>"Import technology - "&amp;Commodities!F12</f>
        <v>Import technology - Coal</v>
      </c>
      <c r="F12" s="20" t="s">
        <v>62</v>
      </c>
      <c r="G12" s="18"/>
      <c r="H12" s="20"/>
      <c r="I12" s="20"/>
      <c r="J12" s="20"/>
      <c r="K12" s="3"/>
    </row>
    <row r="13" spans="1:11" s="7" customFormat="1">
      <c r="A13" s="3"/>
      <c r="B13" s="20"/>
      <c r="C13" s="22"/>
      <c r="D13" s="18" t="str">
        <f>$B$6&amp;Commodities!E13</f>
        <v>IMPNGA</v>
      </c>
      <c r="E13" s="18" t="str">
        <f>"Import technology - "&amp;Commodities!F13</f>
        <v>Import technology - Natural Gas</v>
      </c>
      <c r="F13" s="20" t="s">
        <v>62</v>
      </c>
      <c r="G13" s="18"/>
      <c r="H13" s="20"/>
      <c r="I13" s="20"/>
      <c r="J13" s="20"/>
      <c r="K13" s="3"/>
    </row>
    <row r="14" spans="1:11" s="7" customFormat="1">
      <c r="A14" s="3"/>
      <c r="B14" s="20"/>
      <c r="C14" s="22"/>
      <c r="D14" s="18" t="str">
        <f>$B$6&amp;Commodities!E14</f>
        <v>IMPCRD</v>
      </c>
      <c r="E14" s="18" t="str">
        <f>"Import technology - "&amp;Commodities!F14</f>
        <v>Import technology - Crude Oil</v>
      </c>
      <c r="F14" s="20" t="s">
        <v>62</v>
      </c>
      <c r="G14" s="18"/>
      <c r="H14" s="20"/>
      <c r="I14" s="20"/>
      <c r="J14" s="20"/>
      <c r="K14" s="3"/>
    </row>
    <row r="15" spans="1:11" s="7" customFormat="1">
      <c r="A15" s="3"/>
      <c r="B15" s="20"/>
      <c r="C15" s="22"/>
      <c r="D15" s="18" t="str">
        <f>$B$6&amp;Commodities!E15</f>
        <v>IMPLPG</v>
      </c>
      <c r="E15" s="18" t="str">
        <f>"Import technology - "&amp;Commodities!F15</f>
        <v>Import technology - Liquid petrol gas</v>
      </c>
      <c r="F15" s="20" t="s">
        <v>62</v>
      </c>
      <c r="G15" s="18"/>
      <c r="H15" s="20"/>
      <c r="I15" s="20"/>
      <c r="J15" s="20"/>
      <c r="K15" s="3"/>
    </row>
    <row r="16" spans="1:11" s="7" customFormat="1">
      <c r="A16" s="3"/>
      <c r="B16" s="20"/>
      <c r="C16" s="22"/>
      <c r="D16" s="18" t="str">
        <f>$B$6&amp;Commodities!E16</f>
        <v>IMPLVN</v>
      </c>
      <c r="E16" s="18" t="str">
        <f>"Import technology - "&amp;Commodities!F16</f>
        <v>Import technology - Naphtha (Petroleoum)</v>
      </c>
      <c r="F16" s="20" t="s">
        <v>62</v>
      </c>
      <c r="G16" s="18"/>
      <c r="H16" s="20"/>
      <c r="I16" s="20"/>
      <c r="J16" s="20"/>
      <c r="K16" s="3"/>
    </row>
    <row r="17" spans="1:11" s="7" customFormat="1">
      <c r="A17" s="3"/>
      <c r="B17" s="20"/>
      <c r="C17" s="22"/>
      <c r="D17" s="18" t="str">
        <f>$B$6&amp;Commodities!E17</f>
        <v>IMPGSL</v>
      </c>
      <c r="E17" s="18" t="str">
        <f>"Import technology - "&amp;Commodities!F17</f>
        <v>Import technology - Gasoline</v>
      </c>
      <c r="F17" s="20" t="s">
        <v>62</v>
      </c>
      <c r="G17" s="18"/>
      <c r="H17" s="20"/>
      <c r="I17" s="20"/>
      <c r="J17" s="20"/>
      <c r="K17" s="3"/>
    </row>
    <row r="18" spans="1:11" s="7" customFormat="1">
      <c r="A18" s="3"/>
      <c r="B18" s="20"/>
      <c r="C18" s="22"/>
      <c r="D18" s="18" t="str">
        <f>$B$6&amp;Commodities!E18</f>
        <v>IMPKER</v>
      </c>
      <c r="E18" s="18" t="str">
        <f>"Import technology - "&amp;Commodities!F18</f>
        <v>Import technology - Kerosene</v>
      </c>
      <c r="F18" s="20" t="s">
        <v>62</v>
      </c>
      <c r="G18" s="18"/>
      <c r="H18" s="20"/>
      <c r="I18" s="20"/>
      <c r="J18" s="20"/>
      <c r="K18" s="3"/>
    </row>
    <row r="19" spans="1:11" s="7" customFormat="1">
      <c r="A19" s="3"/>
      <c r="B19" s="20"/>
      <c r="C19" s="22"/>
      <c r="D19" s="18" t="str">
        <f>$B$6&amp;Commodities!E19</f>
        <v>IMPDSL</v>
      </c>
      <c r="E19" s="18" t="str">
        <f>"Import technology - "&amp;Commodities!F19</f>
        <v>Import technology - Diesel</v>
      </c>
      <c r="F19" s="20" t="s">
        <v>62</v>
      </c>
      <c r="G19" s="18"/>
      <c r="H19" s="20"/>
      <c r="I19" s="20"/>
      <c r="J19" s="20"/>
      <c r="K19" s="3"/>
    </row>
    <row r="20" spans="1:11" s="7" customFormat="1">
      <c r="A20" s="3"/>
      <c r="B20" s="20"/>
      <c r="C20" s="22"/>
      <c r="D20" s="18" t="str">
        <f>$B$6&amp;Commodities!E20</f>
        <v>IMPHFO</v>
      </c>
      <c r="E20" s="18" t="str">
        <f>"Import technology - "&amp;Commodities!F20</f>
        <v>Import technology - Heavy Fuel Oil</v>
      </c>
      <c r="F20" s="20" t="s">
        <v>62</v>
      </c>
      <c r="G20" s="18"/>
      <c r="H20" s="20"/>
      <c r="I20" s="20"/>
      <c r="J20" s="20"/>
      <c r="K20" s="3"/>
    </row>
    <row r="21" spans="1:11" s="7" customFormat="1">
      <c r="A21" s="3"/>
      <c r="B21" s="20"/>
      <c r="C21" s="22"/>
      <c r="D21" s="18" t="str">
        <f>$B$6&amp;Commodities!E21</f>
        <v>IMPMGO</v>
      </c>
      <c r="E21" s="18" t="str">
        <f>"Import technology - "&amp;Commodities!F21</f>
        <v>Import technology - Marine Gas Oil</v>
      </c>
      <c r="F21" s="20" t="s">
        <v>62</v>
      </c>
      <c r="G21" s="18"/>
      <c r="H21" s="20"/>
      <c r="I21" s="20"/>
      <c r="J21" s="20"/>
      <c r="K21" s="3"/>
    </row>
    <row r="22" spans="1:11" s="7" customFormat="1">
      <c r="A22" s="3"/>
      <c r="B22" s="20"/>
      <c r="C22" s="22"/>
      <c r="D22" s="18" t="str">
        <f>$B$6&amp;Commodities!E22</f>
        <v>IMPAGSL</v>
      </c>
      <c r="E22" s="18" t="str">
        <f>"Import technology - "&amp;Commodities!F22</f>
        <v>Import technology - Aviation gasoline</v>
      </c>
      <c r="F22" s="20" t="s">
        <v>62</v>
      </c>
      <c r="G22" s="18"/>
      <c r="H22" s="20"/>
      <c r="I22" s="20"/>
      <c r="J22" s="20"/>
      <c r="K22" s="3"/>
    </row>
    <row r="23" spans="1:11" s="7" customFormat="1">
      <c r="A23" s="3"/>
      <c r="B23" s="20"/>
      <c r="C23" s="22"/>
      <c r="D23" s="18" t="str">
        <f>$B$6&amp;Commodities!E23</f>
        <v>IMPBGA</v>
      </c>
      <c r="E23" s="18" t="str">
        <f>"Import technology - "&amp;Commodities!F23</f>
        <v>Import technology - Biogas</v>
      </c>
      <c r="F23" s="20" t="s">
        <v>62</v>
      </c>
      <c r="G23" s="18"/>
      <c r="H23" s="20"/>
      <c r="I23" s="20"/>
      <c r="J23" s="20"/>
      <c r="K23" s="3"/>
    </row>
    <row r="24" spans="1:11" s="7" customFormat="1">
      <c r="A24" s="3"/>
      <c r="B24" s="20"/>
      <c r="C24" s="22"/>
      <c r="D24" s="18" t="str">
        <f>$B$6&amp;Commodities!E24</f>
        <v>IMPHFB</v>
      </c>
      <c r="E24" s="18" t="str">
        <f>"Import technology - "&amp;Commodities!F24</f>
        <v>Import technology - Heavy Fuel Bio Oil</v>
      </c>
      <c r="F24" s="20" t="s">
        <v>62</v>
      </c>
      <c r="G24" s="18"/>
      <c r="H24" s="20"/>
      <c r="I24" s="20"/>
      <c r="J24" s="20"/>
      <c r="K24" s="3"/>
    </row>
    <row r="25" spans="1:11" s="7" customFormat="1">
      <c r="A25" s="3"/>
      <c r="B25" s="20"/>
      <c r="C25" s="22"/>
      <c r="D25" s="18" t="str">
        <f>$B$6&amp;Commodities!E25</f>
        <v>IMPDDGS</v>
      </c>
      <c r="E25" s="18" t="str">
        <f>"Import technology - "&amp;Commodities!F25</f>
        <v>Import technology - Ethanol</v>
      </c>
      <c r="F25" s="20" t="s">
        <v>62</v>
      </c>
      <c r="G25" s="18"/>
      <c r="H25" s="20"/>
      <c r="I25" s="20"/>
      <c r="J25" s="20"/>
      <c r="K25" s="3"/>
    </row>
    <row r="26" spans="1:11" s="7" customFormat="1">
      <c r="A26" s="3"/>
      <c r="B26" s="20"/>
      <c r="C26" s="22"/>
      <c r="D26" s="18" t="str">
        <f>$B$6&amp;Commodities!E26</f>
        <v>IMPH2</v>
      </c>
      <c r="E26" s="18" t="str">
        <f>"Import technology - "&amp;Commodities!F26</f>
        <v>Import technology - Hydrogen</v>
      </c>
      <c r="F26" s="20" t="s">
        <v>62</v>
      </c>
      <c r="G26" s="18"/>
      <c r="H26" s="20"/>
      <c r="I26" s="20"/>
      <c r="J26" s="20"/>
      <c r="K26" s="3"/>
    </row>
    <row r="27" spans="1:11" s="7" customFormat="1">
      <c r="A27" s="3"/>
      <c r="B27" s="20"/>
      <c r="C27" s="22"/>
      <c r="D27" s="18" t="str">
        <f>$B$6&amp;Commodities!E27</f>
        <v>IMPH2G</v>
      </c>
      <c r="E27" s="18" t="str">
        <f>"Import technology - "&amp;Commodities!F27</f>
        <v>Import technology - Hydrogen Gas</v>
      </c>
      <c r="F27" s="20" t="s">
        <v>62</v>
      </c>
      <c r="G27" s="18"/>
      <c r="H27" s="20"/>
      <c r="I27" s="20"/>
      <c r="J27" s="20"/>
      <c r="K27" s="3"/>
    </row>
    <row r="28" spans="1:11" s="7" customFormat="1">
      <c r="A28" s="3"/>
      <c r="B28" s="20"/>
      <c r="C28" s="22"/>
      <c r="D28" s="18" t="str">
        <f>$B$6&amp;Commodities!E28</f>
        <v>IMPAMM</v>
      </c>
      <c r="E28" s="18" t="str">
        <f>"Import technology - "&amp;Commodities!F28</f>
        <v>Import technology - Ammonia (Liquid)</v>
      </c>
      <c r="F28" s="20" t="s">
        <v>62</v>
      </c>
      <c r="G28" s="18"/>
      <c r="H28" s="20"/>
      <c r="I28" s="20"/>
      <c r="J28" s="20"/>
      <c r="K28" s="3"/>
    </row>
    <row r="29" spans="1:11" s="7" customFormat="1">
      <c r="A29" s="3"/>
      <c r="B29" s="20"/>
      <c r="C29" s="22"/>
      <c r="D29" s="18" t="str">
        <f>$B$6&amp;Commodities!E29</f>
        <v>IMPDME</v>
      </c>
      <c r="E29" s="18" t="str">
        <f>"Import technology - "&amp;Commodities!F29</f>
        <v>Import technology - Dimethyl ether</v>
      </c>
      <c r="F29" s="20" t="s">
        <v>62</v>
      </c>
      <c r="G29" s="18"/>
      <c r="H29" s="20"/>
      <c r="I29" s="20"/>
      <c r="J29" s="20"/>
      <c r="K29" s="3"/>
    </row>
    <row r="30" spans="1:11" s="7" customFormat="1">
      <c r="A30" s="3"/>
      <c r="B30" s="20"/>
      <c r="C30" s="22"/>
      <c r="D30" s="18" t="str">
        <f>$B$6&amp;Commodities!E30</f>
        <v>IMPKRB1</v>
      </c>
      <c r="E30" s="18" t="str">
        <f>"Import technology - "&amp;Commodities!F30</f>
        <v>Import technology - Bio Kerosene G1</v>
      </c>
      <c r="F30" s="20" t="s">
        <v>62</v>
      </c>
      <c r="G30" s="18"/>
      <c r="H30" s="20"/>
      <c r="I30" s="20"/>
      <c r="J30" s="20"/>
      <c r="K30" s="3"/>
    </row>
    <row r="31" spans="1:11" s="7" customFormat="1">
      <c r="A31" s="3"/>
      <c r="B31" s="20"/>
      <c r="C31" s="22"/>
      <c r="D31" s="18" t="str">
        <f>$B$6&amp;Commodities!E31</f>
        <v>IMPKRB2</v>
      </c>
      <c r="E31" s="18" t="str">
        <f>"Import technology - "&amp;Commodities!F31</f>
        <v>Import technology - Bio Kerosene G2</v>
      </c>
      <c r="F31" s="20" t="s">
        <v>62</v>
      </c>
      <c r="G31" s="18"/>
      <c r="H31" s="20"/>
      <c r="I31" s="20"/>
      <c r="J31" s="20"/>
      <c r="K31" s="3"/>
    </row>
    <row r="32" spans="1:11" s="7" customFormat="1">
      <c r="A32" s="3"/>
      <c r="B32" s="20"/>
      <c r="C32" s="22"/>
      <c r="D32" s="18" t="str">
        <f>$B$6&amp;Commodities!E32</f>
        <v>IMPKRE</v>
      </c>
      <c r="E32" s="18" t="str">
        <f>"Import technology - "&amp;Commodities!F32</f>
        <v>Import technology - Electro Kerosene</v>
      </c>
      <c r="F32" s="20" t="s">
        <v>62</v>
      </c>
      <c r="G32" s="18"/>
      <c r="H32" s="20"/>
      <c r="I32" s="20"/>
      <c r="J32" s="20"/>
      <c r="K32" s="3"/>
    </row>
    <row r="33" spans="1:11" s="7" customFormat="1">
      <c r="A33" s="3"/>
      <c r="B33" s="20"/>
      <c r="C33" s="22"/>
      <c r="D33" s="18" t="str">
        <f>$B$6&amp;Commodities!E33</f>
        <v>IMPSNG1</v>
      </c>
      <c r="E33" s="18" t="str">
        <f>"Import technology - "&amp;Commodities!F33</f>
        <v>Import technology - Bio Synt. Nat. Gas G1</v>
      </c>
      <c r="F33" s="20" t="s">
        <v>62</v>
      </c>
      <c r="G33" s="18"/>
      <c r="H33" s="20"/>
      <c r="I33" s="20"/>
      <c r="J33" s="20"/>
      <c r="K33" s="3"/>
    </row>
    <row r="34" spans="1:11" s="7" customFormat="1">
      <c r="A34" s="3"/>
      <c r="B34" s="20"/>
      <c r="C34" s="22"/>
      <c r="D34" s="18" t="str">
        <f>$B$6&amp;Commodities!E34</f>
        <v>IMPSNG2</v>
      </c>
      <c r="E34" s="18" t="str">
        <f>"Import technology - "&amp;Commodities!F34</f>
        <v>Import technology - Bio Synt. Nat. Gas G2</v>
      </c>
      <c r="F34" s="20" t="s">
        <v>62</v>
      </c>
      <c r="G34" s="18"/>
      <c r="H34" s="20"/>
      <c r="I34" s="20"/>
      <c r="J34" s="20"/>
      <c r="K34" s="3"/>
    </row>
    <row r="35" spans="1:11" s="7" customFormat="1">
      <c r="A35" s="3"/>
      <c r="B35" s="20"/>
      <c r="C35" s="22"/>
      <c r="D35" s="18" t="str">
        <f>$B$6&amp;Commodities!E35</f>
        <v>IMPSNE</v>
      </c>
      <c r="E35" s="18" t="str">
        <f>"Import technology - "&amp;Commodities!F35</f>
        <v>Import technology - Electro Synt. Nat. Gas</v>
      </c>
      <c r="F35" s="20" t="s">
        <v>62</v>
      </c>
      <c r="G35" s="18"/>
      <c r="H35" s="20"/>
      <c r="I35" s="20"/>
      <c r="J35" s="20"/>
      <c r="K35" s="3"/>
    </row>
    <row r="36" spans="1:11" s="7" customFormat="1">
      <c r="A36" s="3"/>
      <c r="B36" s="20"/>
      <c r="C36" s="22"/>
      <c r="D36" s="18" t="str">
        <f>$B$6&amp;Commodities!E36</f>
        <v>IMPDSB1</v>
      </c>
      <c r="E36" s="18" t="str">
        <f>"Import technology - "&amp;Commodities!F36</f>
        <v>Import technology - Biodiesel G1</v>
      </c>
      <c r="F36" s="20" t="s">
        <v>62</v>
      </c>
      <c r="G36" s="18"/>
      <c r="H36" s="20"/>
      <c r="I36" s="20"/>
      <c r="J36" s="20"/>
      <c r="K36" s="3"/>
    </row>
    <row r="37" spans="1:11" s="7" customFormat="1">
      <c r="A37" s="3"/>
      <c r="B37" s="20"/>
      <c r="C37" s="22"/>
      <c r="D37" s="18" t="str">
        <f>$B$6&amp;Commodities!E37</f>
        <v>IMPDSB2</v>
      </c>
      <c r="E37" s="18" t="str">
        <f>"Import technology - "&amp;Commodities!F37</f>
        <v>Import technology - Biodiesel G2</v>
      </c>
      <c r="F37" s="20" t="s">
        <v>62</v>
      </c>
      <c r="G37" s="18"/>
      <c r="H37" s="20"/>
      <c r="I37" s="20"/>
      <c r="J37" s="20"/>
      <c r="K37" s="3"/>
    </row>
    <row r="38" spans="1:11" s="7" customFormat="1">
      <c r="A38" s="3"/>
      <c r="B38" s="20"/>
      <c r="C38" s="22"/>
      <c r="D38" s="18" t="str">
        <f>$B$6&amp;Commodities!E38</f>
        <v>IMPDSE</v>
      </c>
      <c r="E38" s="18" t="str">
        <f>"Import technology - "&amp;Commodities!F38</f>
        <v>Import technology - Electro Diesel</v>
      </c>
      <c r="F38" s="20" t="s">
        <v>62</v>
      </c>
      <c r="G38" s="18"/>
      <c r="H38" s="20"/>
      <c r="I38" s="20"/>
      <c r="J38" s="20"/>
      <c r="K38" s="3"/>
    </row>
    <row r="39" spans="1:11" s="7" customFormat="1">
      <c r="A39" s="3"/>
      <c r="B39" s="20"/>
      <c r="C39" s="22"/>
      <c r="D39" s="18" t="str">
        <f>$B$6&amp;Commodities!E39</f>
        <v>IMPGSB1</v>
      </c>
      <c r="E39" s="18" t="str">
        <f>"Import technology - "&amp;Commodities!F39</f>
        <v>Import technology - Bioethanol G1</v>
      </c>
      <c r="F39" s="20" t="s">
        <v>62</v>
      </c>
      <c r="G39" s="18"/>
      <c r="H39" s="20"/>
      <c r="I39" s="20"/>
      <c r="J39" s="20"/>
      <c r="K39" s="3"/>
    </row>
    <row r="40" spans="1:11" s="7" customFormat="1">
      <c r="A40" s="3"/>
      <c r="B40" s="20"/>
      <c r="C40" s="22"/>
      <c r="D40" s="18" t="str">
        <f>$B$6&amp;Commodities!E40</f>
        <v>IMPGSB2</v>
      </c>
      <c r="E40" s="18" t="str">
        <f>"Import technology - "&amp;Commodities!F40</f>
        <v>Import technology - Bioethanol G2</v>
      </c>
      <c r="F40" s="20" t="s">
        <v>62</v>
      </c>
      <c r="G40" s="18"/>
      <c r="H40" s="20"/>
      <c r="I40" s="20"/>
      <c r="J40" s="20"/>
      <c r="K40" s="3"/>
    </row>
    <row r="41" spans="1:11" s="7" customFormat="1">
      <c r="A41" s="3"/>
      <c r="B41" s="20"/>
      <c r="C41" s="22"/>
      <c r="D41" s="18" t="str">
        <f>$B$6&amp;Commodities!E41</f>
        <v>IMPGSE</v>
      </c>
      <c r="E41" s="18" t="str">
        <f>"Import technology - "&amp;Commodities!F41</f>
        <v>Import technology - Electro Gasoline</v>
      </c>
      <c r="F41" s="20" t="s">
        <v>62</v>
      </c>
      <c r="G41" s="18"/>
      <c r="H41" s="20"/>
      <c r="I41" s="20"/>
      <c r="J41" s="20"/>
      <c r="K41" s="3"/>
    </row>
    <row r="42" spans="1:11" s="7" customFormat="1">
      <c r="A42" s="3"/>
      <c r="B42" s="20"/>
      <c r="C42" s="22"/>
      <c r="D42" s="18" t="str">
        <f>$B$6&amp;Commodities!E42</f>
        <v>IMPMOB1</v>
      </c>
      <c r="E42" s="18" t="str">
        <f>"Import technology - "&amp;Commodities!F42</f>
        <v>Import technology - Bio Methanol G1</v>
      </c>
      <c r="F42" s="20" t="s">
        <v>62</v>
      </c>
      <c r="G42" s="18"/>
      <c r="H42" s="20"/>
      <c r="I42" s="20"/>
      <c r="J42" s="20"/>
      <c r="K42" s="3"/>
    </row>
    <row r="43" spans="1:11" s="7" customFormat="1">
      <c r="A43" s="3"/>
      <c r="B43" s="20"/>
      <c r="C43" s="22"/>
      <c r="D43" s="18" t="str">
        <f>$B$6&amp;Commodities!E43</f>
        <v>IMPMOB2</v>
      </c>
      <c r="E43" s="18" t="str">
        <f>"Import technology - "&amp;Commodities!F43</f>
        <v>Import technology - Bio Methanol G2</v>
      </c>
      <c r="F43" s="20" t="s">
        <v>62</v>
      </c>
      <c r="G43" s="18"/>
      <c r="H43" s="20"/>
      <c r="I43" s="20"/>
      <c r="J43" s="20"/>
      <c r="K43" s="3"/>
    </row>
    <row r="44" spans="1:11" s="7" customFormat="1">
      <c r="A44" s="3"/>
      <c r="B44" s="20"/>
      <c r="C44" s="22"/>
      <c r="D44" s="18" t="str">
        <f>$B$6&amp;Commodities!E44</f>
        <v>IMPMOE</v>
      </c>
      <c r="E44" s="18" t="str">
        <f>"Import technology - "&amp;Commodities!F44</f>
        <v>Import technology - Electro Methanol</v>
      </c>
      <c r="F44" s="20" t="s">
        <v>62</v>
      </c>
      <c r="G44" s="18"/>
      <c r="H44" s="20"/>
      <c r="I44" s="20"/>
      <c r="J44" s="20"/>
      <c r="K44" s="3"/>
    </row>
    <row r="45" spans="1:11" s="7" customFormat="1">
      <c r="A45" s="3"/>
      <c r="B45" s="20"/>
      <c r="C45" s="22"/>
      <c r="D45" s="18" t="str">
        <f>$B$6&amp;Commodities!E45</f>
        <v>IMPWST</v>
      </c>
      <c r="E45" s="18" t="str">
        <f>"Import technology - "&amp;Commodities!F45</f>
        <v>Import technology - Waste</v>
      </c>
      <c r="F45" s="20" t="s">
        <v>62</v>
      </c>
      <c r="G45" s="18"/>
      <c r="H45" s="20"/>
      <c r="I45" s="20"/>
      <c r="J45" s="20"/>
      <c r="K45" s="3"/>
    </row>
    <row r="46" spans="1:11" s="7" customFormat="1">
      <c r="A46" s="3"/>
      <c r="B46" s="20"/>
      <c r="C46" s="22"/>
      <c r="D46" s="18" t="str">
        <f>$B$6&amp;Commodities!E46</f>
        <v>IMPSTR</v>
      </c>
      <c r="E46" s="18" t="str">
        <f>"Import technology - "&amp;Commodities!F46</f>
        <v>Import technology - Straw</v>
      </c>
      <c r="F46" s="20" t="s">
        <v>62</v>
      </c>
      <c r="G46" s="18"/>
      <c r="H46" s="20"/>
      <c r="I46" s="20"/>
      <c r="J46" s="20"/>
      <c r="K46" s="3"/>
    </row>
    <row r="47" spans="1:11" s="7" customFormat="1">
      <c r="A47" s="3"/>
      <c r="B47" s="20"/>
      <c r="C47" s="22"/>
      <c r="D47" s="18" t="str">
        <f>$B$6&amp;Commodities!E47</f>
        <v>IMPGRS</v>
      </c>
      <c r="E47" s="18" t="str">
        <f>"Import technology - "&amp;Commodities!F47</f>
        <v>Import technology - Grass</v>
      </c>
      <c r="F47" s="20" t="s">
        <v>62</v>
      </c>
      <c r="G47" s="18"/>
      <c r="H47" s="20"/>
      <c r="I47" s="20"/>
      <c r="J47" s="20"/>
      <c r="K47" s="3"/>
    </row>
    <row r="48" spans="1:11" s="7" customFormat="1">
      <c r="A48" s="3"/>
      <c r="B48" s="20"/>
      <c r="C48" s="22"/>
      <c r="D48" s="18" t="str">
        <f>$B$6&amp;Commodities!E48</f>
        <v>IMPWPE</v>
      </c>
      <c r="E48" s="18" t="str">
        <f>"Import technology - "&amp;Commodities!F48</f>
        <v>Import technology - Wood pellets</v>
      </c>
      <c r="F48" s="20" t="s">
        <v>62</v>
      </c>
      <c r="G48" s="18"/>
      <c r="H48" s="20"/>
      <c r="I48" s="20"/>
      <c r="J48" s="20"/>
      <c r="K48" s="3"/>
    </row>
    <row r="49" spans="1:11" s="7" customFormat="1">
      <c r="A49" s="3"/>
      <c r="B49" s="20"/>
      <c r="C49" s="22"/>
      <c r="D49" s="18" t="str">
        <f>$B$6&amp;Commodities!E49</f>
        <v>IMPWCH</v>
      </c>
      <c r="E49" s="18" t="str">
        <f>"Import technology - "&amp;Commodities!F49</f>
        <v>Import technology - Wood chips and wood waste</v>
      </c>
      <c r="F49" s="20" t="s">
        <v>62</v>
      </c>
      <c r="G49" s="18"/>
      <c r="H49" s="20"/>
      <c r="I49" s="20"/>
      <c r="J49" s="20"/>
      <c r="K49" s="3"/>
    </row>
    <row r="50" spans="1:11" s="7" customFormat="1">
      <c r="A50" s="3"/>
      <c r="B50" s="20"/>
      <c r="C50" s="22"/>
      <c r="D50" s="18" t="str">
        <f>$B$6&amp;Commodities!E50</f>
        <v>IMPFIW</v>
      </c>
      <c r="E50" s="18" t="str">
        <f>"Import technology - "&amp;Commodities!F50</f>
        <v>Import technology - Firewood</v>
      </c>
      <c r="F50" s="20" t="s">
        <v>62</v>
      </c>
      <c r="G50" s="18"/>
      <c r="H50" s="20"/>
      <c r="I50" s="20"/>
      <c r="J50" s="20"/>
      <c r="K50" s="3"/>
    </row>
    <row r="51" spans="1:11" s="7" customFormat="1">
      <c r="A51" s="3"/>
      <c r="B51" s="20"/>
      <c r="C51" s="22"/>
      <c r="D51" s="18" t="str">
        <f>$B$6&amp;Commodities!E51</f>
        <v>IMPCRN</v>
      </c>
      <c r="E51" s="18" t="str">
        <f>"Import technology - "&amp;Commodities!F51</f>
        <v>Import technology - Corn</v>
      </c>
      <c r="F51" s="20" t="s">
        <v>62</v>
      </c>
      <c r="G51" s="18"/>
      <c r="H51" s="20"/>
      <c r="I51" s="20"/>
      <c r="J51" s="20"/>
      <c r="K51" s="3"/>
    </row>
    <row r="52" spans="1:11" s="7" customFormat="1">
      <c r="A52" s="3"/>
      <c r="B52" s="20"/>
      <c r="C52" s="22"/>
      <c r="D52" s="18" t="str">
        <f>$B$6&amp;Commodities!E52</f>
        <v>IMPRPS</v>
      </c>
      <c r="E52" s="18" t="str">
        <f>"Import technology - "&amp;Commodities!F52</f>
        <v>Import technology - Rapeseed</v>
      </c>
      <c r="F52" s="20" t="s">
        <v>62</v>
      </c>
      <c r="G52" s="18"/>
      <c r="H52" s="20"/>
      <c r="I52" s="20"/>
      <c r="J52" s="20"/>
      <c r="K52" s="3"/>
    </row>
    <row r="53" spans="1:11" s="7" customFormat="1">
      <c r="A53" s="3"/>
      <c r="B53" s="20"/>
      <c r="C53" s="22"/>
      <c r="D53" s="18" t="str">
        <f>$B$6&amp;Commodities!E53</f>
        <v>IMPSGB</v>
      </c>
      <c r="E53" s="18" t="str">
        <f>"Import technology - "&amp;Commodities!F53</f>
        <v>Import technology - Sugar Beet</v>
      </c>
      <c r="F53" s="20" t="s">
        <v>62</v>
      </c>
      <c r="G53" s="18"/>
      <c r="H53" s="20"/>
      <c r="I53" s="20"/>
      <c r="J53" s="20"/>
      <c r="K53" s="3"/>
    </row>
    <row r="54" spans="1:11" s="7" customFormat="1">
      <c r="A54" s="3"/>
      <c r="B54" s="20"/>
      <c r="C54" s="22"/>
      <c r="D54" s="18" t="str">
        <f>$B$6&amp;Commodities!E54</f>
        <v>IMPDLI</v>
      </c>
      <c r="E54" s="18" t="str">
        <f>"Import technology - "&amp;Commodities!F54</f>
        <v>Import technology - Deep Litter</v>
      </c>
      <c r="F54" s="20" t="s">
        <v>62</v>
      </c>
      <c r="G54" s="18"/>
      <c r="H54" s="20"/>
      <c r="I54" s="20"/>
      <c r="J54" s="20"/>
      <c r="K54" s="3"/>
    </row>
    <row r="55" spans="1:11" s="7" customFormat="1">
      <c r="A55" s="3"/>
      <c r="B55" s="369"/>
      <c r="C55" s="398"/>
      <c r="D55" s="391" t="str">
        <f>$B$6&amp;Commodities!E55</f>
        <v>IMPMNR</v>
      </c>
      <c r="E55" s="391" t="str">
        <f>"Import technology - "&amp;Commodities!F55</f>
        <v>Import technology - Manure (Gylle)</v>
      </c>
      <c r="F55" s="369" t="s">
        <v>62</v>
      </c>
      <c r="G55" s="391"/>
      <c r="H55" s="369"/>
      <c r="I55" s="369"/>
      <c r="J55" s="20"/>
      <c r="K55" s="3"/>
    </row>
    <row r="56" spans="1:11" s="7" customFormat="1">
      <c r="A56" s="3"/>
      <c r="B56" s="20" t="s">
        <v>106</v>
      </c>
      <c r="C56" s="22"/>
      <c r="D56" s="18" t="str">
        <f>$B$56&amp;Commodities!E45</f>
        <v>MINWST</v>
      </c>
      <c r="E56" s="18" t="str">
        <f>"Mining technology - "&amp;Commodities!F45</f>
        <v>Mining technology - Waste</v>
      </c>
      <c r="F56" s="20" t="s">
        <v>62</v>
      </c>
      <c r="G56" s="18"/>
      <c r="H56" s="20"/>
      <c r="I56" s="20"/>
      <c r="J56" s="20"/>
      <c r="K56" s="3"/>
    </row>
    <row r="57" spans="1:11" s="7" customFormat="1">
      <c r="A57" s="3"/>
      <c r="B57" s="20"/>
      <c r="C57" s="22"/>
      <c r="D57" s="18" t="str">
        <f>$B$56&amp;Commodities!E46</f>
        <v>MINSTR</v>
      </c>
      <c r="E57" s="18" t="str">
        <f>"Mining technology - "&amp;Commodities!F46</f>
        <v>Mining technology - Straw</v>
      </c>
      <c r="F57" s="20" t="s">
        <v>62</v>
      </c>
      <c r="G57" s="18"/>
      <c r="H57" s="20"/>
      <c r="I57" s="20"/>
      <c r="J57" s="20"/>
      <c r="K57" s="3"/>
    </row>
    <row r="58" spans="1:11" s="7" customFormat="1">
      <c r="A58" s="3"/>
      <c r="B58" s="20"/>
      <c r="C58" s="22"/>
      <c r="D58" s="18" t="str">
        <f>$B$56&amp;Commodities!E47</f>
        <v>MINGRS</v>
      </c>
      <c r="E58" s="18" t="str">
        <f>"Mining technology - "&amp;Commodities!F47</f>
        <v>Mining technology - Grass</v>
      </c>
      <c r="F58" s="20" t="s">
        <v>62</v>
      </c>
      <c r="G58" s="18"/>
      <c r="H58" s="20"/>
      <c r="I58" s="20"/>
      <c r="J58" s="20"/>
      <c r="K58" s="3"/>
    </row>
    <row r="59" spans="1:11" s="7" customFormat="1">
      <c r="A59" s="3"/>
      <c r="B59" s="20"/>
      <c r="C59" s="22"/>
      <c r="D59" s="18" t="str">
        <f>$B$56&amp;Commodities!E48</f>
        <v>MINWPE</v>
      </c>
      <c r="E59" s="18" t="str">
        <f>"Mining technology - "&amp;Commodities!F48</f>
        <v>Mining technology - Wood pellets</v>
      </c>
      <c r="F59" s="20" t="s">
        <v>62</v>
      </c>
      <c r="G59" s="18"/>
      <c r="H59" s="20"/>
      <c r="I59" s="20"/>
      <c r="J59" s="20"/>
      <c r="K59" s="3"/>
    </row>
    <row r="60" spans="1:11" s="7" customFormat="1">
      <c r="A60" s="3"/>
      <c r="B60" s="20"/>
      <c r="C60" s="22"/>
      <c r="D60" s="18" t="str">
        <f>$B$56&amp;Commodities!E49</f>
        <v>MINWCH</v>
      </c>
      <c r="E60" s="18" t="str">
        <f>"Mining technology - "&amp;Commodities!F49</f>
        <v>Mining technology - Wood chips and wood waste</v>
      </c>
      <c r="F60" s="20" t="s">
        <v>62</v>
      </c>
      <c r="G60" s="18"/>
      <c r="H60" s="20"/>
      <c r="I60" s="20"/>
      <c r="J60" s="20"/>
      <c r="K60" s="3"/>
    </row>
    <row r="61" spans="1:11" s="7" customFormat="1">
      <c r="A61" s="3"/>
      <c r="B61" s="20"/>
      <c r="C61" s="22"/>
      <c r="D61" s="18" t="str">
        <f>$B$56&amp;Commodities!E50</f>
        <v>MINFIW</v>
      </c>
      <c r="E61" s="18" t="str">
        <f>"Mining technology - "&amp;Commodities!F50</f>
        <v>Mining technology - Firewood</v>
      </c>
      <c r="F61" s="20" t="s">
        <v>62</v>
      </c>
      <c r="G61" s="18"/>
      <c r="H61" s="20"/>
      <c r="I61" s="20"/>
      <c r="J61" s="20"/>
      <c r="K61" s="3"/>
    </row>
    <row r="62" spans="1:11" s="7" customFormat="1">
      <c r="A62" s="3"/>
      <c r="B62" s="20"/>
      <c r="C62" s="22"/>
      <c r="D62" s="18" t="str">
        <f>$B$56&amp;Commodities!E51</f>
        <v>MINCRN</v>
      </c>
      <c r="E62" s="18" t="str">
        <f>"Mining technology - "&amp;Commodities!F51</f>
        <v>Mining technology - Corn</v>
      </c>
      <c r="F62" s="20" t="s">
        <v>62</v>
      </c>
      <c r="G62" s="18"/>
      <c r="H62" s="20"/>
      <c r="I62" s="20"/>
      <c r="J62" s="20"/>
      <c r="K62" s="3"/>
    </row>
    <row r="63" spans="1:11" s="7" customFormat="1">
      <c r="A63" s="3"/>
      <c r="B63" s="20"/>
      <c r="C63" s="22"/>
      <c r="D63" s="18" t="str">
        <f>$B$56&amp;Commodities!E52</f>
        <v>MINRPS</v>
      </c>
      <c r="E63" s="18" t="str">
        <f>"Mining technology - "&amp;Commodities!F52</f>
        <v>Mining technology - Rapeseed</v>
      </c>
      <c r="F63" s="20" t="s">
        <v>62</v>
      </c>
      <c r="G63" s="18"/>
      <c r="H63" s="20"/>
      <c r="I63" s="20"/>
      <c r="J63" s="20"/>
      <c r="K63" s="3"/>
    </row>
    <row r="64" spans="1:11" s="7" customFormat="1">
      <c r="A64" s="3"/>
      <c r="B64" s="20"/>
      <c r="C64" s="22"/>
      <c r="D64" s="18" t="str">
        <f>$B$56&amp;Commodities!E53</f>
        <v>MINSGB</v>
      </c>
      <c r="E64" s="18" t="str">
        <f>"Mining technology - "&amp;Commodities!F53</f>
        <v>Mining technology - Sugar Beet</v>
      </c>
      <c r="F64" s="20" t="s">
        <v>62</v>
      </c>
      <c r="G64" s="18"/>
      <c r="H64" s="20"/>
      <c r="I64" s="20"/>
      <c r="J64" s="20"/>
      <c r="K64" s="3"/>
    </row>
    <row r="65" spans="1:11" s="7" customFormat="1">
      <c r="A65" s="3"/>
      <c r="B65" s="20"/>
      <c r="C65" s="22"/>
      <c r="D65" s="18" t="str">
        <f>$B$56&amp;Commodities!E54</f>
        <v>MINDLI</v>
      </c>
      <c r="E65" s="18" t="str">
        <f>"Mining technology - "&amp;Commodities!F54</f>
        <v>Mining technology - Deep Litter</v>
      </c>
      <c r="F65" s="20" t="s">
        <v>62</v>
      </c>
      <c r="G65" s="18"/>
      <c r="H65" s="20"/>
      <c r="I65" s="20"/>
      <c r="J65" s="20"/>
      <c r="K65" s="3"/>
    </row>
    <row r="66" spans="1:11" s="7" customFormat="1">
      <c r="A66" s="3"/>
      <c r="B66" s="20"/>
      <c r="C66" s="22"/>
      <c r="D66" s="18" t="str">
        <f>$B$56&amp;Commodities!E55</f>
        <v>MINMNR</v>
      </c>
      <c r="E66" s="18" t="str">
        <f>"Mining technology - "&amp;Commodities!F55</f>
        <v>Mining technology - Manure (Gylle)</v>
      </c>
      <c r="F66" s="20" t="s">
        <v>62</v>
      </c>
      <c r="G66" s="18"/>
      <c r="H66" s="20"/>
      <c r="I66" s="20"/>
      <c r="J66" s="20"/>
      <c r="K66" s="3"/>
    </row>
    <row r="67" spans="1:11" s="7" customFormat="1">
      <c r="A67" s="3"/>
      <c r="B67" s="20"/>
      <c r="C67" s="22"/>
      <c r="D67" s="18" t="str">
        <f>$B$56&amp;RIGHT(Commodities!E56,3)</f>
        <v>MINNGA</v>
      </c>
      <c r="E67" s="18" t="str">
        <f>"Mining technology - "&amp;Commodities!F56</f>
        <v>Mining technology - Mining Natural Gas</v>
      </c>
      <c r="F67" s="20" t="s">
        <v>62</v>
      </c>
      <c r="G67" s="18"/>
      <c r="H67" s="20"/>
      <c r="I67" s="20"/>
      <c r="J67" s="20"/>
      <c r="K67" s="3"/>
    </row>
    <row r="68" spans="1:11" s="7" customFormat="1">
      <c r="A68" s="3"/>
      <c r="B68" s="20"/>
      <c r="C68" s="22"/>
      <c r="D68" s="18" t="str">
        <f>$B$56&amp;RIGHT(Commodities!E57,3)</f>
        <v>MINCRD</v>
      </c>
      <c r="E68" s="18" t="str">
        <f>"Mining technology - "&amp;Commodities!F57</f>
        <v>Mining technology - Mining Crude Oil</v>
      </c>
      <c r="F68" s="20" t="s">
        <v>62</v>
      </c>
      <c r="G68" s="18"/>
      <c r="H68" s="20"/>
      <c r="I68" s="20"/>
      <c r="J68" s="20"/>
      <c r="K68" s="3"/>
    </row>
    <row r="69" spans="1:11" s="7" customFormat="1">
      <c r="A69" s="3"/>
      <c r="B69" s="20"/>
      <c r="C69" s="22"/>
      <c r="D69" s="18" t="str">
        <f>$B$56&amp;Commodities!E58</f>
        <v>MINWIN</v>
      </c>
      <c r="E69" s="18" t="str">
        <f>"Mining technology - "&amp;Commodities!F58</f>
        <v>Mining technology - Wind</v>
      </c>
      <c r="F69" s="20" t="s">
        <v>62</v>
      </c>
      <c r="G69" s="18"/>
      <c r="H69" s="20"/>
      <c r="I69" s="20"/>
      <c r="J69" s="20"/>
      <c r="K69" s="3"/>
    </row>
    <row r="70" spans="1:11" s="7" customFormat="1">
      <c r="A70" s="3"/>
      <c r="B70" s="20"/>
      <c r="C70" s="22"/>
      <c r="D70" s="18" t="str">
        <f>$B$56&amp;Commodities!E59</f>
        <v>MINHYD</v>
      </c>
      <c r="E70" s="18" t="str">
        <f>"Mining technology - "&amp;Commodities!F59</f>
        <v>Mining technology - Hydro</v>
      </c>
      <c r="F70" s="20" t="s">
        <v>62</v>
      </c>
      <c r="G70" s="18"/>
      <c r="H70" s="20"/>
      <c r="I70" s="20"/>
      <c r="J70" s="20"/>
      <c r="K70" s="3"/>
    </row>
    <row r="71" spans="1:11" s="7" customFormat="1">
      <c r="A71" s="3"/>
      <c r="B71" s="20"/>
      <c r="C71" s="22"/>
      <c r="D71" s="18" t="str">
        <f>$B$56&amp;Commodities!E60</f>
        <v>MINSOL</v>
      </c>
      <c r="E71" s="18" t="str">
        <f>"Mining technology - "&amp;Commodities!F60</f>
        <v>Mining technology - Solar</v>
      </c>
      <c r="F71" s="20" t="s">
        <v>62</v>
      </c>
      <c r="G71" s="18"/>
      <c r="H71" s="20"/>
      <c r="I71" s="20"/>
      <c r="J71" s="20"/>
      <c r="K71" s="3"/>
    </row>
    <row r="72" spans="1:11" s="7" customFormat="1">
      <c r="A72" s="3"/>
      <c r="B72" s="20"/>
      <c r="C72" s="22"/>
      <c r="D72" s="18" t="str">
        <f>$B$56&amp;Commodities!E61</f>
        <v>MINGEO</v>
      </c>
      <c r="E72" s="18" t="str">
        <f>"Mining technology - "&amp;Commodities!F61</f>
        <v>Mining technology - Geothermal</v>
      </c>
      <c r="F72" s="20" t="s">
        <v>62</v>
      </c>
      <c r="G72" s="18"/>
      <c r="H72" s="20"/>
      <c r="I72" s="20"/>
      <c r="J72" s="20"/>
      <c r="K72" s="3"/>
    </row>
    <row r="73" spans="1:11" s="7" customFormat="1">
      <c r="A73" s="3"/>
      <c r="B73" s="20"/>
      <c r="C73" s="22"/>
      <c r="D73" s="18" t="str">
        <f>$B$56&amp;Commodities!E62</f>
        <v>MINWAV</v>
      </c>
      <c r="E73" s="18" t="str">
        <f>"Mining technology - "&amp;Commodities!F62</f>
        <v>Mining technology - Wave</v>
      </c>
      <c r="F73" s="20" t="s">
        <v>62</v>
      </c>
      <c r="G73" s="18"/>
      <c r="H73" s="20"/>
      <c r="I73" s="20"/>
      <c r="J73" s="20"/>
      <c r="K73" s="3"/>
    </row>
    <row r="74" spans="1:11" s="7" customFormat="1">
      <c r="A74" s="3"/>
      <c r="B74" s="369"/>
      <c r="C74" s="398"/>
      <c r="D74" s="391" t="str">
        <f>$B$56&amp;Commodities!E63</f>
        <v>MINMOV</v>
      </c>
      <c r="E74" s="391" t="str">
        <f>"Mining technology - "&amp;Commodities!F63</f>
        <v>Mining technology - Movement - Dummy commodity for bike and walk</v>
      </c>
      <c r="F74" s="369" t="s">
        <v>62</v>
      </c>
      <c r="G74" s="391"/>
      <c r="H74" s="369"/>
      <c r="I74" s="369"/>
      <c r="J74" s="20"/>
      <c r="K74" s="3"/>
    </row>
    <row r="75" spans="1:11" s="7" customFormat="1">
      <c r="A75" s="3"/>
      <c r="B75" s="20" t="s">
        <v>196</v>
      </c>
      <c r="C75" s="22"/>
      <c r="D75" s="18" t="str">
        <f>$B$75&amp;Commodities!E12</f>
        <v>EXPCOA</v>
      </c>
      <c r="E75" s="18" t="str">
        <f>"Export technology - "&amp;Commodities!F12</f>
        <v>Export technology - Coal</v>
      </c>
      <c r="F75" s="20" t="s">
        <v>62</v>
      </c>
      <c r="G75" s="18"/>
      <c r="H75" s="20"/>
      <c r="I75" s="20"/>
      <c r="J75" s="20"/>
      <c r="K75" s="3"/>
    </row>
    <row r="76" spans="1:11" s="7" customFormat="1">
      <c r="A76" s="3"/>
      <c r="B76" s="20"/>
      <c r="C76" s="22"/>
      <c r="D76" s="18" t="str">
        <f>$B$75&amp;Commodities!E13</f>
        <v>EXPNGA</v>
      </c>
      <c r="E76" s="18" t="str">
        <f>"Export technology - "&amp;Commodities!F13</f>
        <v>Export technology - Natural Gas</v>
      </c>
      <c r="F76" s="20" t="s">
        <v>62</v>
      </c>
      <c r="G76" s="18"/>
      <c r="H76" s="20"/>
      <c r="I76" s="20"/>
      <c r="J76" s="20"/>
      <c r="K76" s="3"/>
    </row>
    <row r="77" spans="1:11" s="7" customFormat="1">
      <c r="A77" s="3"/>
      <c r="B77" s="20"/>
      <c r="C77" s="22"/>
      <c r="D77" s="18" t="str">
        <f>$B$75&amp;Commodities!E14</f>
        <v>EXPCRD</v>
      </c>
      <c r="E77" s="18" t="str">
        <f>"Export technology - "&amp;Commodities!F14</f>
        <v>Export technology - Crude Oil</v>
      </c>
      <c r="F77" s="20" t="s">
        <v>62</v>
      </c>
      <c r="G77" s="18"/>
      <c r="H77" s="20"/>
      <c r="I77" s="20"/>
      <c r="J77" s="20"/>
      <c r="K77" s="3"/>
    </row>
    <row r="78" spans="1:11" s="7" customFormat="1">
      <c r="A78" s="3"/>
      <c r="B78" s="20"/>
      <c r="C78" s="22"/>
      <c r="D78" s="18" t="str">
        <f>$B$75&amp;Commodities!E15</f>
        <v>EXPLPG</v>
      </c>
      <c r="E78" s="18" t="str">
        <f>"Export technology - "&amp;Commodities!F15</f>
        <v>Export technology - Liquid petrol gas</v>
      </c>
      <c r="F78" s="20" t="s">
        <v>62</v>
      </c>
      <c r="G78" s="18"/>
      <c r="H78" s="20"/>
      <c r="I78" s="20"/>
      <c r="J78" s="20"/>
      <c r="K78" s="3"/>
    </row>
    <row r="79" spans="1:11" s="7" customFormat="1">
      <c r="A79" s="3"/>
      <c r="B79" s="20"/>
      <c r="C79" s="22"/>
      <c r="D79" s="18" t="str">
        <f>$B$75&amp;Commodities!E16</f>
        <v>EXPLVN</v>
      </c>
      <c r="E79" s="18" t="str">
        <f>"Export technology - "&amp;Commodities!F16</f>
        <v>Export technology - Naphtha (Petroleoum)</v>
      </c>
      <c r="F79" s="20" t="s">
        <v>62</v>
      </c>
      <c r="G79" s="18"/>
      <c r="H79" s="20"/>
      <c r="I79" s="20"/>
      <c r="J79" s="20"/>
      <c r="K79" s="3"/>
    </row>
    <row r="80" spans="1:11" s="7" customFormat="1">
      <c r="A80" s="3"/>
      <c r="B80" s="20"/>
      <c r="C80" s="22"/>
      <c r="D80" s="18" t="str">
        <f>$B$75&amp;Commodities!E17</f>
        <v>EXPGSL</v>
      </c>
      <c r="E80" s="18" t="str">
        <f>"Export technology - "&amp;Commodities!F17</f>
        <v>Export technology - Gasoline</v>
      </c>
      <c r="F80" s="20" t="s">
        <v>62</v>
      </c>
      <c r="G80" s="18"/>
      <c r="H80" s="20"/>
      <c r="I80" s="20"/>
      <c r="J80" s="20"/>
      <c r="K80" s="3"/>
    </row>
    <row r="81" spans="1:11" s="7" customFormat="1">
      <c r="A81" s="3"/>
      <c r="B81" s="20"/>
      <c r="C81" s="22"/>
      <c r="D81" s="18" t="str">
        <f>$B$75&amp;Commodities!E18</f>
        <v>EXPKER</v>
      </c>
      <c r="E81" s="18" t="str">
        <f>"Export technology - "&amp;Commodities!F18</f>
        <v>Export technology - Kerosene</v>
      </c>
      <c r="F81" s="20" t="s">
        <v>62</v>
      </c>
      <c r="G81" s="18"/>
      <c r="H81" s="20"/>
      <c r="I81" s="20"/>
      <c r="J81" s="20"/>
      <c r="K81" s="3"/>
    </row>
    <row r="82" spans="1:11" s="7" customFormat="1">
      <c r="A82" s="3"/>
      <c r="B82" s="20"/>
      <c r="C82" s="22"/>
      <c r="D82" s="18" t="str">
        <f>$B$75&amp;Commodities!E19</f>
        <v>EXPDSL</v>
      </c>
      <c r="E82" s="18" t="str">
        <f>"Export technology - "&amp;Commodities!F19</f>
        <v>Export technology - Diesel</v>
      </c>
      <c r="F82" s="20" t="s">
        <v>62</v>
      </c>
      <c r="G82" s="18"/>
      <c r="H82" s="20"/>
      <c r="I82" s="20"/>
      <c r="J82" s="20"/>
      <c r="K82" s="3"/>
    </row>
    <row r="83" spans="1:11" s="7" customFormat="1">
      <c r="A83" s="3"/>
      <c r="B83" s="20"/>
      <c r="C83" s="22"/>
      <c r="D83" s="18" t="str">
        <f>$B$75&amp;Commodities!E20</f>
        <v>EXPHFO</v>
      </c>
      <c r="E83" s="18" t="str">
        <f>"Export technology - "&amp;Commodities!F20</f>
        <v>Export technology - Heavy Fuel Oil</v>
      </c>
      <c r="F83" s="20" t="s">
        <v>62</v>
      </c>
      <c r="G83" s="18"/>
      <c r="H83" s="20"/>
      <c r="I83" s="20"/>
      <c r="J83" s="20"/>
      <c r="K83" s="3"/>
    </row>
    <row r="84" spans="1:11" s="7" customFormat="1">
      <c r="A84" s="3"/>
      <c r="B84" s="20"/>
      <c r="C84" s="22"/>
      <c r="D84" s="18" t="str">
        <f>$B$75&amp;Commodities!E21</f>
        <v>EXPMGO</v>
      </c>
      <c r="E84" s="18" t="str">
        <f>"Export technology - "&amp;Commodities!F21</f>
        <v>Export technology - Marine Gas Oil</v>
      </c>
      <c r="F84" s="20" t="s">
        <v>62</v>
      </c>
      <c r="G84" s="18"/>
      <c r="H84" s="20"/>
      <c r="I84" s="20"/>
      <c r="J84" s="20"/>
      <c r="K84" s="3"/>
    </row>
    <row r="85" spans="1:11" s="7" customFormat="1">
      <c r="A85" s="3"/>
      <c r="B85" s="20"/>
      <c r="C85" s="22"/>
      <c r="D85" s="18" t="str">
        <f>$B$75&amp;Commodities!E22</f>
        <v>EXPAGSL</v>
      </c>
      <c r="E85" s="18" t="str">
        <f>"Export technology - "&amp;Commodities!F22</f>
        <v>Export technology - Aviation gasoline</v>
      </c>
      <c r="F85" s="20" t="s">
        <v>62</v>
      </c>
      <c r="G85" s="18"/>
      <c r="H85" s="20"/>
      <c r="I85" s="20"/>
      <c r="J85" s="20"/>
      <c r="K85" s="3"/>
    </row>
    <row r="86" spans="1:11" s="7" customFormat="1">
      <c r="A86" s="3"/>
      <c r="B86" s="20"/>
      <c r="C86" s="22"/>
      <c r="D86" s="18" t="str">
        <f>$B$75&amp;Commodities!E23</f>
        <v>EXPBGA</v>
      </c>
      <c r="E86" s="18" t="str">
        <f>"Export technology - "&amp;Commodities!F23</f>
        <v>Export technology - Biogas</v>
      </c>
      <c r="F86" s="20" t="s">
        <v>62</v>
      </c>
      <c r="G86" s="18"/>
      <c r="H86" s="20"/>
      <c r="I86" s="20"/>
      <c r="J86" s="20"/>
      <c r="K86" s="3"/>
    </row>
    <row r="87" spans="1:11" s="7" customFormat="1">
      <c r="A87" s="3"/>
      <c r="B87" s="20"/>
      <c r="C87" s="22"/>
      <c r="D87" s="18" t="str">
        <f>$B$75&amp;Commodities!E24</f>
        <v>EXPHFB</v>
      </c>
      <c r="E87" s="18" t="str">
        <f>"Export technology - "&amp;Commodities!F24</f>
        <v>Export technology - Heavy Fuel Bio Oil</v>
      </c>
      <c r="F87" s="20" t="s">
        <v>62</v>
      </c>
      <c r="G87" s="18"/>
      <c r="H87" s="20"/>
      <c r="I87" s="20"/>
      <c r="J87" s="20"/>
      <c r="K87" s="3"/>
    </row>
    <row r="88" spans="1:11" s="7" customFormat="1">
      <c r="A88" s="3"/>
      <c r="B88" s="20"/>
      <c r="C88" s="22"/>
      <c r="D88" s="18" t="str">
        <f>$B$75&amp;Commodities!E25</f>
        <v>EXPDDGS</v>
      </c>
      <c r="E88" s="18" t="str">
        <f>"Export technology - "&amp;Commodities!F25</f>
        <v>Export technology - Ethanol</v>
      </c>
      <c r="F88" s="20" t="s">
        <v>62</v>
      </c>
      <c r="G88" s="18"/>
      <c r="H88" s="20"/>
      <c r="I88" s="20"/>
      <c r="J88" s="20"/>
      <c r="K88" s="3"/>
    </row>
    <row r="89" spans="1:11" s="7" customFormat="1">
      <c r="A89" s="3"/>
      <c r="B89" s="20"/>
      <c r="C89" s="22"/>
      <c r="D89" s="18" t="str">
        <f>$B$75&amp;Commodities!E26</f>
        <v>EXPH2</v>
      </c>
      <c r="E89" s="18" t="str">
        <f>"Export technology - "&amp;Commodities!F26</f>
        <v>Export technology - Hydrogen</v>
      </c>
      <c r="F89" s="20" t="s">
        <v>62</v>
      </c>
      <c r="G89" s="18"/>
      <c r="H89" s="20"/>
      <c r="I89" s="20"/>
      <c r="J89" s="20"/>
      <c r="K89" s="3"/>
    </row>
    <row r="90" spans="1:11" s="7" customFormat="1">
      <c r="A90" s="3"/>
      <c r="B90" s="20"/>
      <c r="C90" s="22"/>
      <c r="D90" s="18" t="str">
        <f>$B$75&amp;Commodities!E27</f>
        <v>EXPH2G</v>
      </c>
      <c r="E90" s="18" t="str">
        <f>"Export technology - "&amp;Commodities!F27</f>
        <v>Export technology - Hydrogen Gas</v>
      </c>
      <c r="F90" s="20" t="s">
        <v>62</v>
      </c>
      <c r="G90" s="18"/>
      <c r="H90" s="20"/>
      <c r="I90" s="20"/>
      <c r="J90" s="20"/>
      <c r="K90" s="3"/>
    </row>
    <row r="91" spans="1:11" s="7" customFormat="1">
      <c r="A91" s="3"/>
      <c r="B91" s="20"/>
      <c r="C91" s="22"/>
      <c r="D91" s="18" t="str">
        <f>$B$75&amp;Commodities!E28</f>
        <v>EXPAMM</v>
      </c>
      <c r="E91" s="18" t="str">
        <f>"Export technology - "&amp;Commodities!F28</f>
        <v>Export technology - Ammonia (Liquid)</v>
      </c>
      <c r="F91" s="20" t="s">
        <v>62</v>
      </c>
      <c r="G91" s="18"/>
      <c r="H91" s="20"/>
      <c r="I91" s="20"/>
      <c r="J91" s="20"/>
      <c r="K91" s="3"/>
    </row>
    <row r="92" spans="1:11" s="7" customFormat="1">
      <c r="A92" s="3"/>
      <c r="B92" s="20"/>
      <c r="C92" s="22"/>
      <c r="D92" s="18" t="str">
        <f>$B$75&amp;Commodities!E29</f>
        <v>EXPDME</v>
      </c>
      <c r="E92" s="18" t="str">
        <f>"Export technology - "&amp;Commodities!F29</f>
        <v>Export technology - Dimethyl ether</v>
      </c>
      <c r="F92" s="20" t="s">
        <v>62</v>
      </c>
      <c r="G92" s="18"/>
      <c r="H92" s="20"/>
      <c r="I92" s="20"/>
      <c r="J92" s="20"/>
      <c r="K92" s="3"/>
    </row>
    <row r="93" spans="1:11" s="7" customFormat="1">
      <c r="A93" s="3"/>
      <c r="B93" s="20"/>
      <c r="C93" s="22"/>
      <c r="D93" s="18" t="str">
        <f>$B$75&amp;Commodities!E30</f>
        <v>EXPKRB1</v>
      </c>
      <c r="E93" s="18" t="str">
        <f>"Export technology - "&amp;Commodities!F30</f>
        <v>Export technology - Bio Kerosene G1</v>
      </c>
      <c r="F93" s="20" t="s">
        <v>62</v>
      </c>
      <c r="G93" s="18"/>
      <c r="H93" s="20"/>
      <c r="I93" s="20"/>
      <c r="J93" s="20"/>
      <c r="K93" s="3"/>
    </row>
    <row r="94" spans="1:11" s="7" customFormat="1">
      <c r="A94" s="3"/>
      <c r="B94" s="20"/>
      <c r="C94" s="22"/>
      <c r="D94" s="18" t="str">
        <f>$B$75&amp;Commodities!E31</f>
        <v>EXPKRB2</v>
      </c>
      <c r="E94" s="18" t="str">
        <f>"Export technology - "&amp;Commodities!F31</f>
        <v>Export technology - Bio Kerosene G2</v>
      </c>
      <c r="F94" s="20" t="s">
        <v>62</v>
      </c>
      <c r="G94" s="18"/>
      <c r="H94" s="20"/>
      <c r="I94" s="20"/>
      <c r="J94" s="20"/>
      <c r="K94" s="3"/>
    </row>
    <row r="95" spans="1:11" s="7" customFormat="1">
      <c r="A95" s="3"/>
      <c r="B95" s="20"/>
      <c r="C95" s="22"/>
      <c r="D95" s="18" t="str">
        <f>$B$75&amp;Commodities!E32</f>
        <v>EXPKRE</v>
      </c>
      <c r="E95" s="18" t="str">
        <f>"Export technology - "&amp;Commodities!F32</f>
        <v>Export technology - Electro Kerosene</v>
      </c>
      <c r="F95" s="20" t="s">
        <v>62</v>
      </c>
      <c r="G95" s="18"/>
      <c r="H95" s="20"/>
      <c r="I95" s="20"/>
      <c r="J95" s="20"/>
      <c r="K95" s="3"/>
    </row>
    <row r="96" spans="1:11" s="7" customFormat="1">
      <c r="A96" s="3"/>
      <c r="B96" s="20"/>
      <c r="C96" s="22"/>
      <c r="D96" s="18" t="str">
        <f>$B$75&amp;Commodities!E33</f>
        <v>EXPSNG1</v>
      </c>
      <c r="E96" s="18" t="str">
        <f>"Export technology - "&amp;Commodities!F33</f>
        <v>Export technology - Bio Synt. Nat. Gas G1</v>
      </c>
      <c r="F96" s="20" t="s">
        <v>62</v>
      </c>
      <c r="G96" s="18"/>
      <c r="H96" s="20"/>
      <c r="I96" s="20"/>
      <c r="J96" s="20"/>
      <c r="K96" s="3"/>
    </row>
    <row r="97" spans="1:11" s="7" customFormat="1">
      <c r="A97" s="3"/>
      <c r="B97" s="20"/>
      <c r="C97" s="22"/>
      <c r="D97" s="18" t="str">
        <f>$B$75&amp;Commodities!E34</f>
        <v>EXPSNG2</v>
      </c>
      <c r="E97" s="18" t="str">
        <f>"Export technology - "&amp;Commodities!F34</f>
        <v>Export technology - Bio Synt. Nat. Gas G2</v>
      </c>
      <c r="F97" s="20" t="s">
        <v>62</v>
      </c>
      <c r="G97" s="18"/>
      <c r="H97" s="20"/>
      <c r="I97" s="20"/>
      <c r="J97" s="20"/>
      <c r="K97" s="3"/>
    </row>
    <row r="98" spans="1:11" s="7" customFormat="1">
      <c r="A98" s="3"/>
      <c r="B98" s="20"/>
      <c r="C98" s="22"/>
      <c r="D98" s="18" t="str">
        <f>$B$75&amp;Commodities!E35</f>
        <v>EXPSNE</v>
      </c>
      <c r="E98" s="18" t="str">
        <f>"Export technology - "&amp;Commodities!F35</f>
        <v>Export technology - Electro Synt. Nat. Gas</v>
      </c>
      <c r="F98" s="20" t="s">
        <v>62</v>
      </c>
      <c r="G98" s="18"/>
      <c r="H98" s="20"/>
      <c r="I98" s="20"/>
      <c r="J98" s="20"/>
      <c r="K98" s="3"/>
    </row>
    <row r="99" spans="1:11" s="7" customFormat="1">
      <c r="A99" s="3"/>
      <c r="B99" s="20"/>
      <c r="C99" s="22"/>
      <c r="D99" s="18" t="str">
        <f>$B$75&amp;Commodities!E36</f>
        <v>EXPDSB1</v>
      </c>
      <c r="E99" s="18" t="str">
        <f>"Export technology - "&amp;Commodities!F36</f>
        <v>Export technology - Biodiesel G1</v>
      </c>
      <c r="F99" s="20" t="s">
        <v>62</v>
      </c>
      <c r="G99" s="18"/>
      <c r="H99" s="20"/>
      <c r="I99" s="20"/>
      <c r="J99" s="20"/>
      <c r="K99" s="3"/>
    </row>
    <row r="100" spans="1:11" s="7" customFormat="1">
      <c r="A100" s="3"/>
      <c r="B100" s="20"/>
      <c r="C100" s="22"/>
      <c r="D100" s="18" t="str">
        <f>$B$75&amp;Commodities!E37</f>
        <v>EXPDSB2</v>
      </c>
      <c r="E100" s="18" t="str">
        <f>"Export technology - "&amp;Commodities!F37</f>
        <v>Export technology - Biodiesel G2</v>
      </c>
      <c r="F100" s="20" t="s">
        <v>62</v>
      </c>
      <c r="G100" s="18"/>
      <c r="H100" s="20"/>
      <c r="I100" s="20"/>
      <c r="J100" s="20"/>
      <c r="K100" s="3"/>
    </row>
    <row r="101" spans="1:11" s="7" customFormat="1">
      <c r="A101" s="3"/>
      <c r="B101" s="20"/>
      <c r="C101" s="22"/>
      <c r="D101" s="18" t="str">
        <f>$B$75&amp;Commodities!E38</f>
        <v>EXPDSE</v>
      </c>
      <c r="E101" s="18" t="str">
        <f>"Export technology - "&amp;Commodities!F38</f>
        <v>Export technology - Electro Diesel</v>
      </c>
      <c r="F101" s="20" t="s">
        <v>62</v>
      </c>
      <c r="G101" s="18"/>
      <c r="H101" s="20"/>
      <c r="I101" s="20"/>
      <c r="J101" s="20"/>
      <c r="K101" s="3"/>
    </row>
    <row r="102" spans="1:11" s="7" customFormat="1">
      <c r="A102" s="3"/>
      <c r="B102" s="20"/>
      <c r="C102" s="22"/>
      <c r="D102" s="18" t="str">
        <f>$B$75&amp;Commodities!E39</f>
        <v>EXPGSB1</v>
      </c>
      <c r="E102" s="18" t="str">
        <f>"Export technology - "&amp;Commodities!F39</f>
        <v>Export technology - Bioethanol G1</v>
      </c>
      <c r="F102" s="20" t="s">
        <v>62</v>
      </c>
      <c r="G102" s="18"/>
      <c r="H102" s="20"/>
      <c r="I102" s="20"/>
      <c r="J102" s="20"/>
      <c r="K102" s="3"/>
    </row>
    <row r="103" spans="1:11" s="7" customFormat="1">
      <c r="A103" s="3"/>
      <c r="B103" s="20"/>
      <c r="C103" s="22"/>
      <c r="D103" s="18" t="str">
        <f>$B$75&amp;Commodities!E40</f>
        <v>EXPGSB2</v>
      </c>
      <c r="E103" s="18" t="str">
        <f>"Export technology - "&amp;Commodities!F40</f>
        <v>Export technology - Bioethanol G2</v>
      </c>
      <c r="F103" s="20" t="s">
        <v>62</v>
      </c>
      <c r="G103" s="18"/>
      <c r="H103" s="20"/>
      <c r="I103" s="20"/>
      <c r="J103" s="20"/>
      <c r="K103" s="3"/>
    </row>
    <row r="104" spans="1:11" s="7" customFormat="1">
      <c r="A104" s="3"/>
      <c r="B104" s="20"/>
      <c r="C104" s="22"/>
      <c r="D104" s="18" t="str">
        <f>$B$75&amp;Commodities!E41</f>
        <v>EXPGSE</v>
      </c>
      <c r="E104" s="18" t="str">
        <f>"Export technology - "&amp;Commodities!F41</f>
        <v>Export technology - Electro Gasoline</v>
      </c>
      <c r="F104" s="20" t="s">
        <v>62</v>
      </c>
      <c r="G104" s="18"/>
      <c r="H104" s="20"/>
      <c r="I104" s="20"/>
      <c r="J104" s="20"/>
      <c r="K104" s="3"/>
    </row>
    <row r="105" spans="1:11" s="7" customFormat="1">
      <c r="A105" s="3"/>
      <c r="B105" s="20"/>
      <c r="C105" s="22"/>
      <c r="D105" s="18" t="str">
        <f>$B$75&amp;Commodities!E42</f>
        <v>EXPMOB1</v>
      </c>
      <c r="E105" s="18" t="str">
        <f>"Export technology - "&amp;Commodities!F42</f>
        <v>Export technology - Bio Methanol G1</v>
      </c>
      <c r="F105" s="20" t="s">
        <v>62</v>
      </c>
      <c r="G105" s="18"/>
      <c r="H105" s="20"/>
      <c r="I105" s="20"/>
      <c r="J105" s="20"/>
      <c r="K105" s="3"/>
    </row>
    <row r="106" spans="1:11" s="7" customFormat="1">
      <c r="A106" s="3"/>
      <c r="B106" s="20"/>
      <c r="C106" s="22"/>
      <c r="D106" s="18" t="str">
        <f>$B$75&amp;Commodities!E43</f>
        <v>EXPMOB2</v>
      </c>
      <c r="E106" s="18" t="str">
        <f>"Export technology - "&amp;Commodities!F43</f>
        <v>Export technology - Bio Methanol G2</v>
      </c>
      <c r="F106" s="20" t="s">
        <v>62</v>
      </c>
      <c r="G106" s="18"/>
      <c r="H106" s="20"/>
      <c r="I106" s="20"/>
      <c r="J106" s="20"/>
      <c r="K106" s="3"/>
    </row>
    <row r="107" spans="1:11" s="7" customFormat="1">
      <c r="A107" s="3"/>
      <c r="B107" s="20"/>
      <c r="C107" s="22"/>
      <c r="D107" s="18" t="str">
        <f>$B$75&amp;Commodities!E44</f>
        <v>EXPMOE</v>
      </c>
      <c r="E107" s="18" t="str">
        <f>"Export technology - "&amp;Commodities!F44</f>
        <v>Export technology - Electro Methanol</v>
      </c>
      <c r="F107" s="20" t="s">
        <v>62</v>
      </c>
      <c r="G107" s="18"/>
      <c r="H107" s="20"/>
      <c r="I107" s="20"/>
      <c r="J107" s="20"/>
      <c r="K107" s="3"/>
    </row>
    <row r="108" spans="1:11" s="7" customFormat="1">
      <c r="A108" s="3"/>
      <c r="B108" s="20"/>
      <c r="C108" s="22"/>
      <c r="D108" s="18" t="str">
        <f>$B$75&amp;Commodities!E64</f>
        <v>EXPLNB</v>
      </c>
      <c r="E108" s="18" t="str">
        <f>"Export technology - "&amp;Commodities!F64</f>
        <v>Export technology - Bio Naphtha (Petroleoum)</v>
      </c>
      <c r="F108" s="20" t="s">
        <v>62</v>
      </c>
      <c r="G108" s="18"/>
      <c r="H108" s="20"/>
      <c r="I108" s="20"/>
      <c r="J108" s="20"/>
      <c r="K108" s="3"/>
    </row>
    <row r="109" spans="1:11" s="7" customFormat="1">
      <c r="A109" s="3"/>
      <c r="B109" s="20"/>
      <c r="C109" s="22"/>
      <c r="D109" s="18" t="str">
        <f>$B$75&amp;Commodities!E65</f>
        <v>EXPGLY</v>
      </c>
      <c r="E109" s="18" t="str">
        <f>"Export technology - "&amp;Commodities!F65</f>
        <v>Export technology - Glycerol</v>
      </c>
      <c r="F109" s="20" t="s">
        <v>62</v>
      </c>
      <c r="G109" s="18"/>
      <c r="H109" s="20"/>
      <c r="I109" s="20"/>
      <c r="J109" s="20"/>
      <c r="K109" s="3"/>
    </row>
    <row r="110" spans="1:11" s="7" customFormat="1">
      <c r="A110" s="3"/>
      <c r="B110" s="20"/>
      <c r="C110" s="22"/>
      <c r="D110" s="18" t="str">
        <f>$B$75&amp;Commodities!E66</f>
        <v>EXPRPC</v>
      </c>
      <c r="E110" s="18" t="str">
        <f>"Export technology - "&amp;Commodities!F66</f>
        <v>Export technology - Rape Cake</v>
      </c>
      <c r="F110" s="20" t="s">
        <v>62</v>
      </c>
      <c r="G110" s="18"/>
      <c r="H110" s="20"/>
      <c r="I110" s="20"/>
      <c r="J110" s="20"/>
      <c r="K110" s="3"/>
    </row>
    <row r="111" spans="1:11" s="7" customFormat="1">
      <c r="A111" s="3"/>
      <c r="B111" s="369"/>
      <c r="C111" s="398"/>
      <c r="D111" s="391" t="str">
        <f>$B$75&amp;Commodities!E67</f>
        <v>EXPSGP</v>
      </c>
      <c r="E111" s="391" t="str">
        <f>"Export technology - "&amp;Commodities!F67</f>
        <v>Export technology - Sugar Beet Pulp</v>
      </c>
      <c r="F111" s="369" t="s">
        <v>62</v>
      </c>
      <c r="G111" s="391"/>
      <c r="H111" s="369"/>
      <c r="I111" s="369"/>
      <c r="J111" s="20"/>
      <c r="K111" s="3"/>
    </row>
    <row r="112" spans="1:11" s="7" customFormat="1">
      <c r="A112" s="3"/>
      <c r="B112" s="249" t="s">
        <v>96</v>
      </c>
      <c r="C112" s="22"/>
      <c r="D112" s="331" t="str">
        <f>"FT-"&amp;Commodities!E77</f>
        <v>FT-SUPELC</v>
      </c>
      <c r="E112" s="331" t="str">
        <f>"FT technology - "&amp;Commodities!F77</f>
        <v>FT technology - Supply electricity</v>
      </c>
      <c r="F112" s="249" t="s">
        <v>62</v>
      </c>
      <c r="G112" s="18"/>
      <c r="H112" s="20"/>
      <c r="I112" s="20"/>
      <c r="J112" s="20"/>
      <c r="K112" s="3"/>
    </row>
    <row r="113" spans="1:11" s="7" customFormat="1">
      <c r="A113" s="3"/>
      <c r="B113" s="20"/>
      <c r="C113" s="22"/>
      <c r="D113" s="331" t="str">
        <f>"FT-"&amp;Commodities!E78</f>
        <v>FT-SUPHETC</v>
      </c>
      <c r="E113" s="331" t="str">
        <f>"FT technology - "&amp;Commodities!F78</f>
        <v>FT technology - Supply Decentral district heating</v>
      </c>
      <c r="F113" s="249" t="s">
        <v>62</v>
      </c>
      <c r="G113" s="18"/>
      <c r="H113" s="20"/>
      <c r="I113" s="20"/>
      <c r="J113" s="20"/>
      <c r="K113" s="3"/>
    </row>
    <row r="114" spans="1:11" s="7" customFormat="1">
      <c r="A114" s="3"/>
      <c r="B114" s="369"/>
      <c r="C114" s="398"/>
      <c r="D114" s="372" t="str">
        <f>"FT-"&amp;Commodities!E79</f>
        <v>FT-SUPHETD</v>
      </c>
      <c r="E114" s="372" t="str">
        <f>"FT technology - "&amp;Commodities!F79</f>
        <v>FT technology - Supply Central district heating</v>
      </c>
      <c r="F114" s="368" t="s">
        <v>62</v>
      </c>
      <c r="G114" s="391"/>
      <c r="H114" s="369"/>
      <c r="I114" s="369"/>
      <c r="J114" s="20"/>
      <c r="K114" s="3"/>
    </row>
    <row r="115" spans="1:11" s="7" customFormat="1">
      <c r="A115" s="3"/>
      <c r="B115" s="249"/>
      <c r="C115" s="22"/>
      <c r="D115" s="331" t="str">
        <f>"FT-"&amp;Commodities!E80</f>
        <v>FT-SUPCOA</v>
      </c>
      <c r="E115" s="331" t="str">
        <f>"FT technology - "&amp;Commodities!F80</f>
        <v>FT technology - Supply Coal</v>
      </c>
      <c r="F115" s="249" t="s">
        <v>62</v>
      </c>
      <c r="G115" s="18"/>
      <c r="H115" s="20"/>
      <c r="I115" s="20"/>
      <c r="J115" s="20"/>
      <c r="K115" s="3"/>
    </row>
    <row r="116" spans="1:11" s="7" customFormat="1">
      <c r="A116" s="3"/>
      <c r="B116" s="20"/>
      <c r="C116" s="22"/>
      <c r="D116" s="331" t="str">
        <f>"FT-"&amp;Commodities!E81</f>
        <v>FT-SUPNGA</v>
      </c>
      <c r="E116" s="331" t="str">
        <f>"FT technology - "&amp;Commodities!F81</f>
        <v>FT technology - Supply Natural Gas</v>
      </c>
      <c r="F116" s="249" t="s">
        <v>62</v>
      </c>
      <c r="G116" s="18"/>
      <c r="H116" s="20"/>
      <c r="I116" s="20"/>
      <c r="J116" s="20"/>
      <c r="K116" s="3"/>
    </row>
    <row r="117" spans="1:11" s="7" customFormat="1">
      <c r="A117" s="3"/>
      <c r="B117" s="20"/>
      <c r="C117" s="22"/>
      <c r="D117" s="331" t="str">
        <f>"FT-"&amp;Commodities!E82</f>
        <v>FT-SUPCRD</v>
      </c>
      <c r="E117" s="331" t="str">
        <f>"FT technology - "&amp;Commodities!F82</f>
        <v>FT technology - Supply Crude Oil</v>
      </c>
      <c r="F117" s="249" t="s">
        <v>62</v>
      </c>
      <c r="G117" s="18"/>
      <c r="H117" s="20"/>
      <c r="I117" s="20"/>
      <c r="J117" s="20"/>
      <c r="K117" s="3"/>
    </row>
    <row r="118" spans="1:11" s="7" customFormat="1">
      <c r="A118" s="3"/>
      <c r="B118" s="20"/>
      <c r="C118" s="22"/>
      <c r="D118" s="331" t="str">
        <f>"FT-"&amp;Commodities!E83</f>
        <v>FT-SUPLPG</v>
      </c>
      <c r="E118" s="331" t="str">
        <f>"FT technology - "&amp;Commodities!F83</f>
        <v>FT technology - Supply Liquid petrol gas</v>
      </c>
      <c r="F118" s="249" t="s">
        <v>62</v>
      </c>
      <c r="G118" s="18"/>
      <c r="H118" s="20"/>
      <c r="I118" s="20"/>
      <c r="J118" s="20"/>
      <c r="K118" s="3"/>
    </row>
    <row r="119" spans="1:11" s="7" customFormat="1">
      <c r="A119" s="3"/>
      <c r="B119" s="20"/>
      <c r="C119" s="22"/>
      <c r="D119" s="331" t="str">
        <f>"FT-"&amp;Commodities!E84</f>
        <v>FT-SUPLVN</v>
      </c>
      <c r="E119" s="331" t="str">
        <f>"FT technology - "&amp;Commodities!F84</f>
        <v>FT technology - Supply Naphtha (Petroleoum)</v>
      </c>
      <c r="F119" s="249" t="s">
        <v>62</v>
      </c>
      <c r="G119" s="18"/>
      <c r="H119" s="20"/>
      <c r="I119" s="20"/>
      <c r="J119" s="20"/>
      <c r="K119" s="3"/>
    </row>
    <row r="120" spans="1:11" s="7" customFormat="1">
      <c r="A120" s="3"/>
      <c r="B120" s="20"/>
      <c r="C120" s="22"/>
      <c r="D120" s="331" t="str">
        <f>"FT-"&amp;Commodities!E85</f>
        <v>FT-SUPGSL</v>
      </c>
      <c r="E120" s="331" t="str">
        <f>"FT technology - "&amp;Commodities!F85</f>
        <v>FT technology - Supply Gasoline</v>
      </c>
      <c r="F120" s="249" t="s">
        <v>62</v>
      </c>
      <c r="G120" s="18"/>
      <c r="H120" s="20"/>
      <c r="I120" s="20"/>
      <c r="J120" s="20"/>
      <c r="K120" s="3"/>
    </row>
    <row r="121" spans="1:11" s="7" customFormat="1">
      <c r="A121" s="3"/>
      <c r="B121" s="20"/>
      <c r="C121" s="22"/>
      <c r="D121" s="331" t="str">
        <f>"FT-"&amp;Commodities!E86</f>
        <v>FT-SUPKER</v>
      </c>
      <c r="E121" s="331" t="str">
        <f>"FT technology - "&amp;Commodities!F86</f>
        <v>FT technology - Supply Kerosene</v>
      </c>
      <c r="F121" s="249" t="s">
        <v>62</v>
      </c>
      <c r="G121" s="18"/>
      <c r="H121" s="20"/>
      <c r="I121" s="20"/>
      <c r="J121" s="20"/>
      <c r="K121" s="3"/>
    </row>
    <row r="122" spans="1:11" s="7" customFormat="1">
      <c r="A122" s="3"/>
      <c r="B122" s="20"/>
      <c r="C122" s="22"/>
      <c r="D122" s="331" t="str">
        <f>"FT-"&amp;Commodities!E87</f>
        <v>FT-SUPDSL</v>
      </c>
      <c r="E122" s="331" t="str">
        <f>"FT technology - "&amp;Commodities!F87</f>
        <v>FT technology - Supply Diesel</v>
      </c>
      <c r="F122" s="249" t="s">
        <v>62</v>
      </c>
      <c r="G122" s="18"/>
      <c r="H122" s="20"/>
      <c r="I122" s="20"/>
      <c r="J122" s="20"/>
      <c r="K122" s="3"/>
    </row>
    <row r="123" spans="1:11" s="7" customFormat="1">
      <c r="A123" s="3"/>
      <c r="B123" s="20"/>
      <c r="C123" s="22"/>
      <c r="D123" s="331" t="str">
        <f>"FT-"&amp;Commodities!E88</f>
        <v>FT-SUPHFO</v>
      </c>
      <c r="E123" s="331" t="str">
        <f>"FT technology - "&amp;Commodities!F88</f>
        <v>FT technology - Supply Heavy Fuel Oil</v>
      </c>
      <c r="F123" s="249" t="s">
        <v>62</v>
      </c>
      <c r="G123" s="18"/>
      <c r="H123" s="20"/>
      <c r="I123" s="20"/>
      <c r="J123" s="20"/>
      <c r="K123" s="3"/>
    </row>
    <row r="124" spans="1:11">
      <c r="D124" s="331" t="str">
        <f>"FT-"&amp;Commodities!E89</f>
        <v>FT-SUPMGO</v>
      </c>
      <c r="E124" s="331" t="str">
        <f>"FT technology - "&amp;Commodities!F89</f>
        <v>FT technology - Supply Marine Gas Oil</v>
      </c>
      <c r="F124" s="249" t="s">
        <v>62</v>
      </c>
      <c r="G124" s="18"/>
      <c r="H124" s="15"/>
      <c r="I124" s="15"/>
      <c r="J124" s="15"/>
    </row>
    <row r="125" spans="1:11">
      <c r="D125" s="331" t="str">
        <f>"FT-"&amp;Commodities!E90</f>
        <v>FT-SUPAGSL</v>
      </c>
      <c r="E125" s="331" t="str">
        <f>"FT technology - "&amp;Commodities!F90</f>
        <v>FT technology - Supply Aviation gasoline</v>
      </c>
      <c r="F125" s="249" t="s">
        <v>62</v>
      </c>
      <c r="G125" s="18"/>
      <c r="H125" s="15"/>
      <c r="I125" s="15"/>
      <c r="J125" s="15"/>
    </row>
    <row r="126" spans="1:11">
      <c r="D126" s="331" t="str">
        <f>"FT-"&amp;Commodities!E91</f>
        <v>FT-SUPWST</v>
      </c>
      <c r="E126" s="331" t="str">
        <f>"FT technology - "&amp;Commodities!F91</f>
        <v>FT technology - Supply Waste</v>
      </c>
      <c r="F126" s="249" t="s">
        <v>62</v>
      </c>
      <c r="G126" s="18"/>
      <c r="H126" s="15"/>
      <c r="I126" s="15"/>
      <c r="J126" s="15"/>
    </row>
    <row r="127" spans="1:11">
      <c r="D127" s="331" t="str">
        <f>"FT-"&amp;Commodities!E92</f>
        <v>FT-SUPSTR</v>
      </c>
      <c r="E127" s="331" t="str">
        <f>"FT technology - "&amp;Commodities!F92</f>
        <v>FT technology - Supply Straw</v>
      </c>
      <c r="F127" s="249" t="s">
        <v>62</v>
      </c>
      <c r="G127" s="18"/>
      <c r="H127" s="15"/>
      <c r="I127" s="15"/>
      <c r="J127" s="15"/>
    </row>
    <row r="128" spans="1:11">
      <c r="D128" s="331" t="str">
        <f>"FT-"&amp;Commodities!E93</f>
        <v>FT-SUPGRS</v>
      </c>
      <c r="E128" s="331" t="str">
        <f>"FT technology - "&amp;Commodities!F93</f>
        <v>FT technology - Supply Grass</v>
      </c>
      <c r="F128" s="249" t="s">
        <v>62</v>
      </c>
      <c r="G128" s="18"/>
      <c r="H128" s="15"/>
      <c r="I128" s="15"/>
      <c r="J128" s="15"/>
    </row>
    <row r="129" spans="1:11">
      <c r="D129" s="331" t="str">
        <f>"FT-"&amp;Commodities!E94</f>
        <v>FT-SUPWPE</v>
      </c>
      <c r="E129" s="331" t="str">
        <f>"FT technology - "&amp;Commodities!F94</f>
        <v>FT technology - Supply Wood pellets</v>
      </c>
      <c r="F129" s="249" t="s">
        <v>62</v>
      </c>
      <c r="G129" s="18"/>
      <c r="H129" s="15"/>
      <c r="I129" s="15"/>
      <c r="J129" s="15"/>
    </row>
    <row r="130" spans="1:11">
      <c r="D130" s="331" t="str">
        <f>"FT-"&amp;Commodities!E95</f>
        <v>FT-SUPWCH</v>
      </c>
      <c r="E130" s="331" t="str">
        <f>"FT technology - "&amp;Commodities!F95</f>
        <v>FT technology - Supply Wood chips and wood waste</v>
      </c>
      <c r="F130" s="249" t="s">
        <v>62</v>
      </c>
      <c r="G130" s="18"/>
      <c r="H130" s="15"/>
      <c r="I130" s="15"/>
      <c r="J130" s="15"/>
    </row>
    <row r="131" spans="1:11">
      <c r="D131" s="331" t="str">
        <f>"FT-"&amp;Commodities!E96</f>
        <v>FT-SUPFIW</v>
      </c>
      <c r="E131" s="331" t="str">
        <f>"FT technology - "&amp;Commodities!F96</f>
        <v>FT technology - Supply Firewood</v>
      </c>
      <c r="F131" s="249" t="s">
        <v>62</v>
      </c>
      <c r="G131" s="18"/>
      <c r="H131" s="15"/>
      <c r="I131" s="15"/>
      <c r="J131" s="15"/>
    </row>
    <row r="132" spans="1:11">
      <c r="D132" s="331" t="str">
        <f>"FT-"&amp;Commodities!E97</f>
        <v>FT-SUPCRN</v>
      </c>
      <c r="E132" s="331" t="str">
        <f>"FT technology - "&amp;Commodities!F97</f>
        <v>FT technology - Supply Corn</v>
      </c>
      <c r="F132" s="249" t="s">
        <v>62</v>
      </c>
      <c r="G132" s="18"/>
      <c r="H132" s="15"/>
      <c r="I132" s="15"/>
      <c r="J132" s="15"/>
    </row>
    <row r="133" spans="1:11">
      <c r="D133" s="331" t="str">
        <f>"FT-"&amp;Commodities!E98</f>
        <v>FT-SUPRPS</v>
      </c>
      <c r="E133" s="331" t="str">
        <f>"FT technology - "&amp;Commodities!F98</f>
        <v>FT technology - Supply Rapeseed</v>
      </c>
      <c r="F133" s="249" t="s">
        <v>62</v>
      </c>
      <c r="G133" s="18"/>
      <c r="H133" s="15"/>
      <c r="I133" s="15"/>
      <c r="J133" s="15"/>
    </row>
    <row r="134" spans="1:11" s="251" customFormat="1">
      <c r="D134" s="331" t="str">
        <f>"FT-"&amp;Commodities!E99</f>
        <v>FT-SUPSGB</v>
      </c>
      <c r="E134" s="331" t="str">
        <f>"FT technology - "&amp;Commodities!F99</f>
        <v>FT technology - Supply Sugar Beet</v>
      </c>
      <c r="F134" s="249" t="s">
        <v>62</v>
      </c>
      <c r="G134" s="18"/>
      <c r="H134" s="328"/>
      <c r="I134" s="328"/>
      <c r="J134" s="328"/>
      <c r="K134" s="1"/>
    </row>
    <row r="135" spans="1:11">
      <c r="D135" s="331" t="str">
        <f>"FT-"&amp;Commodities!E100</f>
        <v>FT-SUPDLI</v>
      </c>
      <c r="E135" s="331" t="str">
        <f>"FT technology - "&amp;Commodities!F100</f>
        <v>FT technology - Supply Deep Litter</v>
      </c>
      <c r="F135" s="249" t="s">
        <v>62</v>
      </c>
      <c r="G135" s="18"/>
      <c r="H135" s="328"/>
      <c r="I135" s="328"/>
      <c r="J135" s="328"/>
      <c r="K135" s="1"/>
    </row>
    <row r="136" spans="1:11">
      <c r="D136" s="331" t="str">
        <f>"FT-"&amp;Commodities!E101</f>
        <v>FT-SUPMNR</v>
      </c>
      <c r="E136" s="331" t="str">
        <f>"FT technology - "&amp;Commodities!F101</f>
        <v>FT technology - Supply Manure (Gylle)</v>
      </c>
      <c r="F136" s="249" t="s">
        <v>62</v>
      </c>
      <c r="G136" s="18"/>
      <c r="H136" s="328"/>
      <c r="I136" s="328"/>
      <c r="J136" s="328"/>
      <c r="K136" s="1"/>
    </row>
    <row r="137" spans="1:11" s="331" customFormat="1">
      <c r="D137" s="331" t="str">
        <f>"FT-"&amp;Commodities!E102</f>
        <v>FT-SUPBGA</v>
      </c>
      <c r="E137" s="331" t="str">
        <f>"FT technology - "&amp;Commodities!F102</f>
        <v>FT technology - Supply Biogas</v>
      </c>
      <c r="F137" s="249" t="s">
        <v>62</v>
      </c>
      <c r="G137" s="249"/>
      <c r="H137" s="328"/>
      <c r="I137" s="328"/>
      <c r="J137" s="328"/>
      <c r="K137" s="1"/>
    </row>
    <row r="138" spans="1:11">
      <c r="D138" s="331" t="str">
        <f>"FT-"&amp;Commodities!E103</f>
        <v>FT-SUPHFB</v>
      </c>
      <c r="E138" s="331" t="str">
        <f>"FT technology - "&amp;Commodities!F103</f>
        <v>FT technology - Supply Heavy Fuel Bio Oil</v>
      </c>
      <c r="F138" s="249" t="s">
        <v>62</v>
      </c>
      <c r="G138" s="18"/>
      <c r="H138" s="328"/>
      <c r="I138" s="328"/>
      <c r="J138" s="328"/>
      <c r="K138" s="1"/>
    </row>
    <row r="139" spans="1:11" s="1" customFormat="1">
      <c r="D139" s="331" t="str">
        <f>"FT-"&amp;Commodities!E104</f>
        <v>FT-SUPDDGS</v>
      </c>
      <c r="E139" s="331" t="str">
        <f>"FT technology - "&amp;Commodities!F104</f>
        <v>FT technology - Supply Ethanol</v>
      </c>
      <c r="F139" s="249" t="s">
        <v>62</v>
      </c>
      <c r="G139" s="18"/>
      <c r="H139" s="328"/>
      <c r="I139" s="328"/>
      <c r="J139" s="328"/>
    </row>
    <row r="140" spans="1:11" s="1" customFormat="1">
      <c r="D140" s="331" t="str">
        <f>"FT-"&amp;Commodities!E105</f>
        <v>FT-SUPH2</v>
      </c>
      <c r="E140" s="331" t="str">
        <f>"FT technology - "&amp;Commodities!F105</f>
        <v>FT technology - Supply Hydrogen</v>
      </c>
      <c r="F140" s="249" t="s">
        <v>62</v>
      </c>
      <c r="G140" s="18"/>
      <c r="H140" s="328"/>
      <c r="I140" s="328"/>
      <c r="J140" s="328"/>
    </row>
    <row r="141" spans="1:11" s="1" customFormat="1">
      <c r="A141" s="3"/>
      <c r="D141" s="331" t="str">
        <f>"FT-"&amp;Commodities!E106</f>
        <v>FT-SUPH2G</v>
      </c>
      <c r="E141" s="331" t="str">
        <f>"FT technology - "&amp;Commodities!F106</f>
        <v>FT technology - Supply Hydrogen Gas</v>
      </c>
      <c r="F141" s="249" t="s">
        <v>62</v>
      </c>
      <c r="G141" s="18"/>
      <c r="H141" s="328"/>
      <c r="I141" s="328"/>
      <c r="J141" s="328"/>
    </row>
    <row r="142" spans="1:11" s="1" customFormat="1">
      <c r="A142" s="3"/>
      <c r="D142" s="331" t="str">
        <f>"FT-"&amp;Commodities!E107</f>
        <v>FT-SUPAMM</v>
      </c>
      <c r="E142" s="331" t="str">
        <f>"FT technology - "&amp;Commodities!F107</f>
        <v>FT technology - Supply Ammonia (Liquid)</v>
      </c>
      <c r="F142" s="249" t="s">
        <v>62</v>
      </c>
      <c r="G142" s="18"/>
      <c r="H142" s="328"/>
      <c r="I142" s="328"/>
      <c r="J142" s="328"/>
    </row>
    <row r="143" spans="1:11" s="1" customFormat="1">
      <c r="A143" s="3"/>
      <c r="D143" s="331" t="str">
        <f>"FT-"&amp;Commodities!E108</f>
        <v>FT-SUPDME</v>
      </c>
      <c r="E143" s="331" t="str">
        <f>"FT technology - "&amp;Commodities!F108</f>
        <v>FT technology - Supply Dimethyl ether</v>
      </c>
      <c r="F143" s="249" t="s">
        <v>62</v>
      </c>
      <c r="G143" s="18"/>
      <c r="H143" s="328"/>
      <c r="I143" s="328"/>
      <c r="J143" s="328"/>
    </row>
    <row r="144" spans="1:11" s="1" customFormat="1">
      <c r="A144" s="3"/>
      <c r="D144" s="331" t="str">
        <f>"FT-"&amp;Commodities!E109</f>
        <v>FT-SUPKRB</v>
      </c>
      <c r="E144" s="331" t="str">
        <f>"FT technology - "&amp;Commodities!F109</f>
        <v>FT technology - Supply Bio Kerosene</v>
      </c>
      <c r="F144" s="249" t="s">
        <v>62</v>
      </c>
      <c r="G144" s="18"/>
      <c r="H144" s="328"/>
      <c r="I144" s="328"/>
      <c r="J144" s="328"/>
    </row>
    <row r="145" spans="1:11" s="1" customFormat="1">
      <c r="A145" s="3"/>
      <c r="D145" s="331" t="str">
        <f>"FT-"&amp;Commodities!E110</f>
        <v>FT-SUPSNG</v>
      </c>
      <c r="E145" s="331" t="str">
        <f>"FT technology - "&amp;Commodities!F110</f>
        <v>FT technology - Supply Bio Synt. Nat. Gas</v>
      </c>
      <c r="F145" s="249" t="s">
        <v>62</v>
      </c>
      <c r="G145" s="18"/>
      <c r="H145" s="328"/>
      <c r="I145" s="328"/>
      <c r="J145" s="328"/>
    </row>
    <row r="146" spans="1:11">
      <c r="D146" s="331" t="str">
        <f>"FT-"&amp;Commodities!E111</f>
        <v>FT-SUPDSB</v>
      </c>
      <c r="E146" s="331" t="str">
        <f>"FT technology - "&amp;Commodities!F111</f>
        <v>FT technology - Supply Biodiesel</v>
      </c>
      <c r="F146" s="249" t="s">
        <v>62</v>
      </c>
      <c r="G146" s="18"/>
      <c r="H146" s="328"/>
      <c r="I146" s="328"/>
      <c r="J146" s="328"/>
      <c r="K146" s="1"/>
    </row>
    <row r="147" spans="1:11">
      <c r="D147" s="331" t="str">
        <f>"FT-"&amp;Commodities!E112</f>
        <v>FT-SUPGSB</v>
      </c>
      <c r="E147" s="331" t="str">
        <f>"FT technology - "&amp;Commodities!F112</f>
        <v>FT technology - Supply Bioethanol</v>
      </c>
      <c r="F147" s="249" t="s">
        <v>62</v>
      </c>
      <c r="G147" s="18"/>
      <c r="H147" s="328"/>
      <c r="I147" s="328"/>
      <c r="J147" s="328"/>
      <c r="K147" s="1"/>
    </row>
    <row r="148" spans="1:11">
      <c r="D148" s="331" t="str">
        <f>"FT-"&amp;Commodities!E113</f>
        <v>FT-SUPMOB</v>
      </c>
      <c r="E148" s="331" t="str">
        <f>"FT technology - "&amp;Commodities!F113</f>
        <v>FT technology - Supply Bio Methanol</v>
      </c>
      <c r="F148" s="249" t="s">
        <v>62</v>
      </c>
      <c r="G148" s="18"/>
      <c r="H148" s="328"/>
      <c r="I148" s="328"/>
      <c r="J148" s="328"/>
      <c r="K148" s="1"/>
    </row>
    <row r="149" spans="1:11">
      <c r="D149" s="432" t="s">
        <v>633</v>
      </c>
      <c r="E149" s="331" t="str">
        <f>"FT technology - "&amp;Commodities!F56</f>
        <v>FT technology - Mining Natural Gas</v>
      </c>
      <c r="F149" s="249" t="s">
        <v>62</v>
      </c>
      <c r="G149" s="18"/>
      <c r="H149" s="19"/>
      <c r="I149" s="19"/>
      <c r="J149" s="19"/>
    </row>
    <row r="150" spans="1:11">
      <c r="B150" s="468"/>
      <c r="C150" s="468"/>
      <c r="D150" s="469" t="s">
        <v>634</v>
      </c>
      <c r="E150" s="468" t="str">
        <f>"FT technology - "&amp;Commodities!F57</f>
        <v>FT technology - Mining Crude Oil</v>
      </c>
      <c r="F150" s="470" t="s">
        <v>62</v>
      </c>
      <c r="G150" s="471"/>
      <c r="H150" s="472"/>
      <c r="I150" s="19"/>
      <c r="J150" s="19"/>
    </row>
    <row r="151" spans="1:11">
      <c r="C151" s="442" t="str">
        <f>Refineries!C33</f>
        <v>SE3</v>
      </c>
      <c r="D151" s="442" t="str">
        <f>Refineries!B33</f>
        <v>SREFSE3</v>
      </c>
      <c r="E151" s="442" t="str">
        <f>Refineries!D33</f>
        <v>Refinery Sweden 3</v>
      </c>
      <c r="F151" s="371" t="s">
        <v>62</v>
      </c>
      <c r="G151" s="249" t="s">
        <v>788</v>
      </c>
      <c r="H151" s="19"/>
      <c r="I151" s="19"/>
      <c r="J151" s="19"/>
    </row>
    <row r="152" spans="1:11">
      <c r="D152" s="331"/>
      <c r="E152" s="331"/>
      <c r="F152" s="249"/>
      <c r="G152" s="18"/>
      <c r="H152" s="328"/>
      <c r="I152" s="328"/>
      <c r="J152" s="328"/>
      <c r="K152" s="1"/>
    </row>
    <row r="153" spans="1:11">
      <c r="D153" s="331"/>
      <c r="E153" s="331"/>
      <c r="F153" s="249"/>
      <c r="G153" s="18"/>
      <c r="H153" s="328"/>
      <c r="I153" s="328"/>
      <c r="J153" s="328"/>
      <c r="K153" s="1"/>
    </row>
    <row r="154" spans="1:11">
      <c r="F154" s="1"/>
      <c r="G154" s="18"/>
      <c r="H154" s="328"/>
      <c r="I154" s="328"/>
      <c r="J154" s="328"/>
      <c r="K154" s="1"/>
    </row>
    <row r="155" spans="1:11">
      <c r="F155" s="1"/>
      <c r="G155" s="18"/>
      <c r="H155" s="328"/>
      <c r="I155" s="328"/>
      <c r="J155" s="328"/>
      <c r="K155" s="1"/>
    </row>
    <row r="156" spans="1:11">
      <c r="F156" s="1"/>
      <c r="G156" s="18"/>
      <c r="H156" s="328"/>
      <c r="I156" s="328"/>
      <c r="J156" s="328"/>
      <c r="K156" s="1"/>
    </row>
    <row r="157" spans="1:11">
      <c r="F157" s="1"/>
      <c r="G157" s="18"/>
      <c r="H157" s="328"/>
      <c r="I157" s="328"/>
      <c r="J157" s="328"/>
      <c r="K157" s="1"/>
    </row>
    <row r="158" spans="1:11">
      <c r="F158" s="1"/>
      <c r="G158" s="18"/>
      <c r="H158" s="328"/>
      <c r="I158" s="328"/>
      <c r="J158" s="328"/>
      <c r="K158" s="1"/>
    </row>
    <row r="159" spans="1:11">
      <c r="F159" s="1"/>
      <c r="G159" s="18"/>
      <c r="H159" s="328"/>
      <c r="I159" s="328"/>
      <c r="J159" s="328"/>
      <c r="K159" s="1"/>
    </row>
    <row r="160" spans="1:11">
      <c r="F160" s="1"/>
      <c r="G160" s="18"/>
      <c r="H160" s="328"/>
      <c r="I160" s="328"/>
      <c r="J160" s="328"/>
      <c r="K160" s="1"/>
    </row>
    <row r="161" spans="6:11">
      <c r="F161" s="1"/>
      <c r="G161" s="18"/>
      <c r="H161" s="328"/>
      <c r="I161" s="328"/>
      <c r="J161" s="328"/>
      <c r="K161" s="1"/>
    </row>
    <row r="162" spans="6:11">
      <c r="F162" s="1"/>
      <c r="G162" s="18"/>
      <c r="H162" s="328"/>
      <c r="I162" s="328"/>
      <c r="J162" s="328"/>
      <c r="K162" s="1"/>
    </row>
    <row r="163" spans="6:11">
      <c r="F163" s="1"/>
      <c r="G163" s="328"/>
      <c r="H163" s="328"/>
      <c r="I163" s="328"/>
      <c r="J163" s="328"/>
      <c r="K163" s="1"/>
    </row>
    <row r="164" spans="6:11">
      <c r="F164" s="1"/>
      <c r="G164" s="328"/>
      <c r="H164" s="328"/>
      <c r="I164" s="328"/>
      <c r="J164" s="328"/>
      <c r="K164" s="1"/>
    </row>
    <row r="165" spans="6:11">
      <c r="F165" s="1"/>
      <c r="G165" s="328"/>
      <c r="H165" s="328"/>
      <c r="I165" s="328"/>
      <c r="J165" s="328"/>
      <c r="K165" s="1"/>
    </row>
    <row r="166" spans="6:11">
      <c r="F166" s="1"/>
      <c r="G166" s="328"/>
      <c r="H166" s="328"/>
      <c r="I166" s="328"/>
      <c r="J166" s="328"/>
      <c r="K166" s="1"/>
    </row>
    <row r="167" spans="6:11">
      <c r="F167" s="1"/>
      <c r="G167" s="328"/>
      <c r="H167" s="328"/>
      <c r="I167" s="328"/>
      <c r="J167" s="328"/>
      <c r="K167" s="1"/>
    </row>
    <row r="168" spans="6:11">
      <c r="F168" s="1"/>
      <c r="G168" s="328"/>
      <c r="H168" s="328"/>
      <c r="I168" s="328"/>
      <c r="J168" s="328"/>
      <c r="K168" s="1"/>
    </row>
    <row r="169" spans="6:11">
      <c r="F169" s="1"/>
      <c r="G169" s="328"/>
      <c r="H169" s="328"/>
      <c r="I169" s="328"/>
      <c r="J169" s="328"/>
      <c r="K169" s="1"/>
    </row>
    <row r="170" spans="6:11">
      <c r="F170" s="1"/>
      <c r="G170" s="328"/>
      <c r="H170" s="328"/>
      <c r="I170" s="328"/>
      <c r="J170" s="328"/>
      <c r="K170" s="1"/>
    </row>
    <row r="171" spans="6:11">
      <c r="F171" s="1"/>
      <c r="G171" s="328"/>
      <c r="H171" s="328"/>
      <c r="I171" s="328"/>
      <c r="J171" s="328"/>
      <c r="K171" s="1"/>
    </row>
    <row r="172" spans="6:11">
      <c r="F172" s="1"/>
      <c r="G172" s="328"/>
      <c r="H172" s="328"/>
      <c r="I172" s="328"/>
      <c r="J172" s="328"/>
      <c r="K172" s="1"/>
    </row>
    <row r="173" spans="6:11">
      <c r="F173" s="1"/>
      <c r="G173" s="328"/>
      <c r="H173" s="328"/>
      <c r="I173" s="328"/>
      <c r="J173" s="328"/>
      <c r="K173" s="1"/>
    </row>
    <row r="174" spans="6:11">
      <c r="F174" s="1"/>
      <c r="G174" s="1"/>
      <c r="H174" s="1"/>
      <c r="I174" s="1"/>
      <c r="J174" s="1"/>
      <c r="K174" s="1"/>
    </row>
    <row r="175" spans="6:11">
      <c r="F175" s="1"/>
      <c r="G175" s="1"/>
      <c r="H175" s="1"/>
      <c r="I175" s="1"/>
      <c r="J175" s="1"/>
      <c r="K175" s="1"/>
    </row>
    <row r="176" spans="6:11">
      <c r="F176" s="1"/>
      <c r="G176" s="1"/>
      <c r="H176" s="1"/>
      <c r="I176" s="1"/>
      <c r="J176" s="1"/>
      <c r="K176" s="1"/>
    </row>
    <row r="177" spans="6:11">
      <c r="F177" s="1"/>
      <c r="G177" s="1"/>
      <c r="H177" s="1"/>
      <c r="I177" s="1"/>
      <c r="J177" s="1"/>
      <c r="K177" s="1"/>
    </row>
    <row r="178" spans="6:11">
      <c r="F178" s="1"/>
      <c r="G178" s="1"/>
      <c r="H178" s="1"/>
      <c r="I178" s="1"/>
      <c r="J178" s="1"/>
      <c r="K178" s="1"/>
    </row>
    <row r="179" spans="6:11">
      <c r="F179" s="1"/>
      <c r="G179" s="1"/>
      <c r="H179" s="1"/>
      <c r="I179" s="1"/>
      <c r="J179" s="1"/>
      <c r="K179" s="1"/>
    </row>
    <row r="180" spans="6:11">
      <c r="F180" s="1"/>
      <c r="G180" s="1"/>
      <c r="H180" s="1"/>
      <c r="I180" s="1"/>
      <c r="J180" s="1"/>
      <c r="K180" s="1"/>
    </row>
    <row r="181" spans="6:11">
      <c r="F181" s="1"/>
      <c r="G181" s="1"/>
      <c r="H181" s="1"/>
      <c r="I181" s="1"/>
      <c r="J181" s="1"/>
      <c r="K181" s="1"/>
    </row>
    <row r="182" spans="6:11">
      <c r="F182" s="1"/>
      <c r="G182" s="1"/>
      <c r="H182" s="1"/>
      <c r="I182" s="1"/>
      <c r="J182" s="1"/>
      <c r="K182" s="1"/>
    </row>
    <row r="183" spans="6:11">
      <c r="F183" s="1"/>
      <c r="G183" s="1"/>
      <c r="H183" s="1"/>
      <c r="I183" s="1"/>
      <c r="J183" s="1"/>
      <c r="K183" s="1"/>
    </row>
    <row r="184" spans="6:11">
      <c r="F184" s="1"/>
      <c r="G184" s="1"/>
      <c r="H184" s="1"/>
      <c r="I184" s="1"/>
      <c r="J184" s="1"/>
      <c r="K184" s="1"/>
    </row>
    <row r="185" spans="6:11">
      <c r="F185" s="1"/>
      <c r="G185" s="1"/>
      <c r="H185" s="1"/>
      <c r="I185" s="1"/>
      <c r="J185" s="1"/>
      <c r="K185" s="1"/>
    </row>
    <row r="186" spans="6:11">
      <c r="F186" s="1"/>
      <c r="G186" s="1"/>
      <c r="H186" s="1"/>
      <c r="I186" s="1"/>
      <c r="J186" s="1"/>
      <c r="K186" s="1"/>
    </row>
    <row r="187" spans="6:11">
      <c r="F187" s="1"/>
      <c r="G187" s="1"/>
      <c r="H187" s="1"/>
      <c r="I187" s="1"/>
      <c r="J187" s="1"/>
      <c r="K187" s="1"/>
    </row>
    <row r="188" spans="6:11">
      <c r="F188" s="1"/>
      <c r="G188" s="1"/>
      <c r="H188" s="1"/>
      <c r="I188" s="1"/>
      <c r="J188" s="1"/>
      <c r="K188" s="1"/>
    </row>
    <row r="189" spans="6:11">
      <c r="F189" s="1"/>
      <c r="G189" s="1"/>
      <c r="H189" s="1"/>
      <c r="I189" s="1"/>
      <c r="J189" s="1"/>
      <c r="K189" s="1"/>
    </row>
    <row r="190" spans="6:11">
      <c r="F190" s="1"/>
      <c r="G190" s="1"/>
      <c r="H190" s="1"/>
      <c r="I190" s="1"/>
      <c r="J190" s="1"/>
      <c r="K190" s="1"/>
    </row>
    <row r="191" spans="6:11">
      <c r="F191" s="1"/>
      <c r="G191" s="1"/>
      <c r="H191" s="1"/>
      <c r="I191" s="1"/>
      <c r="J191" s="1"/>
      <c r="K191" s="1"/>
    </row>
    <row r="192" spans="6:11">
      <c r="F192" s="1"/>
      <c r="G192" s="1"/>
      <c r="H192" s="1"/>
      <c r="I192" s="1"/>
      <c r="J192" s="1"/>
      <c r="K192" s="1"/>
    </row>
    <row r="193" spans="6:11">
      <c r="F193" s="1"/>
      <c r="G193" s="1"/>
      <c r="H193" s="1"/>
      <c r="I193" s="1"/>
      <c r="J193" s="1"/>
      <c r="K193" s="1"/>
    </row>
    <row r="194" spans="6:11">
      <c r="F194" s="1"/>
      <c r="G194" s="1"/>
      <c r="H194" s="1"/>
      <c r="I194" s="1"/>
      <c r="J194" s="1"/>
      <c r="K194" s="1"/>
    </row>
    <row r="195" spans="6:11">
      <c r="F195" s="1"/>
      <c r="G195" s="1"/>
      <c r="H195" s="1"/>
      <c r="I195" s="1"/>
      <c r="J195" s="1"/>
      <c r="K195" s="1"/>
    </row>
  </sheetData>
  <phoneticPr fontId="32" type="noConversion"/>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B45A-4895-4A76-823C-45B3260B9634}">
  <sheetPr codeName="Sheet11">
    <tabColor rgb="FF92D050"/>
  </sheetPr>
  <dimension ref="B1:CV2069"/>
  <sheetViews>
    <sheetView zoomScale="70" zoomScaleNormal="70" workbookViewId="0">
      <pane xSplit="2" ySplit="6" topLeftCell="AM8" activePane="bottomRight" state="frozen"/>
      <selection pane="topRight" activeCell="C1" sqref="C1"/>
      <selection pane="bottomLeft" activeCell="A6" sqref="A6"/>
      <selection pane="bottomRight" activeCell="AY19" sqref="AY19"/>
    </sheetView>
  </sheetViews>
  <sheetFormatPr defaultColWidth="8.6640625" defaultRowHeight="13.2"/>
  <cols>
    <col min="1" max="1" width="3.33203125" style="331" customWidth="1"/>
    <col min="2" max="2" width="14.109375" style="331" customWidth="1"/>
    <col min="3" max="3" width="42.6640625" style="331" customWidth="1"/>
    <col min="4" max="4" width="37.109375" style="331" bestFit="1" customWidth="1"/>
    <col min="5" max="5" width="22.6640625" style="329" customWidth="1"/>
    <col min="6" max="6" width="13" style="332" customWidth="1"/>
    <col min="7" max="47" width="13" style="331" customWidth="1"/>
    <col min="48" max="49" width="10" style="331" bestFit="1" customWidth="1"/>
    <col min="50" max="64" width="14.5546875" style="331" customWidth="1"/>
    <col min="65" max="16384" width="8.6640625" style="331"/>
  </cols>
  <sheetData>
    <row r="1" spans="2:70" s="437" customFormat="1">
      <c r="E1" s="329"/>
      <c r="F1" s="332"/>
      <c r="AW1" s="432" t="s">
        <v>793</v>
      </c>
      <c r="AX1" s="432" t="s">
        <v>793</v>
      </c>
      <c r="AY1" s="432" t="s">
        <v>793</v>
      </c>
      <c r="AZ1" s="432" t="s">
        <v>793</v>
      </c>
      <c r="BA1" s="432" t="s">
        <v>793</v>
      </c>
      <c r="BB1" s="432" t="s">
        <v>793</v>
      </c>
      <c r="BC1" s="432" t="s">
        <v>793</v>
      </c>
      <c r="BD1" s="432" t="s">
        <v>793</v>
      </c>
      <c r="BE1" s="432" t="s">
        <v>793</v>
      </c>
      <c r="BF1" s="432" t="s">
        <v>793</v>
      </c>
      <c r="BG1" s="432" t="s">
        <v>793</v>
      </c>
      <c r="BH1" s="432" t="s">
        <v>793</v>
      </c>
      <c r="BI1" s="432" t="s">
        <v>793</v>
      </c>
      <c r="BJ1" s="432" t="s">
        <v>793</v>
      </c>
      <c r="BK1" s="432" t="s">
        <v>793</v>
      </c>
      <c r="BL1" s="432" t="s">
        <v>793</v>
      </c>
    </row>
    <row r="2" spans="2:70">
      <c r="E2" s="5"/>
      <c r="F2" s="5"/>
      <c r="G2" s="332"/>
      <c r="H2" s="332"/>
      <c r="AW2" s="331" t="s">
        <v>811</v>
      </c>
      <c r="AX2" s="331" t="s">
        <v>812</v>
      </c>
      <c r="AY2" s="331" t="s">
        <v>813</v>
      </c>
      <c r="AZ2" s="331" t="s">
        <v>814</v>
      </c>
      <c r="BA2" s="437" t="s">
        <v>811</v>
      </c>
      <c r="BB2" s="437" t="s">
        <v>812</v>
      </c>
      <c r="BC2" s="437" t="s">
        <v>813</v>
      </c>
      <c r="BD2" s="437" t="s">
        <v>814</v>
      </c>
      <c r="BE2" s="437" t="s">
        <v>811</v>
      </c>
      <c r="BF2" s="437" t="s">
        <v>812</v>
      </c>
      <c r="BG2" s="437" t="s">
        <v>813</v>
      </c>
      <c r="BH2" s="437" t="s">
        <v>814</v>
      </c>
      <c r="BI2" s="437" t="s">
        <v>811</v>
      </c>
      <c r="BJ2" s="437" t="s">
        <v>812</v>
      </c>
      <c r="BK2" s="437" t="s">
        <v>813</v>
      </c>
      <c r="BL2" s="437" t="s">
        <v>814</v>
      </c>
    </row>
    <row r="3" spans="2:70">
      <c r="D3" s="5"/>
      <c r="E3" s="2"/>
      <c r="F3" s="2"/>
      <c r="G3" s="332"/>
      <c r="H3" s="332"/>
      <c r="AW3" s="462">
        <v>2010</v>
      </c>
      <c r="AX3" s="462">
        <v>2010</v>
      </c>
      <c r="AY3" s="462">
        <v>2010</v>
      </c>
      <c r="AZ3" s="462">
        <v>2010</v>
      </c>
      <c r="BA3" s="462">
        <v>2012</v>
      </c>
      <c r="BB3" s="462">
        <v>2012</v>
      </c>
      <c r="BC3" s="462">
        <v>2012</v>
      </c>
      <c r="BD3" s="462">
        <v>2012</v>
      </c>
      <c r="BE3" s="462">
        <v>2015</v>
      </c>
      <c r="BF3" s="462">
        <v>2015</v>
      </c>
      <c r="BG3" s="462">
        <v>2015</v>
      </c>
      <c r="BH3" s="462">
        <v>2015</v>
      </c>
      <c r="BI3" s="463">
        <v>2018</v>
      </c>
      <c r="BJ3" s="463">
        <v>2018</v>
      </c>
      <c r="BK3" s="463">
        <v>2018</v>
      </c>
      <c r="BL3" s="463">
        <v>2018</v>
      </c>
      <c r="BM3" s="432"/>
    </row>
    <row r="4" spans="2:70">
      <c r="F4" s="40" t="s">
        <v>138</v>
      </c>
      <c r="G4" s="332"/>
      <c r="H4" s="332"/>
      <c r="AW4" s="432"/>
      <c r="AX4" s="432"/>
      <c r="AY4" s="432"/>
      <c r="AZ4" s="432"/>
      <c r="BA4" s="432"/>
      <c r="BB4" s="432"/>
      <c r="BC4" s="432"/>
      <c r="BD4" s="432"/>
      <c r="BE4" s="432"/>
      <c r="BF4" s="432"/>
      <c r="BG4" s="432"/>
      <c r="BH4" s="432"/>
      <c r="BI4" s="432"/>
      <c r="BJ4" s="432"/>
      <c r="BK4" s="432"/>
      <c r="BL4" s="432"/>
      <c r="BM4" s="432"/>
    </row>
    <row r="5" spans="2:70" ht="26.4">
      <c r="B5" s="11" t="s">
        <v>1</v>
      </c>
      <c r="C5" s="11" t="s">
        <v>21</v>
      </c>
      <c r="D5" s="11" t="s">
        <v>79</v>
      </c>
      <c r="E5" s="11" t="s">
        <v>13</v>
      </c>
      <c r="F5" s="11" t="s">
        <v>139</v>
      </c>
      <c r="G5" s="386" t="s">
        <v>63</v>
      </c>
      <c r="H5" s="27" t="s">
        <v>204</v>
      </c>
      <c r="I5" s="27" t="s">
        <v>132</v>
      </c>
      <c r="J5" s="27" t="s">
        <v>133</v>
      </c>
      <c r="K5" s="386" t="s">
        <v>134</v>
      </c>
      <c r="L5" s="386" t="s">
        <v>690</v>
      </c>
      <c r="M5" s="386" t="s">
        <v>691</v>
      </c>
      <c r="N5" s="386" t="s">
        <v>692</v>
      </c>
      <c r="O5" s="386" t="s">
        <v>693</v>
      </c>
      <c r="P5" s="386" t="s">
        <v>694</v>
      </c>
      <c r="Q5" s="386" t="s">
        <v>64</v>
      </c>
      <c r="R5" s="386" t="s">
        <v>695</v>
      </c>
      <c r="S5" s="386" t="s">
        <v>696</v>
      </c>
      <c r="T5" s="386" t="s">
        <v>697</v>
      </c>
      <c r="U5" s="386" t="s">
        <v>698</v>
      </c>
      <c r="V5" s="386" t="s">
        <v>699</v>
      </c>
      <c r="W5" s="386" t="s">
        <v>700</v>
      </c>
      <c r="X5" s="386" t="s">
        <v>701</v>
      </c>
      <c r="Y5" s="386" t="s">
        <v>702</v>
      </c>
      <c r="Z5" s="386" t="s">
        <v>703</v>
      </c>
      <c r="AA5" s="386" t="s">
        <v>67</v>
      </c>
      <c r="AB5" s="386" t="s">
        <v>704</v>
      </c>
      <c r="AC5" s="386" t="s">
        <v>705</v>
      </c>
      <c r="AD5" s="386" t="s">
        <v>706</v>
      </c>
      <c r="AE5" s="386" t="s">
        <v>707</v>
      </c>
      <c r="AF5" s="386" t="s">
        <v>708</v>
      </c>
      <c r="AG5" s="386" t="s">
        <v>709</v>
      </c>
      <c r="AH5" s="386" t="s">
        <v>710</v>
      </c>
      <c r="AI5" s="386" t="s">
        <v>711</v>
      </c>
      <c r="AJ5" s="386" t="s">
        <v>712</v>
      </c>
      <c r="AK5" s="386" t="s">
        <v>66</v>
      </c>
      <c r="AL5" s="386" t="s">
        <v>713</v>
      </c>
      <c r="AM5" s="386" t="s">
        <v>714</v>
      </c>
      <c r="AN5" s="386" t="s">
        <v>715</v>
      </c>
      <c r="AO5" s="386" t="s">
        <v>716</v>
      </c>
      <c r="AP5" s="386" t="s">
        <v>717</v>
      </c>
      <c r="AQ5" s="386" t="s">
        <v>718</v>
      </c>
      <c r="AR5" s="386" t="s">
        <v>719</v>
      </c>
      <c r="AS5" s="386" t="s">
        <v>720</v>
      </c>
      <c r="AT5" s="386" t="s">
        <v>721</v>
      </c>
      <c r="AU5" s="386" t="s">
        <v>65</v>
      </c>
      <c r="AV5" s="436" t="s">
        <v>640</v>
      </c>
      <c r="AW5" s="464" t="str">
        <f>"ACTBND~"&amp;AW3&amp;"~"&amp;AW2</f>
        <v>ACTBND~2010~SE1</v>
      </c>
      <c r="AX5" s="464" t="str">
        <f t="shared" ref="AX5:BL5" si="0">"ACTBND~"&amp;AX3&amp;"~"&amp;AX2</f>
        <v>ACTBND~2010~SE2</v>
      </c>
      <c r="AY5" s="464" t="str">
        <f t="shared" si="0"/>
        <v>ACTBND~2010~SE3</v>
      </c>
      <c r="AZ5" s="464" t="str">
        <f t="shared" si="0"/>
        <v>ACTBND~2010~SE4</v>
      </c>
      <c r="BA5" s="464" t="str">
        <f t="shared" si="0"/>
        <v>ACTBND~2012~SE1</v>
      </c>
      <c r="BB5" s="464" t="str">
        <f t="shared" si="0"/>
        <v>ACTBND~2012~SE2</v>
      </c>
      <c r="BC5" s="464" t="str">
        <f t="shared" si="0"/>
        <v>ACTBND~2012~SE3</v>
      </c>
      <c r="BD5" s="464" t="str">
        <f t="shared" si="0"/>
        <v>ACTBND~2012~SE4</v>
      </c>
      <c r="BE5" s="464" t="str">
        <f t="shared" si="0"/>
        <v>ACTBND~2015~SE1</v>
      </c>
      <c r="BF5" s="464" t="str">
        <f t="shared" si="0"/>
        <v>ACTBND~2015~SE2</v>
      </c>
      <c r="BG5" s="464" t="str">
        <f t="shared" si="0"/>
        <v>ACTBND~2015~SE3</v>
      </c>
      <c r="BH5" s="464" t="str">
        <f t="shared" si="0"/>
        <v>ACTBND~2015~SE4</v>
      </c>
      <c r="BI5" s="464" t="str">
        <f t="shared" si="0"/>
        <v>ACTBND~2018~SE1</v>
      </c>
      <c r="BJ5" s="464" t="str">
        <f t="shared" si="0"/>
        <v>ACTBND~2018~SE2</v>
      </c>
      <c r="BK5" s="464" t="str">
        <f t="shared" si="0"/>
        <v>ACTBND~2018~SE3</v>
      </c>
      <c r="BL5" s="464" t="str">
        <f t="shared" si="0"/>
        <v>ACTBND~2018~SE4</v>
      </c>
      <c r="BM5" s="464" t="s">
        <v>156</v>
      </c>
    </row>
    <row r="6" spans="2:70" ht="27" thickBot="1">
      <c r="B6" s="12" t="s">
        <v>22</v>
      </c>
      <c r="C6" s="65"/>
      <c r="D6" s="65"/>
      <c r="E6" s="65"/>
      <c r="F6" s="65" t="s">
        <v>141</v>
      </c>
      <c r="G6" s="66">
        <v>2010</v>
      </c>
      <c r="H6" s="66">
        <v>2011</v>
      </c>
      <c r="I6" s="66">
        <v>2012</v>
      </c>
      <c r="J6" s="66">
        <v>2013</v>
      </c>
      <c r="K6" s="66">
        <v>2014</v>
      </c>
      <c r="L6" s="66">
        <v>2015</v>
      </c>
      <c r="M6" s="66">
        <v>2016</v>
      </c>
      <c r="N6" s="66">
        <v>2017</v>
      </c>
      <c r="O6" s="66">
        <v>2018</v>
      </c>
      <c r="P6" s="66">
        <v>2019</v>
      </c>
      <c r="Q6" s="66">
        <v>2020</v>
      </c>
      <c r="R6" s="66">
        <v>2021</v>
      </c>
      <c r="S6" s="66">
        <v>2022</v>
      </c>
      <c r="T6" s="66">
        <v>2023</v>
      </c>
      <c r="U6" s="66">
        <v>2024</v>
      </c>
      <c r="V6" s="66">
        <v>2025</v>
      </c>
      <c r="W6" s="66">
        <v>2026</v>
      </c>
      <c r="X6" s="66">
        <v>2027</v>
      </c>
      <c r="Y6" s="66">
        <v>2028</v>
      </c>
      <c r="Z6" s="66">
        <v>2029</v>
      </c>
      <c r="AA6" s="66">
        <v>2030</v>
      </c>
      <c r="AB6" s="66">
        <v>2031</v>
      </c>
      <c r="AC6" s="66">
        <v>2032</v>
      </c>
      <c r="AD6" s="66">
        <v>2033</v>
      </c>
      <c r="AE6" s="66">
        <v>2034</v>
      </c>
      <c r="AF6" s="66">
        <v>2035</v>
      </c>
      <c r="AG6" s="66">
        <v>2036</v>
      </c>
      <c r="AH6" s="66">
        <v>2037</v>
      </c>
      <c r="AI6" s="66">
        <v>2038</v>
      </c>
      <c r="AJ6" s="66">
        <v>2039</v>
      </c>
      <c r="AK6" s="66">
        <v>2040</v>
      </c>
      <c r="AL6" s="66">
        <v>2041</v>
      </c>
      <c r="AM6" s="66">
        <v>2042</v>
      </c>
      <c r="AN6" s="66">
        <v>2043</v>
      </c>
      <c r="AO6" s="66">
        <v>2044</v>
      </c>
      <c r="AP6" s="66">
        <v>2045</v>
      </c>
      <c r="AQ6" s="66">
        <v>2046</v>
      </c>
      <c r="AR6" s="66">
        <v>2047</v>
      </c>
      <c r="AS6" s="66">
        <v>2048</v>
      </c>
      <c r="AT6" s="66">
        <v>2049</v>
      </c>
      <c r="AU6" s="66">
        <v>2050</v>
      </c>
      <c r="AV6" s="388"/>
      <c r="AW6" s="465" t="s">
        <v>62</v>
      </c>
      <c r="AX6" s="465" t="s">
        <v>62</v>
      </c>
      <c r="AY6" s="465" t="s">
        <v>62</v>
      </c>
      <c r="AZ6" s="465" t="s">
        <v>62</v>
      </c>
      <c r="BA6" s="465" t="s">
        <v>62</v>
      </c>
      <c r="BB6" s="465" t="s">
        <v>62</v>
      </c>
      <c r="BC6" s="465" t="s">
        <v>62</v>
      </c>
      <c r="BD6" s="465" t="s">
        <v>62</v>
      </c>
      <c r="BE6" s="465" t="s">
        <v>62</v>
      </c>
      <c r="BF6" s="465" t="s">
        <v>62</v>
      </c>
      <c r="BG6" s="465" t="s">
        <v>62</v>
      </c>
      <c r="BH6" s="465" t="s">
        <v>62</v>
      </c>
      <c r="BI6" s="465" t="s">
        <v>62</v>
      </c>
      <c r="BJ6" s="465" t="s">
        <v>62</v>
      </c>
      <c r="BK6" s="465" t="s">
        <v>62</v>
      </c>
      <c r="BL6" s="465" t="s">
        <v>62</v>
      </c>
      <c r="BM6" s="465" t="s">
        <v>157</v>
      </c>
    </row>
    <row r="7" spans="2:70" ht="14.4">
      <c r="B7" s="473" t="str">
        <f>Processes!D6</f>
        <v>IMPPEA</v>
      </c>
      <c r="C7" s="8" t="str">
        <f>Processes!E6</f>
        <v>Import technology - Peat</v>
      </c>
      <c r="D7" s="67"/>
      <c r="E7" s="67" t="str">
        <f>IF(LEN(B7)=6,RIGHT(B7,3),RIGHT(B7,4))</f>
        <v>PEA</v>
      </c>
      <c r="F7" s="387" t="s">
        <v>772</v>
      </c>
      <c r="G7" s="330">
        <f t="shared" ref="G7:P16" si="1">IFERROR(INDEX($G$121:$AU$176,MATCH($E7,$E$121:$E$176,0),MATCH(G$6,$G$120:$AU$120,0)),0)</f>
        <v>46</v>
      </c>
      <c r="H7" s="330">
        <f t="shared" si="1"/>
        <v>46</v>
      </c>
      <c r="I7" s="330">
        <f t="shared" si="1"/>
        <v>46</v>
      </c>
      <c r="J7" s="330">
        <f t="shared" si="1"/>
        <v>45.7</v>
      </c>
      <c r="K7" s="330">
        <f t="shared" si="1"/>
        <v>45.3</v>
      </c>
      <c r="L7" s="330">
        <f t="shared" si="1"/>
        <v>44.9</v>
      </c>
      <c r="M7" s="330">
        <f t="shared" si="1"/>
        <v>45.4</v>
      </c>
      <c r="N7" s="330">
        <f t="shared" si="1"/>
        <v>45.9</v>
      </c>
      <c r="O7" s="330">
        <f t="shared" si="1"/>
        <v>45.179472202489855</v>
      </c>
      <c r="P7" s="330">
        <f t="shared" si="1"/>
        <v>45.117600562980392</v>
      </c>
      <c r="Q7" s="330">
        <f t="shared" ref="Q7:Z16" si="2">IFERROR(INDEX($G$121:$AU$176,MATCH($E7,$E$121:$E$176,0),MATCH(Q$6,$G$120:$AU$120,0)),0)</f>
        <v>45.248389703133633</v>
      </c>
      <c r="R7" s="330">
        <f t="shared" si="2"/>
        <v>45.190250127598674</v>
      </c>
      <c r="S7" s="330">
        <f t="shared" si="2"/>
        <v>45.392121473736516</v>
      </c>
      <c r="T7" s="330">
        <f t="shared" si="2"/>
        <v>45.644433925671841</v>
      </c>
      <c r="U7" s="330">
        <f t="shared" si="2"/>
        <v>45.923015098100862</v>
      </c>
      <c r="V7" s="330">
        <f t="shared" si="2"/>
        <v>46.207001444406053</v>
      </c>
      <c r="W7" s="330">
        <f t="shared" si="2"/>
        <v>46.419730980267232</v>
      </c>
      <c r="X7" s="330">
        <f t="shared" si="2"/>
        <v>46.631059323825987</v>
      </c>
      <c r="Y7" s="330">
        <f t="shared" si="2"/>
        <v>46.839924523073165</v>
      </c>
      <c r="Z7" s="330">
        <f t="shared" si="2"/>
        <v>47.054043906757286</v>
      </c>
      <c r="AA7" s="330">
        <f t="shared" ref="AA7:AJ16" si="3">IFERROR(INDEX($G$121:$AU$176,MATCH($E7,$E$121:$E$176,0),MATCH(AA$6,$G$120:$AU$120,0)),0)</f>
        <v>47.263106384197172</v>
      </c>
      <c r="AB7" s="330">
        <f t="shared" si="3"/>
        <v>47.363169268373781</v>
      </c>
      <c r="AC7" s="330">
        <f t="shared" si="3"/>
        <v>47.463048827686151</v>
      </c>
      <c r="AD7" s="330">
        <f t="shared" si="3"/>
        <v>47.562746231205452</v>
      </c>
      <c r="AE7" s="330">
        <f t="shared" si="3"/>
        <v>47.662262629564232</v>
      </c>
      <c r="AF7" s="330">
        <f t="shared" si="3"/>
        <v>47.761599155151828</v>
      </c>
      <c r="AG7" s="330">
        <f t="shared" si="3"/>
        <v>47.861557709026719</v>
      </c>
      <c r="AH7" s="330">
        <f t="shared" si="3"/>
        <v>47.961224086497161</v>
      </c>
      <c r="AI7" s="330">
        <f t="shared" si="3"/>
        <v>48.06060022028862</v>
      </c>
      <c r="AJ7" s="330">
        <f t="shared" si="3"/>
        <v>48.159688016832391</v>
      </c>
      <c r="AK7" s="330">
        <f t="shared" ref="AK7:AU16" si="4">IFERROR(INDEX($G$121:$AU$176,MATCH($E7,$E$121:$E$176,0),MATCH(AK$6,$G$120:$AU$120,0)),0)</f>
        <v>48.258489356547372</v>
      </c>
      <c r="AL7" s="330">
        <f t="shared" si="4"/>
        <v>48.37762671431922</v>
      </c>
      <c r="AM7" s="330">
        <f t="shared" si="4"/>
        <v>48.496315696545963</v>
      </c>
      <c r="AN7" s="330">
        <f t="shared" si="4"/>
        <v>48.614559135690349</v>
      </c>
      <c r="AO7" s="330">
        <f t="shared" si="4"/>
        <v>48.73235982855357</v>
      </c>
      <c r="AP7" s="330">
        <f t="shared" si="4"/>
        <v>48.849720536660548</v>
      </c>
      <c r="AQ7" s="330">
        <f t="shared" si="4"/>
        <v>49.024574818868821</v>
      </c>
      <c r="AR7" s="330">
        <f t="shared" si="4"/>
        <v>49.198719487894593</v>
      </c>
      <c r="AS7" s="330">
        <f t="shared" si="4"/>
        <v>49.372158440659689</v>
      </c>
      <c r="AT7" s="330">
        <f t="shared" si="4"/>
        <v>49.544895527221009</v>
      </c>
      <c r="AU7" s="330">
        <f t="shared" si="4"/>
        <v>49.716934551280723</v>
      </c>
      <c r="AV7" s="331">
        <v>5</v>
      </c>
      <c r="AW7" s="467" cm="1">
        <f t="array" ref="AW7">INDEX('Energy Balance'!$D$7:$W$155,MATCH('MIN-IMP-EXP'!$B7,'Energy Balance'!$A$7:$A$155,0),MATCH('MIN-IMP-EXP'!AW$1&amp;'MIN-IMP-EXP'!AW$3,'Energy Balance'!$D$4:$W$4&amp;'Energy Balance'!$D$6:$W$6,0))/1000*INDEX('Energy Balance'!$Z$7:$AJ$155,MATCH($B7,'Energy Balance'!$A$7:$A$155,0),MATCH(AW$2,'Energy Balance'!$Z$5:$AJ$5,0))</f>
        <v>2.2619807412347157</v>
      </c>
      <c r="AX7" s="467" cm="1">
        <f t="array" ref="AX7">INDEX('Energy Balance'!$D$7:$W$155,MATCH('MIN-IMP-EXP'!$B7,'Energy Balance'!$A$7:$A$155,0),MATCH('MIN-IMP-EXP'!AX$1&amp;'MIN-IMP-EXP'!AX$3,'Energy Balance'!$D$4:$W$4&amp;'Energy Balance'!$D$6:$W$6,0))/1000*INDEX('Energy Balance'!$Z$7:$AJ$155,MATCH($B7,'Energy Balance'!$A$7:$A$155,0),MATCH(AX$2,'Energy Balance'!$Z$5:$AJ$5,0))</f>
        <v>3.3248870682191765</v>
      </c>
      <c r="AY7" s="467" cm="1">
        <f t="array" ref="AY7">INDEX('Energy Balance'!$D$7:$W$155,MATCH('MIN-IMP-EXP'!$B7,'Energy Balance'!$A$7:$A$155,0),MATCH('MIN-IMP-EXP'!AY$1&amp;'MIN-IMP-EXP'!AY$3,'Energy Balance'!$D$4:$W$4&amp;'Energy Balance'!$D$6:$W$6,0))/1000*INDEX('Energy Balance'!$Z$7:$AJ$155,MATCH($B7,'Energy Balance'!$A$7:$A$155,0),MATCH(AY$2,'Energy Balance'!$Z$5:$AJ$5,0))</f>
        <v>3.0876508647803349</v>
      </c>
      <c r="AZ7" s="467" cm="1">
        <f t="array" ref="AZ7">INDEX('Energy Balance'!$D$7:$W$155,MATCH('MIN-IMP-EXP'!$B7,'Energy Balance'!$A$7:$A$155,0),MATCH('MIN-IMP-EXP'!AZ$1&amp;'MIN-IMP-EXP'!AZ$3,'Energy Balance'!$D$4:$W$4&amp;'Energy Balance'!$D$6:$W$6,0))/1000*INDEX('Energy Balance'!$Z$7:$AJ$155,MATCH($B7,'Energy Balance'!$A$7:$A$155,0),MATCH(AZ$2,'Energy Balance'!$Z$5:$AJ$5,0))</f>
        <v>0.77168132576577431</v>
      </c>
      <c r="BA7" s="467" cm="1">
        <f t="array" ref="BA7">INDEX('Energy Balance'!$D$7:$W$155,MATCH('MIN-IMP-EXP'!$B7,'Energy Balance'!$A$7:$A$155,0),MATCH('MIN-IMP-EXP'!BA$1&amp;'MIN-IMP-EXP'!BA$3,'Energy Balance'!$D$4:$W$4&amp;'Energy Balance'!$D$6:$W$6,0))/1000*INDEX('Energy Balance'!$Z$7:$AJ$155,MATCH($B7,'Energy Balance'!$A$7:$A$155,0),MATCH(BA$2,'Energy Balance'!$Z$5:$AJ$5,0))</f>
        <v>2.2495863262142515</v>
      </c>
      <c r="BB7" s="467" cm="1">
        <f t="array" ref="BB7">INDEX('Energy Balance'!$D$7:$W$155,MATCH('MIN-IMP-EXP'!$B7,'Energy Balance'!$A$7:$A$155,0),MATCH('MIN-IMP-EXP'!BB$1&amp;'MIN-IMP-EXP'!BB$3,'Energy Balance'!$D$4:$W$4&amp;'Energy Balance'!$D$6:$W$6,0))/1000*INDEX('Energy Balance'!$Z$7:$AJ$155,MATCH($B7,'Energy Balance'!$A$7:$A$155,0),MATCH(BB$2,'Energy Balance'!$Z$5:$AJ$5,0))</f>
        <v>3.3066685089412635</v>
      </c>
      <c r="BC7" s="467" cm="1">
        <f t="array" ref="BC7">INDEX('Energy Balance'!$D$7:$W$155,MATCH('MIN-IMP-EXP'!$B7,'Energy Balance'!$A$7:$A$155,0),MATCH('MIN-IMP-EXP'!BC$1&amp;'MIN-IMP-EXP'!BC$3,'Energy Balance'!$D$4:$W$4&amp;'Energy Balance'!$D$6:$W$6,0))/1000*INDEX('Energy Balance'!$Z$7:$AJ$155,MATCH($B7,'Energy Balance'!$A$7:$A$155,0),MATCH(BC$2,'Energy Balance'!$Z$5:$AJ$5,0))</f>
        <v>3.0707322299048263</v>
      </c>
      <c r="BD7" s="467" cm="1">
        <f t="array" ref="BD7">INDEX('Energy Balance'!$D$7:$W$155,MATCH('MIN-IMP-EXP'!$B7,'Energy Balance'!$A$7:$A$155,0),MATCH('MIN-IMP-EXP'!BD$1&amp;'MIN-IMP-EXP'!BD$3,'Energy Balance'!$D$4:$W$4&amp;'Energy Balance'!$D$6:$W$6,0))/1000*INDEX('Energy Balance'!$Z$7:$AJ$155,MATCH($B7,'Energy Balance'!$A$7:$A$155,0),MATCH(BD$2,'Energy Balance'!$Z$5:$AJ$5,0))</f>
        <v>0.76745293493966049</v>
      </c>
      <c r="BE7" s="467" cm="1">
        <f t="array" ref="BE7">INDEX('Energy Balance'!$D$7:$W$155,MATCH('MIN-IMP-EXP'!$B7,'Energy Balance'!$A$7:$A$155,0),MATCH('MIN-IMP-EXP'!BE$1&amp;'MIN-IMP-EXP'!BE$3,'Energy Balance'!$D$4:$W$4&amp;'Energy Balance'!$D$6:$W$6,0))/1000*INDEX('Energy Balance'!$Z$7:$AJ$155,MATCH($B7,'Energy Balance'!$A$7:$A$155,0),MATCH(BE$2,'Energy Balance'!$Z$5:$AJ$5,0))</f>
        <v>0.5081710158390319</v>
      </c>
      <c r="BF7" s="467" cm="1">
        <f t="array" ref="BF7">INDEX('Energy Balance'!$D$7:$W$155,MATCH('MIN-IMP-EXP'!$B7,'Energy Balance'!$A$7:$A$155,0),MATCH('MIN-IMP-EXP'!BF$1&amp;'MIN-IMP-EXP'!BF$3,'Energy Balance'!$D$4:$W$4&amp;'Energy Balance'!$D$6:$W$6,0))/1000*INDEX('Energy Balance'!$Z$7:$AJ$155,MATCH($B7,'Energy Balance'!$A$7:$A$155,0),MATCH(BF$2,'Energy Balance'!$Z$5:$AJ$5,0))</f>
        <v>0.74696093039444511</v>
      </c>
      <c r="BG7" s="467" cm="1">
        <f t="array" ref="BG7">INDEX('Energy Balance'!$D$7:$W$155,MATCH('MIN-IMP-EXP'!$B7,'Energy Balance'!$A$7:$A$155,0),MATCH('MIN-IMP-EXP'!BG$1&amp;'MIN-IMP-EXP'!BG$3,'Energy Balance'!$D$4:$W$4&amp;'Energy Balance'!$D$6:$W$6,0))/1000*INDEX('Energy Balance'!$Z$7:$AJ$155,MATCH($B7,'Energy Balance'!$A$7:$A$155,0),MATCH(BG$2,'Energy Balance'!$Z$5:$AJ$5,0))</f>
        <v>0.69366402989585607</v>
      </c>
      <c r="BH7" s="467" cm="1">
        <f t="array" ref="BH7">INDEX('Energy Balance'!$D$7:$W$155,MATCH('MIN-IMP-EXP'!$B7,'Energy Balance'!$A$7:$A$155,0),MATCH('MIN-IMP-EXP'!BH$1&amp;'MIN-IMP-EXP'!BH$3,'Energy Balance'!$D$4:$W$4&amp;'Energy Balance'!$D$6:$W$6,0))/1000*INDEX('Energy Balance'!$Z$7:$AJ$155,MATCH($B7,'Energy Balance'!$A$7:$A$155,0),MATCH(BH$2,'Energy Balance'!$Z$5:$AJ$5,0))</f>
        <v>0.1733640238706671</v>
      </c>
      <c r="BI7" s="467" cm="1">
        <f t="array" ref="BI7">INDEX('Energy Balance'!$D$7:$W$155,MATCH('MIN-IMP-EXP'!$B7,'Energy Balance'!$A$7:$A$155,0),MATCH('MIN-IMP-EXP'!BI$1&amp;'MIN-IMP-EXP'!BI$3,'Energy Balance'!$D$4:$W$4&amp;'Energy Balance'!$D$6:$W$6,0))/1000*INDEX('Energy Balance'!$Z$7:$AJ$155,MATCH($B7,'Energy Balance'!$A$7:$A$155,0),MATCH(BI$2,'Energy Balance'!$Z$5:$AJ$5,0))</f>
        <v>0.60112912849251332</v>
      </c>
      <c r="BJ7" s="467" cm="1">
        <f t="array" ref="BJ7">INDEX('Energy Balance'!$D$7:$W$155,MATCH('MIN-IMP-EXP'!$B7,'Energy Balance'!$A$7:$A$155,0),MATCH('MIN-IMP-EXP'!BJ$1&amp;'MIN-IMP-EXP'!BJ$3,'Energy Balance'!$D$4:$W$4&amp;'Energy Balance'!$D$6:$W$6,0))/1000*INDEX('Energy Balance'!$Z$7:$AJ$155,MATCH($B7,'Energy Balance'!$A$7:$A$155,0),MATCH(BJ$2,'Energy Balance'!$Z$5:$AJ$5,0))</f>
        <v>0.8836001249787947</v>
      </c>
      <c r="BK7" s="467" cm="1">
        <f t="array" ref="BK7">INDEX('Energy Balance'!$D$7:$W$155,MATCH('MIN-IMP-EXP'!$B7,'Energy Balance'!$A$7:$A$155,0),MATCH('MIN-IMP-EXP'!BK$1&amp;'MIN-IMP-EXP'!BK$3,'Energy Balance'!$D$4:$W$4&amp;'Energy Balance'!$D$6:$W$6,0))/1000*INDEX('Energy Balance'!$Z$7:$AJ$155,MATCH($B7,'Energy Balance'!$A$7:$A$155,0),MATCH(BK$2,'Energy Balance'!$Z$5:$AJ$5,0))</f>
        <v>0.82055379146217111</v>
      </c>
      <c r="BL7" s="467" cm="1">
        <f t="array" ref="BL7">INDEX('Energy Balance'!$D$7:$W$155,MATCH('MIN-IMP-EXP'!$B7,'Energy Balance'!$A$7:$A$155,0),MATCH('MIN-IMP-EXP'!BL$1&amp;'MIN-IMP-EXP'!BL$3,'Energy Balance'!$D$4:$W$4&amp;'Energy Balance'!$D$6:$W$6,0))/1000*INDEX('Energy Balance'!$Z$7:$AJ$155,MATCH($B7,'Energy Balance'!$A$7:$A$155,0),MATCH(BL$2,'Energy Balance'!$Z$5:$AJ$5,0))</f>
        <v>0.20507695506652082</v>
      </c>
      <c r="BM7" s="331">
        <v>4</v>
      </c>
    </row>
    <row r="8" spans="2:70" ht="14.4">
      <c r="B8" s="473" t="str">
        <f>Processes!D7</f>
        <v>IMPIWH</v>
      </c>
      <c r="C8" s="8" t="str">
        <f>Processes!E7</f>
        <v xml:space="preserve">Import technology - Industrial waste heat </v>
      </c>
      <c r="D8" s="67"/>
      <c r="E8" s="67" t="str">
        <f t="shared" ref="E8:E53" si="5">IF(LEN(B8)=6,RIGHT(B8,3),RIGHT(B8,4))</f>
        <v>IWH</v>
      </c>
      <c r="F8" s="387" t="s">
        <v>772</v>
      </c>
      <c r="G8" s="330">
        <f t="shared" si="1"/>
        <v>0</v>
      </c>
      <c r="H8" s="330">
        <f t="shared" si="1"/>
        <v>0</v>
      </c>
      <c r="I8" s="330">
        <f t="shared" si="1"/>
        <v>0</v>
      </c>
      <c r="J8" s="330">
        <f t="shared" si="1"/>
        <v>0</v>
      </c>
      <c r="K8" s="330">
        <f t="shared" si="1"/>
        <v>0</v>
      </c>
      <c r="L8" s="330">
        <f t="shared" si="1"/>
        <v>0</v>
      </c>
      <c r="M8" s="330">
        <f t="shared" si="1"/>
        <v>0</v>
      </c>
      <c r="N8" s="330">
        <f t="shared" si="1"/>
        <v>0</v>
      </c>
      <c r="O8" s="330">
        <f t="shared" si="1"/>
        <v>0</v>
      </c>
      <c r="P8" s="330">
        <f t="shared" si="1"/>
        <v>0</v>
      </c>
      <c r="Q8" s="330">
        <f t="shared" si="2"/>
        <v>0</v>
      </c>
      <c r="R8" s="330">
        <f t="shared" si="2"/>
        <v>0</v>
      </c>
      <c r="S8" s="330">
        <f t="shared" si="2"/>
        <v>0</v>
      </c>
      <c r="T8" s="330">
        <f t="shared" si="2"/>
        <v>0</v>
      </c>
      <c r="U8" s="330">
        <f t="shared" si="2"/>
        <v>0</v>
      </c>
      <c r="V8" s="330">
        <f t="shared" si="2"/>
        <v>0</v>
      </c>
      <c r="W8" s="330">
        <f t="shared" si="2"/>
        <v>0</v>
      </c>
      <c r="X8" s="330">
        <f t="shared" si="2"/>
        <v>0</v>
      </c>
      <c r="Y8" s="330">
        <f t="shared" si="2"/>
        <v>0</v>
      </c>
      <c r="Z8" s="330">
        <f t="shared" si="2"/>
        <v>0</v>
      </c>
      <c r="AA8" s="330">
        <f t="shared" si="3"/>
        <v>0</v>
      </c>
      <c r="AB8" s="330">
        <f t="shared" si="3"/>
        <v>0</v>
      </c>
      <c r="AC8" s="330">
        <f t="shared" si="3"/>
        <v>0</v>
      </c>
      <c r="AD8" s="330">
        <f t="shared" si="3"/>
        <v>0</v>
      </c>
      <c r="AE8" s="330">
        <f t="shared" si="3"/>
        <v>0</v>
      </c>
      <c r="AF8" s="330">
        <f t="shared" si="3"/>
        <v>0</v>
      </c>
      <c r="AG8" s="330">
        <f t="shared" si="3"/>
        <v>0</v>
      </c>
      <c r="AH8" s="330">
        <f t="shared" si="3"/>
        <v>0</v>
      </c>
      <c r="AI8" s="330">
        <f t="shared" si="3"/>
        <v>0</v>
      </c>
      <c r="AJ8" s="330">
        <f t="shared" si="3"/>
        <v>0</v>
      </c>
      <c r="AK8" s="330">
        <f t="shared" si="4"/>
        <v>0</v>
      </c>
      <c r="AL8" s="330">
        <f t="shared" si="4"/>
        <v>0</v>
      </c>
      <c r="AM8" s="330">
        <f t="shared" si="4"/>
        <v>0</v>
      </c>
      <c r="AN8" s="330">
        <f t="shared" si="4"/>
        <v>0</v>
      </c>
      <c r="AO8" s="330">
        <f t="shared" si="4"/>
        <v>0</v>
      </c>
      <c r="AP8" s="330">
        <f t="shared" si="4"/>
        <v>0</v>
      </c>
      <c r="AQ8" s="330">
        <f t="shared" si="4"/>
        <v>0</v>
      </c>
      <c r="AR8" s="330">
        <f t="shared" si="4"/>
        <v>0</v>
      </c>
      <c r="AS8" s="330">
        <f t="shared" si="4"/>
        <v>0</v>
      </c>
      <c r="AT8" s="330">
        <f t="shared" si="4"/>
        <v>0</v>
      </c>
      <c r="AU8" s="330">
        <f t="shared" si="4"/>
        <v>0</v>
      </c>
      <c r="AV8" s="331">
        <v>5</v>
      </c>
      <c r="AW8" s="435">
        <f>'MIN-IMP-EXP'!AU40*'MIN-IMP-EXP'!$BB35</f>
        <v>0</v>
      </c>
      <c r="AX8" s="435">
        <f>'MIN-IMP-EXP'!AV40*'MIN-IMP-EXP'!$BB35</f>
        <v>0</v>
      </c>
      <c r="AY8" s="435">
        <f>'MIN-IMP-EXP'!AW40*'MIN-IMP-EXP'!$BB35</f>
        <v>0</v>
      </c>
      <c r="AZ8" s="435">
        <f>'MIN-IMP-EXP'!AX40*'MIN-IMP-EXP'!$BB35</f>
        <v>0</v>
      </c>
      <c r="BA8" s="435">
        <f>'MIN-IMP-EXP'!AU40*'MIN-IMP-EXP'!$BB36</f>
        <v>0</v>
      </c>
      <c r="BB8" s="435">
        <f>'MIN-IMP-EXP'!AV40*'MIN-IMP-EXP'!$BB36</f>
        <v>0</v>
      </c>
      <c r="BC8" s="435">
        <f>'MIN-IMP-EXP'!AW40*'MIN-IMP-EXP'!$BB36</f>
        <v>0</v>
      </c>
      <c r="BD8" s="435">
        <f>'MIN-IMP-EXP'!AX40*'MIN-IMP-EXP'!$BB36</f>
        <v>0</v>
      </c>
      <c r="BE8" s="435">
        <f>'MIN-IMP-EXP'!AU40*'MIN-IMP-EXP'!$BB37</f>
        <v>0</v>
      </c>
      <c r="BF8" s="435">
        <f>'MIN-IMP-EXP'!AV40*'MIN-IMP-EXP'!$BB37</f>
        <v>0</v>
      </c>
      <c r="BG8" s="435">
        <f>'MIN-IMP-EXP'!AW40*'MIN-IMP-EXP'!$BB37</f>
        <v>0</v>
      </c>
      <c r="BH8" s="435">
        <f>'MIN-IMP-EXP'!AX40*'MIN-IMP-EXP'!$BB37</f>
        <v>0</v>
      </c>
      <c r="BI8" s="435">
        <f>'MIN-IMP-EXP'!AU40*'MIN-IMP-EXP'!$BB38</f>
        <v>0</v>
      </c>
      <c r="BJ8" s="435">
        <f>'MIN-IMP-EXP'!AV40*'MIN-IMP-EXP'!$BB38</f>
        <v>0</v>
      </c>
      <c r="BK8" s="435">
        <f>'MIN-IMP-EXP'!AW40*'MIN-IMP-EXP'!$BB38</f>
        <v>0</v>
      </c>
      <c r="BL8" s="435">
        <f>'MIN-IMP-EXP'!AX40*'MIN-IMP-EXP'!$BB38</f>
        <v>0</v>
      </c>
      <c r="BM8" s="437">
        <v>5</v>
      </c>
    </row>
    <row r="9" spans="2:70" ht="14.4">
      <c r="B9" s="473" t="str">
        <f>Processes!D8</f>
        <v>IMPBFG</v>
      </c>
      <c r="C9" s="8" t="str">
        <f>Processes!E8</f>
        <v>Import technology - Blast furnace gas</v>
      </c>
      <c r="D9" s="67"/>
      <c r="E9" s="67" t="str">
        <f t="shared" si="5"/>
        <v>BFG</v>
      </c>
      <c r="F9" s="387" t="s">
        <v>772</v>
      </c>
      <c r="G9" s="330">
        <f t="shared" si="1"/>
        <v>11.55</v>
      </c>
      <c r="H9" s="330">
        <f t="shared" si="1"/>
        <v>13.85</v>
      </c>
      <c r="I9" s="330">
        <f t="shared" si="1"/>
        <v>11.95</v>
      </c>
      <c r="J9" s="330">
        <f t="shared" si="1"/>
        <v>10.15</v>
      </c>
      <c r="K9" s="330">
        <f t="shared" si="1"/>
        <v>8.6</v>
      </c>
      <c r="L9" s="330">
        <f t="shared" si="1"/>
        <v>7.85</v>
      </c>
      <c r="M9" s="330">
        <f t="shared" si="1"/>
        <v>6.1</v>
      </c>
      <c r="N9" s="330">
        <f t="shared" si="1"/>
        <v>5.85</v>
      </c>
      <c r="O9" s="330">
        <f t="shared" si="1"/>
        <v>11.467898064011884</v>
      </c>
      <c r="P9" s="330">
        <f t="shared" si="1"/>
        <v>7.7663830030950765</v>
      </c>
      <c r="Q9" s="330">
        <f t="shared" si="2"/>
        <v>6.4647759447939386</v>
      </c>
      <c r="R9" s="330">
        <f t="shared" si="2"/>
        <v>6.5830294771624471</v>
      </c>
      <c r="S9" s="330">
        <f t="shared" si="2"/>
        <v>6.8367367407151214</v>
      </c>
      <c r="T9" s="330">
        <f t="shared" si="2"/>
        <v>7.0869633419431945</v>
      </c>
      <c r="U9" s="330">
        <f t="shared" si="2"/>
        <v>7.3237003604902249</v>
      </c>
      <c r="V9" s="330">
        <f t="shared" si="2"/>
        <v>7.2904494140519214</v>
      </c>
      <c r="W9" s="330">
        <f t="shared" si="2"/>
        <v>7.2658292469417001</v>
      </c>
      <c r="X9" s="330">
        <f t="shared" si="2"/>
        <v>7.2386152965441681</v>
      </c>
      <c r="Y9" s="330">
        <f t="shared" si="2"/>
        <v>7.2065953240946836</v>
      </c>
      <c r="Z9" s="330">
        <f t="shared" si="2"/>
        <v>7.1719818027432378</v>
      </c>
      <c r="AA9" s="330">
        <f t="shared" si="3"/>
        <v>7.1332515760414905</v>
      </c>
      <c r="AB9" s="330">
        <f t="shared" si="3"/>
        <v>7.1153465320667548</v>
      </c>
      <c r="AC9" s="330">
        <f t="shared" si="3"/>
        <v>7.097518632127068</v>
      </c>
      <c r="AD9" s="330">
        <f t="shared" si="3"/>
        <v>7.0795572350830023</v>
      </c>
      <c r="AE9" s="330">
        <f t="shared" si="3"/>
        <v>7.0616767132396783</v>
      </c>
      <c r="AF9" s="330">
        <f t="shared" si="3"/>
        <v>7.0437860033118742</v>
      </c>
      <c r="AG9" s="330">
        <f t="shared" si="3"/>
        <v>7.0259928453493545</v>
      </c>
      <c r="AH9" s="330">
        <f t="shared" si="3"/>
        <v>7.0080856252282011</v>
      </c>
      <c r="AI9" s="330">
        <f t="shared" si="3"/>
        <v>6.990255369175598</v>
      </c>
      <c r="AJ9" s="330">
        <f t="shared" si="3"/>
        <v>6.9723272493975728</v>
      </c>
      <c r="AK9" s="330">
        <f t="shared" si="4"/>
        <v>6.9544309358125274</v>
      </c>
      <c r="AL9" s="330">
        <f t="shared" si="4"/>
        <v>6.9365345690910853</v>
      </c>
      <c r="AM9" s="330">
        <f t="shared" si="4"/>
        <v>6.9183052264039517</v>
      </c>
      <c r="AN9" s="330">
        <f t="shared" si="4"/>
        <v>6.900075278683218</v>
      </c>
      <c r="AO9" s="330">
        <f t="shared" si="4"/>
        <v>6.8818447251553092</v>
      </c>
      <c r="AP9" s="330">
        <f t="shared" si="4"/>
        <v>6.8636135650456671</v>
      </c>
      <c r="AQ9" s="330">
        <f t="shared" si="4"/>
        <v>6.8453817975787317</v>
      </c>
      <c r="AR9" s="330">
        <f t="shared" si="4"/>
        <v>6.8271494219779587</v>
      </c>
      <c r="AS9" s="330">
        <f t="shared" si="4"/>
        <v>6.808916437465812</v>
      </c>
      <c r="AT9" s="330">
        <f t="shared" si="4"/>
        <v>6.7906828432637569</v>
      </c>
      <c r="AU9" s="330">
        <f t="shared" si="4"/>
        <v>6.7724486385922678</v>
      </c>
      <c r="AV9" s="331">
        <v>5</v>
      </c>
      <c r="AX9" s="437"/>
      <c r="AY9" s="437"/>
      <c r="AZ9" s="437"/>
      <c r="BA9" s="437"/>
      <c r="BB9" s="437"/>
      <c r="BC9" s="437"/>
      <c r="BD9" s="437"/>
      <c r="BE9" s="437"/>
      <c r="BF9" s="365"/>
      <c r="BG9" s="365"/>
      <c r="BH9" s="365"/>
      <c r="BI9" s="365"/>
      <c r="BJ9" s="365"/>
      <c r="BK9" s="365"/>
    </row>
    <row r="10" spans="2:70" ht="14.4">
      <c r="B10" s="473" t="str">
        <f>Processes!D9</f>
        <v>IMPAMB</v>
      </c>
      <c r="C10" s="8" t="str">
        <f>Processes!E9</f>
        <v>Import technology - Ambient Temperature for heat pump</v>
      </c>
      <c r="D10" s="67"/>
      <c r="E10" s="67" t="str">
        <f t="shared" si="5"/>
        <v>AMB</v>
      </c>
      <c r="F10" s="387" t="s">
        <v>772</v>
      </c>
      <c r="G10" s="330">
        <f t="shared" si="1"/>
        <v>0</v>
      </c>
      <c r="H10" s="330">
        <f t="shared" si="1"/>
        <v>0</v>
      </c>
      <c r="I10" s="330">
        <f t="shared" si="1"/>
        <v>0</v>
      </c>
      <c r="J10" s="330">
        <f t="shared" si="1"/>
        <v>0</v>
      </c>
      <c r="K10" s="330">
        <f t="shared" si="1"/>
        <v>0</v>
      </c>
      <c r="L10" s="330">
        <f t="shared" si="1"/>
        <v>0</v>
      </c>
      <c r="M10" s="330">
        <f t="shared" si="1"/>
        <v>0</v>
      </c>
      <c r="N10" s="330">
        <f t="shared" si="1"/>
        <v>0</v>
      </c>
      <c r="O10" s="330">
        <f t="shared" si="1"/>
        <v>0</v>
      </c>
      <c r="P10" s="330">
        <f t="shared" si="1"/>
        <v>0</v>
      </c>
      <c r="Q10" s="330">
        <f t="shared" si="2"/>
        <v>0</v>
      </c>
      <c r="R10" s="330">
        <f t="shared" si="2"/>
        <v>0</v>
      </c>
      <c r="S10" s="330">
        <f t="shared" si="2"/>
        <v>0</v>
      </c>
      <c r="T10" s="330">
        <f t="shared" si="2"/>
        <v>0</v>
      </c>
      <c r="U10" s="330">
        <f t="shared" si="2"/>
        <v>0</v>
      </c>
      <c r="V10" s="330">
        <f t="shared" si="2"/>
        <v>0</v>
      </c>
      <c r="W10" s="330">
        <f t="shared" si="2"/>
        <v>0</v>
      </c>
      <c r="X10" s="330">
        <f t="shared" si="2"/>
        <v>0</v>
      </c>
      <c r="Y10" s="330">
        <f t="shared" si="2"/>
        <v>0</v>
      </c>
      <c r="Z10" s="330">
        <f t="shared" si="2"/>
        <v>0</v>
      </c>
      <c r="AA10" s="330">
        <f t="shared" si="3"/>
        <v>0</v>
      </c>
      <c r="AB10" s="330">
        <f t="shared" si="3"/>
        <v>0</v>
      </c>
      <c r="AC10" s="330">
        <f t="shared" si="3"/>
        <v>0</v>
      </c>
      <c r="AD10" s="330">
        <f t="shared" si="3"/>
        <v>0</v>
      </c>
      <c r="AE10" s="330">
        <f t="shared" si="3"/>
        <v>0</v>
      </c>
      <c r="AF10" s="330">
        <f t="shared" si="3"/>
        <v>0</v>
      </c>
      <c r="AG10" s="330">
        <f t="shared" si="3"/>
        <v>0</v>
      </c>
      <c r="AH10" s="330">
        <f t="shared" si="3"/>
        <v>0</v>
      </c>
      <c r="AI10" s="330">
        <f t="shared" si="3"/>
        <v>0</v>
      </c>
      <c r="AJ10" s="330">
        <f t="shared" si="3"/>
        <v>0</v>
      </c>
      <c r="AK10" s="330">
        <f t="shared" si="4"/>
        <v>0</v>
      </c>
      <c r="AL10" s="330">
        <f t="shared" si="4"/>
        <v>0</v>
      </c>
      <c r="AM10" s="330">
        <f t="shared" si="4"/>
        <v>0</v>
      </c>
      <c r="AN10" s="330">
        <f t="shared" si="4"/>
        <v>0</v>
      </c>
      <c r="AO10" s="330">
        <f t="shared" si="4"/>
        <v>0</v>
      </c>
      <c r="AP10" s="330">
        <f t="shared" si="4"/>
        <v>0</v>
      </c>
      <c r="AQ10" s="330">
        <f t="shared" si="4"/>
        <v>0</v>
      </c>
      <c r="AR10" s="330">
        <f t="shared" si="4"/>
        <v>0</v>
      </c>
      <c r="AS10" s="330">
        <f t="shared" si="4"/>
        <v>0</v>
      </c>
      <c r="AT10" s="330">
        <f t="shared" si="4"/>
        <v>0</v>
      </c>
      <c r="AU10" s="330">
        <f t="shared" si="4"/>
        <v>0</v>
      </c>
      <c r="AV10" s="331">
        <v>5</v>
      </c>
      <c r="AX10" s="437"/>
      <c r="AY10" s="437"/>
      <c r="AZ10" s="437"/>
      <c r="BA10" s="437"/>
      <c r="BB10" s="437"/>
      <c r="BC10" s="437"/>
      <c r="BD10" s="437"/>
      <c r="BF10" s="365"/>
      <c r="BG10" s="365"/>
      <c r="BH10" s="365"/>
      <c r="BI10" s="365"/>
      <c r="BJ10" s="365"/>
      <c r="BK10" s="365"/>
    </row>
    <row r="11" spans="2:70" ht="14.4">
      <c r="B11" s="248" t="str">
        <f>Processes!D10</f>
        <v>IMPURN</v>
      </c>
      <c r="C11" s="8" t="str">
        <f>Processes!E10</f>
        <v>Import technology - Nuclear fuel</v>
      </c>
      <c r="D11" s="67"/>
      <c r="E11" s="67" t="str">
        <f t="shared" si="5"/>
        <v>URN</v>
      </c>
      <c r="F11" s="387" t="s">
        <v>772</v>
      </c>
      <c r="G11" s="330">
        <f t="shared" si="1"/>
        <v>4.1805555555555554</v>
      </c>
      <c r="H11" s="330">
        <f t="shared" si="1"/>
        <v>4.1805555555555554</v>
      </c>
      <c r="I11" s="330">
        <f t="shared" si="1"/>
        <v>4.1805555555555554</v>
      </c>
      <c r="J11" s="330">
        <f t="shared" si="1"/>
        <v>4.1805555555555554</v>
      </c>
      <c r="K11" s="330">
        <f t="shared" si="1"/>
        <v>4.1805555555555554</v>
      </c>
      <c r="L11" s="330">
        <f t="shared" si="1"/>
        <v>4.1805555555555554</v>
      </c>
      <c r="M11" s="330">
        <f t="shared" si="1"/>
        <v>4.1805555555555554</v>
      </c>
      <c r="N11" s="330">
        <f t="shared" si="1"/>
        <v>4.1805555555555554</v>
      </c>
      <c r="O11" s="330">
        <f t="shared" si="1"/>
        <v>4.1805555555555554</v>
      </c>
      <c r="P11" s="330">
        <f t="shared" si="1"/>
        <v>4.1805555555555554</v>
      </c>
      <c r="Q11" s="330">
        <f t="shared" si="2"/>
        <v>4.1805555555555554</v>
      </c>
      <c r="R11" s="330">
        <f t="shared" si="2"/>
        <v>4.1805555555555554</v>
      </c>
      <c r="S11" s="330">
        <f t="shared" si="2"/>
        <v>4.1805555555555554</v>
      </c>
      <c r="T11" s="330">
        <f t="shared" si="2"/>
        <v>4.1805555555555554</v>
      </c>
      <c r="U11" s="330">
        <f t="shared" si="2"/>
        <v>4.1805555555555554</v>
      </c>
      <c r="V11" s="330">
        <f t="shared" si="2"/>
        <v>4.1805555555555554</v>
      </c>
      <c r="W11" s="330">
        <f t="shared" si="2"/>
        <v>4.1805555555555554</v>
      </c>
      <c r="X11" s="330">
        <f t="shared" si="2"/>
        <v>4.1805555555555554</v>
      </c>
      <c r="Y11" s="330">
        <f t="shared" si="2"/>
        <v>4.1805555555555554</v>
      </c>
      <c r="Z11" s="330">
        <f t="shared" si="2"/>
        <v>4.1805555555555554</v>
      </c>
      <c r="AA11" s="330">
        <f t="shared" si="3"/>
        <v>4.1805555555555554</v>
      </c>
      <c r="AB11" s="330">
        <f t="shared" si="3"/>
        <v>4.1805555555555554</v>
      </c>
      <c r="AC11" s="330">
        <f t="shared" si="3"/>
        <v>4.1805555555555554</v>
      </c>
      <c r="AD11" s="330">
        <f t="shared" si="3"/>
        <v>4.1805555555555554</v>
      </c>
      <c r="AE11" s="330">
        <f t="shared" si="3"/>
        <v>4.1805555555555554</v>
      </c>
      <c r="AF11" s="330">
        <f t="shared" si="3"/>
        <v>4.1805555555555554</v>
      </c>
      <c r="AG11" s="330">
        <f t="shared" si="3"/>
        <v>4.1805555555555554</v>
      </c>
      <c r="AH11" s="330">
        <f t="shared" si="3"/>
        <v>4.1805555555555554</v>
      </c>
      <c r="AI11" s="330">
        <f t="shared" si="3"/>
        <v>4.1805555555555554</v>
      </c>
      <c r="AJ11" s="330">
        <f t="shared" si="3"/>
        <v>4.1805555555555554</v>
      </c>
      <c r="AK11" s="330">
        <f t="shared" si="4"/>
        <v>4.1805555555555554</v>
      </c>
      <c r="AL11" s="330">
        <f t="shared" si="4"/>
        <v>4.1805555555555554</v>
      </c>
      <c r="AM11" s="330">
        <f t="shared" si="4"/>
        <v>4.1805555555555554</v>
      </c>
      <c r="AN11" s="330">
        <f t="shared" si="4"/>
        <v>4.1805555555555554</v>
      </c>
      <c r="AO11" s="330">
        <f t="shared" si="4"/>
        <v>4.1805555555555554</v>
      </c>
      <c r="AP11" s="330">
        <f t="shared" si="4"/>
        <v>4.1805555555555554</v>
      </c>
      <c r="AQ11" s="330">
        <f t="shared" si="4"/>
        <v>4.1805555555555554</v>
      </c>
      <c r="AR11" s="330">
        <f t="shared" si="4"/>
        <v>4.1805555555555554</v>
      </c>
      <c r="AS11" s="330">
        <f t="shared" si="4"/>
        <v>4.1805555555555554</v>
      </c>
      <c r="AT11" s="330">
        <f t="shared" si="4"/>
        <v>4.1805555555555554</v>
      </c>
      <c r="AU11" s="330">
        <f t="shared" si="4"/>
        <v>4.1805555555555554</v>
      </c>
      <c r="AV11" s="331">
        <v>5</v>
      </c>
      <c r="AW11" s="467"/>
      <c r="AX11" s="467"/>
      <c r="AY11" s="467"/>
      <c r="AZ11" s="467"/>
      <c r="BA11" s="467"/>
      <c r="BB11" s="467"/>
      <c r="BC11" s="467"/>
      <c r="BD11" s="467"/>
      <c r="BE11" s="467"/>
      <c r="BF11" s="467"/>
      <c r="BG11" s="467"/>
      <c r="BH11" s="467"/>
      <c r="BI11" s="467"/>
      <c r="BJ11" s="467"/>
      <c r="BK11" s="467"/>
      <c r="BL11" s="467"/>
      <c r="BM11" s="466"/>
    </row>
    <row r="12" spans="2:70" ht="14.4">
      <c r="B12" s="248" t="str">
        <f>Processes!D11</f>
        <v>IMPBLQ</v>
      </c>
      <c r="C12" s="8" t="str">
        <f>Processes!E11</f>
        <v>Import technology - Black liquor</v>
      </c>
      <c r="D12" s="67"/>
      <c r="E12" s="67" t="str">
        <f t="shared" si="5"/>
        <v>BLQ</v>
      </c>
      <c r="F12" s="387" t="s">
        <v>772</v>
      </c>
      <c r="G12" s="330">
        <f t="shared" si="1"/>
        <v>0.1</v>
      </c>
      <c r="H12" s="330">
        <f t="shared" si="1"/>
        <v>0.1</v>
      </c>
      <c r="I12" s="330">
        <f t="shared" si="1"/>
        <v>0.1</v>
      </c>
      <c r="J12" s="330">
        <f t="shared" si="1"/>
        <v>0.1</v>
      </c>
      <c r="K12" s="330">
        <f t="shared" si="1"/>
        <v>0.1</v>
      </c>
      <c r="L12" s="330">
        <f t="shared" si="1"/>
        <v>0.1</v>
      </c>
      <c r="M12" s="330">
        <f t="shared" si="1"/>
        <v>0.1</v>
      </c>
      <c r="N12" s="330">
        <f t="shared" si="1"/>
        <v>0.1</v>
      </c>
      <c r="O12" s="330">
        <f t="shared" si="1"/>
        <v>0.1</v>
      </c>
      <c r="P12" s="330">
        <f t="shared" si="1"/>
        <v>0.1</v>
      </c>
      <c r="Q12" s="330">
        <f t="shared" si="2"/>
        <v>0.1</v>
      </c>
      <c r="R12" s="330">
        <f t="shared" si="2"/>
        <v>0.1</v>
      </c>
      <c r="S12" s="330">
        <f t="shared" si="2"/>
        <v>0.1</v>
      </c>
      <c r="T12" s="330">
        <f t="shared" si="2"/>
        <v>0.1</v>
      </c>
      <c r="U12" s="330">
        <f t="shared" si="2"/>
        <v>0.1</v>
      </c>
      <c r="V12" s="330">
        <f t="shared" si="2"/>
        <v>0.1</v>
      </c>
      <c r="W12" s="330">
        <f t="shared" si="2"/>
        <v>0.1</v>
      </c>
      <c r="X12" s="330">
        <f t="shared" si="2"/>
        <v>0.1</v>
      </c>
      <c r="Y12" s="330">
        <f t="shared" si="2"/>
        <v>0.1</v>
      </c>
      <c r="Z12" s="330">
        <f t="shared" si="2"/>
        <v>0.1</v>
      </c>
      <c r="AA12" s="330">
        <f t="shared" si="3"/>
        <v>0.1</v>
      </c>
      <c r="AB12" s="330">
        <f t="shared" si="3"/>
        <v>0.1</v>
      </c>
      <c r="AC12" s="330">
        <f t="shared" si="3"/>
        <v>0.1</v>
      </c>
      <c r="AD12" s="330">
        <f t="shared" si="3"/>
        <v>0.1</v>
      </c>
      <c r="AE12" s="330">
        <f t="shared" si="3"/>
        <v>0.1</v>
      </c>
      <c r="AF12" s="330">
        <f t="shared" si="3"/>
        <v>0.1</v>
      </c>
      <c r="AG12" s="330">
        <f t="shared" si="3"/>
        <v>0.1</v>
      </c>
      <c r="AH12" s="330">
        <f t="shared" si="3"/>
        <v>0.1</v>
      </c>
      <c r="AI12" s="330">
        <f t="shared" si="3"/>
        <v>0.1</v>
      </c>
      <c r="AJ12" s="330">
        <f t="shared" si="3"/>
        <v>0.1</v>
      </c>
      <c r="AK12" s="330">
        <f t="shared" si="4"/>
        <v>0.1</v>
      </c>
      <c r="AL12" s="330">
        <f t="shared" si="4"/>
        <v>0.1</v>
      </c>
      <c r="AM12" s="330">
        <f t="shared" si="4"/>
        <v>0.1</v>
      </c>
      <c r="AN12" s="330">
        <f t="shared" si="4"/>
        <v>0.1</v>
      </c>
      <c r="AO12" s="330">
        <f t="shared" si="4"/>
        <v>0.1</v>
      </c>
      <c r="AP12" s="330">
        <f t="shared" si="4"/>
        <v>0.1</v>
      </c>
      <c r="AQ12" s="330">
        <f t="shared" si="4"/>
        <v>0.1</v>
      </c>
      <c r="AR12" s="330">
        <f t="shared" si="4"/>
        <v>0.1</v>
      </c>
      <c r="AS12" s="330">
        <f t="shared" si="4"/>
        <v>0.1</v>
      </c>
      <c r="AT12" s="330">
        <f t="shared" si="4"/>
        <v>0.1</v>
      </c>
      <c r="AU12" s="330">
        <f t="shared" si="4"/>
        <v>0.1</v>
      </c>
      <c r="AV12" s="331">
        <v>5</v>
      </c>
      <c r="AX12" s="437"/>
      <c r="AY12" s="437"/>
      <c r="AZ12" s="437"/>
      <c r="BA12" s="437"/>
      <c r="BB12" s="437"/>
      <c r="BC12" s="437"/>
      <c r="BD12" s="437"/>
      <c r="BE12" s="437"/>
      <c r="BF12" s="365"/>
      <c r="BG12" s="365"/>
      <c r="BH12" s="365"/>
      <c r="BI12" s="365"/>
      <c r="BJ12" s="365"/>
      <c r="BK12" s="365"/>
    </row>
    <row r="13" spans="2:70" ht="14.4">
      <c r="B13" s="8" t="str">
        <f>Processes!D12</f>
        <v>IMPCOA</v>
      </c>
      <c r="C13" s="8" t="str">
        <f>Processes!E12</f>
        <v>Import technology - Coal</v>
      </c>
      <c r="D13" s="67"/>
      <c r="E13" s="67" t="str">
        <f t="shared" si="5"/>
        <v>COA</v>
      </c>
      <c r="F13" s="387" t="str">
        <f>IFERROR(VLOOKUP(E13,$E$121:$F$173,2,FALSE),"MKr19")</f>
        <v>MKr19</v>
      </c>
      <c r="G13" s="330">
        <f>IFERROR(INDEX($G$121:$AU$176,MATCH($E13,$E$121:$E$176,0),MATCH(G$6,$G$120:$AU$120,0)),0)</f>
        <v>23.1</v>
      </c>
      <c r="H13" s="330">
        <f t="shared" si="1"/>
        <v>27.7</v>
      </c>
      <c r="I13" s="330">
        <f t="shared" si="1"/>
        <v>23.9</v>
      </c>
      <c r="J13" s="330">
        <f t="shared" si="1"/>
        <v>20.3</v>
      </c>
      <c r="K13" s="330">
        <f t="shared" si="1"/>
        <v>17.2</v>
      </c>
      <c r="L13" s="330">
        <f t="shared" si="1"/>
        <v>15.7</v>
      </c>
      <c r="M13" s="330">
        <f t="shared" si="1"/>
        <v>12.2</v>
      </c>
      <c r="N13" s="330">
        <f t="shared" si="1"/>
        <v>11.7</v>
      </c>
      <c r="O13" s="330">
        <f t="shared" si="1"/>
        <v>22.935796128023767</v>
      </c>
      <c r="P13" s="330">
        <f t="shared" si="1"/>
        <v>15.532766006190153</v>
      </c>
      <c r="Q13" s="330">
        <f t="shared" si="2"/>
        <v>12.929551889587877</v>
      </c>
      <c r="R13" s="330">
        <f t="shared" si="2"/>
        <v>13.166058954324894</v>
      </c>
      <c r="S13" s="330">
        <f t="shared" si="2"/>
        <v>13.673473481430243</v>
      </c>
      <c r="T13" s="330">
        <f t="shared" si="2"/>
        <v>14.173926683886389</v>
      </c>
      <c r="U13" s="330">
        <f t="shared" si="2"/>
        <v>14.64740072098045</v>
      </c>
      <c r="V13" s="330">
        <f t="shared" si="2"/>
        <v>14.580898828103843</v>
      </c>
      <c r="W13" s="330">
        <f t="shared" si="2"/>
        <v>14.5316584938834</v>
      </c>
      <c r="X13" s="330">
        <f t="shared" si="2"/>
        <v>14.477230593088336</v>
      </c>
      <c r="Y13" s="330">
        <f t="shared" si="2"/>
        <v>14.413190648189367</v>
      </c>
      <c r="Z13" s="330">
        <f t="shared" si="2"/>
        <v>14.343963605486476</v>
      </c>
      <c r="AA13" s="330">
        <f t="shared" si="3"/>
        <v>14.266503152082981</v>
      </c>
      <c r="AB13" s="330">
        <f t="shared" si="3"/>
        <v>14.23069306413351</v>
      </c>
      <c r="AC13" s="330">
        <f t="shared" si="3"/>
        <v>14.195037264254136</v>
      </c>
      <c r="AD13" s="330">
        <f t="shared" si="3"/>
        <v>14.159114470166005</v>
      </c>
      <c r="AE13" s="330">
        <f t="shared" si="3"/>
        <v>14.123353426479357</v>
      </c>
      <c r="AF13" s="330">
        <f t="shared" si="3"/>
        <v>14.087572006623748</v>
      </c>
      <c r="AG13" s="330">
        <f t="shared" si="3"/>
        <v>14.051985690698709</v>
      </c>
      <c r="AH13" s="330">
        <f t="shared" si="3"/>
        <v>14.016171250456402</v>
      </c>
      <c r="AI13" s="330">
        <f t="shared" si="3"/>
        <v>13.980510738351196</v>
      </c>
      <c r="AJ13" s="330">
        <f t="shared" si="3"/>
        <v>13.944654498795146</v>
      </c>
      <c r="AK13" s="330">
        <f t="shared" si="4"/>
        <v>13.908861871625055</v>
      </c>
      <c r="AL13" s="330">
        <f t="shared" si="4"/>
        <v>13.873069138182171</v>
      </c>
      <c r="AM13" s="330">
        <f t="shared" si="4"/>
        <v>13.836610452807903</v>
      </c>
      <c r="AN13" s="330">
        <f t="shared" si="4"/>
        <v>13.800150557366436</v>
      </c>
      <c r="AO13" s="330">
        <f t="shared" si="4"/>
        <v>13.763689450310618</v>
      </c>
      <c r="AP13" s="330">
        <f t="shared" si="4"/>
        <v>13.727227130091334</v>
      </c>
      <c r="AQ13" s="330">
        <f t="shared" si="4"/>
        <v>13.690763595157463</v>
      </c>
      <c r="AR13" s="330">
        <f t="shared" si="4"/>
        <v>13.654298843955917</v>
      </c>
      <c r="AS13" s="330">
        <f t="shared" si="4"/>
        <v>13.617832874931624</v>
      </c>
      <c r="AT13" s="330">
        <f t="shared" si="4"/>
        <v>13.581365686527514</v>
      </c>
      <c r="AU13" s="330">
        <f t="shared" si="4"/>
        <v>13.544897277184536</v>
      </c>
      <c r="AV13" s="331">
        <v>5</v>
      </c>
      <c r="BF13" s="365"/>
      <c r="BG13" s="365"/>
      <c r="BH13" s="365"/>
      <c r="BI13" s="365"/>
      <c r="BJ13" s="365"/>
      <c r="BK13" s="365"/>
    </row>
    <row r="14" spans="2:70" ht="14.4">
      <c r="B14" s="8" t="str">
        <f>Processes!D13</f>
        <v>IMPNGA</v>
      </c>
      <c r="C14" s="8" t="str">
        <f>Processes!E13</f>
        <v>Import technology - Natural Gas</v>
      </c>
      <c r="D14" s="67"/>
      <c r="E14" s="67" t="str">
        <f t="shared" si="5"/>
        <v>NGA</v>
      </c>
      <c r="F14" s="387" t="str">
        <f t="shared" ref="F14:F75" si="6">IFERROR(VLOOKUP(E14,$E$121:$F$173,2,FALSE),"MKr19")</f>
        <v>MKr19</v>
      </c>
      <c r="G14" s="330">
        <f t="shared" si="1"/>
        <v>44.4</v>
      </c>
      <c r="H14" s="330">
        <f t="shared" si="1"/>
        <v>46.1</v>
      </c>
      <c r="I14" s="330">
        <f t="shared" si="1"/>
        <v>55.1</v>
      </c>
      <c r="J14" s="330">
        <f t="shared" si="1"/>
        <v>54.2</v>
      </c>
      <c r="K14" s="330">
        <f t="shared" si="1"/>
        <v>45.7</v>
      </c>
      <c r="L14" s="330">
        <f t="shared" si="1"/>
        <v>44</v>
      </c>
      <c r="M14" s="330">
        <f t="shared" si="1"/>
        <v>36.799999999999997</v>
      </c>
      <c r="N14" s="330">
        <f t="shared" si="1"/>
        <v>36.9</v>
      </c>
      <c r="O14" s="330">
        <f t="shared" si="1"/>
        <v>53.422183381850253</v>
      </c>
      <c r="P14" s="330">
        <f t="shared" si="1"/>
        <v>34.261011240620462</v>
      </c>
      <c r="Q14" s="330">
        <f t="shared" si="2"/>
        <v>33.397849986482257</v>
      </c>
      <c r="R14" s="330">
        <f t="shared" si="2"/>
        <v>31.525290025438199</v>
      </c>
      <c r="S14" s="330">
        <f t="shared" si="2"/>
        <v>32.762548621541896</v>
      </c>
      <c r="T14" s="330">
        <f t="shared" si="2"/>
        <v>33.367688312875465</v>
      </c>
      <c r="U14" s="330">
        <f t="shared" si="2"/>
        <v>33.567123920362071</v>
      </c>
      <c r="V14" s="330">
        <f t="shared" si="2"/>
        <v>33.506083462913665</v>
      </c>
      <c r="W14" s="330">
        <f t="shared" si="2"/>
        <v>33.467639204304064</v>
      </c>
      <c r="X14" s="330">
        <f t="shared" si="2"/>
        <v>33.442947086231669</v>
      </c>
      <c r="Y14" s="330">
        <f t="shared" si="2"/>
        <v>33.42179959045346</v>
      </c>
      <c r="Z14" s="330">
        <f t="shared" si="2"/>
        <v>33.414220248022303</v>
      </c>
      <c r="AA14" s="330">
        <f t="shared" si="3"/>
        <v>33.412152610409883</v>
      </c>
      <c r="AB14" s="330">
        <f t="shared" si="3"/>
        <v>33.458238338148384</v>
      </c>
      <c r="AC14" s="330">
        <f t="shared" si="3"/>
        <v>33.504324065886884</v>
      </c>
      <c r="AD14" s="330">
        <f t="shared" si="3"/>
        <v>33.550409793625377</v>
      </c>
      <c r="AE14" s="330">
        <f t="shared" si="3"/>
        <v>33.59649552136387</v>
      </c>
      <c r="AF14" s="330">
        <f t="shared" si="3"/>
        <v>33.642581249102378</v>
      </c>
      <c r="AG14" s="330">
        <f t="shared" si="3"/>
        <v>33.688666976840878</v>
      </c>
      <c r="AH14" s="330">
        <f t="shared" si="3"/>
        <v>33.734752704579364</v>
      </c>
      <c r="AI14" s="330">
        <f t="shared" si="3"/>
        <v>33.780838432317864</v>
      </c>
      <c r="AJ14" s="330">
        <f t="shared" si="3"/>
        <v>33.82692416005635</v>
      </c>
      <c r="AK14" s="330">
        <f t="shared" si="4"/>
        <v>33.873009887794851</v>
      </c>
      <c r="AL14" s="330">
        <f t="shared" si="4"/>
        <v>33.919095615533351</v>
      </c>
      <c r="AM14" s="330">
        <f t="shared" si="4"/>
        <v>33.965181343271844</v>
      </c>
      <c r="AN14" s="330">
        <f t="shared" si="4"/>
        <v>34.011267071010337</v>
      </c>
      <c r="AO14" s="330">
        <f t="shared" si="4"/>
        <v>34.057352798748838</v>
      </c>
      <c r="AP14" s="330">
        <f t="shared" si="4"/>
        <v>34.103438526487338</v>
      </c>
      <c r="AQ14" s="330">
        <f t="shared" si="4"/>
        <v>34.149524254225838</v>
      </c>
      <c r="AR14" s="330">
        <f t="shared" si="4"/>
        <v>34.195609981964324</v>
      </c>
      <c r="AS14" s="330">
        <f t="shared" si="4"/>
        <v>34.241695709702832</v>
      </c>
      <c r="AT14" s="330">
        <f t="shared" si="4"/>
        <v>34.287781437441318</v>
      </c>
      <c r="AU14" s="330">
        <f t="shared" si="4"/>
        <v>34.333867165179825</v>
      </c>
      <c r="AV14" s="331">
        <v>5</v>
      </c>
      <c r="BF14" s="365"/>
      <c r="BG14" s="365"/>
      <c r="BH14" s="365"/>
      <c r="BI14" s="365"/>
      <c r="BJ14" s="365"/>
      <c r="BK14" s="365"/>
    </row>
    <row r="15" spans="2:70" ht="14.4">
      <c r="B15" s="8" t="str">
        <f>Processes!D14</f>
        <v>IMPCRD</v>
      </c>
      <c r="C15" s="8" t="str">
        <f>Processes!E14</f>
        <v>Import technology - Crude Oil</v>
      </c>
      <c r="D15" s="67"/>
      <c r="E15" s="67" t="str">
        <f t="shared" si="5"/>
        <v>CRD</v>
      </c>
      <c r="F15" s="387" t="str">
        <f t="shared" si="6"/>
        <v>MKr19</v>
      </c>
      <c r="G15" s="330">
        <f t="shared" si="1"/>
        <v>76.2</v>
      </c>
      <c r="H15" s="330">
        <f t="shared" si="1"/>
        <v>106.1</v>
      </c>
      <c r="I15" s="330">
        <f t="shared" si="1"/>
        <v>112.9</v>
      </c>
      <c r="J15" s="330">
        <f t="shared" si="1"/>
        <v>100.3</v>
      </c>
      <c r="K15" s="330">
        <f t="shared" si="1"/>
        <v>97.3</v>
      </c>
      <c r="L15" s="330">
        <f t="shared" si="1"/>
        <v>62.7</v>
      </c>
      <c r="M15" s="330">
        <f t="shared" si="1"/>
        <v>59.9</v>
      </c>
      <c r="N15" s="330">
        <f t="shared" si="1"/>
        <v>63.9</v>
      </c>
      <c r="O15" s="330">
        <f t="shared" si="1"/>
        <v>78.592912119302227</v>
      </c>
      <c r="P15" s="330">
        <f t="shared" si="1"/>
        <v>72.66780821917807</v>
      </c>
      <c r="Q15" s="330">
        <f t="shared" si="2"/>
        <v>71.191547947610658</v>
      </c>
      <c r="R15" s="330">
        <f t="shared" si="2"/>
        <v>49.181117057429148</v>
      </c>
      <c r="S15" s="330">
        <f t="shared" si="2"/>
        <v>52.581323432074825</v>
      </c>
      <c r="T15" s="330">
        <f t="shared" si="2"/>
        <v>54.889966476332738</v>
      </c>
      <c r="U15" s="330">
        <f t="shared" si="2"/>
        <v>56.568388062461416</v>
      </c>
      <c r="V15" s="330">
        <f t="shared" si="2"/>
        <v>57.786429057350325</v>
      </c>
      <c r="W15" s="330">
        <f t="shared" si="2"/>
        <v>59.146270171698553</v>
      </c>
      <c r="X15" s="330">
        <f t="shared" si="2"/>
        <v>60.478046986869018</v>
      </c>
      <c r="Y15" s="330">
        <f t="shared" si="2"/>
        <v>61.703174257304624</v>
      </c>
      <c r="Z15" s="330">
        <f t="shared" si="2"/>
        <v>62.989602327697277</v>
      </c>
      <c r="AA15" s="330">
        <f t="shared" si="3"/>
        <v>64.209121548162642</v>
      </c>
      <c r="AB15" s="330">
        <f t="shared" si="3"/>
        <v>63.901532941943884</v>
      </c>
      <c r="AC15" s="330">
        <f t="shared" si="3"/>
        <v>63.593944335725141</v>
      </c>
      <c r="AD15" s="330">
        <f t="shared" si="3"/>
        <v>63.286355729506404</v>
      </c>
      <c r="AE15" s="330">
        <f t="shared" si="3"/>
        <v>62.978767123287653</v>
      </c>
      <c r="AF15" s="330">
        <f t="shared" si="3"/>
        <v>62.671178517068917</v>
      </c>
      <c r="AG15" s="330">
        <f t="shared" si="3"/>
        <v>62.363589910850173</v>
      </c>
      <c r="AH15" s="330">
        <f t="shared" si="3"/>
        <v>62.056001304631437</v>
      </c>
      <c r="AI15" s="330">
        <f t="shared" si="3"/>
        <v>61.7484126984127</v>
      </c>
      <c r="AJ15" s="330">
        <f t="shared" si="3"/>
        <v>61.440824092193949</v>
      </c>
      <c r="AK15" s="330">
        <f t="shared" si="4"/>
        <v>61.133235485975206</v>
      </c>
      <c r="AL15" s="330">
        <f t="shared" si="4"/>
        <v>60.825646879756469</v>
      </c>
      <c r="AM15" s="330">
        <f t="shared" si="4"/>
        <v>60.518058273537719</v>
      </c>
      <c r="AN15" s="330">
        <f t="shared" si="4"/>
        <v>60.210469667318975</v>
      </c>
      <c r="AO15" s="330">
        <f t="shared" si="4"/>
        <v>59.902881061100238</v>
      </c>
      <c r="AP15" s="330">
        <f t="shared" si="4"/>
        <v>59.595292454881495</v>
      </c>
      <c r="AQ15" s="330">
        <f t="shared" si="4"/>
        <v>59.287703848662751</v>
      </c>
      <c r="AR15" s="330">
        <f t="shared" si="4"/>
        <v>58.980115242444008</v>
      </c>
      <c r="AS15" s="330">
        <f t="shared" si="4"/>
        <v>58.672526636225271</v>
      </c>
      <c r="AT15" s="330">
        <f t="shared" si="4"/>
        <v>58.364938030006527</v>
      </c>
      <c r="AU15" s="330">
        <f t="shared" si="4"/>
        <v>58.057349423787784</v>
      </c>
      <c r="AV15" s="331">
        <v>5</v>
      </c>
      <c r="AW15" s="467" cm="1">
        <f t="array" ref="AW15">INDEX('Energy Balance'!$D$7:$W$154,MATCH('MIN-IMP-EXP'!$B15,'Energy Balance'!$A$7:$A$154,0),MATCH('MIN-IMP-EXP'!AW$1&amp;'MIN-IMP-EXP'!AW$3,'Energy Balance'!$D$4:$W$4&amp;'Energy Balance'!$D$6:$W$6,0))/1000*INDEX('Energy Balance'!$Z$7:$AJ$155,MATCH($B15,'Energy Balance'!$A$7:$A$155,0),MATCH(AW$2,'Energy Balance'!$Z$5:$AJ$5,0))</f>
        <v>0</v>
      </c>
      <c r="AX15" s="467" cm="1">
        <f t="array" ref="AX15">INDEX('Energy Balance'!$D$7:$W$154,MATCH('MIN-IMP-EXP'!$B15,'Energy Balance'!$A$7:$A$154,0),MATCH('MIN-IMP-EXP'!AX$1&amp;'MIN-IMP-EXP'!AX$3,'Energy Balance'!$D$4:$W$4&amp;'Energy Balance'!$D$6:$W$6,0))/1000*INDEX('Energy Balance'!$Z$7:$AJ$155,MATCH($B15,'Energy Balance'!$A$7:$A$155,0),MATCH(AX$2,'Energy Balance'!$Z$5:$AJ$5,0))</f>
        <v>0</v>
      </c>
      <c r="AY15" s="467" cm="1">
        <f t="array" ref="AY15">INDEX('Energy Balance'!$D$7:$W$154,MATCH('MIN-IMP-EXP'!$B15,'Energy Balance'!$A$7:$A$154,0),MATCH('MIN-IMP-EXP'!AY$1&amp;'MIN-IMP-EXP'!AY$3,'Energy Balance'!$D$4:$W$4&amp;'Energy Balance'!$D$6:$W$6,0))/1000*INDEX('Energy Balance'!$Z$7:$AJ$155,MATCH($B15,'Energy Balance'!$A$7:$A$155,0),MATCH(AY$2,'Energy Balance'!$Z$5:$AJ$5,0))</f>
        <v>862.33907700000009</v>
      </c>
      <c r="AZ15" s="467" cm="1">
        <f t="array" ref="AZ15">INDEX('Energy Balance'!$D$7:$W$154,MATCH('MIN-IMP-EXP'!$B15,'Energy Balance'!$A$7:$A$154,0),MATCH('MIN-IMP-EXP'!AZ$1&amp;'MIN-IMP-EXP'!AZ$3,'Energy Balance'!$D$4:$W$4&amp;'Energy Balance'!$D$6:$W$6,0))/1000*INDEX('Energy Balance'!$Z$7:$AJ$155,MATCH($B15,'Energy Balance'!$A$7:$A$155,0),MATCH(AZ$2,'Energy Balance'!$Z$5:$AJ$5,0))</f>
        <v>0</v>
      </c>
      <c r="BA15" s="467" cm="1">
        <f t="array" ref="BA15">INDEX('Energy Balance'!$D$7:$W$154,MATCH('MIN-IMP-EXP'!$B15,'Energy Balance'!$A$7:$A$154,0),MATCH('MIN-IMP-EXP'!BA$1&amp;'MIN-IMP-EXP'!BA$3,'Energy Balance'!$D$4:$W$4&amp;'Energy Balance'!$D$6:$W$6,0))/1000*INDEX('Energy Balance'!$Z$7:$AJ$155,MATCH($B15,'Energy Balance'!$A$7:$A$155,0),MATCH(BA$2,'Energy Balance'!$Z$5:$AJ$5,0))</f>
        <v>0</v>
      </c>
      <c r="BB15" s="467" cm="1">
        <f t="array" ref="BB15">INDEX('Energy Balance'!$D$7:$W$154,MATCH('MIN-IMP-EXP'!$B15,'Energy Balance'!$A$7:$A$154,0),MATCH('MIN-IMP-EXP'!BB$1&amp;'MIN-IMP-EXP'!BB$3,'Energy Balance'!$D$4:$W$4&amp;'Energy Balance'!$D$6:$W$6,0))/1000*INDEX('Energy Balance'!$Z$7:$AJ$155,MATCH($B15,'Energy Balance'!$A$7:$A$155,0),MATCH(BB$2,'Energy Balance'!$Z$5:$AJ$5,0))</f>
        <v>0</v>
      </c>
      <c r="BC15" s="467" cm="1">
        <f t="array" ref="BC15">INDEX('Energy Balance'!$D$7:$W$154,MATCH('MIN-IMP-EXP'!$B15,'Energy Balance'!$A$7:$A$154,0),MATCH('MIN-IMP-EXP'!BC$1&amp;'MIN-IMP-EXP'!BC$3,'Energy Balance'!$D$4:$W$4&amp;'Energy Balance'!$D$6:$W$6,0))/1000*INDEX('Energy Balance'!$Z$7:$AJ$155,MATCH($B15,'Energy Balance'!$A$7:$A$155,0),MATCH(BC$2,'Energy Balance'!$Z$5:$AJ$5,0))</f>
        <v>897.48060000000009</v>
      </c>
      <c r="BD15" s="467" cm="1">
        <f t="array" ref="BD15">INDEX('Energy Balance'!$D$7:$W$154,MATCH('MIN-IMP-EXP'!$B15,'Energy Balance'!$A$7:$A$154,0),MATCH('MIN-IMP-EXP'!BD$1&amp;'MIN-IMP-EXP'!BD$3,'Energy Balance'!$D$4:$W$4&amp;'Energy Balance'!$D$6:$W$6,0))/1000*INDEX('Energy Balance'!$Z$7:$AJ$155,MATCH($B15,'Energy Balance'!$A$7:$A$155,0),MATCH(BD$2,'Energy Balance'!$Z$5:$AJ$5,0))</f>
        <v>0</v>
      </c>
      <c r="BE15" s="467" cm="1">
        <f t="array" ref="BE15">INDEX('Energy Balance'!$D$7:$W$154,MATCH('MIN-IMP-EXP'!$B15,'Energy Balance'!$A$7:$A$154,0),MATCH('MIN-IMP-EXP'!BE$1&amp;'MIN-IMP-EXP'!BE$3,'Energy Balance'!$D$4:$W$4&amp;'Energy Balance'!$D$6:$W$6,0))/1000*INDEX('Energy Balance'!$Z$7:$AJ$155,MATCH($B15,'Energy Balance'!$A$7:$A$155,0),MATCH(BE$2,'Energy Balance'!$Z$5:$AJ$5,0))</f>
        <v>0</v>
      </c>
      <c r="BF15" s="467" cm="1">
        <f t="array" ref="BF15">INDEX('Energy Balance'!$D$7:$W$154,MATCH('MIN-IMP-EXP'!$B15,'Energy Balance'!$A$7:$A$154,0),MATCH('MIN-IMP-EXP'!BF$1&amp;'MIN-IMP-EXP'!BF$3,'Energy Balance'!$D$4:$W$4&amp;'Energy Balance'!$D$6:$W$6,0))/1000*INDEX('Energy Balance'!$Z$7:$AJ$155,MATCH($B15,'Energy Balance'!$A$7:$A$155,0),MATCH(BF$2,'Energy Balance'!$Z$5:$AJ$5,0))</f>
        <v>0</v>
      </c>
      <c r="BG15" s="467" cm="1">
        <f t="array" ref="BG15">INDEX('Energy Balance'!$D$7:$W$154,MATCH('MIN-IMP-EXP'!$B15,'Energy Balance'!$A$7:$A$154,0),MATCH('MIN-IMP-EXP'!BG$1&amp;'MIN-IMP-EXP'!BG$3,'Energy Balance'!$D$4:$W$4&amp;'Energy Balance'!$D$6:$W$6,0))/1000*INDEX('Energy Balance'!$Z$7:$AJ$155,MATCH($B15,'Energy Balance'!$A$7:$A$155,0),MATCH(BG$2,'Energy Balance'!$Z$5:$AJ$5,0))</f>
        <v>834.15469900000005</v>
      </c>
      <c r="BH15" s="467" cm="1">
        <f t="array" ref="BH15">INDEX('Energy Balance'!$D$7:$W$154,MATCH('MIN-IMP-EXP'!$B15,'Energy Balance'!$A$7:$A$154,0),MATCH('MIN-IMP-EXP'!BH$1&amp;'MIN-IMP-EXP'!BH$3,'Energy Balance'!$D$4:$W$4&amp;'Energy Balance'!$D$6:$W$6,0))/1000*INDEX('Energy Balance'!$Z$7:$AJ$155,MATCH($B15,'Energy Balance'!$A$7:$A$155,0),MATCH(BH$2,'Energy Balance'!$Z$5:$AJ$5,0))</f>
        <v>0</v>
      </c>
      <c r="BI15" s="467" cm="1">
        <f t="array" ref="BI15">INDEX('Energy Balance'!$D$7:$W$154,MATCH('MIN-IMP-EXP'!$B15,'Energy Balance'!$A$7:$A$154,0),MATCH('MIN-IMP-EXP'!BI$1&amp;'MIN-IMP-EXP'!BI$3,'Energy Balance'!$D$4:$W$4&amp;'Energy Balance'!$D$6:$W$6,0))/1000*INDEX('Energy Balance'!$Z$7:$AJ$155,MATCH($B15,'Energy Balance'!$A$7:$A$155,0),MATCH(BI$2,'Energy Balance'!$Z$5:$AJ$5,0))</f>
        <v>0</v>
      </c>
      <c r="BJ15" s="467" cm="1">
        <f t="array" ref="BJ15">INDEX('Energy Balance'!$D$7:$W$154,MATCH('MIN-IMP-EXP'!$B15,'Energy Balance'!$A$7:$A$154,0),MATCH('MIN-IMP-EXP'!BJ$1&amp;'MIN-IMP-EXP'!BJ$3,'Energy Balance'!$D$4:$W$4&amp;'Energy Balance'!$D$6:$W$6,0))/1000*INDEX('Energy Balance'!$Z$7:$AJ$155,MATCH($B15,'Energy Balance'!$A$7:$A$155,0),MATCH(BJ$2,'Energy Balance'!$Z$5:$AJ$5,0))</f>
        <v>0</v>
      </c>
      <c r="BK15" s="467" cm="1">
        <f t="array" ref="BK15">INDEX('Energy Balance'!$D$7:$W$154,MATCH('MIN-IMP-EXP'!$B15,'Energy Balance'!$A$7:$A$154,0),MATCH('MIN-IMP-EXP'!BK$1&amp;'MIN-IMP-EXP'!BK$3,'Energy Balance'!$D$4:$W$4&amp;'Energy Balance'!$D$6:$W$6,0))/1000*INDEX('Energy Balance'!$Z$7:$AJ$155,MATCH($B15,'Energy Balance'!$A$7:$A$155,0),MATCH(BK$2,'Energy Balance'!$Z$5:$AJ$5,0))</f>
        <v>897.01487699999996</v>
      </c>
      <c r="BL15" s="467" cm="1">
        <f t="array" ref="BL15">INDEX('Energy Balance'!$D$7:$W$154,MATCH('MIN-IMP-EXP'!$B15,'Energy Balance'!$A$7:$A$154,0),MATCH('MIN-IMP-EXP'!BL$1&amp;'MIN-IMP-EXP'!BL$3,'Energy Balance'!$D$4:$W$4&amp;'Energy Balance'!$D$6:$W$6,0))/1000*INDEX('Energy Balance'!$Z$7:$AJ$155,MATCH($B15,'Energy Balance'!$A$7:$A$155,0),MATCH(BL$2,'Energy Balance'!$Z$5:$AJ$5,0))</f>
        <v>0</v>
      </c>
      <c r="BM15" s="437">
        <v>4</v>
      </c>
      <c r="BP15" s="437"/>
      <c r="BQ15" s="437"/>
      <c r="BR15" s="437"/>
    </row>
    <row r="16" spans="2:70" ht="14.4">
      <c r="B16" s="8" t="str">
        <f>Processes!D15</f>
        <v>IMPLPG</v>
      </c>
      <c r="C16" s="8" t="str">
        <f>Processes!E15</f>
        <v>Import technology - Liquid petrol gas</v>
      </c>
      <c r="D16" s="67"/>
      <c r="E16" s="67" t="str">
        <f t="shared" si="5"/>
        <v>LPG</v>
      </c>
      <c r="F16" s="387" t="str">
        <f t="shared" si="6"/>
        <v>MKr14</v>
      </c>
      <c r="G16" s="330">
        <f t="shared" si="1"/>
        <v>88.8</v>
      </c>
      <c r="H16" s="330">
        <f t="shared" si="1"/>
        <v>92.2</v>
      </c>
      <c r="I16" s="330">
        <f t="shared" si="1"/>
        <v>110.2</v>
      </c>
      <c r="J16" s="330">
        <f t="shared" si="1"/>
        <v>108.4</v>
      </c>
      <c r="K16" s="330">
        <f t="shared" si="1"/>
        <v>91.4</v>
      </c>
      <c r="L16" s="330">
        <f t="shared" si="1"/>
        <v>88</v>
      </c>
      <c r="M16" s="330">
        <f t="shared" si="1"/>
        <v>73.599999999999994</v>
      </c>
      <c r="N16" s="330">
        <f t="shared" si="1"/>
        <v>73.8</v>
      </c>
      <c r="O16" s="330">
        <f t="shared" si="1"/>
        <v>106.84436676370051</v>
      </c>
      <c r="P16" s="330">
        <f t="shared" si="1"/>
        <v>68.522022481240924</v>
      </c>
      <c r="Q16" s="330">
        <f t="shared" si="2"/>
        <v>66.795699972964513</v>
      </c>
      <c r="R16" s="330">
        <f t="shared" si="2"/>
        <v>63.050580050876398</v>
      </c>
      <c r="S16" s="330">
        <f t="shared" si="2"/>
        <v>65.525097243083792</v>
      </c>
      <c r="T16" s="330">
        <f t="shared" si="2"/>
        <v>66.735376625750931</v>
      </c>
      <c r="U16" s="330">
        <f t="shared" si="2"/>
        <v>67.134247840724143</v>
      </c>
      <c r="V16" s="330">
        <f t="shared" si="2"/>
        <v>67.01216692582733</v>
      </c>
      <c r="W16" s="330">
        <f t="shared" si="2"/>
        <v>66.935278408608127</v>
      </c>
      <c r="X16" s="330">
        <f t="shared" si="2"/>
        <v>66.885894172463338</v>
      </c>
      <c r="Y16" s="330">
        <f t="shared" si="2"/>
        <v>66.843599180906921</v>
      </c>
      <c r="Z16" s="330">
        <f t="shared" si="2"/>
        <v>66.828440496044607</v>
      </c>
      <c r="AA16" s="330">
        <f t="shared" si="3"/>
        <v>66.824305220819767</v>
      </c>
      <c r="AB16" s="330">
        <f t="shared" si="3"/>
        <v>66.916476676296767</v>
      </c>
      <c r="AC16" s="330">
        <f t="shared" si="3"/>
        <v>67.008648131773768</v>
      </c>
      <c r="AD16" s="330">
        <f t="shared" si="3"/>
        <v>67.100819587250754</v>
      </c>
      <c r="AE16" s="330">
        <f t="shared" si="3"/>
        <v>67.192991042727741</v>
      </c>
      <c r="AF16" s="330">
        <f t="shared" si="3"/>
        <v>67.285162498204755</v>
      </c>
      <c r="AG16" s="330">
        <f t="shared" si="3"/>
        <v>67.377333953681756</v>
      </c>
      <c r="AH16" s="330">
        <f t="shared" si="3"/>
        <v>67.469505409158728</v>
      </c>
      <c r="AI16" s="330">
        <f t="shared" si="3"/>
        <v>67.561676864635729</v>
      </c>
      <c r="AJ16" s="330">
        <f t="shared" si="3"/>
        <v>67.653848320112701</v>
      </c>
      <c r="AK16" s="330">
        <f t="shared" si="4"/>
        <v>67.746019775589701</v>
      </c>
      <c r="AL16" s="330">
        <f t="shared" si="4"/>
        <v>67.838191231066702</v>
      </c>
      <c r="AM16" s="330">
        <f t="shared" si="4"/>
        <v>67.930362686543688</v>
      </c>
      <c r="AN16" s="330">
        <f t="shared" si="4"/>
        <v>68.022534142020675</v>
      </c>
      <c r="AO16" s="330">
        <f t="shared" si="4"/>
        <v>68.114705597497675</v>
      </c>
      <c r="AP16" s="330">
        <f t="shared" si="4"/>
        <v>68.206877052974676</v>
      </c>
      <c r="AQ16" s="330">
        <f t="shared" si="4"/>
        <v>68.299048508451676</v>
      </c>
      <c r="AR16" s="330">
        <f t="shared" si="4"/>
        <v>68.391219963928648</v>
      </c>
      <c r="AS16" s="330">
        <f t="shared" si="4"/>
        <v>68.483391419405663</v>
      </c>
      <c r="AT16" s="330">
        <f t="shared" si="4"/>
        <v>68.575562874882635</v>
      </c>
      <c r="AU16" s="330">
        <f t="shared" si="4"/>
        <v>68.66773433035965</v>
      </c>
      <c r="AV16" s="331">
        <v>5</v>
      </c>
      <c r="AW16" s="467" cm="1">
        <f t="array" ref="AW16">INDEX('Energy Balance'!$D$7:$W$154,MATCH('MIN-IMP-EXP'!$B16,'Energy Balance'!$A$7:$A$154,0),MATCH('MIN-IMP-EXP'!AW$1&amp;'MIN-IMP-EXP'!AW$3,'Energy Balance'!$D$4:$W$4&amp;'Energy Balance'!$D$6:$W$6,0))/1000*INDEX('Energy Balance'!$Z$7:$AJ$155,MATCH($B16,'Energy Balance'!$A$7:$A$155,0),MATCH(AW$2,'Energy Balance'!$Z$5:$AJ$5,0))</f>
        <v>1.5169672697776129</v>
      </c>
      <c r="AX16" s="467" cm="1">
        <f t="array" ref="AX16">INDEX('Energy Balance'!$D$7:$W$154,MATCH('MIN-IMP-EXP'!$B16,'Energy Balance'!$A$7:$A$154,0),MATCH('MIN-IMP-EXP'!AX$1&amp;'MIN-IMP-EXP'!AX$3,'Energy Balance'!$D$4:$W$4&amp;'Energy Balance'!$D$6:$W$6,0))/1000*INDEX('Energy Balance'!$Z$7:$AJ$155,MATCH($B16,'Energy Balance'!$A$7:$A$155,0),MATCH(AX$2,'Energy Balance'!$Z$5:$AJ$5,0))</f>
        <v>3.7494238490500313</v>
      </c>
      <c r="AY16" s="467" cm="1">
        <f t="array" ref="AY16">INDEX('Energy Balance'!$D$7:$W$154,MATCH('MIN-IMP-EXP'!$B16,'Energy Balance'!$A$7:$A$154,0),MATCH('MIN-IMP-EXP'!AY$1&amp;'MIN-IMP-EXP'!AY$3,'Energy Balance'!$D$4:$W$4&amp;'Energy Balance'!$D$6:$W$6,0))/1000*INDEX('Energy Balance'!$Z$7:$AJ$155,MATCH($B16,'Energy Balance'!$A$7:$A$155,0),MATCH(AY$2,'Energy Balance'!$Z$5:$AJ$5,0))</f>
        <v>31.741021290861838</v>
      </c>
      <c r="AZ16" s="467" cm="1">
        <f t="array" ref="AZ16">INDEX('Energy Balance'!$D$7:$W$154,MATCH('MIN-IMP-EXP'!$B16,'Energy Balance'!$A$7:$A$154,0),MATCH('MIN-IMP-EXP'!AZ$1&amp;'MIN-IMP-EXP'!AZ$3,'Energy Balance'!$D$4:$W$4&amp;'Energy Balance'!$D$6:$W$6,0))/1000*INDEX('Energy Balance'!$Z$7:$AJ$155,MATCH($B16,'Energy Balance'!$A$7:$A$155,0),MATCH(AZ$2,'Energy Balance'!$Z$5:$AJ$5,0))</f>
        <v>10.529087590310516</v>
      </c>
      <c r="BA16" s="467" cm="1">
        <f t="array" ref="BA16">INDEX('Energy Balance'!$D$7:$W$154,MATCH('MIN-IMP-EXP'!$B16,'Energy Balance'!$A$7:$A$154,0),MATCH('MIN-IMP-EXP'!BA$1&amp;'MIN-IMP-EXP'!BA$3,'Energy Balance'!$D$4:$W$4&amp;'Energy Balance'!$D$6:$W$6,0))/1000*INDEX('Energy Balance'!$Z$7:$AJ$155,MATCH($B16,'Energy Balance'!$A$7:$A$155,0),MATCH(BA$2,'Energy Balance'!$Z$5:$AJ$5,0))</f>
        <v>1.5094201689329481</v>
      </c>
      <c r="BB16" s="467" cm="1">
        <f t="array" ref="BB16">INDEX('Energy Balance'!$D$7:$W$154,MATCH('MIN-IMP-EXP'!$B16,'Energy Balance'!$A$7:$A$154,0),MATCH('MIN-IMP-EXP'!BB$1&amp;'MIN-IMP-EXP'!BB$3,'Energy Balance'!$D$4:$W$4&amp;'Energy Balance'!$D$6:$W$6,0))/1000*INDEX('Energy Balance'!$Z$7:$AJ$155,MATCH($B16,'Energy Balance'!$A$7:$A$155,0),MATCH(BB$2,'Energy Balance'!$Z$5:$AJ$5,0))</f>
        <v>3.7307699990547576</v>
      </c>
      <c r="BC16" s="467" cm="1">
        <f t="array" ref="BC16">INDEX('Energy Balance'!$D$7:$W$154,MATCH('MIN-IMP-EXP'!$B16,'Energy Balance'!$A$7:$A$154,0),MATCH('MIN-IMP-EXP'!BC$1&amp;'MIN-IMP-EXP'!BC$3,'Energy Balance'!$D$4:$W$4&amp;'Energy Balance'!$D$6:$W$6,0))/1000*INDEX('Energy Balance'!$Z$7:$AJ$155,MATCH($B16,'Energy Balance'!$A$7:$A$155,0),MATCH(BC$2,'Energy Balance'!$Z$5:$AJ$5,0))</f>
        <v>31.583105762051581</v>
      </c>
      <c r="BD16" s="467" cm="1">
        <f t="array" ref="BD16">INDEX('Energy Balance'!$D$7:$W$154,MATCH('MIN-IMP-EXP'!$B16,'Energy Balance'!$A$7:$A$154,0),MATCH('MIN-IMP-EXP'!BD$1&amp;'MIN-IMP-EXP'!BD$3,'Energy Balance'!$D$4:$W$4&amp;'Energy Balance'!$D$6:$W$6,0))/1000*INDEX('Energy Balance'!$Z$7:$AJ$155,MATCH($B16,'Energy Balance'!$A$7:$A$155,0),MATCH(BD$2,'Energy Balance'!$Z$5:$AJ$5,0))</f>
        <v>10.476704069960713</v>
      </c>
      <c r="BE16" s="467" cm="1">
        <f t="array" ref="BE16">INDEX('Energy Balance'!$D$7:$W$154,MATCH('MIN-IMP-EXP'!$B16,'Energy Balance'!$A$7:$A$154,0),MATCH('MIN-IMP-EXP'!BE$1&amp;'MIN-IMP-EXP'!BE$3,'Energy Balance'!$D$4:$W$4&amp;'Energy Balance'!$D$6:$W$6,0))/1000*INDEX('Energy Balance'!$Z$7:$AJ$155,MATCH($B16,'Energy Balance'!$A$7:$A$155,0),MATCH(BE$2,'Energy Balance'!$Z$5:$AJ$5,0))</f>
        <v>1.5758346563659982</v>
      </c>
      <c r="BF16" s="467" cm="1">
        <f t="array" ref="BF16">INDEX('Energy Balance'!$D$7:$W$154,MATCH('MIN-IMP-EXP'!$B16,'Energy Balance'!$A$7:$A$154,0),MATCH('MIN-IMP-EXP'!BF$1&amp;'MIN-IMP-EXP'!BF$3,'Energy Balance'!$D$4:$W$4&amp;'Energy Balance'!$D$6:$W$6,0))/1000*INDEX('Energy Balance'!$Z$7:$AJ$155,MATCH($B16,'Energy Balance'!$A$7:$A$155,0),MATCH(BF$2,'Energy Balance'!$Z$5:$AJ$5,0))</f>
        <v>3.8949238790131679</v>
      </c>
      <c r="BG16" s="467" cm="1">
        <f t="array" ref="BG16">INDEX('Energy Balance'!$D$7:$W$154,MATCH('MIN-IMP-EXP'!$B16,'Energy Balance'!$A$7:$A$154,0),MATCH('MIN-IMP-EXP'!BG$1&amp;'MIN-IMP-EXP'!BG$3,'Energy Balance'!$D$4:$W$4&amp;'Energy Balance'!$D$6:$W$6,0))/1000*INDEX('Energy Balance'!$Z$7:$AJ$155,MATCH($B16,'Energy Balance'!$A$7:$A$155,0),MATCH(BG$2,'Energy Balance'!$Z$5:$AJ$5,0))</f>
        <v>32.972762415581855</v>
      </c>
      <c r="BH16" s="467" cm="1">
        <f t="array" ref="BH16">INDEX('Energy Balance'!$D$7:$W$154,MATCH('MIN-IMP-EXP'!$B16,'Energy Balance'!$A$7:$A$154,0),MATCH('MIN-IMP-EXP'!BH$1&amp;'MIN-IMP-EXP'!BH$3,'Energy Balance'!$D$4:$W$4&amp;'Energy Balance'!$D$6:$W$6,0))/1000*INDEX('Energy Balance'!$Z$7:$AJ$155,MATCH($B16,'Energy Balance'!$A$7:$A$155,0),MATCH(BH$2,'Energy Balance'!$Z$5:$AJ$5,0))</f>
        <v>10.937679049038987</v>
      </c>
      <c r="BI16" s="467" cm="1">
        <f t="array" ref="BI16">INDEX('Energy Balance'!$D$7:$W$154,MATCH('MIN-IMP-EXP'!$B16,'Energy Balance'!$A$7:$A$154,0),MATCH('MIN-IMP-EXP'!BI$1&amp;'MIN-IMP-EXP'!BI$3,'Energy Balance'!$D$4:$W$4&amp;'Energy Balance'!$D$6:$W$6,0))/1000*INDEX('Energy Balance'!$Z$7:$AJ$155,MATCH($B16,'Energy Balance'!$A$7:$A$155,0),MATCH(BI$2,'Energy Balance'!$Z$5:$AJ$5,0))</f>
        <v>1.6588839114096332</v>
      </c>
      <c r="BJ16" s="467" cm="1">
        <f t="array" ref="BJ16">INDEX('Energy Balance'!$D$7:$W$154,MATCH('MIN-IMP-EXP'!$B16,'Energy Balance'!$A$7:$A$154,0),MATCH('MIN-IMP-EXP'!BJ$1&amp;'MIN-IMP-EXP'!BJ$3,'Energy Balance'!$D$4:$W$4&amp;'Energy Balance'!$D$6:$W$6,0))/1000*INDEX('Energy Balance'!$Z$7:$AJ$155,MATCH($B16,'Energy Balance'!$A$7:$A$155,0),MATCH(BJ$2,'Energy Balance'!$Z$5:$AJ$5,0))</f>
        <v>4.10019321060006</v>
      </c>
      <c r="BK16" s="467" cm="1">
        <f t="array" ref="BK16">INDEX('Energy Balance'!$D$7:$W$154,MATCH('MIN-IMP-EXP'!$B16,'Energy Balance'!$A$7:$A$154,0),MATCH('MIN-IMP-EXP'!BK$1&amp;'MIN-IMP-EXP'!BK$3,'Energy Balance'!$D$4:$W$4&amp;'Energy Balance'!$D$6:$W$6,0))/1000*INDEX('Energy Balance'!$Z$7:$AJ$155,MATCH($B16,'Energy Balance'!$A$7:$A$155,0),MATCH(BK$2,'Energy Balance'!$Z$5:$AJ$5,0))</f>
        <v>34.710484926178069</v>
      </c>
      <c r="BL16" s="467" cm="1">
        <f t="array" ref="BL16">INDEX('Energy Balance'!$D$7:$W$154,MATCH('MIN-IMP-EXP'!$B16,'Energy Balance'!$A$7:$A$154,0),MATCH('MIN-IMP-EXP'!BL$1&amp;'MIN-IMP-EXP'!BL$3,'Energy Balance'!$D$4:$W$4&amp;'Energy Balance'!$D$6:$W$6,0))/1000*INDEX('Energy Balance'!$Z$7:$AJ$155,MATCH($B16,'Energy Balance'!$A$7:$A$155,0),MATCH(BL$2,'Energy Balance'!$Z$5:$AJ$5,0))</f>
        <v>11.514113951812243</v>
      </c>
      <c r="BM16" s="437">
        <v>4</v>
      </c>
    </row>
    <row r="17" spans="2:65" ht="14.4">
      <c r="B17" s="8" t="str">
        <f>Processes!D16</f>
        <v>IMPLVN</v>
      </c>
      <c r="C17" s="8" t="str">
        <f>Processes!E16</f>
        <v>Import technology - Naphtha (Petroleoum)</v>
      </c>
      <c r="D17" s="67"/>
      <c r="E17" s="67" t="str">
        <f t="shared" si="5"/>
        <v>LVN</v>
      </c>
      <c r="F17" s="387" t="str">
        <f t="shared" si="6"/>
        <v>MKr14</v>
      </c>
      <c r="G17" s="330">
        <f t="shared" ref="G17:P26" si="7">IFERROR(INDEX($G$121:$AU$176,MATCH($E17,$E$121:$E$176,0),MATCH(G$6,$G$120:$AU$120,0)),0)</f>
        <v>88.8</v>
      </c>
      <c r="H17" s="330">
        <f t="shared" si="7"/>
        <v>92.2</v>
      </c>
      <c r="I17" s="330">
        <f t="shared" si="7"/>
        <v>110.2</v>
      </c>
      <c r="J17" s="330">
        <f t="shared" si="7"/>
        <v>108.4</v>
      </c>
      <c r="K17" s="330">
        <f t="shared" si="7"/>
        <v>91.4</v>
      </c>
      <c r="L17" s="330">
        <f t="shared" si="7"/>
        <v>88</v>
      </c>
      <c r="M17" s="330">
        <f t="shared" si="7"/>
        <v>73.599999999999994</v>
      </c>
      <c r="N17" s="330">
        <f t="shared" si="7"/>
        <v>73.8</v>
      </c>
      <c r="O17" s="330">
        <f t="shared" si="7"/>
        <v>106.84436676370051</v>
      </c>
      <c r="P17" s="330">
        <f t="shared" si="7"/>
        <v>68.522022481240924</v>
      </c>
      <c r="Q17" s="330">
        <f t="shared" ref="Q17:Z26" si="8">IFERROR(INDEX($G$121:$AU$176,MATCH($E17,$E$121:$E$176,0),MATCH(Q$6,$G$120:$AU$120,0)),0)</f>
        <v>66.795699972964513</v>
      </c>
      <c r="R17" s="330">
        <f t="shared" si="8"/>
        <v>63.050580050876398</v>
      </c>
      <c r="S17" s="330">
        <f t="shared" si="8"/>
        <v>65.525097243083792</v>
      </c>
      <c r="T17" s="330">
        <f t="shared" si="8"/>
        <v>66.735376625750931</v>
      </c>
      <c r="U17" s="330">
        <f t="shared" si="8"/>
        <v>67.134247840724143</v>
      </c>
      <c r="V17" s="330">
        <f t="shared" si="8"/>
        <v>67.01216692582733</v>
      </c>
      <c r="W17" s="330">
        <f t="shared" si="8"/>
        <v>66.935278408608127</v>
      </c>
      <c r="X17" s="330">
        <f t="shared" si="8"/>
        <v>66.885894172463338</v>
      </c>
      <c r="Y17" s="330">
        <f t="shared" si="8"/>
        <v>66.843599180906921</v>
      </c>
      <c r="Z17" s="330">
        <f t="shared" si="8"/>
        <v>66.828440496044607</v>
      </c>
      <c r="AA17" s="330">
        <f t="shared" ref="AA17:AJ26" si="9">IFERROR(INDEX($G$121:$AU$176,MATCH($E17,$E$121:$E$176,0),MATCH(AA$6,$G$120:$AU$120,0)),0)</f>
        <v>66.824305220819767</v>
      </c>
      <c r="AB17" s="330">
        <f t="shared" si="9"/>
        <v>66.916476676296767</v>
      </c>
      <c r="AC17" s="330">
        <f t="shared" si="9"/>
        <v>67.008648131773768</v>
      </c>
      <c r="AD17" s="330">
        <f t="shared" si="9"/>
        <v>67.100819587250754</v>
      </c>
      <c r="AE17" s="330">
        <f t="shared" si="9"/>
        <v>67.192991042727741</v>
      </c>
      <c r="AF17" s="330">
        <f t="shared" si="9"/>
        <v>67.285162498204755</v>
      </c>
      <c r="AG17" s="330">
        <f t="shared" si="9"/>
        <v>67.377333953681756</v>
      </c>
      <c r="AH17" s="330">
        <f t="shared" si="9"/>
        <v>67.469505409158728</v>
      </c>
      <c r="AI17" s="330">
        <f t="shared" si="9"/>
        <v>67.561676864635729</v>
      </c>
      <c r="AJ17" s="330">
        <f t="shared" si="9"/>
        <v>67.653848320112701</v>
      </c>
      <c r="AK17" s="330">
        <f t="shared" ref="AK17:AU26" si="10">IFERROR(INDEX($G$121:$AU$176,MATCH($E17,$E$121:$E$176,0),MATCH(AK$6,$G$120:$AU$120,0)),0)</f>
        <v>67.746019775589701</v>
      </c>
      <c r="AL17" s="330">
        <f t="shared" si="10"/>
        <v>67.838191231066702</v>
      </c>
      <c r="AM17" s="330">
        <f t="shared" si="10"/>
        <v>67.930362686543688</v>
      </c>
      <c r="AN17" s="330">
        <f t="shared" si="10"/>
        <v>68.022534142020675</v>
      </c>
      <c r="AO17" s="330">
        <f t="shared" si="10"/>
        <v>68.114705597497675</v>
      </c>
      <c r="AP17" s="330">
        <f t="shared" si="10"/>
        <v>68.206877052974676</v>
      </c>
      <c r="AQ17" s="330">
        <f t="shared" si="10"/>
        <v>68.299048508451676</v>
      </c>
      <c r="AR17" s="330">
        <f t="shared" si="10"/>
        <v>68.391219963928648</v>
      </c>
      <c r="AS17" s="330">
        <f t="shared" si="10"/>
        <v>68.483391419405663</v>
      </c>
      <c r="AT17" s="330">
        <f t="shared" si="10"/>
        <v>68.575562874882635</v>
      </c>
      <c r="AU17" s="330">
        <f t="shared" si="10"/>
        <v>68.66773433035965</v>
      </c>
      <c r="AV17" s="331">
        <v>5</v>
      </c>
      <c r="AW17" s="467" cm="1">
        <f t="array" ref="AW17">INDEX('Energy Balance'!$D$7:$W$154,MATCH('MIN-IMP-EXP'!$B17,'Energy Balance'!$A$7:$A$154,0),MATCH('MIN-IMP-EXP'!AW$1&amp;'MIN-IMP-EXP'!AW$3,'Energy Balance'!$D$4:$W$4&amp;'Energy Balance'!$D$6:$W$6,0))/1000*INDEX('Energy Balance'!$Z$7:$AJ$155,MATCH($B17,'Energy Balance'!$A$7:$A$155,0),MATCH(AW$2,'Energy Balance'!$Z$5:$AJ$5,0))</f>
        <v>0.72849467920688804</v>
      </c>
      <c r="AX17" s="467" cm="1">
        <f t="array" ref="AX17">INDEX('Energy Balance'!$D$7:$W$154,MATCH('MIN-IMP-EXP'!$B17,'Energy Balance'!$A$7:$A$154,0),MATCH('MIN-IMP-EXP'!AX$1&amp;'MIN-IMP-EXP'!AX$3,'Energy Balance'!$D$4:$W$4&amp;'Energy Balance'!$D$6:$W$6,0))/1000*INDEX('Energy Balance'!$Z$7:$AJ$155,MATCH($B17,'Energy Balance'!$A$7:$A$155,0),MATCH(AX$2,'Energy Balance'!$Z$5:$AJ$5,0))</f>
        <v>1.8005894909814277</v>
      </c>
      <c r="AY17" s="467" cm="1">
        <f t="array" ref="AY17">INDEX('Energy Balance'!$D$7:$W$154,MATCH('MIN-IMP-EXP'!$B17,'Energy Balance'!$A$7:$A$154,0),MATCH('MIN-IMP-EXP'!AY$1&amp;'MIN-IMP-EXP'!AY$3,'Energy Balance'!$D$4:$W$4&amp;'Energy Balance'!$D$6:$W$6,0))/1000*INDEX('Energy Balance'!$Z$7:$AJ$155,MATCH($B17,'Energy Balance'!$A$7:$A$155,0),MATCH(AY$2,'Energy Balance'!$Z$5:$AJ$5,0))</f>
        <v>15.24302177355168</v>
      </c>
      <c r="AZ17" s="467" cm="1">
        <f t="array" ref="AZ17">INDEX('Energy Balance'!$D$7:$W$154,MATCH('MIN-IMP-EXP'!$B17,'Energy Balance'!$A$7:$A$154,0),MATCH('MIN-IMP-EXP'!AZ$1&amp;'MIN-IMP-EXP'!AZ$3,'Energy Balance'!$D$4:$W$4&amp;'Energy Balance'!$D$6:$W$6,0))/1000*INDEX('Energy Balance'!$Z$7:$AJ$155,MATCH($B17,'Energy Balance'!$A$7:$A$155,0),MATCH(AZ$2,'Energy Balance'!$Z$5:$AJ$5,0))</f>
        <v>5.0563940562600029</v>
      </c>
      <c r="BA17" s="467" cm="1">
        <f t="array" ref="BA17">INDEX('Energy Balance'!$D$7:$W$154,MATCH('MIN-IMP-EXP'!$B17,'Energy Balance'!$A$7:$A$154,0),MATCH('MIN-IMP-EXP'!BA$1&amp;'MIN-IMP-EXP'!BA$3,'Energy Balance'!$D$4:$W$4&amp;'Energy Balance'!$D$6:$W$6,0))/1000*INDEX('Energy Balance'!$Z$7:$AJ$155,MATCH($B17,'Energy Balance'!$A$7:$A$155,0),MATCH(BA$2,'Energy Balance'!$Z$5:$AJ$5,0))</f>
        <v>0.51690460668870819</v>
      </c>
      <c r="BB17" s="467" cm="1">
        <f t="array" ref="BB17">INDEX('Energy Balance'!$D$7:$W$154,MATCH('MIN-IMP-EXP'!$B17,'Energy Balance'!$A$7:$A$154,0),MATCH('MIN-IMP-EXP'!BB$1&amp;'MIN-IMP-EXP'!BB$3,'Energy Balance'!$D$4:$W$4&amp;'Energy Balance'!$D$6:$W$6,0))/1000*INDEX('Energy Balance'!$Z$7:$AJ$155,MATCH($B17,'Energy Balance'!$A$7:$A$155,0),MATCH(BB$2,'Energy Balance'!$Z$5:$AJ$5,0))</f>
        <v>1.2776112567587521</v>
      </c>
      <c r="BC17" s="467" cm="1">
        <f t="array" ref="BC17">INDEX('Energy Balance'!$D$7:$W$154,MATCH('MIN-IMP-EXP'!$B17,'Energy Balance'!$A$7:$A$154,0),MATCH('MIN-IMP-EXP'!BC$1&amp;'MIN-IMP-EXP'!BC$3,'Energy Balance'!$D$4:$W$4&amp;'Energy Balance'!$D$6:$W$6,0))/1000*INDEX('Energy Balance'!$Z$7:$AJ$155,MATCH($B17,'Energy Balance'!$A$7:$A$155,0),MATCH(BC$2,'Energy Balance'!$Z$5:$AJ$5,0))</f>
        <v>10.815711355892422</v>
      </c>
      <c r="BD17" s="467" cm="1">
        <f t="array" ref="BD17">INDEX('Energy Balance'!$D$7:$W$154,MATCH('MIN-IMP-EXP'!$B17,'Energy Balance'!$A$7:$A$154,0),MATCH('MIN-IMP-EXP'!BD$1&amp;'MIN-IMP-EXP'!BD$3,'Energy Balance'!$D$4:$W$4&amp;'Energy Balance'!$D$6:$W$6,0))/1000*INDEX('Energy Balance'!$Z$7:$AJ$155,MATCH($B17,'Energy Balance'!$A$7:$A$155,0),MATCH(BD$2,'Energy Balance'!$Z$5:$AJ$5,0))</f>
        <v>3.5877727806601194</v>
      </c>
      <c r="BE17" s="467" cm="1">
        <f t="array" ref="BE17">INDEX('Energy Balance'!$D$7:$W$154,MATCH('MIN-IMP-EXP'!$B17,'Energy Balance'!$A$7:$A$154,0),MATCH('MIN-IMP-EXP'!BE$1&amp;'MIN-IMP-EXP'!BE$3,'Energy Balance'!$D$4:$W$4&amp;'Energy Balance'!$D$6:$W$6,0))/1000*INDEX('Energy Balance'!$Z$7:$AJ$155,MATCH($B17,'Energy Balance'!$A$7:$A$155,0),MATCH(BE$2,'Energy Balance'!$Z$5:$AJ$5,0))</f>
        <v>0.34081622419035701</v>
      </c>
      <c r="BF17" s="467" cm="1">
        <f t="array" ref="BF17">INDEX('Energy Balance'!$D$7:$W$154,MATCH('MIN-IMP-EXP'!$B17,'Energy Balance'!$A$7:$A$154,0),MATCH('MIN-IMP-EXP'!BF$1&amp;'MIN-IMP-EXP'!BF$3,'Energy Balance'!$D$4:$W$4&amp;'Energy Balance'!$D$6:$W$6,0))/1000*INDEX('Energy Balance'!$Z$7:$AJ$155,MATCH($B17,'Energy Balance'!$A$7:$A$155,0),MATCH(BF$2,'Energy Balance'!$Z$5:$AJ$5,0))</f>
        <v>0.84238104841236394</v>
      </c>
      <c r="BG17" s="467" cm="1">
        <f t="array" ref="BG17">INDEX('Energy Balance'!$D$7:$W$154,MATCH('MIN-IMP-EXP'!$B17,'Energy Balance'!$A$7:$A$154,0),MATCH('MIN-IMP-EXP'!BG$1&amp;'MIN-IMP-EXP'!BG$3,'Energy Balance'!$D$4:$W$4&amp;'Energy Balance'!$D$6:$W$6,0))/1000*INDEX('Energy Balance'!$Z$7:$AJ$155,MATCH($B17,'Energy Balance'!$A$7:$A$155,0),MATCH(BG$2,'Energy Balance'!$Z$5:$AJ$5,0))</f>
        <v>7.1312382566323649</v>
      </c>
      <c r="BH17" s="467" cm="1">
        <f t="array" ref="BH17">INDEX('Energy Balance'!$D$7:$W$154,MATCH('MIN-IMP-EXP'!$B17,'Energy Balance'!$A$7:$A$154,0),MATCH('MIN-IMP-EXP'!BH$1&amp;'MIN-IMP-EXP'!BH$3,'Energy Balance'!$D$4:$W$4&amp;'Energy Balance'!$D$6:$W$6,0))/1000*INDEX('Energy Balance'!$Z$7:$AJ$155,MATCH($B17,'Energy Balance'!$A$7:$A$155,0),MATCH(BH$2,'Energy Balance'!$Z$5:$AJ$5,0))</f>
        <v>2.3655644707649137</v>
      </c>
      <c r="BI17" s="467" cm="1">
        <f t="array" ref="BI17">INDEX('Energy Balance'!$D$7:$W$154,MATCH('MIN-IMP-EXP'!$B17,'Energy Balance'!$A$7:$A$154,0),MATCH('MIN-IMP-EXP'!BI$1&amp;'MIN-IMP-EXP'!BI$3,'Energy Balance'!$D$4:$W$4&amp;'Energy Balance'!$D$6:$W$6,0))/1000*INDEX('Energy Balance'!$Z$7:$AJ$155,MATCH($B17,'Energy Balance'!$A$7:$A$155,0),MATCH(BI$2,'Energy Balance'!$Z$5:$AJ$5,0))</f>
        <v>0.81437807006539176</v>
      </c>
      <c r="BJ17" s="467" cm="1">
        <f t="array" ref="BJ17">INDEX('Energy Balance'!$D$7:$W$154,MATCH('MIN-IMP-EXP'!$B17,'Energy Balance'!$A$7:$A$154,0),MATCH('MIN-IMP-EXP'!BJ$1&amp;'MIN-IMP-EXP'!BJ$3,'Energy Balance'!$D$4:$W$4&amp;'Energy Balance'!$D$6:$W$6,0))/1000*INDEX('Energy Balance'!$Z$7:$AJ$155,MATCH($B17,'Energy Balance'!$A$7:$A$155,0),MATCH(BJ$2,'Energy Balance'!$Z$5:$AJ$5,0))</f>
        <v>2.0128638362079836</v>
      </c>
      <c r="BK17" s="467" cm="1">
        <f t="array" ref="BK17">INDEX('Energy Balance'!$D$7:$W$154,MATCH('MIN-IMP-EXP'!$B17,'Energy Balance'!$A$7:$A$154,0),MATCH('MIN-IMP-EXP'!BK$1&amp;'MIN-IMP-EXP'!BK$3,'Energy Balance'!$D$4:$W$4&amp;'Energy Balance'!$D$6:$W$6,0))/1000*INDEX('Energy Balance'!$Z$7:$AJ$155,MATCH($B17,'Energy Balance'!$A$7:$A$155,0),MATCH(BK$2,'Energy Balance'!$Z$5:$AJ$5,0))</f>
        <v>17.040045738459511</v>
      </c>
      <c r="BL17" s="467" cm="1">
        <f t="array" ref="BL17">INDEX('Energy Balance'!$D$7:$W$154,MATCH('MIN-IMP-EXP'!$B17,'Energy Balance'!$A$7:$A$154,0),MATCH('MIN-IMP-EXP'!BL$1&amp;'MIN-IMP-EXP'!BL$3,'Energy Balance'!$D$4:$W$4&amp;'Energy Balance'!$D$6:$W$6,0))/1000*INDEX('Energy Balance'!$Z$7:$AJ$155,MATCH($B17,'Energy Balance'!$A$7:$A$155,0),MATCH(BL$2,'Energy Balance'!$Z$5:$AJ$5,0))</f>
        <v>5.652500355267116</v>
      </c>
      <c r="BM17" s="437">
        <v>4</v>
      </c>
    </row>
    <row r="18" spans="2:65" ht="14.4">
      <c r="B18" s="8" t="str">
        <f>Processes!D17</f>
        <v>IMPGSL</v>
      </c>
      <c r="C18" s="8" t="str">
        <f>Processes!E17</f>
        <v>Import technology - Gasoline</v>
      </c>
      <c r="D18" s="67"/>
      <c r="E18" s="67" t="str">
        <f t="shared" si="5"/>
        <v>GSL</v>
      </c>
      <c r="F18" s="387" t="str">
        <f t="shared" si="6"/>
        <v>MKr19</v>
      </c>
      <c r="G18" s="330">
        <f t="shared" si="7"/>
        <v>92.8</v>
      </c>
      <c r="H18" s="330">
        <f t="shared" si="7"/>
        <v>122.9</v>
      </c>
      <c r="I18" s="330">
        <f t="shared" si="7"/>
        <v>136.69999999999999</v>
      </c>
      <c r="J18" s="330">
        <f t="shared" si="7"/>
        <v>122</v>
      </c>
      <c r="K18" s="330">
        <f t="shared" si="7"/>
        <v>114.8</v>
      </c>
      <c r="L18" s="330">
        <f t="shared" si="7"/>
        <v>78.2</v>
      </c>
      <c r="M18" s="330">
        <f t="shared" si="7"/>
        <v>75.3</v>
      </c>
      <c r="N18" s="330">
        <f t="shared" si="7"/>
        <v>79.400000000000006</v>
      </c>
      <c r="O18" s="330">
        <f t="shared" si="7"/>
        <v>102.40107579472352</v>
      </c>
      <c r="P18" s="330">
        <f t="shared" si="7"/>
        <v>97.746963615472367</v>
      </c>
      <c r="Q18" s="330">
        <f t="shared" si="8"/>
        <v>96.267025086546809</v>
      </c>
      <c r="R18" s="330">
        <f t="shared" si="8"/>
        <v>74.282939675183428</v>
      </c>
      <c r="S18" s="330">
        <f t="shared" si="8"/>
        <v>77.691438545887451</v>
      </c>
      <c r="T18" s="330">
        <f t="shared" si="8"/>
        <v>80.014522441042786</v>
      </c>
      <c r="U18" s="330">
        <f t="shared" si="8"/>
        <v>81.712731586007934</v>
      </c>
      <c r="V18" s="330">
        <f t="shared" si="8"/>
        <v>82.949209412536121</v>
      </c>
      <c r="W18" s="330">
        <f t="shared" si="8"/>
        <v>84.314672750845261</v>
      </c>
      <c r="X18" s="330">
        <f t="shared" si="8"/>
        <v>85.652811517689884</v>
      </c>
      <c r="Y18" s="330">
        <f t="shared" si="8"/>
        <v>86.883932814730045</v>
      </c>
      <c r="Z18" s="330">
        <f t="shared" si="8"/>
        <v>88.17668470166312</v>
      </c>
      <c r="AA18" s="330">
        <f t="shared" si="9"/>
        <v>89.399874602600562</v>
      </c>
      <c r="AB18" s="330">
        <f t="shared" si="9"/>
        <v>89.093730840397711</v>
      </c>
      <c r="AC18" s="330">
        <f t="shared" si="9"/>
        <v>88.786854893898322</v>
      </c>
      <c r="AD18" s="330">
        <f t="shared" si="9"/>
        <v>88.481245986171288</v>
      </c>
      <c r="AE18" s="330">
        <f t="shared" si="9"/>
        <v>88.174869481157842</v>
      </c>
      <c r="AF18" s="330">
        <f t="shared" si="9"/>
        <v>87.868589672609204</v>
      </c>
      <c r="AG18" s="330">
        <f t="shared" si="9"/>
        <v>87.561383985383955</v>
      </c>
      <c r="AH18" s="330">
        <f t="shared" si="9"/>
        <v>87.255260877276157</v>
      </c>
      <c r="AI18" s="330">
        <f t="shared" si="9"/>
        <v>86.948407292957839</v>
      </c>
      <c r="AJ18" s="330">
        <f t="shared" si="9"/>
        <v>86.642482546272987</v>
      </c>
      <c r="AK18" s="330">
        <f t="shared" si="10"/>
        <v>86.336255922780509</v>
      </c>
      <c r="AL18" s="330">
        <f t="shared" si="10"/>
        <v>86.030029803612607</v>
      </c>
      <c r="AM18" s="330">
        <f t="shared" si="10"/>
        <v>85.726964003619855</v>
      </c>
      <c r="AN18" s="330">
        <f t="shared" si="10"/>
        <v>85.423903946081424</v>
      </c>
      <c r="AO18" s="330">
        <f t="shared" si="10"/>
        <v>85.120849638339479</v>
      </c>
      <c r="AP18" s="330">
        <f t="shared" si="10"/>
        <v>84.817801087745465</v>
      </c>
      <c r="AQ18" s="330">
        <f t="shared" si="10"/>
        <v>84.514758301660265</v>
      </c>
      <c r="AR18" s="330">
        <f t="shared" si="10"/>
        <v>84.211721287454196</v>
      </c>
      <c r="AS18" s="330">
        <f t="shared" si="10"/>
        <v>83.908690052506984</v>
      </c>
      <c r="AT18" s="330">
        <f t="shared" si="10"/>
        <v>83.60566460420776</v>
      </c>
      <c r="AU18" s="330">
        <f t="shared" si="10"/>
        <v>83.302644949955152</v>
      </c>
      <c r="AV18" s="331">
        <v>5</v>
      </c>
      <c r="AW18" s="467" cm="1">
        <f t="array" ref="AW18">INDEX('Energy Balance'!$D$7:$W$154,MATCH('MIN-IMP-EXP'!$B18,'Energy Balance'!$A$7:$A$154,0),MATCH('MIN-IMP-EXP'!AW$1&amp;'MIN-IMP-EXP'!AW$3,'Energy Balance'!$D$4:$W$4&amp;'Energy Balance'!$D$6:$W$6,0))/1000*INDEX('Energy Balance'!$Z$7:$AJ$155,MATCH($B18,'Energy Balance'!$A$7:$A$155,0),MATCH(AW$2,'Energy Balance'!$Z$5:$AJ$5,0))</f>
        <v>2.6916567626431536</v>
      </c>
      <c r="AX18" s="467" cm="1">
        <f t="array" ref="AX18">INDEX('Energy Balance'!$D$7:$W$154,MATCH('MIN-IMP-EXP'!$B18,'Energy Balance'!$A$7:$A$154,0),MATCH('MIN-IMP-EXP'!AX$1&amp;'MIN-IMP-EXP'!AX$3,'Energy Balance'!$D$4:$W$4&amp;'Energy Balance'!$D$6:$W$6,0))/1000*INDEX('Energy Balance'!$Z$7:$AJ$155,MATCH($B18,'Energy Balance'!$A$7:$A$155,0),MATCH(AX$2,'Energy Balance'!$Z$5:$AJ$5,0))</f>
        <v>6.6528541916336463</v>
      </c>
      <c r="AY18" s="467" cm="1">
        <f t="array" ref="AY18">INDEX('Energy Balance'!$D$7:$W$154,MATCH('MIN-IMP-EXP'!$B18,'Energy Balance'!$A$7:$A$154,0),MATCH('MIN-IMP-EXP'!AY$1&amp;'MIN-IMP-EXP'!AY$3,'Energy Balance'!$D$4:$W$4&amp;'Energy Balance'!$D$6:$W$6,0))/1000*INDEX('Energy Balance'!$Z$7:$AJ$155,MATCH($B18,'Energy Balance'!$A$7:$A$155,0),MATCH(AY$2,'Energy Balance'!$Z$5:$AJ$5,0))</f>
        <v>56.320222797736093</v>
      </c>
      <c r="AZ18" s="467" cm="1">
        <f t="array" ref="AZ18">INDEX('Energy Balance'!$D$7:$W$154,MATCH('MIN-IMP-EXP'!$B18,'Energy Balance'!$A$7:$A$154,0),MATCH('MIN-IMP-EXP'!AZ$1&amp;'MIN-IMP-EXP'!AZ$3,'Energy Balance'!$D$4:$W$4&amp;'Energy Balance'!$D$6:$W$6,0))/1000*INDEX('Energy Balance'!$Z$7:$AJ$155,MATCH($B18,'Energy Balance'!$A$7:$A$155,0),MATCH(AZ$2,'Energy Balance'!$Z$5:$AJ$5,0))</f>
        <v>18.682466247987112</v>
      </c>
      <c r="BA18" s="467" cm="1">
        <f t="array" ref="BA18">INDEX('Energy Balance'!$D$7:$W$154,MATCH('MIN-IMP-EXP'!$B18,'Energy Balance'!$A$7:$A$154,0),MATCH('MIN-IMP-EXP'!BA$1&amp;'MIN-IMP-EXP'!BA$3,'Energy Balance'!$D$4:$W$4&amp;'Energy Balance'!$D$6:$W$6,0))/1000*INDEX('Energy Balance'!$Z$7:$AJ$155,MATCH($B18,'Energy Balance'!$A$7:$A$155,0),MATCH(BA$2,'Energy Balance'!$Z$5:$AJ$5,0))</f>
        <v>1.741660258180864</v>
      </c>
      <c r="BB18" s="467" cm="1">
        <f t="array" ref="BB18">INDEX('Energy Balance'!$D$7:$W$154,MATCH('MIN-IMP-EXP'!$B18,'Energy Balance'!$A$7:$A$154,0),MATCH('MIN-IMP-EXP'!BB$1&amp;'MIN-IMP-EXP'!BB$3,'Energy Balance'!$D$4:$W$4&amp;'Energy Balance'!$D$6:$W$6,0))/1000*INDEX('Energy Balance'!$Z$7:$AJ$155,MATCH($B18,'Energy Balance'!$A$7:$A$155,0),MATCH(BB$2,'Energy Balance'!$Z$5:$AJ$5,0))</f>
        <v>4.304788006351183</v>
      </c>
      <c r="BC18" s="467" cm="1">
        <f t="array" ref="BC18">INDEX('Energy Balance'!$D$7:$W$154,MATCH('MIN-IMP-EXP'!$B18,'Energy Balance'!$A$7:$A$154,0),MATCH('MIN-IMP-EXP'!BC$1&amp;'MIN-IMP-EXP'!BC$3,'Energy Balance'!$D$4:$W$4&amp;'Energy Balance'!$D$6:$W$6,0))/1000*INDEX('Energy Balance'!$Z$7:$AJ$155,MATCH($B18,'Energy Balance'!$A$7:$A$155,0),MATCH(BC$2,'Energy Balance'!$Z$5:$AJ$5,0))</f>
        <v>36.44249710441747</v>
      </c>
      <c r="BD18" s="467" cm="1">
        <f t="array" ref="BD18">INDEX('Energy Balance'!$D$7:$W$154,MATCH('MIN-IMP-EXP'!$B18,'Energy Balance'!$A$7:$A$154,0),MATCH('MIN-IMP-EXP'!BD$1&amp;'MIN-IMP-EXP'!BD$3,'Energy Balance'!$D$4:$W$4&amp;'Energy Balance'!$D$6:$W$6,0))/1000*INDEX('Energy Balance'!$Z$7:$AJ$155,MATCH($B18,'Energy Balance'!$A$7:$A$155,0),MATCH(BD$2,'Energy Balance'!$Z$5:$AJ$5,0))</f>
        <v>12.088654631050483</v>
      </c>
      <c r="BE18" s="467" cm="1">
        <f t="array" ref="BE18">INDEX('Energy Balance'!$D$7:$W$154,MATCH('MIN-IMP-EXP'!$B18,'Energy Balance'!$A$7:$A$154,0),MATCH('MIN-IMP-EXP'!BE$1&amp;'MIN-IMP-EXP'!BE$3,'Energy Balance'!$D$4:$W$4&amp;'Energy Balance'!$D$6:$W$6,0))/1000*INDEX('Energy Balance'!$Z$7:$AJ$155,MATCH($B18,'Energy Balance'!$A$7:$A$155,0),MATCH(BE$2,'Energy Balance'!$Z$5:$AJ$5,0))</f>
        <v>2.4767766009195409</v>
      </c>
      <c r="BF18" s="467" cm="1">
        <f t="array" ref="BF18">INDEX('Energy Balance'!$D$7:$W$154,MATCH('MIN-IMP-EXP'!$B18,'Energy Balance'!$A$7:$A$154,0),MATCH('MIN-IMP-EXP'!BF$1&amp;'MIN-IMP-EXP'!BF$3,'Energy Balance'!$D$4:$W$4&amp;'Energy Balance'!$D$6:$W$6,0))/1000*INDEX('Energy Balance'!$Z$7:$AJ$155,MATCH($B18,'Energy Balance'!$A$7:$A$155,0),MATCH(BF$2,'Energy Balance'!$Z$5:$AJ$5,0))</f>
        <v>6.1217439830578515</v>
      </c>
      <c r="BG18" s="467" cm="1">
        <f t="array" ref="BG18">INDEX('Energy Balance'!$D$7:$W$154,MATCH('MIN-IMP-EXP'!$B18,'Energy Balance'!$A$7:$A$154,0),MATCH('MIN-IMP-EXP'!BG$1&amp;'MIN-IMP-EXP'!BG$3,'Energy Balance'!$D$4:$W$4&amp;'Energy Balance'!$D$6:$W$6,0))/1000*INDEX('Energy Balance'!$Z$7:$AJ$155,MATCH($B18,'Energy Balance'!$A$7:$A$155,0),MATCH(BG$2,'Energy Balance'!$Z$5:$AJ$5,0))</f>
        <v>51.82407055758069</v>
      </c>
      <c r="BH18" s="467" cm="1">
        <f t="array" ref="BH18">INDEX('Energy Balance'!$D$7:$W$154,MATCH('MIN-IMP-EXP'!$B18,'Energy Balance'!$A$7:$A$154,0),MATCH('MIN-IMP-EXP'!BH$1&amp;'MIN-IMP-EXP'!BH$3,'Energy Balance'!$D$4:$W$4&amp;'Energy Balance'!$D$6:$W$6,0))/1000*INDEX('Energy Balance'!$Z$7:$AJ$155,MATCH($B18,'Energy Balance'!$A$7:$A$155,0),MATCH(BH$2,'Energy Balance'!$Z$5:$AJ$5,0))</f>
        <v>17.191008858441922</v>
      </c>
      <c r="BI18" s="467" cm="1">
        <f t="array" ref="BI18">INDEX('Energy Balance'!$D$7:$W$154,MATCH('MIN-IMP-EXP'!$B18,'Energy Balance'!$A$7:$A$154,0),MATCH('MIN-IMP-EXP'!BI$1&amp;'MIN-IMP-EXP'!BI$3,'Energy Balance'!$D$4:$W$4&amp;'Energy Balance'!$D$6:$W$6,0))/1000*INDEX('Energy Balance'!$Z$7:$AJ$155,MATCH($B18,'Energy Balance'!$A$7:$A$155,0),MATCH(BI$2,'Energy Balance'!$Z$5:$AJ$5,0))</f>
        <v>1.1330077962935858</v>
      </c>
      <c r="BJ18" s="467" cm="1">
        <f t="array" ref="BJ18">INDEX('Energy Balance'!$D$7:$W$154,MATCH('MIN-IMP-EXP'!$B18,'Energy Balance'!$A$7:$A$154,0),MATCH('MIN-IMP-EXP'!BJ$1&amp;'MIN-IMP-EXP'!BJ$3,'Energy Balance'!$D$4:$W$4&amp;'Energy Balance'!$D$6:$W$6,0))/1000*INDEX('Energy Balance'!$Z$7:$AJ$155,MATCH($B18,'Energy Balance'!$A$7:$A$155,0),MATCH(BJ$2,'Energy Balance'!$Z$5:$AJ$5,0))</f>
        <v>2.8004074558613019</v>
      </c>
      <c r="BK18" s="467" cm="1">
        <f t="array" ref="BK18">INDEX('Energy Balance'!$D$7:$W$154,MATCH('MIN-IMP-EXP'!$B18,'Energy Balance'!$A$7:$A$154,0),MATCH('MIN-IMP-EXP'!BK$1&amp;'MIN-IMP-EXP'!BK$3,'Energy Balance'!$D$4:$W$4&amp;'Energy Balance'!$D$6:$W$6,0))/1000*INDEX('Energy Balance'!$Z$7:$AJ$155,MATCH($B18,'Energy Balance'!$A$7:$A$155,0),MATCH(BK$2,'Energy Balance'!$Z$5:$AJ$5,0))</f>
        <v>23.707053738963861</v>
      </c>
      <c r="BL18" s="467" cm="1">
        <f t="array" ref="BL18">INDEX('Energy Balance'!$D$7:$W$154,MATCH('MIN-IMP-EXP'!$B18,'Energy Balance'!$A$7:$A$154,0),MATCH('MIN-IMP-EXP'!BL$1&amp;'MIN-IMP-EXP'!BL$3,'Energy Balance'!$D$4:$W$4&amp;'Energy Balance'!$D$6:$W$6,0))/1000*INDEX('Energy Balance'!$Z$7:$AJ$155,MATCH($B18,'Energy Balance'!$A$7:$A$155,0),MATCH(BL$2,'Energy Balance'!$Z$5:$AJ$5,0))</f>
        <v>7.8640710088812442</v>
      </c>
      <c r="BM18" s="437">
        <v>4</v>
      </c>
    </row>
    <row r="19" spans="2:65" ht="14.4">
      <c r="B19" s="8" t="str">
        <f>Processes!D18</f>
        <v>IMPKER</v>
      </c>
      <c r="C19" s="8" t="str">
        <f>Processes!E18</f>
        <v>Import technology - Kerosene</v>
      </c>
      <c r="D19" s="67"/>
      <c r="E19" s="67" t="str">
        <f t="shared" si="5"/>
        <v>KER</v>
      </c>
      <c r="F19" s="387" t="str">
        <f t="shared" si="6"/>
        <v>MKr19</v>
      </c>
      <c r="G19" s="330">
        <f t="shared" si="7"/>
        <v>76.5</v>
      </c>
      <c r="H19" s="330">
        <f t="shared" si="7"/>
        <v>112.4</v>
      </c>
      <c r="I19" s="330">
        <f t="shared" si="7"/>
        <v>116.3</v>
      </c>
      <c r="J19" s="330">
        <f t="shared" si="7"/>
        <v>118.6</v>
      </c>
      <c r="K19" s="330">
        <f t="shared" si="7"/>
        <v>110.1</v>
      </c>
      <c r="L19" s="330">
        <f t="shared" si="7"/>
        <v>73.5</v>
      </c>
      <c r="M19" s="330">
        <f t="shared" si="7"/>
        <v>70.599999999999994</v>
      </c>
      <c r="N19" s="330">
        <f t="shared" si="7"/>
        <v>74.7</v>
      </c>
      <c r="O19" s="330">
        <f t="shared" si="7"/>
        <v>99.501075794723519</v>
      </c>
      <c r="P19" s="330">
        <f t="shared" si="7"/>
        <v>92.996963615472367</v>
      </c>
      <c r="Q19" s="330">
        <f t="shared" si="8"/>
        <v>91.517025086546809</v>
      </c>
      <c r="R19" s="330">
        <f t="shared" si="8"/>
        <v>69.532939675183428</v>
      </c>
      <c r="S19" s="330">
        <f t="shared" si="8"/>
        <v>72.941438545887451</v>
      </c>
      <c r="T19" s="330">
        <f t="shared" si="8"/>
        <v>75.264522441042786</v>
      </c>
      <c r="U19" s="330">
        <f t="shared" si="8"/>
        <v>76.962731586007934</v>
      </c>
      <c r="V19" s="330">
        <f t="shared" si="8"/>
        <v>78.199209412536121</v>
      </c>
      <c r="W19" s="330">
        <f t="shared" si="8"/>
        <v>79.564672750845261</v>
      </c>
      <c r="X19" s="330">
        <f t="shared" si="8"/>
        <v>80.902811517689884</v>
      </c>
      <c r="Y19" s="330">
        <f t="shared" si="8"/>
        <v>82.133932814730045</v>
      </c>
      <c r="Z19" s="330">
        <f t="shared" si="8"/>
        <v>83.42668470166312</v>
      </c>
      <c r="AA19" s="330">
        <f t="shared" si="9"/>
        <v>84.649874602600562</v>
      </c>
      <c r="AB19" s="330">
        <f t="shared" si="9"/>
        <v>84.343730840397711</v>
      </c>
      <c r="AC19" s="330">
        <f t="shared" si="9"/>
        <v>84.036854893898322</v>
      </c>
      <c r="AD19" s="330">
        <f t="shared" si="9"/>
        <v>83.731245986171288</v>
      </c>
      <c r="AE19" s="330">
        <f t="shared" si="9"/>
        <v>83.424869481157842</v>
      </c>
      <c r="AF19" s="330">
        <f t="shared" si="9"/>
        <v>83.118589672609204</v>
      </c>
      <c r="AG19" s="330">
        <f t="shared" si="9"/>
        <v>82.811383985383955</v>
      </c>
      <c r="AH19" s="330">
        <f t="shared" si="9"/>
        <v>82.505260877276157</v>
      </c>
      <c r="AI19" s="330">
        <f t="shared" si="9"/>
        <v>82.198407292957839</v>
      </c>
      <c r="AJ19" s="330">
        <f t="shared" si="9"/>
        <v>81.892482546272987</v>
      </c>
      <c r="AK19" s="330">
        <f t="shared" si="10"/>
        <v>81.586255922780509</v>
      </c>
      <c r="AL19" s="330">
        <f t="shared" si="10"/>
        <v>81.280029803612607</v>
      </c>
      <c r="AM19" s="330">
        <f t="shared" si="10"/>
        <v>80.976964003619855</v>
      </c>
      <c r="AN19" s="330">
        <f t="shared" si="10"/>
        <v>80.673903946081424</v>
      </c>
      <c r="AO19" s="330">
        <f t="shared" si="10"/>
        <v>80.370849638339479</v>
      </c>
      <c r="AP19" s="330">
        <f t="shared" si="10"/>
        <v>80.067801087745465</v>
      </c>
      <c r="AQ19" s="330">
        <f t="shared" si="10"/>
        <v>79.764758301660265</v>
      </c>
      <c r="AR19" s="330">
        <f t="shared" si="10"/>
        <v>79.461721287454196</v>
      </c>
      <c r="AS19" s="330">
        <f t="shared" si="10"/>
        <v>79.158690052506984</v>
      </c>
      <c r="AT19" s="330">
        <f t="shared" si="10"/>
        <v>78.85566460420776</v>
      </c>
      <c r="AU19" s="330">
        <f t="shared" si="10"/>
        <v>78.552644949955152</v>
      </c>
      <c r="AV19" s="331">
        <v>5</v>
      </c>
      <c r="AW19" s="467" cm="1">
        <f t="array" ref="AW19">INDEX('Energy Balance'!$D$7:$W$154,MATCH('MIN-IMP-EXP'!$B19,'Energy Balance'!$A$7:$A$154,0),MATCH('MIN-IMP-EXP'!AW$1&amp;'MIN-IMP-EXP'!AW$3,'Energy Balance'!$D$4:$W$4&amp;'Energy Balance'!$D$6:$W$6,0))/1000*INDEX('Energy Balance'!$Z$7:$AJ$155,MATCH($B19,'Energy Balance'!$A$7:$A$155,0),MATCH(AW$2,'Energy Balance'!$Z$5:$AJ$5,0))</f>
        <v>1.0034133843941471</v>
      </c>
      <c r="AX19" s="467" cm="1">
        <f t="array" ref="AX19">INDEX('Energy Balance'!$D$7:$W$154,MATCH('MIN-IMP-EXP'!$B19,'Energy Balance'!$A$7:$A$154,0),MATCH('MIN-IMP-EXP'!AX$1&amp;'MIN-IMP-EXP'!AX$3,'Energy Balance'!$D$4:$W$4&amp;'Energy Balance'!$D$6:$W$6,0))/1000*INDEX('Energy Balance'!$Z$7:$AJ$155,MATCH($B19,'Energy Balance'!$A$7:$A$155,0),MATCH(AX$2,'Energy Balance'!$Z$5:$AJ$5,0))</f>
        <v>2.4800944284414013</v>
      </c>
      <c r="AY19" s="467" cm="1">
        <f t="array" ref="AY19">INDEX('Energy Balance'!$D$7:$W$154,MATCH('MIN-IMP-EXP'!$B19,'Energy Balance'!$A$7:$A$154,0),MATCH('MIN-IMP-EXP'!AY$1&amp;'MIN-IMP-EXP'!AY$3,'Energy Balance'!$D$4:$W$4&amp;'Energy Balance'!$D$6:$W$6,0))/1000*INDEX('Energy Balance'!$Z$7:$AJ$155,MATCH($B19,'Energy Balance'!$A$7:$A$155,0),MATCH(AY$2,'Energy Balance'!$Z$5:$AJ$5,0))</f>
        <v>20.995420423447545</v>
      </c>
      <c r="AZ19" s="467" cm="1">
        <f t="array" ref="AZ19">INDEX('Energy Balance'!$D$7:$W$154,MATCH('MIN-IMP-EXP'!$B19,'Energy Balance'!$A$7:$A$154,0),MATCH('MIN-IMP-EXP'!AZ$1&amp;'MIN-IMP-EXP'!AZ$3,'Energy Balance'!$D$4:$W$4&amp;'Energy Balance'!$D$6:$W$6,0))/1000*INDEX('Energy Balance'!$Z$7:$AJ$155,MATCH($B19,'Energy Balance'!$A$7:$A$155,0),MATCH(AZ$2,'Energy Balance'!$Z$5:$AJ$5,0))</f>
        <v>6.9645717637169069</v>
      </c>
      <c r="BA19" s="467" cm="1">
        <f t="array" ref="BA19">INDEX('Energy Balance'!$D$7:$W$154,MATCH('MIN-IMP-EXP'!$B19,'Energy Balance'!$A$7:$A$154,0),MATCH('MIN-IMP-EXP'!BA$1&amp;'MIN-IMP-EXP'!BA$3,'Energy Balance'!$D$4:$W$4&amp;'Energy Balance'!$D$6:$W$6,0))/1000*INDEX('Energy Balance'!$Z$7:$AJ$155,MATCH($B19,'Energy Balance'!$A$7:$A$155,0),MATCH(BA$2,'Energy Balance'!$Z$5:$AJ$5,0))</f>
        <v>0.96120386943753799</v>
      </c>
      <c r="BB19" s="467" cm="1">
        <f t="array" ref="BB19">INDEX('Energy Balance'!$D$7:$W$154,MATCH('MIN-IMP-EXP'!$B19,'Energy Balance'!$A$7:$A$154,0),MATCH('MIN-IMP-EXP'!BB$1&amp;'MIN-IMP-EXP'!BB$3,'Energy Balance'!$D$4:$W$4&amp;'Energy Balance'!$D$6:$W$6,0))/1000*INDEX('Energy Balance'!$Z$7:$AJ$155,MATCH($B19,'Energy Balance'!$A$7:$A$155,0),MATCH(BB$2,'Energy Balance'!$Z$5:$AJ$5,0))</f>
        <v>2.3757669553388698</v>
      </c>
      <c r="BC19" s="467" cm="1">
        <f t="array" ref="BC19">INDEX('Energy Balance'!$D$7:$W$154,MATCH('MIN-IMP-EXP'!$B19,'Energy Balance'!$A$7:$A$154,0),MATCH('MIN-IMP-EXP'!BC$1&amp;'MIN-IMP-EXP'!BC$3,'Energy Balance'!$D$4:$W$4&amp;'Energy Balance'!$D$6:$W$6,0))/1000*INDEX('Energy Balance'!$Z$7:$AJ$155,MATCH($B19,'Energy Balance'!$A$7:$A$155,0),MATCH(BC$2,'Energy Balance'!$Z$5:$AJ$5,0))</f>
        <v>20.112228584304507</v>
      </c>
      <c r="BD19" s="467" cm="1">
        <f t="array" ref="BD19">INDEX('Energy Balance'!$D$7:$W$154,MATCH('MIN-IMP-EXP'!$B19,'Energy Balance'!$A$7:$A$154,0),MATCH('MIN-IMP-EXP'!BD$1&amp;'MIN-IMP-EXP'!BD$3,'Energy Balance'!$D$4:$W$4&amp;'Energy Balance'!$D$6:$W$6,0))/1000*INDEX('Energy Balance'!$Z$7:$AJ$155,MATCH($B19,'Energy Balance'!$A$7:$A$155,0),MATCH(BD$2,'Energy Balance'!$Z$5:$AJ$5,0))</f>
        <v>6.6716005909190832</v>
      </c>
      <c r="BE19" s="467" cm="1">
        <f t="array" ref="BE19">INDEX('Energy Balance'!$D$7:$W$154,MATCH('MIN-IMP-EXP'!$B19,'Energy Balance'!$A$7:$A$154,0),MATCH('MIN-IMP-EXP'!BE$1&amp;'MIN-IMP-EXP'!BE$3,'Energy Balance'!$D$4:$W$4&amp;'Energy Balance'!$D$6:$W$6,0))/1000*INDEX('Energy Balance'!$Z$7:$AJ$155,MATCH($B19,'Energy Balance'!$A$7:$A$155,0),MATCH(BE$2,'Energy Balance'!$Z$5:$AJ$5,0))</f>
        <v>1.1188186084729868</v>
      </c>
      <c r="BF19" s="467" cm="1">
        <f t="array" ref="BF19">INDEX('Energy Balance'!$D$7:$W$154,MATCH('MIN-IMP-EXP'!$B19,'Energy Balance'!$A$7:$A$154,0),MATCH('MIN-IMP-EXP'!BF$1&amp;'MIN-IMP-EXP'!BF$3,'Energy Balance'!$D$4:$W$4&amp;'Energy Balance'!$D$6:$W$6,0))/1000*INDEX('Energy Balance'!$Z$7:$AJ$155,MATCH($B19,'Energy Balance'!$A$7:$A$155,0),MATCH(BF$2,'Energy Balance'!$Z$5:$AJ$5,0))</f>
        <v>2.7653366403775879</v>
      </c>
      <c r="BG19" s="467" cm="1">
        <f t="array" ref="BG19">INDEX('Energy Balance'!$D$7:$W$154,MATCH('MIN-IMP-EXP'!$B19,'Energy Balance'!$A$7:$A$154,0),MATCH('MIN-IMP-EXP'!BG$1&amp;'MIN-IMP-EXP'!BG$3,'Energy Balance'!$D$4:$W$4&amp;'Energy Balance'!$D$6:$W$6,0))/1000*INDEX('Energy Balance'!$Z$7:$AJ$155,MATCH($B19,'Energy Balance'!$A$7:$A$155,0),MATCH(BG$2,'Energy Balance'!$Z$5:$AJ$5,0))</f>
        <v>23.410159190421822</v>
      </c>
      <c r="BH19" s="467" cm="1">
        <f t="array" ref="BH19">INDEX('Energy Balance'!$D$7:$W$154,MATCH('MIN-IMP-EXP'!$B19,'Energy Balance'!$A$7:$A$154,0),MATCH('MIN-IMP-EXP'!BH$1&amp;'MIN-IMP-EXP'!BH$3,'Energy Balance'!$D$4:$W$4&amp;'Energy Balance'!$D$6:$W$6,0))/1000*INDEX('Energy Balance'!$Z$7:$AJ$155,MATCH($B19,'Energy Balance'!$A$7:$A$155,0),MATCH(BH$2,'Energy Balance'!$Z$5:$AJ$5,0))</f>
        <v>7.7655855607276028</v>
      </c>
      <c r="BI19" s="467" cm="1">
        <f t="array" ref="BI19">INDEX('Energy Balance'!$D$7:$W$154,MATCH('MIN-IMP-EXP'!$B19,'Energy Balance'!$A$7:$A$154,0),MATCH('MIN-IMP-EXP'!BI$1&amp;'MIN-IMP-EXP'!BI$3,'Energy Balance'!$D$4:$W$4&amp;'Energy Balance'!$D$6:$W$6,0))/1000*INDEX('Energy Balance'!$Z$7:$AJ$155,MATCH($B19,'Energy Balance'!$A$7:$A$155,0),MATCH(BI$2,'Energy Balance'!$Z$5:$AJ$5,0))</f>
        <v>1.4172313588106082</v>
      </c>
      <c r="BJ19" s="467" cm="1">
        <f t="array" ref="BJ19">INDEX('Energy Balance'!$D$7:$W$154,MATCH('MIN-IMP-EXP'!$B19,'Energy Balance'!$A$7:$A$154,0),MATCH('MIN-IMP-EXP'!BJ$1&amp;'MIN-IMP-EXP'!BJ$3,'Energy Balance'!$D$4:$W$4&amp;'Energy Balance'!$D$6:$W$6,0))/1000*INDEX('Energy Balance'!$Z$7:$AJ$155,MATCH($B19,'Energy Balance'!$A$7:$A$155,0),MATCH(BJ$2,'Energy Balance'!$Z$5:$AJ$5,0))</f>
        <v>3.5029108156862736</v>
      </c>
      <c r="BK19" s="467" cm="1">
        <f t="array" ref="BK19">INDEX('Energy Balance'!$D$7:$W$154,MATCH('MIN-IMP-EXP'!$B19,'Energy Balance'!$A$7:$A$154,0),MATCH('MIN-IMP-EXP'!BK$1&amp;'MIN-IMP-EXP'!BK$3,'Energy Balance'!$D$4:$W$4&amp;'Energy Balance'!$D$6:$W$6,0))/1000*INDEX('Energy Balance'!$Z$7:$AJ$155,MATCH($B19,'Energy Balance'!$A$7:$A$155,0),MATCH(BK$2,'Energy Balance'!$Z$5:$AJ$5,0))</f>
        <v>29.654147212206674</v>
      </c>
      <c r="BL19" s="467" cm="1">
        <f t="array" ref="BL19">INDEX('Energy Balance'!$D$7:$W$154,MATCH('MIN-IMP-EXP'!$B19,'Energy Balance'!$A$7:$A$154,0),MATCH('MIN-IMP-EXP'!BL$1&amp;'MIN-IMP-EXP'!BL$3,'Energy Balance'!$D$4:$W$4&amp;'Energy Balance'!$D$6:$W$6,0))/1000*INDEX('Energy Balance'!$Z$7:$AJ$155,MATCH($B19,'Energy Balance'!$A$7:$A$155,0),MATCH(BL$2,'Energy Balance'!$Z$5:$AJ$5,0))</f>
        <v>9.8368326132964441</v>
      </c>
      <c r="BM19" s="437">
        <v>4</v>
      </c>
    </row>
    <row r="20" spans="2:65" s="1" customFormat="1" ht="14.4">
      <c r="B20" s="8" t="str">
        <f>Processes!D19</f>
        <v>IMPDSL</v>
      </c>
      <c r="C20" s="8" t="str">
        <f>Processes!E19</f>
        <v>Import technology - Diesel</v>
      </c>
      <c r="D20" s="67"/>
      <c r="E20" s="67" t="str">
        <f t="shared" si="5"/>
        <v>DSL</v>
      </c>
      <c r="F20" s="387" t="str">
        <f t="shared" si="6"/>
        <v>MKr19</v>
      </c>
      <c r="G20" s="330">
        <f t="shared" si="7"/>
        <v>105.4</v>
      </c>
      <c r="H20" s="330">
        <f t="shared" si="7"/>
        <v>117.4</v>
      </c>
      <c r="I20" s="330">
        <f t="shared" si="7"/>
        <v>134.19999999999999</v>
      </c>
      <c r="J20" s="330">
        <f t="shared" si="7"/>
        <v>123.2</v>
      </c>
      <c r="K20" s="330">
        <f t="shared" si="7"/>
        <v>113.5</v>
      </c>
      <c r="L20" s="330">
        <f t="shared" si="7"/>
        <v>77</v>
      </c>
      <c r="M20" s="330">
        <f t="shared" si="7"/>
        <v>74</v>
      </c>
      <c r="N20" s="330">
        <f t="shared" si="7"/>
        <v>78.2</v>
      </c>
      <c r="O20" s="330">
        <f t="shared" si="7"/>
        <v>101.50107579472352</v>
      </c>
      <c r="P20" s="330">
        <f t="shared" si="7"/>
        <v>95.586963615472371</v>
      </c>
      <c r="Q20" s="330">
        <f t="shared" si="8"/>
        <v>94.107025086546813</v>
      </c>
      <c r="R20" s="330">
        <f t="shared" si="8"/>
        <v>72.122939675183432</v>
      </c>
      <c r="S20" s="330">
        <f t="shared" si="8"/>
        <v>75.531438545887454</v>
      </c>
      <c r="T20" s="330">
        <f t="shared" si="8"/>
        <v>77.854522441042789</v>
      </c>
      <c r="U20" s="330">
        <f t="shared" si="8"/>
        <v>79.552731586007937</v>
      </c>
      <c r="V20" s="330">
        <f t="shared" si="8"/>
        <v>80.789209412536124</v>
      </c>
      <c r="W20" s="330">
        <f t="shared" si="8"/>
        <v>82.154672750845265</v>
      </c>
      <c r="X20" s="330">
        <f t="shared" si="8"/>
        <v>83.492811517689887</v>
      </c>
      <c r="Y20" s="330">
        <f t="shared" si="8"/>
        <v>84.723932814730048</v>
      </c>
      <c r="Z20" s="330">
        <f t="shared" si="8"/>
        <v>86.016684701663124</v>
      </c>
      <c r="AA20" s="330">
        <f t="shared" si="9"/>
        <v>87.239874602600565</v>
      </c>
      <c r="AB20" s="330">
        <f t="shared" si="9"/>
        <v>86.933730840397715</v>
      </c>
      <c r="AC20" s="330">
        <f t="shared" si="9"/>
        <v>86.626854893898326</v>
      </c>
      <c r="AD20" s="330">
        <f t="shared" si="9"/>
        <v>86.321245986171292</v>
      </c>
      <c r="AE20" s="330">
        <f t="shared" si="9"/>
        <v>86.014869481157845</v>
      </c>
      <c r="AF20" s="330">
        <f t="shared" si="9"/>
        <v>85.708589672609207</v>
      </c>
      <c r="AG20" s="330">
        <f t="shared" si="9"/>
        <v>85.401383985383958</v>
      </c>
      <c r="AH20" s="330">
        <f t="shared" si="9"/>
        <v>85.095260877276161</v>
      </c>
      <c r="AI20" s="330">
        <f t="shared" si="9"/>
        <v>84.788407292957842</v>
      </c>
      <c r="AJ20" s="330">
        <f t="shared" si="9"/>
        <v>84.48248254627299</v>
      </c>
      <c r="AK20" s="330">
        <f t="shared" si="10"/>
        <v>84.176255922780513</v>
      </c>
      <c r="AL20" s="330">
        <f t="shared" si="10"/>
        <v>83.87002980361261</v>
      </c>
      <c r="AM20" s="330">
        <f t="shared" si="10"/>
        <v>83.566964003619859</v>
      </c>
      <c r="AN20" s="330">
        <f t="shared" si="10"/>
        <v>83.263903946081427</v>
      </c>
      <c r="AO20" s="330">
        <f t="shared" si="10"/>
        <v>82.960849638339482</v>
      </c>
      <c r="AP20" s="330">
        <f t="shared" si="10"/>
        <v>82.657801087745469</v>
      </c>
      <c r="AQ20" s="330">
        <f t="shared" si="10"/>
        <v>82.354758301660269</v>
      </c>
      <c r="AR20" s="330">
        <f t="shared" si="10"/>
        <v>82.0517212874542</v>
      </c>
      <c r="AS20" s="330">
        <f t="shared" si="10"/>
        <v>81.748690052506987</v>
      </c>
      <c r="AT20" s="330">
        <f t="shared" si="10"/>
        <v>81.445664604207764</v>
      </c>
      <c r="AU20" s="330">
        <f t="shared" si="10"/>
        <v>81.142644949955155</v>
      </c>
      <c r="AV20" s="331">
        <v>5</v>
      </c>
      <c r="AW20" s="467" cm="1">
        <f t="array" ref="AW20">INDEX('Energy Balance'!$D$7:$W$154,MATCH('MIN-IMP-EXP'!$B20,'Energy Balance'!$A$7:$A$154,0),MATCH('MIN-IMP-EXP'!AW$1&amp;'MIN-IMP-EXP'!AW$3,'Energy Balance'!$D$4:$W$4&amp;'Energy Balance'!$D$6:$W$6,0))/1000*INDEX('Energy Balance'!$Z$7:$AJ$155,MATCH($B20,'Energy Balance'!$A$7:$A$155,0),MATCH(AW$2,'Energy Balance'!$Z$5:$AJ$5,0))</f>
        <v>3.5306709951495234</v>
      </c>
      <c r="AX20" s="467" cm="1">
        <f t="array" ref="AX20">INDEX('Energy Balance'!$D$7:$W$154,MATCH('MIN-IMP-EXP'!$B20,'Energy Balance'!$A$7:$A$154,0),MATCH('MIN-IMP-EXP'!AX$1&amp;'MIN-IMP-EXP'!AX$3,'Energy Balance'!$D$4:$W$4&amp;'Energy Balance'!$D$6:$W$6,0))/1000*INDEX('Energy Balance'!$Z$7:$AJ$155,MATCH($B20,'Energy Balance'!$A$7:$A$155,0),MATCH(AX$2,'Energy Balance'!$Z$5:$AJ$5,0))</f>
        <v>8.7266101886980838</v>
      </c>
      <c r="AY20" s="467" cm="1">
        <f t="array" ref="AY20">INDEX('Energy Balance'!$D$7:$W$154,MATCH('MIN-IMP-EXP'!$B20,'Energy Balance'!$A$7:$A$154,0),MATCH('MIN-IMP-EXP'!AY$1&amp;'MIN-IMP-EXP'!AY$3,'Energy Balance'!$D$4:$W$4&amp;'Energy Balance'!$D$6:$W$6,0))/1000*INDEX('Energy Balance'!$Z$7:$AJ$155,MATCH($B20,'Energy Balance'!$A$7:$A$155,0),MATCH(AY$2,'Energy Balance'!$Z$5:$AJ$5,0))</f>
        <v>73.875755568871554</v>
      </c>
      <c r="AZ20" s="467" cm="1">
        <f t="array" ref="AZ20">INDEX('Energy Balance'!$D$7:$W$154,MATCH('MIN-IMP-EXP'!$B20,'Energy Balance'!$A$7:$A$154,0),MATCH('MIN-IMP-EXP'!AZ$1&amp;'MIN-IMP-EXP'!AZ$3,'Energy Balance'!$D$4:$W$4&amp;'Energy Balance'!$D$6:$W$6,0))/1000*INDEX('Energy Balance'!$Z$7:$AJ$155,MATCH($B20,'Energy Balance'!$A$7:$A$155,0),MATCH(AZ$2,'Energy Balance'!$Z$5:$AJ$5,0))</f>
        <v>24.505963247280832</v>
      </c>
      <c r="BA20" s="467" cm="1">
        <f t="array" ref="BA20">INDEX('Energy Balance'!$D$7:$W$154,MATCH('MIN-IMP-EXP'!$B20,'Energy Balance'!$A$7:$A$154,0),MATCH('MIN-IMP-EXP'!BA$1&amp;'MIN-IMP-EXP'!BA$3,'Energy Balance'!$D$4:$W$4&amp;'Energy Balance'!$D$6:$W$6,0))/1000*INDEX('Energy Balance'!$Z$7:$AJ$155,MATCH($B20,'Energy Balance'!$A$7:$A$155,0),MATCH(BA$2,'Energy Balance'!$Z$5:$AJ$5,0))</f>
        <v>2.9447415295728248</v>
      </c>
      <c r="BB20" s="467" cm="1">
        <f t="array" ref="BB20">INDEX('Energy Balance'!$D$7:$W$154,MATCH('MIN-IMP-EXP'!$B20,'Energy Balance'!$A$7:$A$154,0),MATCH('MIN-IMP-EXP'!BB$1&amp;'MIN-IMP-EXP'!BB$3,'Energy Balance'!$D$4:$W$4&amp;'Energy Balance'!$D$6:$W$6,0))/1000*INDEX('Energy Balance'!$Z$7:$AJ$155,MATCH($B20,'Energy Balance'!$A$7:$A$155,0),MATCH(BB$2,'Energy Balance'!$Z$5:$AJ$5,0))</f>
        <v>7.2783931072468278</v>
      </c>
      <c r="BC20" s="467" cm="1">
        <f t="array" ref="BC20">INDEX('Energy Balance'!$D$7:$W$154,MATCH('MIN-IMP-EXP'!$B20,'Energy Balance'!$A$7:$A$154,0),MATCH('MIN-IMP-EXP'!BC$1&amp;'MIN-IMP-EXP'!BC$3,'Energy Balance'!$D$4:$W$4&amp;'Energy Balance'!$D$6:$W$6,0))/1000*INDEX('Energy Balance'!$Z$7:$AJ$155,MATCH($B20,'Energy Balance'!$A$7:$A$155,0),MATCH(BC$2,'Energy Balance'!$Z$5:$AJ$5,0))</f>
        <v>61.615768150329721</v>
      </c>
      <c r="BD20" s="467" cm="1">
        <f t="array" ref="BD20">INDEX('Energy Balance'!$D$7:$W$154,MATCH('MIN-IMP-EXP'!$B20,'Energy Balance'!$A$7:$A$154,0),MATCH('MIN-IMP-EXP'!BD$1&amp;'MIN-IMP-EXP'!BD$3,'Energy Balance'!$D$4:$W$4&amp;'Energy Balance'!$D$6:$W$6,0))/1000*INDEX('Energy Balance'!$Z$7:$AJ$155,MATCH($B20,'Energy Balance'!$A$7:$A$155,0),MATCH(BD$2,'Energy Balance'!$Z$5:$AJ$5,0))</f>
        <v>20.43909721285063</v>
      </c>
      <c r="BE20" s="467" cm="1">
        <f t="array" ref="BE20">INDEX('Energy Balance'!$D$7:$W$154,MATCH('MIN-IMP-EXP'!$B20,'Energy Balance'!$A$7:$A$154,0),MATCH('MIN-IMP-EXP'!BE$1&amp;'MIN-IMP-EXP'!BE$3,'Energy Balance'!$D$4:$W$4&amp;'Energy Balance'!$D$6:$W$6,0))/1000*INDEX('Energy Balance'!$Z$7:$AJ$155,MATCH($B20,'Energy Balance'!$A$7:$A$155,0),MATCH(BE$2,'Energy Balance'!$Z$5:$AJ$5,0))</f>
        <v>2.9022033248119867</v>
      </c>
      <c r="BF20" s="467" cm="1">
        <f t="array" ref="BF20">INDEX('Energy Balance'!$D$7:$W$154,MATCH('MIN-IMP-EXP'!$B20,'Energy Balance'!$A$7:$A$154,0),MATCH('MIN-IMP-EXP'!BF$1&amp;'MIN-IMP-EXP'!BF$3,'Energy Balance'!$D$4:$W$4&amp;'Energy Balance'!$D$6:$W$6,0))/1000*INDEX('Energy Balance'!$Z$7:$AJ$155,MATCH($B20,'Energy Balance'!$A$7:$A$155,0),MATCH(BF$2,'Energy Balance'!$Z$5:$AJ$5,0))</f>
        <v>7.1732532254552837</v>
      </c>
      <c r="BG20" s="467" cm="1">
        <f t="array" ref="BG20">INDEX('Energy Balance'!$D$7:$W$154,MATCH('MIN-IMP-EXP'!$B20,'Energy Balance'!$A$7:$A$154,0),MATCH('MIN-IMP-EXP'!BG$1&amp;'MIN-IMP-EXP'!BG$3,'Energy Balance'!$D$4:$W$4&amp;'Energy Balance'!$D$6:$W$6,0))/1000*INDEX('Energy Balance'!$Z$7:$AJ$155,MATCH($B20,'Energy Balance'!$A$7:$A$155,0),MATCH(BG$2,'Energy Balance'!$Z$5:$AJ$5,0))</f>
        <v>60.725698806126445</v>
      </c>
      <c r="BH20" s="467" cm="1">
        <f t="array" ref="BH20">INDEX('Energy Balance'!$D$7:$W$154,MATCH('MIN-IMP-EXP'!$B20,'Energy Balance'!$A$7:$A$154,0),MATCH('MIN-IMP-EXP'!BH$1&amp;'MIN-IMP-EXP'!BH$3,'Energy Balance'!$D$4:$W$4&amp;'Energy Balance'!$D$6:$W$6,0))/1000*INDEX('Energy Balance'!$Z$7:$AJ$155,MATCH($B20,'Energy Balance'!$A$7:$A$155,0),MATCH(BH$2,'Energy Balance'!$Z$5:$AJ$5,0))</f>
        <v>20.143844643606279</v>
      </c>
      <c r="BI20" s="467" cm="1">
        <f t="array" ref="BI20">INDEX('Energy Balance'!$D$7:$W$154,MATCH('MIN-IMP-EXP'!$B20,'Energy Balance'!$A$7:$A$154,0),MATCH('MIN-IMP-EXP'!BI$1&amp;'MIN-IMP-EXP'!BI$3,'Energy Balance'!$D$4:$W$4&amp;'Energy Balance'!$D$6:$W$6,0))/1000*INDEX('Energy Balance'!$Z$7:$AJ$155,MATCH($B20,'Energy Balance'!$A$7:$A$155,0),MATCH(BI$2,'Energy Balance'!$Z$5:$AJ$5,0))</f>
        <v>3.2490144680918944</v>
      </c>
      <c r="BJ20" s="467" cm="1">
        <f t="array" ref="BJ20">INDEX('Energy Balance'!$D$7:$W$154,MATCH('MIN-IMP-EXP'!$B20,'Energy Balance'!$A$7:$A$154,0),MATCH('MIN-IMP-EXP'!BJ$1&amp;'MIN-IMP-EXP'!BJ$3,'Energy Balance'!$D$4:$W$4&amp;'Energy Balance'!$D$6:$W$6,0))/1000*INDEX('Energy Balance'!$Z$7:$AJ$155,MATCH($B20,'Energy Balance'!$A$7:$A$155,0),MATCH(BJ$2,'Energy Balance'!$Z$5:$AJ$5,0))</f>
        <v>8.0304516618596669</v>
      </c>
      <c r="BK20" s="467" cm="1">
        <f t="array" ref="BK20">INDEX('Energy Balance'!$D$7:$W$154,MATCH('MIN-IMP-EXP'!$B20,'Energy Balance'!$A$7:$A$154,0),MATCH('MIN-IMP-EXP'!BK$1&amp;'MIN-IMP-EXP'!BK$3,'Energy Balance'!$D$4:$W$4&amp;'Energy Balance'!$D$6:$W$6,0))/1000*INDEX('Energy Balance'!$Z$7:$AJ$155,MATCH($B20,'Energy Balance'!$A$7:$A$155,0),MATCH(BK$2,'Energy Balance'!$Z$5:$AJ$5,0))</f>
        <v>67.982374742430252</v>
      </c>
      <c r="BL20" s="467" cm="1">
        <f t="array" ref="BL20">INDEX('Energy Balance'!$D$7:$W$154,MATCH('MIN-IMP-EXP'!$B20,'Energy Balance'!$A$7:$A$154,0),MATCH('MIN-IMP-EXP'!BL$1&amp;'MIN-IMP-EXP'!BL$3,'Energy Balance'!$D$4:$W$4&amp;'Energy Balance'!$D$6:$W$6,0))/1000*INDEX('Energy Balance'!$Z$7:$AJ$155,MATCH($B20,'Energy Balance'!$A$7:$A$155,0),MATCH(BL$2,'Energy Balance'!$Z$5:$AJ$5,0))</f>
        <v>22.55101912761819</v>
      </c>
      <c r="BM20" s="437">
        <v>4</v>
      </c>
    </row>
    <row r="21" spans="2:65" s="1" customFormat="1" ht="14.4">
      <c r="B21" s="8" t="str">
        <f>Processes!D20</f>
        <v>IMPHFO</v>
      </c>
      <c r="C21" s="8" t="str">
        <f>Processes!E20</f>
        <v>Import technology - Heavy Fuel Oil</v>
      </c>
      <c r="D21" s="333"/>
      <c r="E21" s="67" t="str">
        <f t="shared" si="5"/>
        <v>HFO</v>
      </c>
      <c r="F21" s="387" t="str">
        <f t="shared" si="6"/>
        <v>MKr19</v>
      </c>
      <c r="G21" s="330">
        <f t="shared" si="7"/>
        <v>68.2</v>
      </c>
      <c r="H21" s="330">
        <f t="shared" si="7"/>
        <v>102</v>
      </c>
      <c r="I21" s="330">
        <f t="shared" si="7"/>
        <v>96.2</v>
      </c>
      <c r="J21" s="330">
        <f t="shared" si="7"/>
        <v>91.7</v>
      </c>
      <c r="K21" s="330">
        <f t="shared" si="7"/>
        <v>84</v>
      </c>
      <c r="L21" s="330">
        <f t="shared" si="7"/>
        <v>47.5</v>
      </c>
      <c r="M21" s="330">
        <f t="shared" si="7"/>
        <v>44.5</v>
      </c>
      <c r="N21" s="330">
        <f t="shared" si="7"/>
        <v>48.7</v>
      </c>
      <c r="O21" s="330">
        <f t="shared" si="7"/>
        <v>67.735141438725293</v>
      </c>
      <c r="P21" s="330">
        <f t="shared" si="7"/>
        <v>61.821029259474152</v>
      </c>
      <c r="Q21" s="330">
        <f t="shared" si="8"/>
        <v>60.341090730548601</v>
      </c>
      <c r="R21" s="330">
        <f t="shared" si="8"/>
        <v>38.35700531918522</v>
      </c>
      <c r="S21" s="330">
        <f t="shared" si="8"/>
        <v>41.765504189889249</v>
      </c>
      <c r="T21" s="330">
        <f t="shared" si="8"/>
        <v>44.088588085044584</v>
      </c>
      <c r="U21" s="330">
        <f t="shared" si="8"/>
        <v>45.786797230009718</v>
      </c>
      <c r="V21" s="330">
        <f t="shared" si="8"/>
        <v>47.023275056537912</v>
      </c>
      <c r="W21" s="330">
        <f t="shared" si="8"/>
        <v>48.388738394847046</v>
      </c>
      <c r="X21" s="330">
        <f t="shared" si="8"/>
        <v>49.726877161691675</v>
      </c>
      <c r="Y21" s="330">
        <f t="shared" si="8"/>
        <v>50.957998458731836</v>
      </c>
      <c r="Z21" s="330">
        <f t="shared" si="8"/>
        <v>52.250750345664912</v>
      </c>
      <c r="AA21" s="330">
        <f t="shared" si="9"/>
        <v>53.473940246602353</v>
      </c>
      <c r="AB21" s="330">
        <f t="shared" si="9"/>
        <v>53.16779648439951</v>
      </c>
      <c r="AC21" s="330">
        <f t="shared" si="9"/>
        <v>52.860920537900107</v>
      </c>
      <c r="AD21" s="330">
        <f t="shared" si="9"/>
        <v>52.55531163017308</v>
      </c>
      <c r="AE21" s="330">
        <f t="shared" si="9"/>
        <v>52.248935125159633</v>
      </c>
      <c r="AF21" s="330">
        <f t="shared" si="9"/>
        <v>51.942655316610988</v>
      </c>
      <c r="AG21" s="330">
        <f t="shared" si="9"/>
        <v>51.635449629385747</v>
      </c>
      <c r="AH21" s="330">
        <f t="shared" si="9"/>
        <v>51.329326521277956</v>
      </c>
      <c r="AI21" s="330">
        <f t="shared" si="9"/>
        <v>51.022472936959623</v>
      </c>
      <c r="AJ21" s="330">
        <f t="shared" si="9"/>
        <v>50.716548190274779</v>
      </c>
      <c r="AK21" s="330">
        <f t="shared" si="10"/>
        <v>50.410321566782294</v>
      </c>
      <c r="AL21" s="330">
        <f t="shared" si="10"/>
        <v>50.104095447614391</v>
      </c>
      <c r="AM21" s="330">
        <f t="shared" si="10"/>
        <v>49.801029647621633</v>
      </c>
      <c r="AN21" s="330">
        <f t="shared" si="10"/>
        <v>49.497969590083216</v>
      </c>
      <c r="AO21" s="330">
        <f t="shared" si="10"/>
        <v>49.19491528234127</v>
      </c>
      <c r="AP21" s="330">
        <f t="shared" si="10"/>
        <v>48.89186673174725</v>
      </c>
      <c r="AQ21" s="330">
        <f t="shared" si="10"/>
        <v>48.588823945662064</v>
      </c>
      <c r="AR21" s="330">
        <f t="shared" si="10"/>
        <v>48.285786931455988</v>
      </c>
      <c r="AS21" s="330">
        <f t="shared" si="10"/>
        <v>47.982755696508768</v>
      </c>
      <c r="AT21" s="330">
        <f t="shared" si="10"/>
        <v>47.679730248209545</v>
      </c>
      <c r="AU21" s="330">
        <f t="shared" si="10"/>
        <v>47.376710593956936</v>
      </c>
      <c r="AV21" s="331">
        <v>5</v>
      </c>
      <c r="AW21" s="467" cm="1">
        <f t="array" ref="AW21">INDEX('Energy Balance'!$D$7:$W$154,MATCH('MIN-IMP-EXP'!$B21,'Energy Balance'!$A$7:$A$154,0),MATCH('MIN-IMP-EXP'!AW$1&amp;'MIN-IMP-EXP'!AW$3,'Energy Balance'!$D$4:$W$4&amp;'Energy Balance'!$D$6:$W$6,0))/1000*INDEX('Energy Balance'!$Z$7:$AJ$155,MATCH($B21,'Energy Balance'!$A$7:$A$155,0),MATCH(AW$2,'Energy Balance'!$Z$5:$AJ$5,0))</f>
        <v>1.516134376196024</v>
      </c>
      <c r="AX21" s="467" cm="1">
        <f t="array" ref="AX21">INDEX('Energy Balance'!$D$7:$W$154,MATCH('MIN-IMP-EXP'!$B21,'Energy Balance'!$A$7:$A$154,0),MATCH('MIN-IMP-EXP'!AX$1&amp;'MIN-IMP-EXP'!AX$3,'Energy Balance'!$D$4:$W$4&amp;'Energy Balance'!$D$6:$W$6,0))/1000*INDEX('Energy Balance'!$Z$7:$AJ$155,MATCH($B21,'Energy Balance'!$A$7:$A$155,0),MATCH(AX$2,'Energy Balance'!$Z$5:$AJ$5,0))</f>
        <v>3.7473652212070014</v>
      </c>
      <c r="AY21" s="467" cm="1">
        <f t="array" ref="AY21">INDEX('Energy Balance'!$D$7:$W$154,MATCH('MIN-IMP-EXP'!$B21,'Energy Balance'!$A$7:$A$154,0),MATCH('MIN-IMP-EXP'!AY$1&amp;'MIN-IMP-EXP'!AY$3,'Energy Balance'!$D$4:$W$4&amp;'Energy Balance'!$D$6:$W$6,0))/1000*INDEX('Energy Balance'!$Z$7:$AJ$155,MATCH($B21,'Energy Balance'!$A$7:$A$155,0),MATCH(AY$2,'Energy Balance'!$Z$5:$AJ$5,0))</f>
        <v>31.723593826582988</v>
      </c>
      <c r="AZ21" s="467" cm="1">
        <f t="array" ref="AZ21">INDEX('Energy Balance'!$D$7:$W$154,MATCH('MIN-IMP-EXP'!$B21,'Energy Balance'!$A$7:$A$154,0),MATCH('MIN-IMP-EXP'!AZ$1&amp;'MIN-IMP-EXP'!AZ$3,'Energy Balance'!$D$4:$W$4&amp;'Energy Balance'!$D$6:$W$6,0))/1000*INDEX('Energy Balance'!$Z$7:$AJ$155,MATCH($B21,'Energy Balance'!$A$7:$A$155,0),MATCH(AZ$2,'Energy Balance'!$Z$5:$AJ$5,0))</f>
        <v>10.523306576013985</v>
      </c>
      <c r="BA21" s="467" cm="1">
        <f t="array" ref="BA21">INDEX('Energy Balance'!$D$7:$W$154,MATCH('MIN-IMP-EXP'!$B21,'Energy Balance'!$A$7:$A$154,0),MATCH('MIN-IMP-EXP'!BA$1&amp;'MIN-IMP-EXP'!BA$3,'Energy Balance'!$D$4:$W$4&amp;'Energy Balance'!$D$6:$W$6,0))/1000*INDEX('Energy Balance'!$Z$7:$AJ$155,MATCH($B21,'Energy Balance'!$A$7:$A$155,0),MATCH(BA$2,'Energy Balance'!$Z$5:$AJ$5,0))</f>
        <v>1.2634453134966868</v>
      </c>
      <c r="BB21" s="467" cm="1">
        <f t="array" ref="BB21">INDEX('Energy Balance'!$D$7:$W$154,MATCH('MIN-IMP-EXP'!$B21,'Energy Balance'!$A$7:$A$154,0),MATCH('MIN-IMP-EXP'!BB$1&amp;'MIN-IMP-EXP'!BB$3,'Energy Balance'!$D$4:$W$4&amp;'Energy Balance'!$D$6:$W$6,0))/1000*INDEX('Energy Balance'!$Z$7:$AJ$155,MATCH($B21,'Energy Balance'!$A$7:$A$155,0),MATCH(BB$2,'Energy Balance'!$Z$5:$AJ$5,0))</f>
        <v>3.1228043510058345</v>
      </c>
      <c r="BC21" s="467" cm="1">
        <f t="array" ref="BC21">INDEX('Energy Balance'!$D$7:$W$154,MATCH('MIN-IMP-EXP'!$B21,'Energy Balance'!$A$7:$A$154,0),MATCH('MIN-IMP-EXP'!BC$1&amp;'MIN-IMP-EXP'!BC$3,'Energy Balance'!$D$4:$W$4&amp;'Energy Balance'!$D$6:$W$6,0))/1000*INDEX('Energy Balance'!$Z$7:$AJ$155,MATCH($B21,'Energy Balance'!$A$7:$A$155,0),MATCH(BC$2,'Energy Balance'!$Z$5:$AJ$5,0))</f>
        <v>26.436328188819157</v>
      </c>
      <c r="BD21" s="467" cm="1">
        <f t="array" ref="BD21">INDEX('Energy Balance'!$D$7:$W$154,MATCH('MIN-IMP-EXP'!$B21,'Energy Balance'!$A$7:$A$154,0),MATCH('MIN-IMP-EXP'!BD$1&amp;'MIN-IMP-EXP'!BD$3,'Energy Balance'!$D$4:$W$4&amp;'Energy Balance'!$D$6:$W$6,0))/1000*INDEX('Energy Balance'!$Z$7:$AJ$155,MATCH($B21,'Energy Balance'!$A$7:$A$155,0),MATCH(BD$2,'Energy Balance'!$Z$5:$AJ$5,0))</f>
        <v>8.7694221466783198</v>
      </c>
      <c r="BE21" s="467" cm="1">
        <f t="array" ref="BE21">INDEX('Energy Balance'!$D$7:$W$154,MATCH('MIN-IMP-EXP'!$B21,'Energy Balance'!$A$7:$A$154,0),MATCH('MIN-IMP-EXP'!BE$1&amp;'MIN-IMP-EXP'!BE$3,'Energy Balance'!$D$4:$W$4&amp;'Energy Balance'!$D$6:$W$6,0))/1000*INDEX('Energy Balance'!$Z$7:$AJ$155,MATCH($B21,'Energy Balance'!$A$7:$A$155,0),MATCH(BE$2,'Energy Balance'!$Z$5:$AJ$5,0))</f>
        <v>6.0593805851371696E-2</v>
      </c>
      <c r="BF21" s="467" cm="1">
        <f t="array" ref="BF21">INDEX('Energy Balance'!$D$7:$W$154,MATCH('MIN-IMP-EXP'!$B21,'Energy Balance'!$A$7:$A$154,0),MATCH('MIN-IMP-EXP'!BF$1&amp;'MIN-IMP-EXP'!BF$3,'Energy Balance'!$D$4:$W$4&amp;'Energy Balance'!$D$6:$W$6,0))/1000*INDEX('Energy Balance'!$Z$7:$AJ$155,MATCH($B21,'Energy Balance'!$A$7:$A$155,0),MATCH(BF$2,'Energy Balance'!$Z$5:$AJ$5,0))</f>
        <v>0.14976714744619815</v>
      </c>
      <c r="BG21" s="467" cm="1">
        <f t="array" ref="BG21">INDEX('Energy Balance'!$D$7:$W$154,MATCH('MIN-IMP-EXP'!$B21,'Energy Balance'!$A$7:$A$154,0),MATCH('MIN-IMP-EXP'!BG$1&amp;'MIN-IMP-EXP'!BG$3,'Energy Balance'!$D$4:$W$4&amp;'Energy Balance'!$D$6:$W$6,0))/1000*INDEX('Energy Balance'!$Z$7:$AJ$155,MATCH($B21,'Energy Balance'!$A$7:$A$155,0),MATCH(BG$2,'Energy Balance'!$Z$5:$AJ$5,0))</f>
        <v>1.2678647192596939</v>
      </c>
      <c r="BH21" s="467" cm="1">
        <f t="array" ref="BH21">INDEX('Energy Balance'!$D$7:$W$154,MATCH('MIN-IMP-EXP'!$B21,'Energy Balance'!$A$7:$A$154,0),MATCH('MIN-IMP-EXP'!BH$1&amp;'MIN-IMP-EXP'!BH$3,'Energy Balance'!$D$4:$W$4&amp;'Energy Balance'!$D$6:$W$6,0))/1000*INDEX('Energy Balance'!$Z$7:$AJ$155,MATCH($B21,'Energy Balance'!$A$7:$A$155,0),MATCH(BH$2,'Energy Balance'!$Z$5:$AJ$5,0))</f>
        <v>0.42057432744273565</v>
      </c>
      <c r="BI21" s="467" cm="1">
        <f t="array" ref="BI21">INDEX('Energy Balance'!$D$7:$W$154,MATCH('MIN-IMP-EXP'!$B21,'Energy Balance'!$A$7:$A$154,0),MATCH('MIN-IMP-EXP'!BI$1&amp;'MIN-IMP-EXP'!BI$3,'Energy Balance'!$D$4:$W$4&amp;'Energy Balance'!$D$6:$W$6,0))/1000*INDEX('Energy Balance'!$Z$7:$AJ$155,MATCH($B21,'Energy Balance'!$A$7:$A$155,0),MATCH(BI$2,'Energy Balance'!$Z$5:$AJ$5,0))</f>
        <v>2.7089764176885307</v>
      </c>
      <c r="BJ21" s="467" cm="1">
        <f t="array" ref="BJ21">INDEX('Energy Balance'!$D$7:$W$154,MATCH('MIN-IMP-EXP'!$B21,'Energy Balance'!$A$7:$A$154,0),MATCH('MIN-IMP-EXP'!BJ$1&amp;'MIN-IMP-EXP'!BJ$3,'Energy Balance'!$D$4:$W$4&amp;'Energy Balance'!$D$6:$W$6,0))/1000*INDEX('Energy Balance'!$Z$7:$AJ$155,MATCH($B21,'Energy Balance'!$A$7:$A$155,0),MATCH(BJ$2,'Energy Balance'!$Z$5:$AJ$5,0))</f>
        <v>6.6956624505712146</v>
      </c>
      <c r="BK21" s="467" cm="1">
        <f t="array" ref="BK21">INDEX('Energy Balance'!$D$7:$W$154,MATCH('MIN-IMP-EXP'!$B21,'Energy Balance'!$A$7:$A$154,0),MATCH('MIN-IMP-EXP'!BK$1&amp;'MIN-IMP-EXP'!BK$3,'Energy Balance'!$D$4:$W$4&amp;'Energy Balance'!$D$6:$W$6,0))/1000*INDEX('Energy Balance'!$Z$7:$AJ$155,MATCH($B21,'Energy Balance'!$A$7:$A$155,0),MATCH(BK$2,'Energy Balance'!$Z$5:$AJ$5,0))</f>
        <v>56.682619238646964</v>
      </c>
      <c r="BL21" s="467" cm="1">
        <f t="array" ref="BL21">INDEX('Energy Balance'!$D$7:$W$154,MATCH('MIN-IMP-EXP'!$B21,'Energy Balance'!$A$7:$A$154,0),MATCH('MIN-IMP-EXP'!BL$1&amp;'MIN-IMP-EXP'!BL$3,'Energy Balance'!$D$4:$W$4&amp;'Energy Balance'!$D$6:$W$6,0))/1000*INDEX('Energy Balance'!$Z$7:$AJ$155,MATCH($B21,'Energy Balance'!$A$7:$A$155,0),MATCH(BL$2,'Energy Balance'!$Z$5:$AJ$5,0))</f>
        <v>18.802679893093291</v>
      </c>
      <c r="BM21" s="437">
        <v>4</v>
      </c>
    </row>
    <row r="22" spans="2:65" ht="14.4">
      <c r="B22" s="8" t="str">
        <f>Processes!D21</f>
        <v>IMPMGO</v>
      </c>
      <c r="C22" s="8" t="str">
        <f>Processes!E21</f>
        <v>Import technology - Marine Gas Oil</v>
      </c>
      <c r="D22" s="67"/>
      <c r="E22" s="67" t="str">
        <f t="shared" si="5"/>
        <v>MGO</v>
      </c>
      <c r="F22" s="387" t="str">
        <f t="shared" si="6"/>
        <v>MKr19</v>
      </c>
      <c r="G22" s="330">
        <f t="shared" si="7"/>
        <v>68.2</v>
      </c>
      <c r="H22" s="330">
        <f t="shared" si="7"/>
        <v>102</v>
      </c>
      <c r="I22" s="330">
        <f t="shared" si="7"/>
        <v>96.2</v>
      </c>
      <c r="J22" s="330">
        <f t="shared" si="7"/>
        <v>91.7</v>
      </c>
      <c r="K22" s="330">
        <f t="shared" si="7"/>
        <v>84</v>
      </c>
      <c r="L22" s="330">
        <f t="shared" si="7"/>
        <v>47.5</v>
      </c>
      <c r="M22" s="330">
        <f t="shared" si="7"/>
        <v>44.5</v>
      </c>
      <c r="N22" s="330">
        <f t="shared" si="7"/>
        <v>48.7</v>
      </c>
      <c r="O22" s="330">
        <f t="shared" si="7"/>
        <v>67.735141438725293</v>
      </c>
      <c r="P22" s="330">
        <f t="shared" si="7"/>
        <v>61.821029259474152</v>
      </c>
      <c r="Q22" s="330">
        <f t="shared" si="8"/>
        <v>60.341090730548601</v>
      </c>
      <c r="R22" s="330">
        <f t="shared" si="8"/>
        <v>38.35700531918522</v>
      </c>
      <c r="S22" s="330">
        <f t="shared" si="8"/>
        <v>41.765504189889249</v>
      </c>
      <c r="T22" s="330">
        <f t="shared" si="8"/>
        <v>44.088588085044584</v>
      </c>
      <c r="U22" s="330">
        <f t="shared" si="8"/>
        <v>45.786797230009718</v>
      </c>
      <c r="V22" s="330">
        <f t="shared" si="8"/>
        <v>47.023275056537912</v>
      </c>
      <c r="W22" s="330">
        <f t="shared" si="8"/>
        <v>48.388738394847046</v>
      </c>
      <c r="X22" s="330">
        <f t="shared" si="8"/>
        <v>49.726877161691675</v>
      </c>
      <c r="Y22" s="330">
        <f t="shared" si="8"/>
        <v>50.957998458731836</v>
      </c>
      <c r="Z22" s="330">
        <f t="shared" si="8"/>
        <v>52.250750345664912</v>
      </c>
      <c r="AA22" s="330">
        <f t="shared" si="9"/>
        <v>53.473940246602353</v>
      </c>
      <c r="AB22" s="330">
        <f t="shared" si="9"/>
        <v>53.16779648439951</v>
      </c>
      <c r="AC22" s="330">
        <f t="shared" si="9"/>
        <v>52.860920537900107</v>
      </c>
      <c r="AD22" s="330">
        <f t="shared" si="9"/>
        <v>52.55531163017308</v>
      </c>
      <c r="AE22" s="330">
        <f t="shared" si="9"/>
        <v>52.248935125159633</v>
      </c>
      <c r="AF22" s="330">
        <f t="shared" si="9"/>
        <v>51.942655316610988</v>
      </c>
      <c r="AG22" s="330">
        <f t="shared" si="9"/>
        <v>51.635449629385747</v>
      </c>
      <c r="AH22" s="330">
        <f t="shared" si="9"/>
        <v>51.329326521277956</v>
      </c>
      <c r="AI22" s="330">
        <f t="shared" si="9"/>
        <v>51.022472936959623</v>
      </c>
      <c r="AJ22" s="330">
        <f t="shared" si="9"/>
        <v>50.716548190274779</v>
      </c>
      <c r="AK22" s="330">
        <f t="shared" si="10"/>
        <v>50.410321566782294</v>
      </c>
      <c r="AL22" s="330">
        <f t="shared" si="10"/>
        <v>50.104095447614391</v>
      </c>
      <c r="AM22" s="330">
        <f t="shared" si="10"/>
        <v>49.801029647621633</v>
      </c>
      <c r="AN22" s="330">
        <f t="shared" si="10"/>
        <v>49.497969590083216</v>
      </c>
      <c r="AO22" s="330">
        <f t="shared" si="10"/>
        <v>49.19491528234127</v>
      </c>
      <c r="AP22" s="330">
        <f t="shared" si="10"/>
        <v>48.89186673174725</v>
      </c>
      <c r="AQ22" s="330">
        <f t="shared" si="10"/>
        <v>48.588823945662064</v>
      </c>
      <c r="AR22" s="330">
        <f t="shared" si="10"/>
        <v>48.285786931455988</v>
      </c>
      <c r="AS22" s="330">
        <f t="shared" si="10"/>
        <v>47.982755696508768</v>
      </c>
      <c r="AT22" s="330">
        <f t="shared" si="10"/>
        <v>47.679730248209545</v>
      </c>
      <c r="AU22" s="330">
        <f t="shared" si="10"/>
        <v>47.376710593956936</v>
      </c>
      <c r="AV22" s="331">
        <v>5</v>
      </c>
    </row>
    <row r="23" spans="2:65" ht="14.4">
      <c r="B23" s="8" t="str">
        <f>Processes!D22</f>
        <v>IMPAGSL</v>
      </c>
      <c r="C23" s="8" t="str">
        <f>Processes!E22</f>
        <v>Import technology - Aviation gasoline</v>
      </c>
      <c r="D23" s="67"/>
      <c r="E23" s="67" t="str">
        <f t="shared" si="5"/>
        <v>AGSL</v>
      </c>
      <c r="F23" s="387" t="str">
        <f t="shared" si="6"/>
        <v>MKr19</v>
      </c>
      <c r="G23" s="330">
        <f t="shared" si="7"/>
        <v>76.5</v>
      </c>
      <c r="H23" s="330">
        <f t="shared" si="7"/>
        <v>112.4</v>
      </c>
      <c r="I23" s="330">
        <f t="shared" si="7"/>
        <v>116.3</v>
      </c>
      <c r="J23" s="330">
        <f t="shared" si="7"/>
        <v>118.6</v>
      </c>
      <c r="K23" s="330">
        <f t="shared" si="7"/>
        <v>110.1</v>
      </c>
      <c r="L23" s="330">
        <f t="shared" si="7"/>
        <v>73.5</v>
      </c>
      <c r="M23" s="330">
        <f t="shared" si="7"/>
        <v>70.599999999999994</v>
      </c>
      <c r="N23" s="330">
        <f t="shared" si="7"/>
        <v>74.7</v>
      </c>
      <c r="O23" s="330">
        <f t="shared" si="7"/>
        <v>99.501075794723519</v>
      </c>
      <c r="P23" s="330">
        <f t="shared" si="7"/>
        <v>92.996963615472367</v>
      </c>
      <c r="Q23" s="330">
        <f t="shared" si="8"/>
        <v>91.517025086546809</v>
      </c>
      <c r="R23" s="330">
        <f t="shared" si="8"/>
        <v>69.532939675183428</v>
      </c>
      <c r="S23" s="330">
        <f t="shared" si="8"/>
        <v>72.941438545887451</v>
      </c>
      <c r="T23" s="330">
        <f t="shared" si="8"/>
        <v>75.264522441042786</v>
      </c>
      <c r="U23" s="330">
        <f t="shared" si="8"/>
        <v>76.962731586007934</v>
      </c>
      <c r="V23" s="330">
        <f t="shared" si="8"/>
        <v>78.199209412536121</v>
      </c>
      <c r="W23" s="330">
        <f t="shared" si="8"/>
        <v>79.564672750845261</v>
      </c>
      <c r="X23" s="330">
        <f t="shared" si="8"/>
        <v>80.902811517689884</v>
      </c>
      <c r="Y23" s="330">
        <f t="shared" si="8"/>
        <v>82.133932814730045</v>
      </c>
      <c r="Z23" s="330">
        <f t="shared" si="8"/>
        <v>83.42668470166312</v>
      </c>
      <c r="AA23" s="330">
        <f t="shared" si="9"/>
        <v>84.649874602600562</v>
      </c>
      <c r="AB23" s="330">
        <f t="shared" si="9"/>
        <v>84.343730840397711</v>
      </c>
      <c r="AC23" s="330">
        <f t="shared" si="9"/>
        <v>84.036854893898322</v>
      </c>
      <c r="AD23" s="330">
        <f t="shared" si="9"/>
        <v>83.731245986171288</v>
      </c>
      <c r="AE23" s="330">
        <f t="shared" si="9"/>
        <v>83.424869481157842</v>
      </c>
      <c r="AF23" s="330">
        <f t="shared" si="9"/>
        <v>83.118589672609204</v>
      </c>
      <c r="AG23" s="330">
        <f t="shared" si="9"/>
        <v>82.811383985383955</v>
      </c>
      <c r="AH23" s="330">
        <f t="shared" si="9"/>
        <v>82.505260877276157</v>
      </c>
      <c r="AI23" s="330">
        <f t="shared" si="9"/>
        <v>82.198407292957839</v>
      </c>
      <c r="AJ23" s="330">
        <f t="shared" si="9"/>
        <v>81.892482546272987</v>
      </c>
      <c r="AK23" s="330">
        <f t="shared" si="10"/>
        <v>81.586255922780509</v>
      </c>
      <c r="AL23" s="330">
        <f t="shared" si="10"/>
        <v>81.280029803612607</v>
      </c>
      <c r="AM23" s="330">
        <f t="shared" si="10"/>
        <v>80.976964003619855</v>
      </c>
      <c r="AN23" s="330">
        <f t="shared" si="10"/>
        <v>80.673903946081424</v>
      </c>
      <c r="AO23" s="330">
        <f t="shared" si="10"/>
        <v>80.370849638339479</v>
      </c>
      <c r="AP23" s="330">
        <f t="shared" si="10"/>
        <v>80.067801087745465</v>
      </c>
      <c r="AQ23" s="330">
        <f t="shared" si="10"/>
        <v>79.764758301660265</v>
      </c>
      <c r="AR23" s="330">
        <f t="shared" si="10"/>
        <v>79.461721287454196</v>
      </c>
      <c r="AS23" s="330">
        <f t="shared" si="10"/>
        <v>79.158690052506984</v>
      </c>
      <c r="AT23" s="330">
        <f t="shared" si="10"/>
        <v>78.85566460420776</v>
      </c>
      <c r="AU23" s="330">
        <f t="shared" si="10"/>
        <v>78.552644949955152</v>
      </c>
      <c r="AV23" s="331">
        <v>5</v>
      </c>
      <c r="BF23" s="365"/>
      <c r="BG23" s="365"/>
      <c r="BH23" s="365"/>
      <c r="BI23" s="365"/>
      <c r="BJ23" s="365"/>
      <c r="BK23" s="365"/>
    </row>
    <row r="24" spans="2:65" ht="14.4">
      <c r="B24" s="8" t="str">
        <f>Processes!D23</f>
        <v>IMPBGA</v>
      </c>
      <c r="C24" s="8" t="str">
        <f>Processes!E23</f>
        <v>Import technology - Biogas</v>
      </c>
      <c r="D24" s="67"/>
      <c r="E24" s="67" t="str">
        <f t="shared" si="5"/>
        <v>BGA</v>
      </c>
      <c r="F24" s="387" t="str">
        <f t="shared" si="6"/>
        <v>MKr19</v>
      </c>
      <c r="G24" s="330">
        <f t="shared" si="7"/>
        <v>133.19999999999999</v>
      </c>
      <c r="H24" s="330">
        <f t="shared" si="7"/>
        <v>138.30000000000001</v>
      </c>
      <c r="I24" s="330">
        <f t="shared" si="7"/>
        <v>165.3</v>
      </c>
      <c r="J24" s="330">
        <f t="shared" si="7"/>
        <v>162.60000000000002</v>
      </c>
      <c r="K24" s="330">
        <f t="shared" si="7"/>
        <v>137.10000000000002</v>
      </c>
      <c r="L24" s="330">
        <f t="shared" si="7"/>
        <v>132</v>
      </c>
      <c r="M24" s="330">
        <f t="shared" si="7"/>
        <v>110.39999999999999</v>
      </c>
      <c r="N24" s="330">
        <f t="shared" si="7"/>
        <v>110.69999999999999</v>
      </c>
      <c r="O24" s="330">
        <f t="shared" si="7"/>
        <v>160.26655014555075</v>
      </c>
      <c r="P24" s="330">
        <f t="shared" si="7"/>
        <v>102.78303372186139</v>
      </c>
      <c r="Q24" s="330">
        <f t="shared" si="8"/>
        <v>100.19354995944677</v>
      </c>
      <c r="R24" s="330">
        <f t="shared" si="8"/>
        <v>94.575870076314601</v>
      </c>
      <c r="S24" s="330">
        <f t="shared" si="8"/>
        <v>98.287645864625688</v>
      </c>
      <c r="T24" s="330">
        <f t="shared" si="8"/>
        <v>100.1030649386264</v>
      </c>
      <c r="U24" s="330">
        <f t="shared" si="8"/>
        <v>100.70137176108622</v>
      </c>
      <c r="V24" s="330">
        <f t="shared" si="8"/>
        <v>100.518250388741</v>
      </c>
      <c r="W24" s="330">
        <f t="shared" si="8"/>
        <v>100.40291761291219</v>
      </c>
      <c r="X24" s="330">
        <f t="shared" si="8"/>
        <v>100.32884125869501</v>
      </c>
      <c r="Y24" s="330">
        <f t="shared" si="8"/>
        <v>100.26539877136038</v>
      </c>
      <c r="Z24" s="330">
        <f t="shared" si="8"/>
        <v>100.24266074406691</v>
      </c>
      <c r="AA24" s="330">
        <f t="shared" si="9"/>
        <v>100.23645783122964</v>
      </c>
      <c r="AB24" s="330">
        <f t="shared" si="9"/>
        <v>100.37471501444514</v>
      </c>
      <c r="AC24" s="330">
        <f t="shared" si="9"/>
        <v>100.51297219766064</v>
      </c>
      <c r="AD24" s="330">
        <f t="shared" si="9"/>
        <v>100.65122938087613</v>
      </c>
      <c r="AE24" s="330">
        <f t="shared" si="9"/>
        <v>100.78948656409162</v>
      </c>
      <c r="AF24" s="330">
        <f t="shared" si="9"/>
        <v>100.92774374730713</v>
      </c>
      <c r="AG24" s="330">
        <f t="shared" si="9"/>
        <v>101.06600093052263</v>
      </c>
      <c r="AH24" s="330">
        <f t="shared" si="9"/>
        <v>101.20425811373809</v>
      </c>
      <c r="AI24" s="330">
        <f t="shared" si="9"/>
        <v>101.34251529695359</v>
      </c>
      <c r="AJ24" s="330">
        <f t="shared" si="9"/>
        <v>101.48077248016905</v>
      </c>
      <c r="AK24" s="330">
        <f t="shared" si="10"/>
        <v>101.61902966338455</v>
      </c>
      <c r="AL24" s="330">
        <f t="shared" si="10"/>
        <v>101.75728684660005</v>
      </c>
      <c r="AM24" s="330">
        <f t="shared" si="10"/>
        <v>101.89554402981554</v>
      </c>
      <c r="AN24" s="330">
        <f t="shared" si="10"/>
        <v>102.03380121303101</v>
      </c>
      <c r="AO24" s="330">
        <f t="shared" si="10"/>
        <v>102.17205839624651</v>
      </c>
      <c r="AP24" s="330">
        <f t="shared" si="10"/>
        <v>102.31031557946201</v>
      </c>
      <c r="AQ24" s="330">
        <f t="shared" si="10"/>
        <v>102.44857276267751</v>
      </c>
      <c r="AR24" s="330">
        <f t="shared" si="10"/>
        <v>102.58682994589297</v>
      </c>
      <c r="AS24" s="330">
        <f t="shared" si="10"/>
        <v>102.72508712910849</v>
      </c>
      <c r="AT24" s="330">
        <f t="shared" si="10"/>
        <v>102.86334431232396</v>
      </c>
      <c r="AU24" s="330">
        <f t="shared" si="10"/>
        <v>103.00160149553948</v>
      </c>
      <c r="AV24" s="331">
        <v>5</v>
      </c>
      <c r="BF24" s="365"/>
      <c r="BG24" s="365"/>
      <c r="BH24" s="365"/>
      <c r="BI24" s="365"/>
      <c r="BJ24" s="365"/>
      <c r="BK24" s="365"/>
    </row>
    <row r="25" spans="2:65" ht="14.4">
      <c r="B25" s="8" t="str">
        <f>Processes!D24</f>
        <v>IMPHFB</v>
      </c>
      <c r="C25" s="8" t="str">
        <f>Processes!E24</f>
        <v>Import technology - Heavy Fuel Bio Oil</v>
      </c>
      <c r="D25" s="67"/>
      <c r="E25" s="67" t="str">
        <f t="shared" si="5"/>
        <v>HFB</v>
      </c>
      <c r="F25" s="387" t="str">
        <f t="shared" si="6"/>
        <v>MKr19</v>
      </c>
      <c r="G25" s="330">
        <f t="shared" si="7"/>
        <v>131.87375303359801</v>
      </c>
      <c r="H25" s="330">
        <f t="shared" si="7"/>
        <v>165.67375303359799</v>
      </c>
      <c r="I25" s="330">
        <f t="shared" si="7"/>
        <v>159.87375303359801</v>
      </c>
      <c r="J25" s="330">
        <f t="shared" si="7"/>
        <v>155.37375303359801</v>
      </c>
      <c r="K25" s="330">
        <f t="shared" si="7"/>
        <v>147.67375303359799</v>
      </c>
      <c r="L25" s="330">
        <f t="shared" si="7"/>
        <v>111.17375303359799</v>
      </c>
      <c r="M25" s="330">
        <f t="shared" si="7"/>
        <v>108.17375303359799</v>
      </c>
      <c r="N25" s="330">
        <f t="shared" si="7"/>
        <v>112.37375303359801</v>
      </c>
      <c r="O25" s="330">
        <f t="shared" si="7"/>
        <v>131.40889447232328</v>
      </c>
      <c r="P25" s="330">
        <f t="shared" si="7"/>
        <v>125.49478229307215</v>
      </c>
      <c r="Q25" s="330">
        <f t="shared" si="8"/>
        <v>124.0148437641466</v>
      </c>
      <c r="R25" s="330">
        <f t="shared" si="8"/>
        <v>102.03075835278321</v>
      </c>
      <c r="S25" s="330">
        <f t="shared" si="8"/>
        <v>105.43925722348725</v>
      </c>
      <c r="T25" s="330">
        <f t="shared" si="8"/>
        <v>107.76234111864258</v>
      </c>
      <c r="U25" s="330">
        <f t="shared" si="8"/>
        <v>109.46055026360771</v>
      </c>
      <c r="V25" s="330">
        <f t="shared" si="8"/>
        <v>110.69702809013592</v>
      </c>
      <c r="W25" s="330">
        <f t="shared" si="8"/>
        <v>112.06249142844504</v>
      </c>
      <c r="X25" s="330">
        <f t="shared" si="8"/>
        <v>113.40063019528966</v>
      </c>
      <c r="Y25" s="330">
        <f t="shared" si="8"/>
        <v>114.63175149232984</v>
      </c>
      <c r="Z25" s="330">
        <f t="shared" si="8"/>
        <v>115.92450337926292</v>
      </c>
      <c r="AA25" s="330">
        <f t="shared" si="9"/>
        <v>117.14769328020034</v>
      </c>
      <c r="AB25" s="330">
        <f t="shared" si="9"/>
        <v>116.84154951799751</v>
      </c>
      <c r="AC25" s="330">
        <f t="shared" si="9"/>
        <v>116.5346735714981</v>
      </c>
      <c r="AD25" s="330">
        <f t="shared" si="9"/>
        <v>116.22906466377108</v>
      </c>
      <c r="AE25" s="330">
        <f t="shared" si="9"/>
        <v>115.92268815875764</v>
      </c>
      <c r="AF25" s="330">
        <f t="shared" si="9"/>
        <v>115.61640835020899</v>
      </c>
      <c r="AG25" s="330">
        <f t="shared" si="9"/>
        <v>115.30920266298375</v>
      </c>
      <c r="AH25" s="330">
        <f t="shared" si="9"/>
        <v>115.00307955487595</v>
      </c>
      <c r="AI25" s="330">
        <f t="shared" si="9"/>
        <v>114.69622597055762</v>
      </c>
      <c r="AJ25" s="330">
        <f t="shared" si="9"/>
        <v>114.39030122387277</v>
      </c>
      <c r="AK25" s="330">
        <f t="shared" si="10"/>
        <v>114.08407460038029</v>
      </c>
      <c r="AL25" s="330">
        <f t="shared" si="10"/>
        <v>113.77784848121239</v>
      </c>
      <c r="AM25" s="330">
        <f t="shared" si="10"/>
        <v>113.47478268121964</v>
      </c>
      <c r="AN25" s="330">
        <f t="shared" si="10"/>
        <v>113.17172262368121</v>
      </c>
      <c r="AO25" s="330">
        <f t="shared" si="10"/>
        <v>112.86866831593926</v>
      </c>
      <c r="AP25" s="330">
        <f t="shared" si="10"/>
        <v>112.56561976534525</v>
      </c>
      <c r="AQ25" s="330">
        <f t="shared" si="10"/>
        <v>112.26257697926006</v>
      </c>
      <c r="AR25" s="330">
        <f t="shared" si="10"/>
        <v>111.95953996505398</v>
      </c>
      <c r="AS25" s="330">
        <f t="shared" si="10"/>
        <v>111.65650873010676</v>
      </c>
      <c r="AT25" s="330">
        <f t="shared" si="10"/>
        <v>111.35348328180754</v>
      </c>
      <c r="AU25" s="330">
        <f t="shared" si="10"/>
        <v>111.05046362755493</v>
      </c>
      <c r="AV25" s="331">
        <v>5</v>
      </c>
      <c r="BF25" s="365"/>
      <c r="BG25" s="365"/>
      <c r="BH25" s="365"/>
      <c r="BI25" s="365"/>
      <c r="BJ25" s="365"/>
      <c r="BK25" s="365"/>
    </row>
    <row r="26" spans="2:65" ht="14.4">
      <c r="B26" s="8" t="str">
        <f>Processes!D25</f>
        <v>IMPDDGS</v>
      </c>
      <c r="C26" s="8" t="str">
        <f>Processes!E25</f>
        <v>Import technology - Ethanol</v>
      </c>
      <c r="D26" s="67"/>
      <c r="E26" s="67" t="str">
        <f t="shared" si="5"/>
        <v>DDGS</v>
      </c>
      <c r="F26" s="387" t="str">
        <f t="shared" si="6"/>
        <v>MKr14</v>
      </c>
      <c r="G26" s="330">
        <f t="shared" si="7"/>
        <v>10</v>
      </c>
      <c r="H26" s="330">
        <f t="shared" si="7"/>
        <v>10</v>
      </c>
      <c r="I26" s="330">
        <f t="shared" si="7"/>
        <v>10</v>
      </c>
      <c r="J26" s="330">
        <f t="shared" si="7"/>
        <v>10</v>
      </c>
      <c r="K26" s="330">
        <f t="shared" si="7"/>
        <v>10</v>
      </c>
      <c r="L26" s="330">
        <f t="shared" si="7"/>
        <v>10</v>
      </c>
      <c r="M26" s="330">
        <f t="shared" si="7"/>
        <v>10</v>
      </c>
      <c r="N26" s="330">
        <f t="shared" si="7"/>
        <v>10</v>
      </c>
      <c r="O26" s="330">
        <f t="shared" si="7"/>
        <v>10</v>
      </c>
      <c r="P26" s="330">
        <f t="shared" si="7"/>
        <v>10</v>
      </c>
      <c r="Q26" s="330">
        <f t="shared" si="8"/>
        <v>10</v>
      </c>
      <c r="R26" s="330">
        <f t="shared" si="8"/>
        <v>10</v>
      </c>
      <c r="S26" s="330">
        <f t="shared" si="8"/>
        <v>10</v>
      </c>
      <c r="T26" s="330">
        <f t="shared" si="8"/>
        <v>10</v>
      </c>
      <c r="U26" s="330">
        <f t="shared" si="8"/>
        <v>10</v>
      </c>
      <c r="V26" s="330">
        <f t="shared" si="8"/>
        <v>10</v>
      </c>
      <c r="W26" s="330">
        <f t="shared" si="8"/>
        <v>10</v>
      </c>
      <c r="X26" s="330">
        <f t="shared" si="8"/>
        <v>10</v>
      </c>
      <c r="Y26" s="330">
        <f t="shared" si="8"/>
        <v>10</v>
      </c>
      <c r="Z26" s="330">
        <f t="shared" si="8"/>
        <v>10</v>
      </c>
      <c r="AA26" s="330">
        <f t="shared" si="9"/>
        <v>10</v>
      </c>
      <c r="AB26" s="330">
        <f t="shared" si="9"/>
        <v>10</v>
      </c>
      <c r="AC26" s="330">
        <f t="shared" si="9"/>
        <v>10</v>
      </c>
      <c r="AD26" s="330">
        <f t="shared" si="9"/>
        <v>10</v>
      </c>
      <c r="AE26" s="330">
        <f t="shared" si="9"/>
        <v>10</v>
      </c>
      <c r="AF26" s="330">
        <f t="shared" si="9"/>
        <v>10</v>
      </c>
      <c r="AG26" s="330">
        <f t="shared" si="9"/>
        <v>10</v>
      </c>
      <c r="AH26" s="330">
        <f t="shared" si="9"/>
        <v>10</v>
      </c>
      <c r="AI26" s="330">
        <f t="shared" si="9"/>
        <v>10</v>
      </c>
      <c r="AJ26" s="330">
        <f t="shared" si="9"/>
        <v>10</v>
      </c>
      <c r="AK26" s="330">
        <f t="shared" si="10"/>
        <v>10</v>
      </c>
      <c r="AL26" s="330">
        <f t="shared" si="10"/>
        <v>10</v>
      </c>
      <c r="AM26" s="330">
        <f t="shared" si="10"/>
        <v>10</v>
      </c>
      <c r="AN26" s="330">
        <f t="shared" si="10"/>
        <v>10</v>
      </c>
      <c r="AO26" s="330">
        <f t="shared" si="10"/>
        <v>10</v>
      </c>
      <c r="AP26" s="330">
        <f t="shared" si="10"/>
        <v>10</v>
      </c>
      <c r="AQ26" s="330">
        <f t="shared" si="10"/>
        <v>10</v>
      </c>
      <c r="AR26" s="330">
        <f t="shared" si="10"/>
        <v>10</v>
      </c>
      <c r="AS26" s="330">
        <f t="shared" si="10"/>
        <v>10</v>
      </c>
      <c r="AT26" s="330">
        <f t="shared" si="10"/>
        <v>10</v>
      </c>
      <c r="AU26" s="330">
        <f t="shared" si="10"/>
        <v>10</v>
      </c>
      <c r="AV26" s="331">
        <v>5</v>
      </c>
      <c r="BF26" s="365"/>
      <c r="BG26" s="365"/>
      <c r="BH26" s="365"/>
      <c r="BI26" s="365"/>
      <c r="BJ26" s="365"/>
      <c r="BK26" s="365"/>
    </row>
    <row r="27" spans="2:65" ht="14.4">
      <c r="B27" s="8" t="str">
        <f>Processes!D26</f>
        <v>IMPH2</v>
      </c>
      <c r="C27" s="8" t="str">
        <f>Processes!E26</f>
        <v>Import technology - Hydrogen</v>
      </c>
      <c r="D27" s="67"/>
      <c r="E27" s="333" t="s">
        <v>651</v>
      </c>
      <c r="F27" s="387" t="str">
        <f t="shared" si="6"/>
        <v>MKr14</v>
      </c>
      <c r="G27" s="330">
        <f t="shared" ref="G27:P36" si="11">IFERROR(INDEX($G$121:$AU$176,MATCH($E27,$E$121:$E$176,0),MATCH(G$6,$G$120:$AU$120,0)),0)</f>
        <v>586.08000000000004</v>
      </c>
      <c r="H27" s="330">
        <f t="shared" si="11"/>
        <v>807.895012134392</v>
      </c>
      <c r="I27" s="330">
        <f t="shared" si="11"/>
        <v>915.895012134392</v>
      </c>
      <c r="J27" s="330">
        <f t="shared" si="11"/>
        <v>905.09501213439205</v>
      </c>
      <c r="K27" s="330">
        <f t="shared" si="11"/>
        <v>803.09501213439205</v>
      </c>
      <c r="L27" s="330">
        <f t="shared" si="11"/>
        <v>782.69501213439196</v>
      </c>
      <c r="M27" s="330">
        <f t="shared" si="11"/>
        <v>696.29501213439198</v>
      </c>
      <c r="N27" s="330">
        <f t="shared" si="11"/>
        <v>697.49501213439191</v>
      </c>
      <c r="O27" s="330">
        <f t="shared" si="11"/>
        <v>895.76121271659497</v>
      </c>
      <c r="P27" s="330">
        <f t="shared" si="11"/>
        <v>665.8271470218375</v>
      </c>
      <c r="Q27" s="330">
        <f t="shared" ref="Q27:Z36" si="12">IFERROR(INDEX($G$121:$AU$176,MATCH($E27,$E$121:$E$176,0),MATCH(Q$6,$G$120:$AU$120,0)),0)</f>
        <v>655.4692119721791</v>
      </c>
      <c r="R27" s="330">
        <f t="shared" si="12"/>
        <v>632.99849243965036</v>
      </c>
      <c r="S27" s="330">
        <f t="shared" si="12"/>
        <v>647.84559559289471</v>
      </c>
      <c r="T27" s="330">
        <f t="shared" si="12"/>
        <v>655.10727188889757</v>
      </c>
      <c r="U27" s="330">
        <f t="shared" si="12"/>
        <v>657.50049917873685</v>
      </c>
      <c r="V27" s="330">
        <f t="shared" si="12"/>
        <v>656.76801368935594</v>
      </c>
      <c r="W27" s="330">
        <f t="shared" si="12"/>
        <v>656.30668258604078</v>
      </c>
      <c r="X27" s="330">
        <f t="shared" si="12"/>
        <v>656.01037716917199</v>
      </c>
      <c r="Y27" s="330">
        <f t="shared" si="12"/>
        <v>655.75660721983354</v>
      </c>
      <c r="Z27" s="330">
        <f t="shared" si="12"/>
        <v>655.6656551106596</v>
      </c>
      <c r="AA27" s="330">
        <f t="shared" ref="AA27:AJ36" si="13">IFERROR(INDEX($G$121:$AU$176,MATCH($E27,$E$121:$E$176,0),MATCH(AA$6,$G$120:$AU$120,0)),0)</f>
        <v>655.64084345931053</v>
      </c>
      <c r="AB27" s="330">
        <f t="shared" si="13"/>
        <v>656.19387219217253</v>
      </c>
      <c r="AC27" s="330">
        <f t="shared" si="13"/>
        <v>656.74690092503454</v>
      </c>
      <c r="AD27" s="330">
        <f t="shared" si="13"/>
        <v>657.29992965789654</v>
      </c>
      <c r="AE27" s="330">
        <f t="shared" si="13"/>
        <v>657.85295839075843</v>
      </c>
      <c r="AF27" s="330">
        <f t="shared" si="13"/>
        <v>658.40598712362055</v>
      </c>
      <c r="AG27" s="330">
        <f t="shared" si="13"/>
        <v>658.95901585648255</v>
      </c>
      <c r="AH27" s="330">
        <f t="shared" si="13"/>
        <v>659.51204458934433</v>
      </c>
      <c r="AI27" s="330">
        <f t="shared" si="13"/>
        <v>660.06507332220633</v>
      </c>
      <c r="AJ27" s="330">
        <f t="shared" si="13"/>
        <v>660.61810205506822</v>
      </c>
      <c r="AK27" s="330">
        <f t="shared" ref="AK27:AU36" si="14">IFERROR(INDEX($G$121:$AU$176,MATCH($E27,$E$121:$E$176,0),MATCH(AK$6,$G$120:$AU$120,0)),0)</f>
        <v>661.17113078793022</v>
      </c>
      <c r="AL27" s="330">
        <f t="shared" si="14"/>
        <v>661.72415952079223</v>
      </c>
      <c r="AM27" s="330">
        <f t="shared" si="14"/>
        <v>662.27718825365412</v>
      </c>
      <c r="AN27" s="330">
        <f t="shared" si="14"/>
        <v>662.83021698651601</v>
      </c>
      <c r="AO27" s="330">
        <f t="shared" si="14"/>
        <v>663.38324571937801</v>
      </c>
      <c r="AP27" s="330">
        <f t="shared" si="14"/>
        <v>663.93627445224001</v>
      </c>
      <c r="AQ27" s="330">
        <f t="shared" si="14"/>
        <v>664.48930318510202</v>
      </c>
      <c r="AR27" s="330">
        <f t="shared" si="14"/>
        <v>665.04233191796391</v>
      </c>
      <c r="AS27" s="330">
        <f t="shared" si="14"/>
        <v>665.59536065082591</v>
      </c>
      <c r="AT27" s="330">
        <f t="shared" si="14"/>
        <v>666.1483893836878</v>
      </c>
      <c r="AU27" s="330">
        <f t="shared" si="14"/>
        <v>666.70141811654992</v>
      </c>
      <c r="AV27" s="331">
        <v>5</v>
      </c>
      <c r="BF27" s="365"/>
      <c r="BG27" s="365"/>
      <c r="BH27" s="365"/>
      <c r="BI27" s="365"/>
      <c r="BJ27" s="365"/>
      <c r="BK27" s="365"/>
    </row>
    <row r="28" spans="2:65" ht="14.4">
      <c r="B28" s="8" t="str">
        <f>Processes!D27</f>
        <v>IMPH2G</v>
      </c>
      <c r="C28" s="8" t="str">
        <f>Processes!E27</f>
        <v>Import technology - Hydrogen Gas</v>
      </c>
      <c r="D28" s="67"/>
      <c r="E28" s="67" t="str">
        <f t="shared" si="5"/>
        <v>H2G</v>
      </c>
      <c r="F28" s="387" t="str">
        <f t="shared" si="6"/>
        <v>MKr14</v>
      </c>
      <c r="G28" s="330">
        <f t="shared" si="11"/>
        <v>586.08000000000004</v>
      </c>
      <c r="H28" s="330">
        <f t="shared" si="11"/>
        <v>807.895012134392</v>
      </c>
      <c r="I28" s="330">
        <f t="shared" si="11"/>
        <v>915.895012134392</v>
      </c>
      <c r="J28" s="330">
        <f t="shared" si="11"/>
        <v>905.09501213439205</v>
      </c>
      <c r="K28" s="330">
        <f t="shared" si="11"/>
        <v>803.09501213439205</v>
      </c>
      <c r="L28" s="330">
        <f t="shared" si="11"/>
        <v>782.69501213439196</v>
      </c>
      <c r="M28" s="330">
        <f t="shared" si="11"/>
        <v>696.29501213439198</v>
      </c>
      <c r="N28" s="330">
        <f t="shared" si="11"/>
        <v>697.49501213439191</v>
      </c>
      <c r="O28" s="330">
        <f t="shared" si="11"/>
        <v>895.76121271659497</v>
      </c>
      <c r="P28" s="330">
        <f t="shared" si="11"/>
        <v>665.8271470218375</v>
      </c>
      <c r="Q28" s="330">
        <f t="shared" si="12"/>
        <v>655.4692119721791</v>
      </c>
      <c r="R28" s="330">
        <f t="shared" si="12"/>
        <v>632.99849243965036</v>
      </c>
      <c r="S28" s="330">
        <f t="shared" si="12"/>
        <v>647.84559559289471</v>
      </c>
      <c r="T28" s="330">
        <f t="shared" si="12"/>
        <v>655.10727188889757</v>
      </c>
      <c r="U28" s="330">
        <f t="shared" si="12"/>
        <v>657.50049917873685</v>
      </c>
      <c r="V28" s="330">
        <f t="shared" si="12"/>
        <v>656.76801368935594</v>
      </c>
      <c r="W28" s="330">
        <f t="shared" si="12"/>
        <v>656.30668258604078</v>
      </c>
      <c r="X28" s="330">
        <f t="shared" si="12"/>
        <v>656.01037716917199</v>
      </c>
      <c r="Y28" s="330">
        <f t="shared" si="12"/>
        <v>655.75660721983354</v>
      </c>
      <c r="Z28" s="330">
        <f t="shared" si="12"/>
        <v>655.6656551106596</v>
      </c>
      <c r="AA28" s="330">
        <f t="shared" si="13"/>
        <v>655.64084345931053</v>
      </c>
      <c r="AB28" s="330">
        <f t="shared" si="13"/>
        <v>656.19387219217253</v>
      </c>
      <c r="AC28" s="330">
        <f t="shared" si="13"/>
        <v>656.74690092503454</v>
      </c>
      <c r="AD28" s="330">
        <f t="shared" si="13"/>
        <v>657.29992965789654</v>
      </c>
      <c r="AE28" s="330">
        <f t="shared" si="13"/>
        <v>657.85295839075843</v>
      </c>
      <c r="AF28" s="330">
        <f t="shared" si="13"/>
        <v>658.40598712362055</v>
      </c>
      <c r="AG28" s="330">
        <f t="shared" si="13"/>
        <v>658.95901585648255</v>
      </c>
      <c r="AH28" s="330">
        <f t="shared" si="13"/>
        <v>659.51204458934433</v>
      </c>
      <c r="AI28" s="330">
        <f t="shared" si="13"/>
        <v>660.06507332220633</v>
      </c>
      <c r="AJ28" s="330">
        <f t="shared" si="13"/>
        <v>660.61810205506822</v>
      </c>
      <c r="AK28" s="330">
        <f t="shared" si="14"/>
        <v>661.17113078793022</v>
      </c>
      <c r="AL28" s="330">
        <f t="shared" si="14"/>
        <v>661.72415952079223</v>
      </c>
      <c r="AM28" s="330">
        <f t="shared" si="14"/>
        <v>662.27718825365412</v>
      </c>
      <c r="AN28" s="330">
        <f t="shared" si="14"/>
        <v>662.83021698651601</v>
      </c>
      <c r="AO28" s="330">
        <f t="shared" si="14"/>
        <v>663.38324571937801</v>
      </c>
      <c r="AP28" s="330">
        <f t="shared" si="14"/>
        <v>663.93627445224001</v>
      </c>
      <c r="AQ28" s="330">
        <f t="shared" si="14"/>
        <v>664.48930318510202</v>
      </c>
      <c r="AR28" s="330">
        <f t="shared" si="14"/>
        <v>665.04233191796391</v>
      </c>
      <c r="AS28" s="330">
        <f t="shared" si="14"/>
        <v>665.59536065082591</v>
      </c>
      <c r="AT28" s="330">
        <f t="shared" si="14"/>
        <v>666.1483893836878</v>
      </c>
      <c r="AU28" s="330">
        <f t="shared" si="14"/>
        <v>666.70141811654992</v>
      </c>
      <c r="AV28" s="331">
        <v>5</v>
      </c>
      <c r="BF28" s="365"/>
      <c r="BG28" s="365"/>
      <c r="BH28" s="365"/>
      <c r="BI28" s="365"/>
      <c r="BJ28" s="365"/>
      <c r="BK28" s="365"/>
    </row>
    <row r="29" spans="2:65" ht="14.4">
      <c r="B29" s="8" t="str">
        <f>Processes!D28</f>
        <v>IMPAMM</v>
      </c>
      <c r="C29" s="8" t="str">
        <f>Processes!E28</f>
        <v>Import technology - Ammonia (Liquid)</v>
      </c>
      <c r="D29" s="67"/>
      <c r="E29" s="67" t="str">
        <f t="shared" si="5"/>
        <v>AMM</v>
      </c>
      <c r="F29" s="387" t="str">
        <f t="shared" si="6"/>
        <v>MKr19</v>
      </c>
      <c r="G29" s="330">
        <f t="shared" si="11"/>
        <v>263.74750606719601</v>
      </c>
      <c r="H29" s="330">
        <f t="shared" si="11"/>
        <v>331.34750606719598</v>
      </c>
      <c r="I29" s="330">
        <f t="shared" si="11"/>
        <v>319.74750606719601</v>
      </c>
      <c r="J29" s="330">
        <f t="shared" si="11"/>
        <v>310.74750606719601</v>
      </c>
      <c r="K29" s="330">
        <f t="shared" si="11"/>
        <v>295.34750606719598</v>
      </c>
      <c r="L29" s="330">
        <f t="shared" si="11"/>
        <v>222.34750606719598</v>
      </c>
      <c r="M29" s="330">
        <f t="shared" si="11"/>
        <v>216.34750606719598</v>
      </c>
      <c r="N29" s="330">
        <f t="shared" si="11"/>
        <v>224.74750606719601</v>
      </c>
      <c r="O29" s="330">
        <f t="shared" si="11"/>
        <v>262.81778894464657</v>
      </c>
      <c r="P29" s="330">
        <f t="shared" si="11"/>
        <v>250.9895645861443</v>
      </c>
      <c r="Q29" s="330">
        <f t="shared" si="12"/>
        <v>248.02968752829321</v>
      </c>
      <c r="R29" s="330">
        <f t="shared" si="12"/>
        <v>204.06151670556642</v>
      </c>
      <c r="S29" s="330">
        <f t="shared" si="12"/>
        <v>210.87851444697449</v>
      </c>
      <c r="T29" s="330">
        <f t="shared" si="12"/>
        <v>215.52468223728516</v>
      </c>
      <c r="U29" s="330">
        <f t="shared" si="12"/>
        <v>218.92110052721543</v>
      </c>
      <c r="V29" s="330">
        <f t="shared" si="12"/>
        <v>221.39405618027183</v>
      </c>
      <c r="W29" s="330">
        <f t="shared" si="12"/>
        <v>224.12498285689009</v>
      </c>
      <c r="X29" s="330">
        <f t="shared" si="12"/>
        <v>226.80126039057933</v>
      </c>
      <c r="Y29" s="330">
        <f t="shared" si="12"/>
        <v>229.26350298465968</v>
      </c>
      <c r="Z29" s="330">
        <f t="shared" si="12"/>
        <v>231.84900675852583</v>
      </c>
      <c r="AA29" s="330">
        <f t="shared" si="13"/>
        <v>234.29538656040069</v>
      </c>
      <c r="AB29" s="330">
        <f t="shared" si="13"/>
        <v>233.68309903599501</v>
      </c>
      <c r="AC29" s="330">
        <f t="shared" si="13"/>
        <v>233.06934714299621</v>
      </c>
      <c r="AD29" s="330">
        <f t="shared" si="13"/>
        <v>232.45812932754217</v>
      </c>
      <c r="AE29" s="330">
        <f t="shared" si="13"/>
        <v>231.84537631751527</v>
      </c>
      <c r="AF29" s="330">
        <f t="shared" si="13"/>
        <v>231.23281670041797</v>
      </c>
      <c r="AG29" s="330">
        <f t="shared" si="13"/>
        <v>230.6184053259675</v>
      </c>
      <c r="AH29" s="330">
        <f t="shared" si="13"/>
        <v>230.00615910975191</v>
      </c>
      <c r="AI29" s="330">
        <f t="shared" si="13"/>
        <v>229.39245194111524</v>
      </c>
      <c r="AJ29" s="330">
        <f t="shared" si="13"/>
        <v>228.78060244774554</v>
      </c>
      <c r="AK29" s="330">
        <f t="shared" si="14"/>
        <v>228.16814920076058</v>
      </c>
      <c r="AL29" s="330">
        <f t="shared" si="14"/>
        <v>227.55569696242478</v>
      </c>
      <c r="AM29" s="330">
        <f t="shared" si="14"/>
        <v>226.94956536243927</v>
      </c>
      <c r="AN29" s="330">
        <f t="shared" si="14"/>
        <v>226.34344524736241</v>
      </c>
      <c r="AO29" s="330">
        <f t="shared" si="14"/>
        <v>225.73733663187852</v>
      </c>
      <c r="AP29" s="330">
        <f t="shared" si="14"/>
        <v>225.13123953069049</v>
      </c>
      <c r="AQ29" s="330">
        <f t="shared" si="14"/>
        <v>224.52515395852012</v>
      </c>
      <c r="AR29" s="330">
        <f t="shared" si="14"/>
        <v>223.91907993010796</v>
      </c>
      <c r="AS29" s="330">
        <f t="shared" si="14"/>
        <v>223.31301746021353</v>
      </c>
      <c r="AT29" s="330">
        <f t="shared" si="14"/>
        <v>222.70696656361508</v>
      </c>
      <c r="AU29" s="330">
        <f t="shared" si="14"/>
        <v>222.10092725510987</v>
      </c>
      <c r="AV29" s="331">
        <v>5</v>
      </c>
      <c r="BF29" s="365"/>
      <c r="BG29" s="365"/>
      <c r="BH29" s="365"/>
      <c r="BI29" s="365"/>
      <c r="BJ29" s="365"/>
      <c r="BK29" s="365"/>
    </row>
    <row r="30" spans="2:65" ht="14.4">
      <c r="B30" s="8" t="str">
        <f>Processes!D29</f>
        <v>IMPDME</v>
      </c>
      <c r="C30" s="8" t="str">
        <f>Processes!E29</f>
        <v>Import technology - Dimethyl ether</v>
      </c>
      <c r="D30" s="67"/>
      <c r="E30" s="67" t="str">
        <f t="shared" si="5"/>
        <v>DME</v>
      </c>
      <c r="F30" s="387" t="str">
        <f t="shared" si="6"/>
        <v>MKr19</v>
      </c>
      <c r="G30" s="330">
        <f t="shared" si="11"/>
        <v>185.98112833695782</v>
      </c>
      <c r="H30" s="330">
        <f t="shared" si="11"/>
        <v>244.74750606719599</v>
      </c>
      <c r="I30" s="330">
        <f t="shared" si="11"/>
        <v>261.54750606719597</v>
      </c>
      <c r="J30" s="330">
        <f t="shared" si="11"/>
        <v>250.547506067196</v>
      </c>
      <c r="K30" s="330">
        <f t="shared" si="11"/>
        <v>240.84750606719598</v>
      </c>
      <c r="L30" s="330">
        <f t="shared" si="11"/>
        <v>204.34750606719598</v>
      </c>
      <c r="M30" s="330">
        <f t="shared" si="11"/>
        <v>201.34750606719598</v>
      </c>
      <c r="N30" s="330">
        <f t="shared" si="11"/>
        <v>205.547506067196</v>
      </c>
      <c r="O30" s="330">
        <f t="shared" si="11"/>
        <v>228.84858186191951</v>
      </c>
      <c r="P30" s="330">
        <f t="shared" si="11"/>
        <v>222.93446968266835</v>
      </c>
      <c r="Q30" s="330">
        <f t="shared" si="12"/>
        <v>221.45453115374281</v>
      </c>
      <c r="R30" s="330">
        <f t="shared" si="12"/>
        <v>199.47044574237941</v>
      </c>
      <c r="S30" s="330">
        <f t="shared" si="12"/>
        <v>202.87894461308343</v>
      </c>
      <c r="T30" s="330">
        <f t="shared" si="12"/>
        <v>205.20202850823878</v>
      </c>
      <c r="U30" s="330">
        <f t="shared" si="12"/>
        <v>206.90023765320393</v>
      </c>
      <c r="V30" s="330">
        <f t="shared" si="12"/>
        <v>208.13671547973212</v>
      </c>
      <c r="W30" s="330">
        <f t="shared" si="12"/>
        <v>209.50217881804124</v>
      </c>
      <c r="X30" s="330">
        <f t="shared" si="12"/>
        <v>210.84031758488587</v>
      </c>
      <c r="Y30" s="330">
        <f t="shared" si="12"/>
        <v>212.07143888192604</v>
      </c>
      <c r="Z30" s="330">
        <f t="shared" si="12"/>
        <v>213.36419076885912</v>
      </c>
      <c r="AA30" s="330">
        <f t="shared" si="13"/>
        <v>214.58738066979654</v>
      </c>
      <c r="AB30" s="330">
        <f t="shared" si="13"/>
        <v>214.28123690759369</v>
      </c>
      <c r="AC30" s="330">
        <f t="shared" si="13"/>
        <v>213.97436096109431</v>
      </c>
      <c r="AD30" s="330">
        <f t="shared" si="13"/>
        <v>213.66875205336729</v>
      </c>
      <c r="AE30" s="330">
        <f t="shared" si="13"/>
        <v>213.36237554835384</v>
      </c>
      <c r="AF30" s="330">
        <f t="shared" si="13"/>
        <v>213.05609573980519</v>
      </c>
      <c r="AG30" s="330">
        <f t="shared" si="13"/>
        <v>212.74889005257995</v>
      </c>
      <c r="AH30" s="330">
        <f t="shared" si="13"/>
        <v>212.44276694447214</v>
      </c>
      <c r="AI30" s="330">
        <f t="shared" si="13"/>
        <v>212.13591336015384</v>
      </c>
      <c r="AJ30" s="330">
        <f t="shared" si="13"/>
        <v>211.82998861346897</v>
      </c>
      <c r="AK30" s="330">
        <f t="shared" si="14"/>
        <v>211.52376198997649</v>
      </c>
      <c r="AL30" s="330">
        <f t="shared" si="14"/>
        <v>211.2175358708086</v>
      </c>
      <c r="AM30" s="330">
        <f t="shared" si="14"/>
        <v>210.91447007081584</v>
      </c>
      <c r="AN30" s="330">
        <f t="shared" si="14"/>
        <v>210.61141001327741</v>
      </c>
      <c r="AO30" s="330">
        <f t="shared" si="14"/>
        <v>210.30835570553546</v>
      </c>
      <c r="AP30" s="330">
        <f t="shared" si="14"/>
        <v>210.00530715494145</v>
      </c>
      <c r="AQ30" s="330">
        <f t="shared" si="14"/>
        <v>209.70226436885625</v>
      </c>
      <c r="AR30" s="330">
        <f t="shared" si="14"/>
        <v>209.39922735465018</v>
      </c>
      <c r="AS30" s="330">
        <f t="shared" si="14"/>
        <v>209.09619611970297</v>
      </c>
      <c r="AT30" s="330">
        <f t="shared" si="14"/>
        <v>208.79317067140374</v>
      </c>
      <c r="AU30" s="330">
        <f t="shared" si="14"/>
        <v>208.49015101715113</v>
      </c>
      <c r="AV30" s="331">
        <v>5</v>
      </c>
      <c r="BF30" s="365"/>
      <c r="BG30" s="365"/>
      <c r="BH30" s="365"/>
      <c r="BI30" s="365"/>
      <c r="BJ30" s="365"/>
      <c r="BK30" s="365"/>
    </row>
    <row r="31" spans="2:65" ht="14.4">
      <c r="B31" s="8" t="str">
        <f>Processes!D30</f>
        <v>IMPKRB1</v>
      </c>
      <c r="C31" s="8" t="str">
        <f>Processes!E30</f>
        <v>Import technology - Bio Kerosene G1</v>
      </c>
      <c r="D31" s="67"/>
      <c r="E31" s="67" t="str">
        <f t="shared" si="5"/>
        <v>KRB1</v>
      </c>
      <c r="F31" s="387" t="str">
        <f t="shared" si="6"/>
        <v>MKr19</v>
      </c>
      <c r="G31" s="330">
        <f t="shared" si="11"/>
        <v>229.5</v>
      </c>
      <c r="H31" s="330">
        <f t="shared" si="11"/>
        <v>337.20000000000005</v>
      </c>
      <c r="I31" s="330">
        <f t="shared" si="11"/>
        <v>348.9</v>
      </c>
      <c r="J31" s="330">
        <f t="shared" si="11"/>
        <v>355.79999999999995</v>
      </c>
      <c r="K31" s="330">
        <f t="shared" si="11"/>
        <v>330.29999999999995</v>
      </c>
      <c r="L31" s="330">
        <f t="shared" si="11"/>
        <v>220.5</v>
      </c>
      <c r="M31" s="330">
        <f t="shared" si="11"/>
        <v>211.79999999999998</v>
      </c>
      <c r="N31" s="330">
        <f t="shared" si="11"/>
        <v>224.10000000000002</v>
      </c>
      <c r="O31" s="330">
        <f t="shared" si="11"/>
        <v>298.50322738417054</v>
      </c>
      <c r="P31" s="330">
        <f t="shared" si="11"/>
        <v>278.99089084641707</v>
      </c>
      <c r="Q31" s="330">
        <f t="shared" si="12"/>
        <v>274.55107525964041</v>
      </c>
      <c r="R31" s="330">
        <f t="shared" si="12"/>
        <v>208.59881902555028</v>
      </c>
      <c r="S31" s="330">
        <f t="shared" si="12"/>
        <v>218.82431563766235</v>
      </c>
      <c r="T31" s="330">
        <f t="shared" si="12"/>
        <v>225.79356732312834</v>
      </c>
      <c r="U31" s="330">
        <f t="shared" si="12"/>
        <v>230.88819475802381</v>
      </c>
      <c r="V31" s="330">
        <f t="shared" si="12"/>
        <v>234.59762823760838</v>
      </c>
      <c r="W31" s="330">
        <f t="shared" si="12"/>
        <v>238.69401825253578</v>
      </c>
      <c r="X31" s="330">
        <f t="shared" si="12"/>
        <v>242.70843455306965</v>
      </c>
      <c r="Y31" s="330">
        <f t="shared" si="12"/>
        <v>246.40179844419015</v>
      </c>
      <c r="Z31" s="330">
        <f t="shared" si="12"/>
        <v>250.28005410498935</v>
      </c>
      <c r="AA31" s="330">
        <f t="shared" si="13"/>
        <v>253.94962380780169</v>
      </c>
      <c r="AB31" s="330">
        <f t="shared" si="13"/>
        <v>253.03119252119313</v>
      </c>
      <c r="AC31" s="330">
        <f t="shared" si="13"/>
        <v>252.11056468169497</v>
      </c>
      <c r="AD31" s="330">
        <f t="shared" si="13"/>
        <v>251.19373795851385</v>
      </c>
      <c r="AE31" s="330">
        <f t="shared" si="13"/>
        <v>250.27460844347354</v>
      </c>
      <c r="AF31" s="330">
        <f t="shared" si="13"/>
        <v>249.35576901782761</v>
      </c>
      <c r="AG31" s="330">
        <f t="shared" si="13"/>
        <v>248.43415195615188</v>
      </c>
      <c r="AH31" s="330">
        <f t="shared" si="13"/>
        <v>247.51578263182847</v>
      </c>
      <c r="AI31" s="330">
        <f t="shared" si="13"/>
        <v>246.59522187887353</v>
      </c>
      <c r="AJ31" s="330">
        <f t="shared" si="13"/>
        <v>245.67744763881896</v>
      </c>
      <c r="AK31" s="330">
        <f t="shared" si="14"/>
        <v>244.75876776834153</v>
      </c>
      <c r="AL31" s="330">
        <f t="shared" si="14"/>
        <v>243.84008941083783</v>
      </c>
      <c r="AM31" s="330">
        <f t="shared" si="14"/>
        <v>242.93089201085957</v>
      </c>
      <c r="AN31" s="330">
        <f t="shared" si="14"/>
        <v>242.02171183824427</v>
      </c>
      <c r="AO31" s="330">
        <f t="shared" si="14"/>
        <v>241.11254891501844</v>
      </c>
      <c r="AP31" s="330">
        <f t="shared" si="14"/>
        <v>240.2034032632364</v>
      </c>
      <c r="AQ31" s="330">
        <f t="shared" si="14"/>
        <v>239.2942749049808</v>
      </c>
      <c r="AR31" s="330">
        <f t="shared" si="14"/>
        <v>238.38516386236259</v>
      </c>
      <c r="AS31" s="330">
        <f t="shared" si="14"/>
        <v>237.47607015752095</v>
      </c>
      <c r="AT31" s="330">
        <f t="shared" si="14"/>
        <v>236.56699381262328</v>
      </c>
      <c r="AU31" s="330">
        <f t="shared" si="14"/>
        <v>235.65793484986546</v>
      </c>
      <c r="AV31" s="331">
        <v>5</v>
      </c>
      <c r="BF31" s="365"/>
      <c r="BG31" s="365"/>
      <c r="BH31" s="365"/>
      <c r="BI31" s="365"/>
      <c r="BJ31" s="365"/>
      <c r="BK31" s="365"/>
    </row>
    <row r="32" spans="2:65" ht="14.4">
      <c r="B32" s="8" t="str">
        <f>Processes!D31</f>
        <v>IMPKRB2</v>
      </c>
      <c r="C32" s="8" t="str">
        <f>Processes!E31</f>
        <v>Import technology - Bio Kerosene G2</v>
      </c>
      <c r="D32" s="67"/>
      <c r="E32" s="67" t="str">
        <f t="shared" si="5"/>
        <v>KRB2</v>
      </c>
      <c r="F32" s="387" t="str">
        <f t="shared" si="6"/>
        <v>MKr19</v>
      </c>
      <c r="G32" s="330">
        <f t="shared" si="11"/>
        <v>252.45000000000002</v>
      </c>
      <c r="H32" s="330">
        <f t="shared" si="11"/>
        <v>400.87375303359806</v>
      </c>
      <c r="I32" s="330">
        <f t="shared" si="11"/>
        <v>412.573753033598</v>
      </c>
      <c r="J32" s="330">
        <f t="shared" si="11"/>
        <v>419.47375303359797</v>
      </c>
      <c r="K32" s="330">
        <f t="shared" si="11"/>
        <v>393.97375303359797</v>
      </c>
      <c r="L32" s="330">
        <f t="shared" si="11"/>
        <v>284.17375303359802</v>
      </c>
      <c r="M32" s="330">
        <f t="shared" si="11"/>
        <v>275.47375303359797</v>
      </c>
      <c r="N32" s="330">
        <f t="shared" si="11"/>
        <v>287.77375303359804</v>
      </c>
      <c r="O32" s="330">
        <f t="shared" si="11"/>
        <v>362.17698041776856</v>
      </c>
      <c r="P32" s="330">
        <f t="shared" si="11"/>
        <v>342.66464388001509</v>
      </c>
      <c r="Q32" s="330">
        <f t="shared" si="12"/>
        <v>338.22482829323843</v>
      </c>
      <c r="R32" s="330">
        <f t="shared" si="12"/>
        <v>272.27257205914827</v>
      </c>
      <c r="S32" s="330">
        <f t="shared" si="12"/>
        <v>282.49806867126034</v>
      </c>
      <c r="T32" s="330">
        <f t="shared" si="12"/>
        <v>289.46732035672636</v>
      </c>
      <c r="U32" s="330">
        <f t="shared" si="12"/>
        <v>294.56194779162183</v>
      </c>
      <c r="V32" s="330">
        <f t="shared" si="12"/>
        <v>298.27138127120639</v>
      </c>
      <c r="W32" s="330">
        <f t="shared" si="12"/>
        <v>302.3677712861338</v>
      </c>
      <c r="X32" s="330">
        <f t="shared" si="12"/>
        <v>306.38218758666767</v>
      </c>
      <c r="Y32" s="330">
        <f t="shared" si="12"/>
        <v>310.07555147778817</v>
      </c>
      <c r="Z32" s="330">
        <f t="shared" si="12"/>
        <v>313.95380713858736</v>
      </c>
      <c r="AA32" s="330">
        <f t="shared" si="13"/>
        <v>317.6233768413997</v>
      </c>
      <c r="AB32" s="330">
        <f t="shared" si="13"/>
        <v>316.70494555479115</v>
      </c>
      <c r="AC32" s="330">
        <f t="shared" si="13"/>
        <v>315.78431771529296</v>
      </c>
      <c r="AD32" s="330">
        <f t="shared" si="13"/>
        <v>314.86749099211187</v>
      </c>
      <c r="AE32" s="330">
        <f t="shared" si="13"/>
        <v>313.94836147707156</v>
      </c>
      <c r="AF32" s="330">
        <f t="shared" si="13"/>
        <v>313.0295220514256</v>
      </c>
      <c r="AG32" s="330">
        <f t="shared" si="13"/>
        <v>312.1079049897499</v>
      </c>
      <c r="AH32" s="330">
        <f t="shared" si="13"/>
        <v>311.18953566542649</v>
      </c>
      <c r="AI32" s="330">
        <f t="shared" si="13"/>
        <v>310.26897491247155</v>
      </c>
      <c r="AJ32" s="330">
        <f t="shared" si="13"/>
        <v>309.35120067241695</v>
      </c>
      <c r="AK32" s="330">
        <f t="shared" si="14"/>
        <v>308.43252080193952</v>
      </c>
      <c r="AL32" s="330">
        <f t="shared" si="14"/>
        <v>307.51384244443585</v>
      </c>
      <c r="AM32" s="330">
        <f t="shared" si="14"/>
        <v>306.60464504445758</v>
      </c>
      <c r="AN32" s="330">
        <f t="shared" si="14"/>
        <v>305.69546487184226</v>
      </c>
      <c r="AO32" s="330">
        <f t="shared" si="14"/>
        <v>304.78630194861643</v>
      </c>
      <c r="AP32" s="330">
        <f t="shared" si="14"/>
        <v>303.87715629683441</v>
      </c>
      <c r="AQ32" s="330">
        <f t="shared" si="14"/>
        <v>302.96802793857881</v>
      </c>
      <c r="AR32" s="330">
        <f t="shared" si="14"/>
        <v>302.05891689596058</v>
      </c>
      <c r="AS32" s="330">
        <f t="shared" si="14"/>
        <v>301.14982319111897</v>
      </c>
      <c r="AT32" s="330">
        <f t="shared" si="14"/>
        <v>300.24074684622127</v>
      </c>
      <c r="AU32" s="330">
        <f t="shared" si="14"/>
        <v>299.33168788346347</v>
      </c>
      <c r="AV32" s="331">
        <v>5</v>
      </c>
      <c r="BF32" s="370"/>
      <c r="BG32" s="365"/>
      <c r="BH32" s="365"/>
      <c r="BI32" s="365"/>
      <c r="BJ32" s="365"/>
      <c r="BK32" s="365"/>
    </row>
    <row r="33" spans="2:100" ht="14.4">
      <c r="B33" s="8" t="str">
        <f>Processes!D32</f>
        <v>IMPKRE</v>
      </c>
      <c r="C33" s="8" t="str">
        <f>Processes!E32</f>
        <v>Import technology - Electro Kerosene</v>
      </c>
      <c r="D33" s="67"/>
      <c r="E33" s="67" t="str">
        <f t="shared" si="5"/>
        <v>KRE</v>
      </c>
      <c r="F33" s="387" t="str">
        <f t="shared" si="6"/>
        <v>MKr19</v>
      </c>
      <c r="G33" s="330">
        <f t="shared" si="11"/>
        <v>504.90000000000003</v>
      </c>
      <c r="H33" s="330">
        <f t="shared" si="11"/>
        <v>801.74750606719613</v>
      </c>
      <c r="I33" s="330">
        <f t="shared" si="11"/>
        <v>825.14750606719599</v>
      </c>
      <c r="J33" s="330">
        <f t="shared" si="11"/>
        <v>838.94750606719595</v>
      </c>
      <c r="K33" s="330">
        <f t="shared" si="11"/>
        <v>787.94750606719595</v>
      </c>
      <c r="L33" s="330">
        <f t="shared" si="11"/>
        <v>568.34750606719604</v>
      </c>
      <c r="M33" s="330">
        <f t="shared" si="11"/>
        <v>550.94750606719595</v>
      </c>
      <c r="N33" s="330">
        <f t="shared" si="11"/>
        <v>575.54750606719608</v>
      </c>
      <c r="O33" s="330">
        <f t="shared" si="11"/>
        <v>724.35396083553712</v>
      </c>
      <c r="P33" s="330">
        <f t="shared" si="11"/>
        <v>685.32928776003018</v>
      </c>
      <c r="Q33" s="330">
        <f t="shared" si="12"/>
        <v>676.44965658647686</v>
      </c>
      <c r="R33" s="330">
        <f t="shared" si="12"/>
        <v>544.54514411829655</v>
      </c>
      <c r="S33" s="330">
        <f t="shared" si="12"/>
        <v>564.99613734252068</v>
      </c>
      <c r="T33" s="330">
        <f t="shared" si="12"/>
        <v>578.93464071345272</v>
      </c>
      <c r="U33" s="330">
        <f t="shared" si="12"/>
        <v>589.12389558324367</v>
      </c>
      <c r="V33" s="330">
        <f t="shared" si="12"/>
        <v>596.54276254241279</v>
      </c>
      <c r="W33" s="330">
        <f t="shared" si="12"/>
        <v>604.7355425722676</v>
      </c>
      <c r="X33" s="330">
        <f t="shared" si="12"/>
        <v>612.76437517333534</v>
      </c>
      <c r="Y33" s="330">
        <f t="shared" si="12"/>
        <v>620.15110295557633</v>
      </c>
      <c r="Z33" s="330">
        <f t="shared" si="12"/>
        <v>627.90761427717473</v>
      </c>
      <c r="AA33" s="330">
        <f t="shared" si="13"/>
        <v>635.24675368279941</v>
      </c>
      <c r="AB33" s="330">
        <f t="shared" si="13"/>
        <v>633.4098911095823</v>
      </c>
      <c r="AC33" s="330">
        <f t="shared" si="13"/>
        <v>631.56863543058591</v>
      </c>
      <c r="AD33" s="330">
        <f t="shared" si="13"/>
        <v>629.73498198422374</v>
      </c>
      <c r="AE33" s="330">
        <f t="shared" si="13"/>
        <v>627.89672295414312</v>
      </c>
      <c r="AF33" s="330">
        <f t="shared" si="13"/>
        <v>626.0590441028512</v>
      </c>
      <c r="AG33" s="330">
        <f t="shared" si="13"/>
        <v>624.2158099794998</v>
      </c>
      <c r="AH33" s="330">
        <f t="shared" si="13"/>
        <v>622.37907133085298</v>
      </c>
      <c r="AI33" s="330">
        <f t="shared" si="13"/>
        <v>620.5379498249431</v>
      </c>
      <c r="AJ33" s="330">
        <f t="shared" si="13"/>
        <v>618.7024013448339</v>
      </c>
      <c r="AK33" s="330">
        <f t="shared" si="14"/>
        <v>616.86504160387904</v>
      </c>
      <c r="AL33" s="330">
        <f t="shared" si="14"/>
        <v>615.0276848888717</v>
      </c>
      <c r="AM33" s="330">
        <f t="shared" si="14"/>
        <v>613.20929008891517</v>
      </c>
      <c r="AN33" s="330">
        <f t="shared" si="14"/>
        <v>611.39092974368452</v>
      </c>
      <c r="AO33" s="330">
        <f t="shared" si="14"/>
        <v>609.57260389723285</v>
      </c>
      <c r="AP33" s="330">
        <f t="shared" si="14"/>
        <v>607.75431259366883</v>
      </c>
      <c r="AQ33" s="330">
        <f t="shared" si="14"/>
        <v>605.93605587715763</v>
      </c>
      <c r="AR33" s="330">
        <f t="shared" si="14"/>
        <v>604.11783379192116</v>
      </c>
      <c r="AS33" s="330">
        <f t="shared" si="14"/>
        <v>602.29964638223794</v>
      </c>
      <c r="AT33" s="330">
        <f t="shared" si="14"/>
        <v>600.48149369244254</v>
      </c>
      <c r="AU33" s="330">
        <f t="shared" si="14"/>
        <v>598.66337576692695</v>
      </c>
      <c r="AV33" s="331">
        <v>5</v>
      </c>
      <c r="BF33" s="365"/>
      <c r="BG33" s="365"/>
      <c r="BH33" s="365"/>
      <c r="BI33" s="365"/>
      <c r="BJ33" s="365"/>
      <c r="BK33" s="365"/>
    </row>
    <row r="34" spans="2:100" ht="14.4">
      <c r="B34" s="8" t="str">
        <f>Processes!D33</f>
        <v>IMPSNG1</v>
      </c>
      <c r="C34" s="8" t="str">
        <f>Processes!E33</f>
        <v>Import technology - Bio Synt. Nat. Gas G1</v>
      </c>
      <c r="D34" s="67"/>
      <c r="E34" s="67" t="str">
        <f t="shared" si="5"/>
        <v>SNG1</v>
      </c>
      <c r="F34" s="387" t="str">
        <f t="shared" si="6"/>
        <v>MKr19</v>
      </c>
      <c r="G34" s="330">
        <f t="shared" si="11"/>
        <v>133.19999999999999</v>
      </c>
      <c r="H34" s="330">
        <f t="shared" si="11"/>
        <v>138.30000000000001</v>
      </c>
      <c r="I34" s="330">
        <f t="shared" si="11"/>
        <v>165.3</v>
      </c>
      <c r="J34" s="330">
        <f t="shared" si="11"/>
        <v>162.60000000000002</v>
      </c>
      <c r="K34" s="330">
        <f t="shared" si="11"/>
        <v>137.10000000000002</v>
      </c>
      <c r="L34" s="330">
        <f t="shared" si="11"/>
        <v>132</v>
      </c>
      <c r="M34" s="330">
        <f t="shared" si="11"/>
        <v>110.39999999999999</v>
      </c>
      <c r="N34" s="330">
        <f t="shared" si="11"/>
        <v>110.69999999999999</v>
      </c>
      <c r="O34" s="330">
        <f t="shared" si="11"/>
        <v>160.26655014555075</v>
      </c>
      <c r="P34" s="330">
        <f t="shared" si="11"/>
        <v>102.78303372186139</v>
      </c>
      <c r="Q34" s="330">
        <f t="shared" si="12"/>
        <v>100.19354995944677</v>
      </c>
      <c r="R34" s="330">
        <f t="shared" si="12"/>
        <v>94.575870076314601</v>
      </c>
      <c r="S34" s="330">
        <f t="shared" si="12"/>
        <v>98.287645864625688</v>
      </c>
      <c r="T34" s="330">
        <f t="shared" si="12"/>
        <v>100.1030649386264</v>
      </c>
      <c r="U34" s="330">
        <f t="shared" si="12"/>
        <v>100.70137176108622</v>
      </c>
      <c r="V34" s="330">
        <f t="shared" si="12"/>
        <v>100.518250388741</v>
      </c>
      <c r="W34" s="330">
        <f t="shared" si="12"/>
        <v>100.40291761291219</v>
      </c>
      <c r="X34" s="330">
        <f t="shared" si="12"/>
        <v>100.32884125869501</v>
      </c>
      <c r="Y34" s="330">
        <f t="shared" si="12"/>
        <v>100.26539877136038</v>
      </c>
      <c r="Z34" s="330">
        <f t="shared" si="12"/>
        <v>100.24266074406691</v>
      </c>
      <c r="AA34" s="330">
        <f t="shared" si="13"/>
        <v>100.23645783122964</v>
      </c>
      <c r="AB34" s="330">
        <f t="shared" si="13"/>
        <v>100.37471501444514</v>
      </c>
      <c r="AC34" s="330">
        <f t="shared" si="13"/>
        <v>100.51297219766064</v>
      </c>
      <c r="AD34" s="330">
        <f t="shared" si="13"/>
        <v>100.65122938087613</v>
      </c>
      <c r="AE34" s="330">
        <f t="shared" si="13"/>
        <v>100.78948656409162</v>
      </c>
      <c r="AF34" s="330">
        <f t="shared" si="13"/>
        <v>100.92774374730713</v>
      </c>
      <c r="AG34" s="330">
        <f t="shared" si="13"/>
        <v>101.06600093052263</v>
      </c>
      <c r="AH34" s="330">
        <f t="shared" si="13"/>
        <v>101.20425811373809</v>
      </c>
      <c r="AI34" s="330">
        <f t="shared" si="13"/>
        <v>101.34251529695359</v>
      </c>
      <c r="AJ34" s="330">
        <f t="shared" si="13"/>
        <v>101.48077248016905</v>
      </c>
      <c r="AK34" s="330">
        <f t="shared" si="14"/>
        <v>101.61902966338455</v>
      </c>
      <c r="AL34" s="330">
        <f t="shared" si="14"/>
        <v>101.75728684660005</v>
      </c>
      <c r="AM34" s="330">
        <f t="shared" si="14"/>
        <v>101.89554402981554</v>
      </c>
      <c r="AN34" s="330">
        <f t="shared" si="14"/>
        <v>102.03380121303101</v>
      </c>
      <c r="AO34" s="330">
        <f t="shared" si="14"/>
        <v>102.17205839624651</v>
      </c>
      <c r="AP34" s="330">
        <f t="shared" si="14"/>
        <v>102.31031557946201</v>
      </c>
      <c r="AQ34" s="330">
        <f t="shared" si="14"/>
        <v>102.44857276267751</v>
      </c>
      <c r="AR34" s="330">
        <f t="shared" si="14"/>
        <v>102.58682994589297</v>
      </c>
      <c r="AS34" s="330">
        <f t="shared" si="14"/>
        <v>102.72508712910849</v>
      </c>
      <c r="AT34" s="330">
        <f t="shared" si="14"/>
        <v>102.86334431232396</v>
      </c>
      <c r="AU34" s="330">
        <f t="shared" si="14"/>
        <v>103.00160149553948</v>
      </c>
      <c r="AV34" s="331">
        <v>5</v>
      </c>
      <c r="BF34" s="365"/>
      <c r="BG34" s="365"/>
      <c r="BH34" s="365"/>
      <c r="BI34" s="365"/>
      <c r="BJ34" s="365"/>
      <c r="BK34" s="365"/>
    </row>
    <row r="35" spans="2:100" ht="14.4">
      <c r="B35" s="8" t="str">
        <f>Processes!D34</f>
        <v>IMPSNG2</v>
      </c>
      <c r="C35" s="8" t="str">
        <f>Processes!E34</f>
        <v>Import technology - Bio Synt. Nat. Gas G2</v>
      </c>
      <c r="D35" s="67"/>
      <c r="E35" s="67" t="str">
        <f t="shared" si="5"/>
        <v>SNG2</v>
      </c>
      <c r="F35" s="387" t="str">
        <f t="shared" si="6"/>
        <v>MKr19</v>
      </c>
      <c r="G35" s="330">
        <f t="shared" si="11"/>
        <v>146.52000000000001</v>
      </c>
      <c r="H35" s="330">
        <f t="shared" si="11"/>
        <v>201.973753033598</v>
      </c>
      <c r="I35" s="330">
        <f t="shared" si="11"/>
        <v>228.973753033598</v>
      </c>
      <c r="J35" s="330">
        <f t="shared" si="11"/>
        <v>226.27375303359801</v>
      </c>
      <c r="K35" s="330">
        <f t="shared" si="11"/>
        <v>200.77375303359801</v>
      </c>
      <c r="L35" s="330">
        <f t="shared" si="11"/>
        <v>195.67375303359799</v>
      </c>
      <c r="M35" s="330">
        <f t="shared" si="11"/>
        <v>174.073753033598</v>
      </c>
      <c r="N35" s="330">
        <f t="shared" si="11"/>
        <v>174.37375303359798</v>
      </c>
      <c r="O35" s="330">
        <f t="shared" si="11"/>
        <v>223.94030317914874</v>
      </c>
      <c r="P35" s="330">
        <f t="shared" si="11"/>
        <v>166.45678675545938</v>
      </c>
      <c r="Q35" s="330">
        <f t="shared" si="12"/>
        <v>163.86730299304477</v>
      </c>
      <c r="R35" s="330">
        <f t="shared" si="12"/>
        <v>158.24962310991259</v>
      </c>
      <c r="S35" s="330">
        <f t="shared" si="12"/>
        <v>161.96139889822368</v>
      </c>
      <c r="T35" s="330">
        <f t="shared" si="12"/>
        <v>163.77681797222439</v>
      </c>
      <c r="U35" s="330">
        <f t="shared" si="12"/>
        <v>164.37512479468421</v>
      </c>
      <c r="V35" s="330">
        <f t="shared" si="12"/>
        <v>164.19200342233898</v>
      </c>
      <c r="W35" s="330">
        <f t="shared" si="12"/>
        <v>164.07667064651019</v>
      </c>
      <c r="X35" s="330">
        <f t="shared" si="12"/>
        <v>164.002594292293</v>
      </c>
      <c r="Y35" s="330">
        <f t="shared" si="12"/>
        <v>163.93915180495839</v>
      </c>
      <c r="Z35" s="330">
        <f t="shared" si="12"/>
        <v>163.9164137776649</v>
      </c>
      <c r="AA35" s="330">
        <f t="shared" si="13"/>
        <v>163.91021086482763</v>
      </c>
      <c r="AB35" s="330">
        <f t="shared" si="13"/>
        <v>164.04846804804313</v>
      </c>
      <c r="AC35" s="330">
        <f t="shared" si="13"/>
        <v>164.18672523125863</v>
      </c>
      <c r="AD35" s="330">
        <f t="shared" si="13"/>
        <v>164.32498241447414</v>
      </c>
      <c r="AE35" s="330">
        <f t="shared" si="13"/>
        <v>164.46323959768961</v>
      </c>
      <c r="AF35" s="330">
        <f t="shared" si="13"/>
        <v>164.60149678090514</v>
      </c>
      <c r="AG35" s="330">
        <f t="shared" si="13"/>
        <v>164.73975396412064</v>
      </c>
      <c r="AH35" s="330">
        <f t="shared" si="13"/>
        <v>164.87801114733608</v>
      </c>
      <c r="AI35" s="330">
        <f t="shared" si="13"/>
        <v>165.01626833055158</v>
      </c>
      <c r="AJ35" s="330">
        <f t="shared" si="13"/>
        <v>165.15452551376706</v>
      </c>
      <c r="AK35" s="330">
        <f t="shared" si="14"/>
        <v>165.29278269698256</v>
      </c>
      <c r="AL35" s="330">
        <f t="shared" si="14"/>
        <v>165.43103988019806</v>
      </c>
      <c r="AM35" s="330">
        <f t="shared" si="14"/>
        <v>165.56929706341353</v>
      </c>
      <c r="AN35" s="330">
        <f t="shared" si="14"/>
        <v>165.707554246629</v>
      </c>
      <c r="AO35" s="330">
        <f t="shared" si="14"/>
        <v>165.8458114298445</v>
      </c>
      <c r="AP35" s="330">
        <f t="shared" si="14"/>
        <v>165.98406861306</v>
      </c>
      <c r="AQ35" s="330">
        <f t="shared" si="14"/>
        <v>166.1223257962755</v>
      </c>
      <c r="AR35" s="330">
        <f t="shared" si="14"/>
        <v>166.26058297949098</v>
      </c>
      <c r="AS35" s="330">
        <f t="shared" si="14"/>
        <v>166.39884016270648</v>
      </c>
      <c r="AT35" s="330">
        <f t="shared" si="14"/>
        <v>166.53709734592195</v>
      </c>
      <c r="AU35" s="330">
        <f t="shared" si="14"/>
        <v>166.67535452913748</v>
      </c>
      <c r="AV35" s="331">
        <v>5</v>
      </c>
      <c r="BF35" s="365"/>
      <c r="BH35" s="365"/>
      <c r="BI35" s="365"/>
      <c r="BJ35" s="365"/>
      <c r="BK35" s="365"/>
    </row>
    <row r="36" spans="2:100" ht="14.4">
      <c r="B36" s="8" t="str">
        <f>Processes!D35</f>
        <v>IMPSNE</v>
      </c>
      <c r="C36" s="8" t="str">
        <f>Processes!E35</f>
        <v>Import technology - Electro Synt. Nat. Gas</v>
      </c>
      <c r="D36" s="67"/>
      <c r="E36" s="67" t="str">
        <f t="shared" si="5"/>
        <v>SNE</v>
      </c>
      <c r="F36" s="387" t="str">
        <f t="shared" si="6"/>
        <v>MKr19</v>
      </c>
      <c r="G36" s="330">
        <f t="shared" si="11"/>
        <v>293.04000000000002</v>
      </c>
      <c r="H36" s="330">
        <f t="shared" si="11"/>
        <v>403.947506067196</v>
      </c>
      <c r="I36" s="330">
        <f t="shared" si="11"/>
        <v>457.947506067196</v>
      </c>
      <c r="J36" s="330">
        <f t="shared" si="11"/>
        <v>452.54750606719603</v>
      </c>
      <c r="K36" s="330">
        <f t="shared" si="11"/>
        <v>401.54750606719603</v>
      </c>
      <c r="L36" s="330">
        <f t="shared" si="11"/>
        <v>391.34750606719598</v>
      </c>
      <c r="M36" s="330">
        <f t="shared" si="11"/>
        <v>348.14750606719599</v>
      </c>
      <c r="N36" s="330">
        <f t="shared" si="11"/>
        <v>348.74750606719596</v>
      </c>
      <c r="O36" s="330">
        <f t="shared" si="11"/>
        <v>447.88060635829748</v>
      </c>
      <c r="P36" s="330">
        <f t="shared" si="11"/>
        <v>332.91357351091875</v>
      </c>
      <c r="Q36" s="330">
        <f t="shared" si="12"/>
        <v>327.73460598608955</v>
      </c>
      <c r="R36" s="330">
        <f t="shared" si="12"/>
        <v>316.49924621982518</v>
      </c>
      <c r="S36" s="330">
        <f t="shared" si="12"/>
        <v>323.92279779644736</v>
      </c>
      <c r="T36" s="330">
        <f t="shared" si="12"/>
        <v>327.55363594444879</v>
      </c>
      <c r="U36" s="330">
        <f t="shared" si="12"/>
        <v>328.75024958936842</v>
      </c>
      <c r="V36" s="330">
        <f t="shared" si="12"/>
        <v>328.38400684467797</v>
      </c>
      <c r="W36" s="330">
        <f t="shared" si="12"/>
        <v>328.15334129302039</v>
      </c>
      <c r="X36" s="330">
        <f t="shared" si="12"/>
        <v>328.00518858458599</v>
      </c>
      <c r="Y36" s="330">
        <f t="shared" si="12"/>
        <v>327.87830360991677</v>
      </c>
      <c r="Z36" s="330">
        <f t="shared" si="12"/>
        <v>327.8328275553298</v>
      </c>
      <c r="AA36" s="330">
        <f t="shared" si="13"/>
        <v>327.82042172965527</v>
      </c>
      <c r="AB36" s="330">
        <f t="shared" si="13"/>
        <v>328.09693609608627</v>
      </c>
      <c r="AC36" s="330">
        <f t="shared" si="13"/>
        <v>328.37345046251727</v>
      </c>
      <c r="AD36" s="330">
        <f t="shared" si="13"/>
        <v>328.64996482894827</v>
      </c>
      <c r="AE36" s="330">
        <f t="shared" si="13"/>
        <v>328.92647919537922</v>
      </c>
      <c r="AF36" s="330">
        <f t="shared" si="13"/>
        <v>329.20299356181027</v>
      </c>
      <c r="AG36" s="330">
        <f t="shared" si="13"/>
        <v>329.47950792824128</v>
      </c>
      <c r="AH36" s="330">
        <f t="shared" si="13"/>
        <v>329.75602229467216</v>
      </c>
      <c r="AI36" s="330">
        <f t="shared" si="13"/>
        <v>330.03253666110317</v>
      </c>
      <c r="AJ36" s="330">
        <f t="shared" si="13"/>
        <v>330.30905102753411</v>
      </c>
      <c r="AK36" s="330">
        <f t="shared" si="14"/>
        <v>330.58556539396511</v>
      </c>
      <c r="AL36" s="330">
        <f t="shared" si="14"/>
        <v>330.86207976039611</v>
      </c>
      <c r="AM36" s="330">
        <f t="shared" si="14"/>
        <v>331.13859412682706</v>
      </c>
      <c r="AN36" s="330">
        <f t="shared" si="14"/>
        <v>331.415108493258</v>
      </c>
      <c r="AO36" s="330">
        <f t="shared" si="14"/>
        <v>331.69162285968901</v>
      </c>
      <c r="AP36" s="330">
        <f t="shared" si="14"/>
        <v>331.96813722612001</v>
      </c>
      <c r="AQ36" s="330">
        <f t="shared" si="14"/>
        <v>332.24465159255101</v>
      </c>
      <c r="AR36" s="330">
        <f t="shared" si="14"/>
        <v>332.52116595898195</v>
      </c>
      <c r="AS36" s="330">
        <f t="shared" si="14"/>
        <v>332.79768032541295</v>
      </c>
      <c r="AT36" s="330">
        <f t="shared" si="14"/>
        <v>333.0741946918439</v>
      </c>
      <c r="AU36" s="330">
        <f t="shared" si="14"/>
        <v>333.35070905827496</v>
      </c>
      <c r="AV36" s="331">
        <v>5</v>
      </c>
      <c r="BF36" s="365"/>
      <c r="BH36" s="365"/>
      <c r="BI36" s="365"/>
      <c r="BJ36" s="365"/>
      <c r="BK36" s="365"/>
    </row>
    <row r="37" spans="2:100" s="7" customFormat="1" ht="14.4">
      <c r="B37" s="8" t="str">
        <f>Processes!D36</f>
        <v>IMPDSB1</v>
      </c>
      <c r="C37" s="8" t="str">
        <f>Processes!E36</f>
        <v>Import technology - Biodiesel G1</v>
      </c>
      <c r="D37" s="67"/>
      <c r="E37" s="67" t="str">
        <f t="shared" si="5"/>
        <v>DSB1</v>
      </c>
      <c r="F37" s="387" t="str">
        <f t="shared" si="6"/>
        <v>MKr19</v>
      </c>
      <c r="G37" s="330">
        <f t="shared" ref="G37:P46" si="15">IFERROR(INDEX($G$121:$AU$176,MATCH($E37,$E$121:$E$176,0),MATCH(G$6,$G$120:$AU$120,0)),0)</f>
        <v>169.073753033598</v>
      </c>
      <c r="H37" s="330">
        <f t="shared" si="15"/>
        <v>181.073753033598</v>
      </c>
      <c r="I37" s="330">
        <f t="shared" si="15"/>
        <v>197.87375303359798</v>
      </c>
      <c r="J37" s="330">
        <f t="shared" si="15"/>
        <v>186.87375303359801</v>
      </c>
      <c r="K37" s="330">
        <f t="shared" si="15"/>
        <v>177.17375303359799</v>
      </c>
      <c r="L37" s="330">
        <f t="shared" si="15"/>
        <v>140.67375303359799</v>
      </c>
      <c r="M37" s="330">
        <f t="shared" si="15"/>
        <v>137.67375303359799</v>
      </c>
      <c r="N37" s="330">
        <f t="shared" si="15"/>
        <v>141.87375303359801</v>
      </c>
      <c r="O37" s="330">
        <f t="shared" si="15"/>
        <v>165.17482882832152</v>
      </c>
      <c r="P37" s="330">
        <f t="shared" si="15"/>
        <v>159.26071664907036</v>
      </c>
      <c r="Q37" s="330">
        <f t="shared" ref="Q37:Z46" si="16">IFERROR(INDEX($G$121:$AU$176,MATCH($E37,$E$121:$E$176,0),MATCH(Q$6,$G$120:$AU$120,0)),0)</f>
        <v>157.78077812014482</v>
      </c>
      <c r="R37" s="330">
        <f t="shared" si="16"/>
        <v>135.79669270878142</v>
      </c>
      <c r="S37" s="330">
        <f t="shared" si="16"/>
        <v>139.20519157948544</v>
      </c>
      <c r="T37" s="330">
        <f t="shared" si="16"/>
        <v>141.52827547464079</v>
      </c>
      <c r="U37" s="330">
        <f t="shared" si="16"/>
        <v>143.22648461960594</v>
      </c>
      <c r="V37" s="330">
        <f t="shared" si="16"/>
        <v>144.46296244613413</v>
      </c>
      <c r="W37" s="330">
        <f t="shared" si="16"/>
        <v>145.82842578444325</v>
      </c>
      <c r="X37" s="330">
        <f t="shared" si="16"/>
        <v>147.16656455128788</v>
      </c>
      <c r="Y37" s="330">
        <f t="shared" si="16"/>
        <v>148.39768584832805</v>
      </c>
      <c r="Z37" s="330">
        <f t="shared" si="16"/>
        <v>149.69043773526113</v>
      </c>
      <c r="AA37" s="330">
        <f t="shared" ref="AA37:AJ46" si="17">IFERROR(INDEX($G$121:$AU$176,MATCH($E37,$E$121:$E$176,0),MATCH(AA$6,$G$120:$AU$120,0)),0)</f>
        <v>150.91362763619856</v>
      </c>
      <c r="AB37" s="330">
        <f t="shared" si="17"/>
        <v>150.6074838739957</v>
      </c>
      <c r="AC37" s="330">
        <f t="shared" si="17"/>
        <v>150.30060792749632</v>
      </c>
      <c r="AD37" s="330">
        <f t="shared" si="17"/>
        <v>149.9949990197693</v>
      </c>
      <c r="AE37" s="330">
        <f t="shared" si="17"/>
        <v>149.68862251475585</v>
      </c>
      <c r="AF37" s="330">
        <f t="shared" si="17"/>
        <v>149.3823427062072</v>
      </c>
      <c r="AG37" s="330">
        <f t="shared" si="17"/>
        <v>149.07513701898196</v>
      </c>
      <c r="AH37" s="330">
        <f t="shared" si="17"/>
        <v>148.76901391087415</v>
      </c>
      <c r="AI37" s="330">
        <f t="shared" si="17"/>
        <v>148.46216032655585</v>
      </c>
      <c r="AJ37" s="330">
        <f t="shared" si="17"/>
        <v>148.15623557987098</v>
      </c>
      <c r="AK37" s="330">
        <f t="shared" ref="AK37:AU46" si="18">IFERROR(INDEX($G$121:$AU$176,MATCH($E37,$E$121:$E$176,0),MATCH(AK$6,$G$120:$AU$120,0)),0)</f>
        <v>147.8500089563785</v>
      </c>
      <c r="AL37" s="330">
        <f t="shared" si="18"/>
        <v>147.54378283721061</v>
      </c>
      <c r="AM37" s="330">
        <f t="shared" si="18"/>
        <v>147.24071703721785</v>
      </c>
      <c r="AN37" s="330">
        <f t="shared" si="18"/>
        <v>146.93765697967942</v>
      </c>
      <c r="AO37" s="330">
        <f t="shared" si="18"/>
        <v>146.63460267193747</v>
      </c>
      <c r="AP37" s="330">
        <f t="shared" si="18"/>
        <v>146.33155412134346</v>
      </c>
      <c r="AQ37" s="330">
        <f t="shared" si="18"/>
        <v>146.02851133525826</v>
      </c>
      <c r="AR37" s="330">
        <f t="shared" si="18"/>
        <v>145.72547432105219</v>
      </c>
      <c r="AS37" s="330">
        <f t="shared" si="18"/>
        <v>145.42244308610498</v>
      </c>
      <c r="AT37" s="330">
        <f t="shared" si="18"/>
        <v>145.11941763780575</v>
      </c>
      <c r="AU37" s="330">
        <f t="shared" si="18"/>
        <v>144.81639798355314</v>
      </c>
      <c r="AV37" s="331">
        <v>5</v>
      </c>
      <c r="BF37" s="365"/>
      <c r="BH37" s="365"/>
      <c r="BI37" s="365"/>
      <c r="BJ37" s="365"/>
      <c r="BK37" s="365"/>
      <c r="BL37" s="331"/>
      <c r="BM37" s="331"/>
      <c r="BN37" s="331"/>
      <c r="BO37" s="331"/>
      <c r="BP37" s="331"/>
      <c r="BQ37" s="331"/>
      <c r="BR37" s="331"/>
      <c r="BS37" s="331"/>
      <c r="BT37" s="331"/>
      <c r="BU37" s="331"/>
      <c r="BV37" s="331"/>
      <c r="BW37" s="331"/>
      <c r="BX37" s="331"/>
      <c r="BY37" s="331"/>
      <c r="BZ37" s="331"/>
      <c r="CA37" s="331"/>
      <c r="CB37" s="331"/>
      <c r="CC37" s="331"/>
      <c r="CD37" s="331"/>
      <c r="CE37" s="331"/>
      <c r="CF37" s="331"/>
      <c r="CG37" s="331"/>
      <c r="CH37" s="331"/>
      <c r="CI37" s="331"/>
      <c r="CJ37" s="331"/>
      <c r="CK37" s="331"/>
      <c r="CL37" s="331"/>
      <c r="CM37" s="331"/>
      <c r="CN37" s="331"/>
      <c r="CO37" s="331"/>
      <c r="CP37" s="331"/>
      <c r="CQ37" s="331"/>
      <c r="CR37" s="331"/>
      <c r="CS37" s="331"/>
      <c r="CT37" s="331"/>
      <c r="CU37" s="331"/>
      <c r="CV37" s="331"/>
    </row>
    <row r="38" spans="2:100" s="7" customFormat="1" ht="14.4">
      <c r="B38" s="8" t="str">
        <f>Processes!D37</f>
        <v>IMPDSB2</v>
      </c>
      <c r="C38" s="8" t="str">
        <f>Processes!E37</f>
        <v>Import technology - Biodiesel G2</v>
      </c>
      <c r="D38" s="67"/>
      <c r="E38" s="67" t="str">
        <f t="shared" si="5"/>
        <v>DSB2</v>
      </c>
      <c r="F38" s="387" t="str">
        <f t="shared" si="6"/>
        <v>MKr19</v>
      </c>
      <c r="G38" s="330">
        <f t="shared" si="15"/>
        <v>185.98112833695782</v>
      </c>
      <c r="H38" s="330">
        <f t="shared" si="15"/>
        <v>244.74750606719599</v>
      </c>
      <c r="I38" s="330">
        <f t="shared" si="15"/>
        <v>261.54750606719597</v>
      </c>
      <c r="J38" s="330">
        <f t="shared" si="15"/>
        <v>250.547506067196</v>
      </c>
      <c r="K38" s="330">
        <f t="shared" si="15"/>
        <v>240.84750606719598</v>
      </c>
      <c r="L38" s="330">
        <f t="shared" si="15"/>
        <v>204.34750606719598</v>
      </c>
      <c r="M38" s="330">
        <f t="shared" si="15"/>
        <v>201.34750606719598</v>
      </c>
      <c r="N38" s="330">
        <f t="shared" si="15"/>
        <v>205.547506067196</v>
      </c>
      <c r="O38" s="330">
        <f t="shared" si="15"/>
        <v>228.84858186191951</v>
      </c>
      <c r="P38" s="330">
        <f t="shared" si="15"/>
        <v>222.93446968266835</v>
      </c>
      <c r="Q38" s="330">
        <f t="shared" si="16"/>
        <v>221.45453115374281</v>
      </c>
      <c r="R38" s="330">
        <f t="shared" si="16"/>
        <v>199.47044574237941</v>
      </c>
      <c r="S38" s="330">
        <f t="shared" si="16"/>
        <v>202.87894461308343</v>
      </c>
      <c r="T38" s="330">
        <f t="shared" si="16"/>
        <v>205.20202850823878</v>
      </c>
      <c r="U38" s="330">
        <f t="shared" si="16"/>
        <v>206.90023765320393</v>
      </c>
      <c r="V38" s="330">
        <f t="shared" si="16"/>
        <v>208.13671547973212</v>
      </c>
      <c r="W38" s="330">
        <f t="shared" si="16"/>
        <v>209.50217881804124</v>
      </c>
      <c r="X38" s="330">
        <f t="shared" si="16"/>
        <v>210.84031758488587</v>
      </c>
      <c r="Y38" s="330">
        <f t="shared" si="16"/>
        <v>212.07143888192604</v>
      </c>
      <c r="Z38" s="330">
        <f t="shared" si="16"/>
        <v>213.36419076885912</v>
      </c>
      <c r="AA38" s="330">
        <f t="shared" si="17"/>
        <v>214.58738066979654</v>
      </c>
      <c r="AB38" s="330">
        <f t="shared" si="17"/>
        <v>214.28123690759369</v>
      </c>
      <c r="AC38" s="330">
        <f t="shared" si="17"/>
        <v>213.97436096109431</v>
      </c>
      <c r="AD38" s="330">
        <f t="shared" si="17"/>
        <v>213.66875205336729</v>
      </c>
      <c r="AE38" s="330">
        <f t="shared" si="17"/>
        <v>213.36237554835384</v>
      </c>
      <c r="AF38" s="330">
        <f t="shared" si="17"/>
        <v>213.05609573980519</v>
      </c>
      <c r="AG38" s="330">
        <f t="shared" si="17"/>
        <v>212.74889005257995</v>
      </c>
      <c r="AH38" s="330">
        <f t="shared" si="17"/>
        <v>212.44276694447214</v>
      </c>
      <c r="AI38" s="330">
        <f t="shared" si="17"/>
        <v>212.13591336015384</v>
      </c>
      <c r="AJ38" s="330">
        <f t="shared" si="17"/>
        <v>211.82998861346897</v>
      </c>
      <c r="AK38" s="330">
        <f t="shared" si="18"/>
        <v>211.52376198997649</v>
      </c>
      <c r="AL38" s="330">
        <f t="shared" si="18"/>
        <v>211.2175358708086</v>
      </c>
      <c r="AM38" s="330">
        <f t="shared" si="18"/>
        <v>210.91447007081584</v>
      </c>
      <c r="AN38" s="330">
        <f t="shared" si="18"/>
        <v>210.61141001327741</v>
      </c>
      <c r="AO38" s="330">
        <f t="shared" si="18"/>
        <v>210.30835570553546</v>
      </c>
      <c r="AP38" s="330">
        <f t="shared" si="18"/>
        <v>210.00530715494145</v>
      </c>
      <c r="AQ38" s="330">
        <f t="shared" si="18"/>
        <v>209.70226436885625</v>
      </c>
      <c r="AR38" s="330">
        <f t="shared" si="18"/>
        <v>209.39922735465018</v>
      </c>
      <c r="AS38" s="330">
        <f t="shared" si="18"/>
        <v>209.09619611970297</v>
      </c>
      <c r="AT38" s="330">
        <f t="shared" si="18"/>
        <v>208.79317067140374</v>
      </c>
      <c r="AU38" s="330">
        <f t="shared" si="18"/>
        <v>208.49015101715113</v>
      </c>
      <c r="AV38" s="331">
        <v>5</v>
      </c>
      <c r="BF38" s="365"/>
      <c r="BG38" s="365"/>
      <c r="BH38" s="365"/>
      <c r="BI38" s="365"/>
      <c r="BJ38" s="365"/>
      <c r="BK38" s="365"/>
      <c r="BL38" s="331"/>
      <c r="BM38" s="331"/>
      <c r="BN38" s="331"/>
      <c r="BO38" s="331"/>
      <c r="BP38" s="331"/>
      <c r="BQ38" s="331"/>
      <c r="BR38" s="331"/>
      <c r="BS38" s="331"/>
      <c r="BT38" s="331"/>
      <c r="BU38" s="331"/>
      <c r="BV38" s="331"/>
      <c r="BW38" s="331"/>
      <c r="BX38" s="331"/>
      <c r="BY38" s="331"/>
      <c r="BZ38" s="331"/>
      <c r="CA38" s="331"/>
      <c r="CB38" s="331"/>
      <c r="CC38" s="331"/>
      <c r="CD38" s="331"/>
      <c r="CE38" s="331"/>
      <c r="CF38" s="331"/>
      <c r="CG38" s="331"/>
      <c r="CH38" s="331"/>
      <c r="CI38" s="331"/>
      <c r="CJ38" s="331"/>
      <c r="CK38" s="331"/>
      <c r="CL38" s="331"/>
      <c r="CM38" s="331"/>
      <c r="CN38" s="331"/>
      <c r="CO38" s="331"/>
      <c r="CP38" s="331"/>
      <c r="CQ38" s="331"/>
      <c r="CR38" s="331"/>
      <c r="CS38" s="331"/>
      <c r="CT38" s="331"/>
      <c r="CU38" s="331"/>
      <c r="CV38" s="331"/>
    </row>
    <row r="39" spans="2:100" s="7" customFormat="1" ht="14.4">
      <c r="B39" s="8" t="str">
        <f>Processes!D38</f>
        <v>IMPDSE</v>
      </c>
      <c r="C39" s="8" t="str">
        <f>Processes!E38</f>
        <v>Import technology - Electro Diesel</v>
      </c>
      <c r="D39" s="67"/>
      <c r="E39" s="67" t="str">
        <f t="shared" si="5"/>
        <v>DSE</v>
      </c>
      <c r="F39" s="387" t="str">
        <f t="shared" si="6"/>
        <v>MKr19</v>
      </c>
      <c r="G39" s="330">
        <f t="shared" si="15"/>
        <v>371.96225667391565</v>
      </c>
      <c r="H39" s="330">
        <f t="shared" si="15"/>
        <v>489.49501213439197</v>
      </c>
      <c r="I39" s="330">
        <f t="shared" si="15"/>
        <v>523.09501213439194</v>
      </c>
      <c r="J39" s="330">
        <f t="shared" si="15"/>
        <v>501.09501213439199</v>
      </c>
      <c r="K39" s="330">
        <f t="shared" si="15"/>
        <v>481.69501213439196</v>
      </c>
      <c r="L39" s="330">
        <f t="shared" si="15"/>
        <v>408.69501213439196</v>
      </c>
      <c r="M39" s="330">
        <f t="shared" si="15"/>
        <v>402.69501213439196</v>
      </c>
      <c r="N39" s="330">
        <f t="shared" si="15"/>
        <v>411.09501213439199</v>
      </c>
      <c r="O39" s="330">
        <f t="shared" si="15"/>
        <v>457.69716372383903</v>
      </c>
      <c r="P39" s="330">
        <f t="shared" si="15"/>
        <v>445.8689393653367</v>
      </c>
      <c r="Q39" s="330">
        <f t="shared" si="16"/>
        <v>442.90906230748561</v>
      </c>
      <c r="R39" s="330">
        <f t="shared" si="16"/>
        <v>398.94089148475882</v>
      </c>
      <c r="S39" s="330">
        <f t="shared" si="16"/>
        <v>405.75788922616687</v>
      </c>
      <c r="T39" s="330">
        <f t="shared" si="16"/>
        <v>410.40405701647757</v>
      </c>
      <c r="U39" s="330">
        <f t="shared" si="16"/>
        <v>413.80047530640786</v>
      </c>
      <c r="V39" s="330">
        <f t="shared" si="16"/>
        <v>416.27343095946424</v>
      </c>
      <c r="W39" s="330">
        <f t="shared" si="16"/>
        <v>419.00435763608249</v>
      </c>
      <c r="X39" s="330">
        <f t="shared" si="16"/>
        <v>421.68063516977173</v>
      </c>
      <c r="Y39" s="330">
        <f t="shared" si="16"/>
        <v>424.14287776385208</v>
      </c>
      <c r="Z39" s="330">
        <f t="shared" si="16"/>
        <v>426.72838153771823</v>
      </c>
      <c r="AA39" s="330">
        <f t="shared" si="17"/>
        <v>429.17476133959309</v>
      </c>
      <c r="AB39" s="330">
        <f t="shared" si="17"/>
        <v>428.56247381518739</v>
      </c>
      <c r="AC39" s="330">
        <f t="shared" si="17"/>
        <v>427.94872192218861</v>
      </c>
      <c r="AD39" s="330">
        <f t="shared" si="17"/>
        <v>427.33750410673457</v>
      </c>
      <c r="AE39" s="330">
        <f t="shared" si="17"/>
        <v>426.72475109670768</v>
      </c>
      <c r="AF39" s="330">
        <f t="shared" si="17"/>
        <v>426.11219147961037</v>
      </c>
      <c r="AG39" s="330">
        <f t="shared" si="17"/>
        <v>425.4977801051599</v>
      </c>
      <c r="AH39" s="330">
        <f t="shared" si="17"/>
        <v>424.88553388894428</v>
      </c>
      <c r="AI39" s="330">
        <f t="shared" si="17"/>
        <v>424.27182672030767</v>
      </c>
      <c r="AJ39" s="330">
        <f t="shared" si="17"/>
        <v>423.65997722693794</v>
      </c>
      <c r="AK39" s="330">
        <f t="shared" si="18"/>
        <v>423.04752397995298</v>
      </c>
      <c r="AL39" s="330">
        <f t="shared" si="18"/>
        <v>422.43507174161721</v>
      </c>
      <c r="AM39" s="330">
        <f t="shared" si="18"/>
        <v>421.82894014163168</v>
      </c>
      <c r="AN39" s="330">
        <f t="shared" si="18"/>
        <v>421.22282002655481</v>
      </c>
      <c r="AO39" s="330">
        <f t="shared" si="18"/>
        <v>420.61671141107092</v>
      </c>
      <c r="AP39" s="330">
        <f t="shared" si="18"/>
        <v>420.0106143098829</v>
      </c>
      <c r="AQ39" s="330">
        <f t="shared" si="18"/>
        <v>419.4045287377125</v>
      </c>
      <c r="AR39" s="330">
        <f t="shared" si="18"/>
        <v>418.79845470930036</v>
      </c>
      <c r="AS39" s="330">
        <f t="shared" si="18"/>
        <v>418.19239223940593</v>
      </c>
      <c r="AT39" s="330">
        <f t="shared" si="18"/>
        <v>417.58634134280749</v>
      </c>
      <c r="AU39" s="330">
        <f t="shared" si="18"/>
        <v>416.98030203430227</v>
      </c>
      <c r="AV39" s="331">
        <v>5</v>
      </c>
      <c r="BF39" s="365"/>
      <c r="BG39" s="365"/>
      <c r="BH39" s="365"/>
      <c r="BI39" s="365"/>
      <c r="BJ39" s="365"/>
      <c r="BK39" s="365"/>
    </row>
    <row r="40" spans="2:100" s="7" customFormat="1" ht="14.4">
      <c r="B40" s="8" t="str">
        <f>Processes!D39</f>
        <v>IMPGSB1</v>
      </c>
      <c r="C40" s="8" t="str">
        <f>Processes!E39</f>
        <v>Import technology - Bioethanol G1</v>
      </c>
      <c r="D40" s="67"/>
      <c r="E40" s="67" t="str">
        <f t="shared" si="5"/>
        <v>GSB1</v>
      </c>
      <c r="F40" s="387" t="str">
        <f t="shared" si="6"/>
        <v>MKr19</v>
      </c>
      <c r="G40" s="330">
        <f t="shared" si="15"/>
        <v>191.9869989234187</v>
      </c>
      <c r="H40" s="330">
        <f t="shared" si="15"/>
        <v>222.08699892341872</v>
      </c>
      <c r="I40" s="330">
        <f t="shared" si="15"/>
        <v>235.88699892341867</v>
      </c>
      <c r="J40" s="330">
        <f t="shared" si="15"/>
        <v>221.18699892341868</v>
      </c>
      <c r="K40" s="330">
        <f t="shared" si="15"/>
        <v>213.9869989234187</v>
      </c>
      <c r="L40" s="330">
        <f t="shared" si="15"/>
        <v>177.3869989234187</v>
      </c>
      <c r="M40" s="330">
        <f t="shared" si="15"/>
        <v>174.4869989234187</v>
      </c>
      <c r="N40" s="330">
        <f t="shared" si="15"/>
        <v>178.58699892341872</v>
      </c>
      <c r="O40" s="330">
        <f t="shared" si="15"/>
        <v>201.58807471814222</v>
      </c>
      <c r="P40" s="330">
        <f t="shared" si="15"/>
        <v>196.93396253889108</v>
      </c>
      <c r="Q40" s="330">
        <f t="shared" si="16"/>
        <v>195.45402400996551</v>
      </c>
      <c r="R40" s="330">
        <f t="shared" si="16"/>
        <v>173.46993859860214</v>
      </c>
      <c r="S40" s="330">
        <f t="shared" si="16"/>
        <v>176.87843746930616</v>
      </c>
      <c r="T40" s="330">
        <f t="shared" si="16"/>
        <v>179.20152136446148</v>
      </c>
      <c r="U40" s="330">
        <f t="shared" si="16"/>
        <v>180.89973050942663</v>
      </c>
      <c r="V40" s="330">
        <f t="shared" si="16"/>
        <v>182.13620833595482</v>
      </c>
      <c r="W40" s="330">
        <f t="shared" si="16"/>
        <v>183.50167167426395</v>
      </c>
      <c r="X40" s="330">
        <f t="shared" si="16"/>
        <v>184.83981044110857</v>
      </c>
      <c r="Y40" s="330">
        <f t="shared" si="16"/>
        <v>186.07093173814874</v>
      </c>
      <c r="Z40" s="330">
        <f t="shared" si="16"/>
        <v>187.36368362508182</v>
      </c>
      <c r="AA40" s="330">
        <f t="shared" si="17"/>
        <v>188.58687352601925</v>
      </c>
      <c r="AB40" s="330">
        <f t="shared" si="17"/>
        <v>188.2807297638164</v>
      </c>
      <c r="AC40" s="330">
        <f t="shared" si="17"/>
        <v>187.97385381731704</v>
      </c>
      <c r="AD40" s="330">
        <f t="shared" si="17"/>
        <v>187.66824490958999</v>
      </c>
      <c r="AE40" s="330">
        <f t="shared" si="17"/>
        <v>187.36186840457654</v>
      </c>
      <c r="AF40" s="330">
        <f t="shared" si="17"/>
        <v>187.05558859602792</v>
      </c>
      <c r="AG40" s="330">
        <f t="shared" si="17"/>
        <v>186.74838290880265</v>
      </c>
      <c r="AH40" s="330">
        <f t="shared" si="17"/>
        <v>186.44225980069484</v>
      </c>
      <c r="AI40" s="330">
        <f t="shared" si="17"/>
        <v>186.13540621637654</v>
      </c>
      <c r="AJ40" s="330">
        <f t="shared" si="17"/>
        <v>185.8294814696917</v>
      </c>
      <c r="AK40" s="330">
        <f t="shared" si="18"/>
        <v>185.52325484619922</v>
      </c>
      <c r="AL40" s="330">
        <f t="shared" si="18"/>
        <v>185.21702872703131</v>
      </c>
      <c r="AM40" s="330">
        <f t="shared" si="18"/>
        <v>184.91396292703854</v>
      </c>
      <c r="AN40" s="330">
        <f t="shared" si="18"/>
        <v>184.61090286950014</v>
      </c>
      <c r="AO40" s="330">
        <f t="shared" si="18"/>
        <v>184.30784856175819</v>
      </c>
      <c r="AP40" s="330">
        <f t="shared" si="18"/>
        <v>184.00480001116415</v>
      </c>
      <c r="AQ40" s="330">
        <f t="shared" si="18"/>
        <v>183.70175722507895</v>
      </c>
      <c r="AR40" s="330">
        <f t="shared" si="18"/>
        <v>183.39872021087291</v>
      </c>
      <c r="AS40" s="330">
        <f t="shared" si="18"/>
        <v>183.09568897592567</v>
      </c>
      <c r="AT40" s="330">
        <f t="shared" si="18"/>
        <v>182.79266352762647</v>
      </c>
      <c r="AU40" s="330">
        <f t="shared" si="18"/>
        <v>182.48964387337384</v>
      </c>
      <c r="AV40" s="331">
        <v>5</v>
      </c>
      <c r="BF40" s="365"/>
      <c r="BG40" s="365"/>
      <c r="BH40" s="365"/>
      <c r="BI40" s="365"/>
      <c r="BJ40" s="365"/>
      <c r="BK40" s="365"/>
    </row>
    <row r="41" spans="2:100" s="7" customFormat="1" ht="14.4">
      <c r="B41" s="8" t="str">
        <f>Processes!D40</f>
        <v>IMPGSB2</v>
      </c>
      <c r="C41" s="8" t="str">
        <f>Processes!E40</f>
        <v>Import technology - Bioethanol G2</v>
      </c>
      <c r="D41" s="67"/>
      <c r="E41" s="67" t="str">
        <f t="shared" si="5"/>
        <v>GSB2</v>
      </c>
      <c r="F41" s="387" t="str">
        <f t="shared" si="6"/>
        <v>MKr19</v>
      </c>
      <c r="G41" s="330">
        <f t="shared" si="15"/>
        <v>211.18569881576059</v>
      </c>
      <c r="H41" s="330">
        <f t="shared" si="15"/>
        <v>321.2739978468374</v>
      </c>
      <c r="I41" s="330">
        <f t="shared" si="15"/>
        <v>335.07399784683736</v>
      </c>
      <c r="J41" s="330">
        <f t="shared" si="15"/>
        <v>320.37399784683737</v>
      </c>
      <c r="K41" s="330">
        <f t="shared" si="15"/>
        <v>313.17399784683738</v>
      </c>
      <c r="L41" s="330">
        <f t="shared" si="15"/>
        <v>276.57399784683741</v>
      </c>
      <c r="M41" s="330">
        <f t="shared" si="15"/>
        <v>273.67399784683738</v>
      </c>
      <c r="N41" s="330">
        <f t="shared" si="15"/>
        <v>277.7739978468374</v>
      </c>
      <c r="O41" s="330">
        <f t="shared" si="15"/>
        <v>300.77507364156094</v>
      </c>
      <c r="P41" s="330">
        <f t="shared" si="15"/>
        <v>296.12096146230977</v>
      </c>
      <c r="Q41" s="330">
        <f t="shared" si="16"/>
        <v>294.64102293338419</v>
      </c>
      <c r="R41" s="330">
        <f t="shared" si="16"/>
        <v>272.65693752202083</v>
      </c>
      <c r="S41" s="330">
        <f t="shared" si="16"/>
        <v>276.06543639272485</v>
      </c>
      <c r="T41" s="330">
        <f t="shared" si="16"/>
        <v>278.38852028788017</v>
      </c>
      <c r="U41" s="330">
        <f t="shared" si="16"/>
        <v>280.08672943284535</v>
      </c>
      <c r="V41" s="330">
        <f t="shared" si="16"/>
        <v>281.32320725937353</v>
      </c>
      <c r="W41" s="330">
        <f t="shared" si="16"/>
        <v>282.68867059768263</v>
      </c>
      <c r="X41" s="330">
        <f t="shared" si="16"/>
        <v>284.02680936452725</v>
      </c>
      <c r="Y41" s="330">
        <f t="shared" si="16"/>
        <v>285.25793066156746</v>
      </c>
      <c r="Z41" s="330">
        <f t="shared" si="16"/>
        <v>286.5506825485005</v>
      </c>
      <c r="AA41" s="330">
        <f t="shared" si="17"/>
        <v>287.77387244943793</v>
      </c>
      <c r="AB41" s="330">
        <f t="shared" si="17"/>
        <v>287.46772868723508</v>
      </c>
      <c r="AC41" s="330">
        <f t="shared" si="17"/>
        <v>287.16085274073572</v>
      </c>
      <c r="AD41" s="330">
        <f t="shared" si="17"/>
        <v>286.85524383300867</v>
      </c>
      <c r="AE41" s="330">
        <f t="shared" si="17"/>
        <v>286.54886732799525</v>
      </c>
      <c r="AF41" s="330">
        <f t="shared" si="17"/>
        <v>286.2425875194466</v>
      </c>
      <c r="AG41" s="330">
        <f t="shared" si="17"/>
        <v>285.93538183222137</v>
      </c>
      <c r="AH41" s="330">
        <f t="shared" si="17"/>
        <v>285.62925872411353</v>
      </c>
      <c r="AI41" s="330">
        <f t="shared" si="17"/>
        <v>285.32240513979525</v>
      </c>
      <c r="AJ41" s="330">
        <f t="shared" si="17"/>
        <v>285.01648039311038</v>
      </c>
      <c r="AK41" s="330">
        <f t="shared" si="18"/>
        <v>284.71025376961791</v>
      </c>
      <c r="AL41" s="330">
        <f t="shared" si="18"/>
        <v>284.40402765045002</v>
      </c>
      <c r="AM41" s="330">
        <f t="shared" si="18"/>
        <v>284.10096185045722</v>
      </c>
      <c r="AN41" s="330">
        <f t="shared" si="18"/>
        <v>283.79790179291882</v>
      </c>
      <c r="AO41" s="330">
        <f t="shared" si="18"/>
        <v>283.49484748517688</v>
      </c>
      <c r="AP41" s="330">
        <f t="shared" si="18"/>
        <v>283.19179893458283</v>
      </c>
      <c r="AQ41" s="330">
        <f t="shared" si="18"/>
        <v>282.88875614849763</v>
      </c>
      <c r="AR41" s="330">
        <f t="shared" si="18"/>
        <v>282.58571913429159</v>
      </c>
      <c r="AS41" s="330">
        <f t="shared" si="18"/>
        <v>282.28268789934435</v>
      </c>
      <c r="AT41" s="330">
        <f t="shared" si="18"/>
        <v>281.97966245104516</v>
      </c>
      <c r="AU41" s="330">
        <f t="shared" si="18"/>
        <v>281.67664279679252</v>
      </c>
      <c r="AV41" s="331">
        <v>5</v>
      </c>
      <c r="BF41" s="365"/>
      <c r="BG41" s="365"/>
      <c r="BH41" s="365"/>
      <c r="BI41" s="365"/>
      <c r="BJ41" s="365"/>
      <c r="BK41" s="365"/>
    </row>
    <row r="42" spans="2:100" s="7" customFormat="1" ht="14.4">
      <c r="B42" s="8" t="str">
        <f>Processes!D41</f>
        <v>IMPGSE</v>
      </c>
      <c r="C42" s="8" t="str">
        <f>Processes!E41</f>
        <v>Import technology - Electro Gasoline</v>
      </c>
      <c r="D42" s="67"/>
      <c r="E42" s="67" t="str">
        <f t="shared" si="5"/>
        <v>GSE</v>
      </c>
      <c r="F42" s="387" t="str">
        <f t="shared" si="6"/>
        <v>MKr19</v>
      </c>
      <c r="G42" s="330">
        <f t="shared" si="15"/>
        <v>422.37139763152118</v>
      </c>
      <c r="H42" s="330">
        <f t="shared" si="15"/>
        <v>642.54799569367481</v>
      </c>
      <c r="I42" s="330">
        <f t="shared" si="15"/>
        <v>670.14799569367472</v>
      </c>
      <c r="J42" s="330">
        <f t="shared" si="15"/>
        <v>640.74799569367474</v>
      </c>
      <c r="K42" s="330">
        <f t="shared" si="15"/>
        <v>626.34799569367476</v>
      </c>
      <c r="L42" s="330">
        <f t="shared" si="15"/>
        <v>553.14799569367483</v>
      </c>
      <c r="M42" s="330">
        <f t="shared" si="15"/>
        <v>547.34799569367476</v>
      </c>
      <c r="N42" s="330">
        <f t="shared" si="15"/>
        <v>555.54799569367481</v>
      </c>
      <c r="O42" s="330">
        <f t="shared" si="15"/>
        <v>601.55014728312187</v>
      </c>
      <c r="P42" s="330">
        <f t="shared" si="15"/>
        <v>592.24192292461953</v>
      </c>
      <c r="Q42" s="330">
        <f t="shared" si="16"/>
        <v>589.28204586676839</v>
      </c>
      <c r="R42" s="330">
        <f t="shared" si="16"/>
        <v>545.31387504404165</v>
      </c>
      <c r="S42" s="330">
        <f t="shared" si="16"/>
        <v>552.1308727854497</v>
      </c>
      <c r="T42" s="330">
        <f t="shared" si="16"/>
        <v>556.77704057576034</v>
      </c>
      <c r="U42" s="330">
        <f t="shared" si="16"/>
        <v>560.17345886569069</v>
      </c>
      <c r="V42" s="330">
        <f t="shared" si="16"/>
        <v>562.64641451874706</v>
      </c>
      <c r="W42" s="330">
        <f t="shared" si="16"/>
        <v>565.37734119536526</v>
      </c>
      <c r="X42" s="330">
        <f t="shared" si="16"/>
        <v>568.05361872905451</v>
      </c>
      <c r="Y42" s="330">
        <f t="shared" si="16"/>
        <v>570.51586132313491</v>
      </c>
      <c r="Z42" s="330">
        <f t="shared" si="16"/>
        <v>573.10136509700101</v>
      </c>
      <c r="AA42" s="330">
        <f t="shared" si="17"/>
        <v>575.54774489887586</v>
      </c>
      <c r="AB42" s="330">
        <f t="shared" si="17"/>
        <v>574.93545737447016</v>
      </c>
      <c r="AC42" s="330">
        <f t="shared" si="17"/>
        <v>574.32170548147144</v>
      </c>
      <c r="AD42" s="330">
        <f t="shared" si="17"/>
        <v>573.71048766601734</v>
      </c>
      <c r="AE42" s="330">
        <f t="shared" si="17"/>
        <v>573.09773465599051</v>
      </c>
      <c r="AF42" s="330">
        <f t="shared" si="17"/>
        <v>572.4851750388932</v>
      </c>
      <c r="AG42" s="330">
        <f t="shared" si="17"/>
        <v>571.87076366444273</v>
      </c>
      <c r="AH42" s="330">
        <f t="shared" si="17"/>
        <v>571.25851744822705</v>
      </c>
      <c r="AI42" s="330">
        <f t="shared" si="17"/>
        <v>570.6448102795905</v>
      </c>
      <c r="AJ42" s="330">
        <f t="shared" si="17"/>
        <v>570.03296078622077</v>
      </c>
      <c r="AK42" s="330">
        <f t="shared" si="18"/>
        <v>569.42050753923581</v>
      </c>
      <c r="AL42" s="330">
        <f t="shared" si="18"/>
        <v>568.80805530090004</v>
      </c>
      <c r="AM42" s="330">
        <f t="shared" si="18"/>
        <v>568.20192370091445</v>
      </c>
      <c r="AN42" s="330">
        <f t="shared" si="18"/>
        <v>567.59580358583764</v>
      </c>
      <c r="AO42" s="330">
        <f t="shared" si="18"/>
        <v>566.98969497035375</v>
      </c>
      <c r="AP42" s="330">
        <f t="shared" si="18"/>
        <v>566.38359786916567</v>
      </c>
      <c r="AQ42" s="330">
        <f t="shared" si="18"/>
        <v>565.77751229699527</v>
      </c>
      <c r="AR42" s="330">
        <f t="shared" si="18"/>
        <v>565.17143826858319</v>
      </c>
      <c r="AS42" s="330">
        <f t="shared" si="18"/>
        <v>564.56537579868871</v>
      </c>
      <c r="AT42" s="330">
        <f t="shared" si="18"/>
        <v>563.95932490209032</v>
      </c>
      <c r="AU42" s="330">
        <f t="shared" si="18"/>
        <v>563.35328559358504</v>
      </c>
      <c r="AV42" s="331">
        <v>5</v>
      </c>
      <c r="BF42" s="365"/>
      <c r="BG42" s="365"/>
      <c r="BH42" s="365"/>
      <c r="BI42" s="365"/>
      <c r="BJ42" s="365"/>
      <c r="BK42" s="365"/>
    </row>
    <row r="43" spans="2:100" ht="14.4">
      <c r="B43" s="8" t="str">
        <f>Processes!D42</f>
        <v>IMPMOB1</v>
      </c>
      <c r="C43" s="8" t="str">
        <f>Processes!E42</f>
        <v>Import technology - Bio Methanol G1</v>
      </c>
      <c r="D43" s="67"/>
      <c r="E43" s="67" t="str">
        <f t="shared" si="5"/>
        <v>MOB1</v>
      </c>
      <c r="F43" s="387" t="str">
        <f t="shared" si="6"/>
        <v>MKr14</v>
      </c>
      <c r="G43" s="330">
        <f t="shared" si="15"/>
        <v>207.6</v>
      </c>
      <c r="H43" s="330">
        <f t="shared" si="15"/>
        <v>207.6</v>
      </c>
      <c r="I43" s="330">
        <f t="shared" si="15"/>
        <v>207.6</v>
      </c>
      <c r="J43" s="330">
        <f t="shared" si="15"/>
        <v>207.6</v>
      </c>
      <c r="K43" s="330">
        <f t="shared" si="15"/>
        <v>207.6</v>
      </c>
      <c r="L43" s="330">
        <f t="shared" si="15"/>
        <v>207.6</v>
      </c>
      <c r="M43" s="330">
        <f t="shared" si="15"/>
        <v>207.6</v>
      </c>
      <c r="N43" s="330">
        <f t="shared" si="15"/>
        <v>207.6</v>
      </c>
      <c r="O43" s="330">
        <f t="shared" si="15"/>
        <v>207.6</v>
      </c>
      <c r="P43" s="330">
        <f t="shared" si="15"/>
        <v>207.6</v>
      </c>
      <c r="Q43" s="330">
        <f t="shared" si="16"/>
        <v>207.6</v>
      </c>
      <c r="R43" s="330">
        <f t="shared" si="16"/>
        <v>207.6</v>
      </c>
      <c r="S43" s="330">
        <f t="shared" si="16"/>
        <v>207.6</v>
      </c>
      <c r="T43" s="330">
        <f t="shared" si="16"/>
        <v>207.6</v>
      </c>
      <c r="U43" s="330">
        <f t="shared" si="16"/>
        <v>207.6</v>
      </c>
      <c r="V43" s="330">
        <f t="shared" si="16"/>
        <v>207.6</v>
      </c>
      <c r="W43" s="330">
        <f t="shared" si="16"/>
        <v>207.6</v>
      </c>
      <c r="X43" s="330">
        <f t="shared" si="16"/>
        <v>207.6</v>
      </c>
      <c r="Y43" s="330">
        <f t="shared" si="16"/>
        <v>207.6</v>
      </c>
      <c r="Z43" s="330">
        <f t="shared" si="16"/>
        <v>207.6</v>
      </c>
      <c r="AA43" s="330">
        <f t="shared" si="17"/>
        <v>207.6</v>
      </c>
      <c r="AB43" s="330">
        <f t="shared" si="17"/>
        <v>207.6</v>
      </c>
      <c r="AC43" s="330">
        <f t="shared" si="17"/>
        <v>207.6</v>
      </c>
      <c r="AD43" s="330">
        <f t="shared" si="17"/>
        <v>207.6</v>
      </c>
      <c r="AE43" s="330">
        <f t="shared" si="17"/>
        <v>207.6</v>
      </c>
      <c r="AF43" s="330">
        <f t="shared" si="17"/>
        <v>207.6</v>
      </c>
      <c r="AG43" s="330">
        <f t="shared" si="17"/>
        <v>207.6</v>
      </c>
      <c r="AH43" s="330">
        <f t="shared" si="17"/>
        <v>207.6</v>
      </c>
      <c r="AI43" s="330">
        <f t="shared" si="17"/>
        <v>207.6</v>
      </c>
      <c r="AJ43" s="330">
        <f t="shared" si="17"/>
        <v>207.6</v>
      </c>
      <c r="AK43" s="330">
        <f t="shared" si="18"/>
        <v>207.6</v>
      </c>
      <c r="AL43" s="330">
        <f t="shared" si="18"/>
        <v>207.6</v>
      </c>
      <c r="AM43" s="330">
        <f t="shared" si="18"/>
        <v>207.6</v>
      </c>
      <c r="AN43" s="330">
        <f t="shared" si="18"/>
        <v>207.6</v>
      </c>
      <c r="AO43" s="330">
        <f t="shared" si="18"/>
        <v>207.6</v>
      </c>
      <c r="AP43" s="330">
        <f t="shared" si="18"/>
        <v>207.6</v>
      </c>
      <c r="AQ43" s="330">
        <f t="shared" si="18"/>
        <v>207.6</v>
      </c>
      <c r="AR43" s="330">
        <f t="shared" si="18"/>
        <v>207.6</v>
      </c>
      <c r="AS43" s="330">
        <f t="shared" si="18"/>
        <v>207.6</v>
      </c>
      <c r="AT43" s="330">
        <f t="shared" si="18"/>
        <v>207.6</v>
      </c>
      <c r="AU43" s="330">
        <f t="shared" si="18"/>
        <v>207.6</v>
      </c>
      <c r="AV43" s="331">
        <v>5</v>
      </c>
      <c r="BF43" s="365"/>
      <c r="BG43" s="365"/>
      <c r="BH43" s="365"/>
      <c r="BI43" s="365"/>
      <c r="BJ43" s="365"/>
      <c r="BK43" s="365"/>
    </row>
    <row r="44" spans="2:100" ht="14.4">
      <c r="B44" s="8" t="str">
        <f>Processes!D43</f>
        <v>IMPMOB2</v>
      </c>
      <c r="C44" s="8" t="str">
        <f>Processes!E43</f>
        <v>Import technology - Bio Methanol G2</v>
      </c>
      <c r="D44" s="67"/>
      <c r="E44" s="67" t="str">
        <f t="shared" si="5"/>
        <v>MOB2</v>
      </c>
      <c r="F44" s="387" t="str">
        <f t="shared" si="6"/>
        <v>MKr14</v>
      </c>
      <c r="G44" s="330">
        <f t="shared" si="15"/>
        <v>207.6</v>
      </c>
      <c r="H44" s="330">
        <f t="shared" si="15"/>
        <v>207.6</v>
      </c>
      <c r="I44" s="330">
        <f t="shared" si="15"/>
        <v>207.6</v>
      </c>
      <c r="J44" s="330">
        <f t="shared" si="15"/>
        <v>207.6</v>
      </c>
      <c r="K44" s="330">
        <f t="shared" si="15"/>
        <v>207.6</v>
      </c>
      <c r="L44" s="330">
        <f t="shared" si="15"/>
        <v>207.6</v>
      </c>
      <c r="M44" s="330">
        <f t="shared" si="15"/>
        <v>207.6</v>
      </c>
      <c r="N44" s="330">
        <f t="shared" si="15"/>
        <v>207.6</v>
      </c>
      <c r="O44" s="330">
        <f t="shared" si="15"/>
        <v>207.6</v>
      </c>
      <c r="P44" s="330">
        <f t="shared" si="15"/>
        <v>207.6</v>
      </c>
      <c r="Q44" s="330">
        <f t="shared" si="16"/>
        <v>207.6</v>
      </c>
      <c r="R44" s="330">
        <f t="shared" si="16"/>
        <v>207.6</v>
      </c>
      <c r="S44" s="330">
        <f t="shared" si="16"/>
        <v>207.6</v>
      </c>
      <c r="T44" s="330">
        <f t="shared" si="16"/>
        <v>207.6</v>
      </c>
      <c r="U44" s="330">
        <f t="shared" si="16"/>
        <v>207.6</v>
      </c>
      <c r="V44" s="330">
        <f t="shared" si="16"/>
        <v>207.6</v>
      </c>
      <c r="W44" s="330">
        <f t="shared" si="16"/>
        <v>207.6</v>
      </c>
      <c r="X44" s="330">
        <f t="shared" si="16"/>
        <v>207.6</v>
      </c>
      <c r="Y44" s="330">
        <f t="shared" si="16"/>
        <v>207.6</v>
      </c>
      <c r="Z44" s="330">
        <f t="shared" si="16"/>
        <v>207.6</v>
      </c>
      <c r="AA44" s="330">
        <f t="shared" si="17"/>
        <v>207.6</v>
      </c>
      <c r="AB44" s="330">
        <f t="shared" si="17"/>
        <v>207.6</v>
      </c>
      <c r="AC44" s="330">
        <f t="shared" si="17"/>
        <v>207.6</v>
      </c>
      <c r="AD44" s="330">
        <f t="shared" si="17"/>
        <v>207.6</v>
      </c>
      <c r="AE44" s="330">
        <f t="shared" si="17"/>
        <v>207.6</v>
      </c>
      <c r="AF44" s="330">
        <f t="shared" si="17"/>
        <v>207.6</v>
      </c>
      <c r="AG44" s="330">
        <f t="shared" si="17"/>
        <v>207.6</v>
      </c>
      <c r="AH44" s="330">
        <f t="shared" si="17"/>
        <v>207.6</v>
      </c>
      <c r="AI44" s="330">
        <f t="shared" si="17"/>
        <v>207.6</v>
      </c>
      <c r="AJ44" s="330">
        <f t="shared" si="17"/>
        <v>207.6</v>
      </c>
      <c r="AK44" s="330">
        <f t="shared" si="18"/>
        <v>207.6</v>
      </c>
      <c r="AL44" s="330">
        <f t="shared" si="18"/>
        <v>207.6</v>
      </c>
      <c r="AM44" s="330">
        <f t="shared" si="18"/>
        <v>207.6</v>
      </c>
      <c r="AN44" s="330">
        <f t="shared" si="18"/>
        <v>207.6</v>
      </c>
      <c r="AO44" s="330">
        <f t="shared" si="18"/>
        <v>207.6</v>
      </c>
      <c r="AP44" s="330">
        <f t="shared" si="18"/>
        <v>207.6</v>
      </c>
      <c r="AQ44" s="330">
        <f t="shared" si="18"/>
        <v>207.6</v>
      </c>
      <c r="AR44" s="330">
        <f t="shared" si="18"/>
        <v>207.6</v>
      </c>
      <c r="AS44" s="330">
        <f t="shared" si="18"/>
        <v>207.6</v>
      </c>
      <c r="AT44" s="330">
        <f t="shared" si="18"/>
        <v>207.6</v>
      </c>
      <c r="AU44" s="330">
        <f t="shared" si="18"/>
        <v>207.6</v>
      </c>
      <c r="AV44" s="331">
        <v>5</v>
      </c>
      <c r="BF44" s="365"/>
      <c r="BG44" s="365"/>
      <c r="BH44" s="365"/>
      <c r="BI44" s="365"/>
      <c r="BJ44" s="365"/>
      <c r="BK44" s="365"/>
    </row>
    <row r="45" spans="2:100" ht="14.4">
      <c r="B45" s="8" t="str">
        <f>Processes!D44</f>
        <v>IMPMOE</v>
      </c>
      <c r="C45" s="8" t="str">
        <f>Processes!E44</f>
        <v>Import technology - Electro Methanol</v>
      </c>
      <c r="D45" s="67"/>
      <c r="E45" s="67" t="str">
        <f t="shared" si="5"/>
        <v>MOE</v>
      </c>
      <c r="F45" s="387" t="str">
        <f t="shared" si="6"/>
        <v>MKr14</v>
      </c>
      <c r="G45" s="330">
        <f t="shared" si="15"/>
        <v>415.2</v>
      </c>
      <c r="H45" s="330">
        <f t="shared" si="15"/>
        <v>415.2</v>
      </c>
      <c r="I45" s="330">
        <f t="shared" si="15"/>
        <v>415.2</v>
      </c>
      <c r="J45" s="330">
        <f t="shared" si="15"/>
        <v>415.2</v>
      </c>
      <c r="K45" s="330">
        <f t="shared" si="15"/>
        <v>415.2</v>
      </c>
      <c r="L45" s="330">
        <f t="shared" si="15"/>
        <v>415.2</v>
      </c>
      <c r="M45" s="330">
        <f t="shared" si="15"/>
        <v>415.2</v>
      </c>
      <c r="N45" s="330">
        <f t="shared" si="15"/>
        <v>415.2</v>
      </c>
      <c r="O45" s="330">
        <f t="shared" si="15"/>
        <v>415.2</v>
      </c>
      <c r="P45" s="330">
        <f t="shared" si="15"/>
        <v>415.2</v>
      </c>
      <c r="Q45" s="330">
        <f t="shared" si="16"/>
        <v>415.2</v>
      </c>
      <c r="R45" s="330">
        <f t="shared" si="16"/>
        <v>415.2</v>
      </c>
      <c r="S45" s="330">
        <f t="shared" si="16"/>
        <v>415.2</v>
      </c>
      <c r="T45" s="330">
        <f t="shared" si="16"/>
        <v>415.2</v>
      </c>
      <c r="U45" s="330">
        <f t="shared" si="16"/>
        <v>415.2</v>
      </c>
      <c r="V45" s="330">
        <f t="shared" si="16"/>
        <v>415.2</v>
      </c>
      <c r="W45" s="330">
        <f t="shared" si="16"/>
        <v>415.2</v>
      </c>
      <c r="X45" s="330">
        <f t="shared" si="16"/>
        <v>415.2</v>
      </c>
      <c r="Y45" s="330">
        <f t="shared" si="16"/>
        <v>415.2</v>
      </c>
      <c r="Z45" s="330">
        <f t="shared" si="16"/>
        <v>415.2</v>
      </c>
      <c r="AA45" s="330">
        <f t="shared" si="17"/>
        <v>415.2</v>
      </c>
      <c r="AB45" s="330">
        <f t="shared" si="17"/>
        <v>415.2</v>
      </c>
      <c r="AC45" s="330">
        <f t="shared" si="17"/>
        <v>415.2</v>
      </c>
      <c r="AD45" s="330">
        <f t="shared" si="17"/>
        <v>415.2</v>
      </c>
      <c r="AE45" s="330">
        <f t="shared" si="17"/>
        <v>415.2</v>
      </c>
      <c r="AF45" s="330">
        <f t="shared" si="17"/>
        <v>415.2</v>
      </c>
      <c r="AG45" s="330">
        <f t="shared" si="17"/>
        <v>415.2</v>
      </c>
      <c r="AH45" s="330">
        <f t="shared" si="17"/>
        <v>415.2</v>
      </c>
      <c r="AI45" s="330">
        <f t="shared" si="17"/>
        <v>415.2</v>
      </c>
      <c r="AJ45" s="330">
        <f t="shared" si="17"/>
        <v>415.2</v>
      </c>
      <c r="AK45" s="330">
        <f t="shared" si="18"/>
        <v>415.2</v>
      </c>
      <c r="AL45" s="330">
        <f t="shared" si="18"/>
        <v>415.2</v>
      </c>
      <c r="AM45" s="330">
        <f t="shared" si="18"/>
        <v>415.2</v>
      </c>
      <c r="AN45" s="330">
        <f t="shared" si="18"/>
        <v>415.2</v>
      </c>
      <c r="AO45" s="330">
        <f t="shared" si="18"/>
        <v>415.2</v>
      </c>
      <c r="AP45" s="330">
        <f t="shared" si="18"/>
        <v>415.2</v>
      </c>
      <c r="AQ45" s="330">
        <f t="shared" si="18"/>
        <v>415.2</v>
      </c>
      <c r="AR45" s="330">
        <f t="shared" si="18"/>
        <v>415.2</v>
      </c>
      <c r="AS45" s="330">
        <f t="shared" si="18"/>
        <v>415.2</v>
      </c>
      <c r="AT45" s="330">
        <f t="shared" si="18"/>
        <v>415.2</v>
      </c>
      <c r="AU45" s="330">
        <f t="shared" si="18"/>
        <v>415.2</v>
      </c>
      <c r="AV45" s="331">
        <v>5</v>
      </c>
      <c r="BF45" s="365"/>
      <c r="BG45" s="365"/>
      <c r="BH45" s="365"/>
      <c r="BI45" s="365"/>
      <c r="BJ45" s="365"/>
      <c r="BK45" s="365"/>
    </row>
    <row r="46" spans="2:100" ht="14.4">
      <c r="B46" s="8" t="str">
        <f>Processes!D45</f>
        <v>IMPWST</v>
      </c>
      <c r="C46" s="8" t="str">
        <f>Processes!E45</f>
        <v>Import technology - Waste</v>
      </c>
      <c r="D46" s="67"/>
      <c r="E46" s="67" t="str">
        <f t="shared" si="5"/>
        <v>WST</v>
      </c>
      <c r="F46" s="387" t="str">
        <f t="shared" si="6"/>
        <v>MKr14</v>
      </c>
      <c r="G46" s="330">
        <f t="shared" si="15"/>
        <v>0.1</v>
      </c>
      <c r="H46" s="330">
        <f t="shared" si="15"/>
        <v>0.1</v>
      </c>
      <c r="I46" s="330">
        <f t="shared" si="15"/>
        <v>0.1</v>
      </c>
      <c r="J46" s="330">
        <f t="shared" si="15"/>
        <v>0.1</v>
      </c>
      <c r="K46" s="330">
        <f t="shared" si="15"/>
        <v>0.1</v>
      </c>
      <c r="L46" s="330">
        <f t="shared" si="15"/>
        <v>0.1</v>
      </c>
      <c r="M46" s="330">
        <f t="shared" si="15"/>
        <v>0.1</v>
      </c>
      <c r="N46" s="330">
        <f t="shared" si="15"/>
        <v>0.1</v>
      </c>
      <c r="O46" s="330">
        <f t="shared" si="15"/>
        <v>0.1</v>
      </c>
      <c r="P46" s="330">
        <f t="shared" si="15"/>
        <v>0.1</v>
      </c>
      <c r="Q46" s="330">
        <f t="shared" si="16"/>
        <v>0.1</v>
      </c>
      <c r="R46" s="330">
        <f t="shared" si="16"/>
        <v>0.1</v>
      </c>
      <c r="S46" s="330">
        <f t="shared" si="16"/>
        <v>0.1</v>
      </c>
      <c r="T46" s="330">
        <f t="shared" si="16"/>
        <v>0.1</v>
      </c>
      <c r="U46" s="330">
        <f t="shared" si="16"/>
        <v>0.1</v>
      </c>
      <c r="V46" s="330">
        <f t="shared" si="16"/>
        <v>0.1</v>
      </c>
      <c r="W46" s="330">
        <f t="shared" si="16"/>
        <v>0.1</v>
      </c>
      <c r="X46" s="330">
        <f t="shared" si="16"/>
        <v>0.1</v>
      </c>
      <c r="Y46" s="330">
        <f t="shared" si="16"/>
        <v>0.1</v>
      </c>
      <c r="Z46" s="330">
        <f t="shared" si="16"/>
        <v>0.1</v>
      </c>
      <c r="AA46" s="330">
        <f t="shared" si="17"/>
        <v>0.1</v>
      </c>
      <c r="AB46" s="330">
        <f t="shared" si="17"/>
        <v>0.1</v>
      </c>
      <c r="AC46" s="330">
        <f t="shared" si="17"/>
        <v>0.1</v>
      </c>
      <c r="AD46" s="330">
        <f t="shared" si="17"/>
        <v>0.1</v>
      </c>
      <c r="AE46" s="330">
        <f t="shared" si="17"/>
        <v>0.1</v>
      </c>
      <c r="AF46" s="330">
        <f t="shared" si="17"/>
        <v>0.1</v>
      </c>
      <c r="AG46" s="330">
        <f t="shared" si="17"/>
        <v>0.1</v>
      </c>
      <c r="AH46" s="330">
        <f t="shared" si="17"/>
        <v>0.1</v>
      </c>
      <c r="AI46" s="330">
        <f t="shared" si="17"/>
        <v>0.1</v>
      </c>
      <c r="AJ46" s="330">
        <f t="shared" si="17"/>
        <v>0.1</v>
      </c>
      <c r="AK46" s="330">
        <f t="shared" si="18"/>
        <v>0.1</v>
      </c>
      <c r="AL46" s="330">
        <f t="shared" si="18"/>
        <v>0.1</v>
      </c>
      <c r="AM46" s="330">
        <f t="shared" si="18"/>
        <v>0.1</v>
      </c>
      <c r="AN46" s="330">
        <f t="shared" si="18"/>
        <v>0.1</v>
      </c>
      <c r="AO46" s="330">
        <f t="shared" si="18"/>
        <v>0.1</v>
      </c>
      <c r="AP46" s="330">
        <f t="shared" si="18"/>
        <v>0.1</v>
      </c>
      <c r="AQ46" s="330">
        <f t="shared" si="18"/>
        <v>0.1</v>
      </c>
      <c r="AR46" s="330">
        <f t="shared" si="18"/>
        <v>0.1</v>
      </c>
      <c r="AS46" s="330">
        <f t="shared" si="18"/>
        <v>0.1</v>
      </c>
      <c r="AT46" s="330">
        <f t="shared" si="18"/>
        <v>0.1</v>
      </c>
      <c r="AU46" s="330">
        <f t="shared" si="18"/>
        <v>0.1</v>
      </c>
      <c r="AV46" s="331">
        <v>5</v>
      </c>
      <c r="AW46" s="467" cm="1">
        <f t="array" ref="AW46">INDEX('Energy Balance'!$D$7:$W$154,MATCH('MIN-IMP-EXP'!$B46,'Energy Balance'!$A$7:$A$154,0),MATCH('MIN-IMP-EXP'!AW$1&amp;'MIN-IMP-EXP'!AW$3,'Energy Balance'!$D$4:$W$4&amp;'Energy Balance'!$D$6:$W$6,0))/1000*INDEX('Energy Balance'!$Z$7:$AJ$155,MATCH($B46,'Energy Balance'!$A$7:$A$155,0),MATCH(AW$2,'Energy Balance'!$Z$5:$AJ$5,0))</f>
        <v>0.13380547078934146</v>
      </c>
      <c r="AX46" s="467" cm="1">
        <f t="array" ref="AX46">INDEX('Energy Balance'!$D$7:$W$154,MATCH('MIN-IMP-EXP'!$B46,'Energy Balance'!$A$7:$A$154,0),MATCH('MIN-IMP-EXP'!AX$1&amp;'MIN-IMP-EXP'!AX$3,'Energy Balance'!$D$4:$W$4&amp;'Energy Balance'!$D$6:$W$6,0))/1000*INDEX('Energy Balance'!$Z$7:$AJ$155,MATCH($B46,'Energy Balance'!$A$7:$A$155,0),MATCH(AX$2,'Energy Balance'!$Z$5:$AJ$5,0))</f>
        <v>0.33072132359485407</v>
      </c>
      <c r="AY46" s="467" cm="1">
        <f t="array" ref="AY46">INDEX('Energy Balance'!$D$7:$W$154,MATCH('MIN-IMP-EXP'!$B46,'Energy Balance'!$A$7:$A$154,0),MATCH('MIN-IMP-EXP'!AY$1&amp;'MIN-IMP-EXP'!AY$3,'Energy Balance'!$D$4:$W$4&amp;'Energy Balance'!$D$6:$W$6,0))/1000*INDEX('Energy Balance'!$Z$7:$AJ$155,MATCH($B46,'Energy Balance'!$A$7:$A$155,0),MATCH(AY$2,'Energy Balance'!$Z$5:$AJ$5,0))</f>
        <v>2.7997455065598786</v>
      </c>
      <c r="AZ46" s="467" cm="1">
        <f t="array" ref="AZ46">INDEX('Energy Balance'!$D$7:$W$154,MATCH('MIN-IMP-EXP'!$B46,'Energy Balance'!$A$7:$A$154,0),MATCH('MIN-IMP-EXP'!AZ$1&amp;'MIN-IMP-EXP'!AZ$3,'Energy Balance'!$D$4:$W$4&amp;'Energy Balance'!$D$6:$W$6,0))/1000*INDEX('Energy Balance'!$Z$7:$AJ$155,MATCH($B46,'Energy Balance'!$A$7:$A$155,0),MATCH(AZ$2,'Energy Balance'!$Z$5:$AJ$5,0))</f>
        <v>0.92872769905592534</v>
      </c>
      <c r="BA46" s="467" cm="1">
        <f t="array" ref="BA46">INDEX('Energy Balance'!$D$7:$W$154,MATCH('MIN-IMP-EXP'!$B46,'Energy Balance'!$A$7:$A$154,0),MATCH('MIN-IMP-EXP'!BA$1&amp;'MIN-IMP-EXP'!BA$3,'Energy Balance'!$D$4:$W$4&amp;'Energy Balance'!$D$6:$W$6,0))/1000*INDEX('Energy Balance'!$Z$7:$AJ$155,MATCH($B46,'Energy Balance'!$A$7:$A$155,0),MATCH(BA$2,'Energy Balance'!$Z$5:$AJ$5,0))</f>
        <v>0.2284872813860446</v>
      </c>
      <c r="BB46" s="467" cm="1">
        <f t="array" ref="BB46">INDEX('Energy Balance'!$D$7:$W$154,MATCH('MIN-IMP-EXP'!$B46,'Energy Balance'!$A$7:$A$154,0),MATCH('MIN-IMP-EXP'!BB$1&amp;'MIN-IMP-EXP'!BB$3,'Energy Balance'!$D$4:$W$4&amp;'Energy Balance'!$D$6:$W$6,0))/1000*INDEX('Energy Balance'!$Z$7:$AJ$155,MATCH($B46,'Energy Balance'!$A$7:$A$155,0),MATCH(BB$2,'Energy Balance'!$Z$5:$AJ$5,0))</f>
        <v>0.56474235080828894</v>
      </c>
      <c r="BC46" s="467" cm="1">
        <f t="array" ref="BC46">INDEX('Energy Balance'!$D$7:$W$154,MATCH('MIN-IMP-EXP'!$B46,'Energy Balance'!$A$7:$A$154,0),MATCH('MIN-IMP-EXP'!BC$1&amp;'MIN-IMP-EXP'!BC$3,'Energy Balance'!$D$4:$W$4&amp;'Energy Balance'!$D$6:$W$6,0))/1000*INDEX('Energy Balance'!$Z$7:$AJ$155,MATCH($B46,'Energy Balance'!$A$7:$A$155,0),MATCH(BC$2,'Energy Balance'!$Z$5:$AJ$5,0))</f>
        <v>4.7808675952703874</v>
      </c>
      <c r="BD46" s="467" cm="1">
        <f t="array" ref="BD46">INDEX('Energy Balance'!$D$7:$W$154,MATCH('MIN-IMP-EXP'!$B46,'Energy Balance'!$A$7:$A$154,0),MATCH('MIN-IMP-EXP'!BD$1&amp;'MIN-IMP-EXP'!BD$3,'Energy Balance'!$D$4:$W$4&amp;'Energy Balance'!$D$6:$W$6,0))/1000*INDEX('Energy Balance'!$Z$7:$AJ$155,MATCH($B46,'Energy Balance'!$A$7:$A$155,0),MATCH(BD$2,'Energy Balance'!$Z$5:$AJ$5,0))</f>
        <v>1.5859027725352792</v>
      </c>
      <c r="BE46" s="467" cm="1">
        <f t="array" ref="BE46">INDEX('Energy Balance'!$D$7:$W$154,MATCH('MIN-IMP-EXP'!$B46,'Energy Balance'!$A$7:$A$154,0),MATCH('MIN-IMP-EXP'!BE$1&amp;'MIN-IMP-EXP'!BE$3,'Energy Balance'!$D$4:$W$4&amp;'Energy Balance'!$D$6:$W$6,0))/1000*INDEX('Energy Balance'!$Z$7:$AJ$155,MATCH($B46,'Energy Balance'!$A$7:$A$155,0),MATCH(BE$2,'Energy Balance'!$Z$5:$AJ$5,0))</f>
        <v>0.29361892123365874</v>
      </c>
      <c r="BF46" s="467" cm="1">
        <f t="array" ref="BF46">INDEX('Energy Balance'!$D$7:$W$154,MATCH('MIN-IMP-EXP'!$B46,'Energy Balance'!$A$7:$A$154,0),MATCH('MIN-IMP-EXP'!BF$1&amp;'MIN-IMP-EXP'!BF$3,'Energy Balance'!$D$4:$W$4&amp;'Energy Balance'!$D$6:$W$6,0))/1000*INDEX('Energy Balance'!$Z$7:$AJ$155,MATCH($B46,'Energy Balance'!$A$7:$A$155,0),MATCH(BF$2,'Energy Balance'!$Z$5:$AJ$5,0))</f>
        <v>0.72572547064065174</v>
      </c>
      <c r="BG46" s="467" cm="1">
        <f t="array" ref="BG46">INDEX('Energy Balance'!$D$7:$W$154,MATCH('MIN-IMP-EXP'!$B46,'Energy Balance'!$A$7:$A$154,0),MATCH('MIN-IMP-EXP'!BG$1&amp;'MIN-IMP-EXP'!BG$3,'Energy Balance'!$D$4:$W$4&amp;'Energy Balance'!$D$6:$W$6,0))/1000*INDEX('Energy Balance'!$Z$7:$AJ$155,MATCH($B46,'Energy Balance'!$A$7:$A$155,0),MATCH(BG$2,'Energy Balance'!$Z$5:$AJ$5,0))</f>
        <v>6.143681947497603</v>
      </c>
      <c r="BH46" s="467" cm="1">
        <f t="array" ref="BH46">INDEX('Energy Balance'!$D$7:$W$154,MATCH('MIN-IMP-EXP'!$B46,'Energy Balance'!$A$7:$A$154,0),MATCH('MIN-IMP-EXP'!BH$1&amp;'MIN-IMP-EXP'!BH$3,'Energy Balance'!$D$4:$W$4&amp;'Energy Balance'!$D$6:$W$6,0))/1000*INDEX('Energy Balance'!$Z$7:$AJ$155,MATCH($B46,'Energy Balance'!$A$7:$A$155,0),MATCH(BH$2,'Energy Balance'!$Z$5:$AJ$5,0))</f>
        <v>2.0379736606280874</v>
      </c>
      <c r="BI46" s="467" cm="1">
        <f t="array" ref="BI46">INDEX('Energy Balance'!$D$7:$W$154,MATCH('MIN-IMP-EXP'!$B46,'Energy Balance'!$A$7:$A$154,0),MATCH('MIN-IMP-EXP'!BI$1&amp;'MIN-IMP-EXP'!BI$3,'Energy Balance'!$D$4:$W$4&amp;'Energy Balance'!$D$6:$W$6,0))/1000*INDEX('Energy Balance'!$Z$7:$AJ$155,MATCH($B46,'Energy Balance'!$A$7:$A$155,0),MATCH(BI$2,'Energy Balance'!$Z$5:$AJ$5,0))</f>
        <v>0.35421910941132612</v>
      </c>
      <c r="BJ46" s="467" cm="1">
        <f t="array" ref="BJ46">INDEX('Energy Balance'!$D$7:$W$154,MATCH('MIN-IMP-EXP'!$B46,'Energy Balance'!$A$7:$A$154,0),MATCH('MIN-IMP-EXP'!BJ$1&amp;'MIN-IMP-EXP'!BJ$3,'Energy Balance'!$D$4:$W$4&amp;'Energy Balance'!$D$6:$W$6,0))/1000*INDEX('Energy Balance'!$Z$7:$AJ$155,MATCH($B46,'Energy Balance'!$A$7:$A$155,0),MATCH(BJ$2,'Energy Balance'!$Z$5:$AJ$5,0))</f>
        <v>0.87550839301285011</v>
      </c>
      <c r="BK46" s="467" cm="1">
        <f t="array" ref="BK46">INDEX('Energy Balance'!$D$7:$W$154,MATCH('MIN-IMP-EXP'!$B46,'Energy Balance'!$A$7:$A$154,0),MATCH('MIN-IMP-EXP'!BK$1&amp;'MIN-IMP-EXP'!BK$3,'Energy Balance'!$D$4:$W$4&amp;'Energy Balance'!$D$6:$W$6,0))/1000*INDEX('Energy Balance'!$Z$7:$AJ$155,MATCH($B46,'Energy Balance'!$A$7:$A$155,0),MATCH(BK$2,'Energy Balance'!$Z$5:$AJ$5,0))</f>
        <v>7.4116802105448736</v>
      </c>
      <c r="BL46" s="467" cm="1">
        <f t="array" ref="BL46">INDEX('Energy Balance'!$D$7:$W$154,MATCH('MIN-IMP-EXP'!$B46,'Energy Balance'!$A$7:$A$154,0),MATCH('MIN-IMP-EXP'!BL$1&amp;'MIN-IMP-EXP'!BL$3,'Energy Balance'!$D$4:$W$4&amp;'Energy Balance'!$D$6:$W$6,0))/1000*INDEX('Energy Balance'!$Z$7:$AJ$155,MATCH($B46,'Energy Balance'!$A$7:$A$155,0),MATCH(BL$2,'Energy Balance'!$Z$5:$AJ$5,0))</f>
        <v>2.4585922870309496</v>
      </c>
      <c r="BM46" s="466">
        <v>5</v>
      </c>
    </row>
    <row r="47" spans="2:100" ht="14.4">
      <c r="B47" s="8" t="str">
        <f>Processes!D46</f>
        <v>IMPSTR</v>
      </c>
      <c r="C47" s="8" t="str">
        <f>Processes!E46</f>
        <v>Import technology - Straw</v>
      </c>
      <c r="D47" s="67"/>
      <c r="E47" s="67" t="str">
        <f t="shared" si="5"/>
        <v>STR</v>
      </c>
      <c r="F47" s="387" t="str">
        <f t="shared" si="6"/>
        <v>MKr19</v>
      </c>
      <c r="G47" s="330">
        <f t="shared" ref="G47:P55" si="19">IFERROR(INDEX($G$121:$AU$176,MATCH($E47,$E$121:$E$176,0),MATCH(G$6,$G$120:$AU$120,0)),0)</f>
        <v>41.5</v>
      </c>
      <c r="H47" s="330">
        <f t="shared" si="19"/>
        <v>41.5</v>
      </c>
      <c r="I47" s="330">
        <f t="shared" si="19"/>
        <v>41.5</v>
      </c>
      <c r="J47" s="330">
        <f t="shared" si="19"/>
        <v>41.2</v>
      </c>
      <c r="K47" s="330">
        <f t="shared" si="19"/>
        <v>40.799999999999997</v>
      </c>
      <c r="L47" s="330">
        <f t="shared" si="19"/>
        <v>40.5</v>
      </c>
      <c r="M47" s="330">
        <f t="shared" si="19"/>
        <v>40.9</v>
      </c>
      <c r="N47" s="330">
        <f t="shared" si="19"/>
        <v>41.4</v>
      </c>
      <c r="O47" s="330">
        <f t="shared" si="19"/>
        <v>41.634898055339931</v>
      </c>
      <c r="P47" s="330">
        <f t="shared" si="19"/>
        <v>41.634898055339931</v>
      </c>
      <c r="Q47" s="330">
        <f t="shared" ref="Q47:Z55" si="20">IFERROR(INDEX($G$121:$AU$176,MATCH($E47,$E$121:$E$176,0),MATCH(Q$6,$G$120:$AU$120,0)),0)</f>
        <v>41.962449107096752</v>
      </c>
      <c r="R47" s="330">
        <f t="shared" si="20"/>
        <v>42.37591413450582</v>
      </c>
      <c r="S47" s="330">
        <f t="shared" si="20"/>
        <v>42.791201303703261</v>
      </c>
      <c r="T47" s="330">
        <f t="shared" si="20"/>
        <v>43.208184541451871</v>
      </c>
      <c r="U47" s="330">
        <f t="shared" si="20"/>
        <v>43.626739530646304</v>
      </c>
      <c r="V47" s="330">
        <f t="shared" si="20"/>
        <v>44.046743692103149</v>
      </c>
      <c r="W47" s="330">
        <f t="shared" si="20"/>
        <v>44.303492323512977</v>
      </c>
      <c r="X47" s="330">
        <f t="shared" si="20"/>
        <v>44.56044844066794</v>
      </c>
      <c r="Y47" s="330">
        <f t="shared" si="20"/>
        <v>44.817607952103295</v>
      </c>
      <c r="Z47" s="330">
        <f t="shared" si="20"/>
        <v>45.074966809344929</v>
      </c>
      <c r="AA47" s="330">
        <f t="shared" ref="AA47:AJ55" si="21">IFERROR(INDEX($G$121:$AU$176,MATCH($E47,$E$121:$E$176,0),MATCH(AA$6,$G$120:$AU$120,0)),0)</f>
        <v>45.332521006394593</v>
      </c>
      <c r="AB47" s="330">
        <f t="shared" si="21"/>
        <v>45.549544275390517</v>
      </c>
      <c r="AC47" s="330">
        <f t="shared" si="21"/>
        <v>45.766845997017583</v>
      </c>
      <c r="AD47" s="330">
        <f t="shared" si="21"/>
        <v>45.93621057509371</v>
      </c>
      <c r="AE47" s="330">
        <f t="shared" si="21"/>
        <v>46.091987325464736</v>
      </c>
      <c r="AF47" s="330">
        <f t="shared" si="21"/>
        <v>46.247727566987081</v>
      </c>
      <c r="AG47" s="330">
        <f t="shared" si="21"/>
        <v>46.390503884981669</v>
      </c>
      <c r="AH47" s="330">
        <f t="shared" si="21"/>
        <v>46.533237561648519</v>
      </c>
      <c r="AI47" s="330">
        <f t="shared" si="21"/>
        <v>46.675927978934773</v>
      </c>
      <c r="AJ47" s="330">
        <f t="shared" si="21"/>
        <v>46.818574524689666</v>
      </c>
      <c r="AK47" s="330">
        <f t="shared" ref="AK47:AU55" si="22">IFERROR(INDEX($G$121:$AU$176,MATCH($E47,$E$121:$E$176,0),MATCH(AK$6,$G$120:$AU$120,0)),0)</f>
        <v>46.961176592602918</v>
      </c>
      <c r="AL47" s="330">
        <f t="shared" si="22"/>
        <v>46.961176592602918</v>
      </c>
      <c r="AM47" s="330">
        <f t="shared" si="22"/>
        <v>46.961176592602918</v>
      </c>
      <c r="AN47" s="330">
        <f t="shared" si="22"/>
        <v>46.961176592602918</v>
      </c>
      <c r="AO47" s="330">
        <f t="shared" si="22"/>
        <v>46.961176592602918</v>
      </c>
      <c r="AP47" s="330">
        <f t="shared" si="22"/>
        <v>46.961176592602918</v>
      </c>
      <c r="AQ47" s="330">
        <f t="shared" si="22"/>
        <v>46.961176592602918</v>
      </c>
      <c r="AR47" s="330">
        <f t="shared" si="22"/>
        <v>46.961176592602918</v>
      </c>
      <c r="AS47" s="330">
        <f t="shared" si="22"/>
        <v>46.961176592602918</v>
      </c>
      <c r="AT47" s="330">
        <f t="shared" si="22"/>
        <v>46.961176592602918</v>
      </c>
      <c r="AU47" s="330">
        <f t="shared" si="22"/>
        <v>46.961176592602918</v>
      </c>
      <c r="AV47" s="331">
        <v>5</v>
      </c>
      <c r="AW47" s="437"/>
      <c r="AX47" s="437"/>
      <c r="AY47" s="437"/>
      <c r="AZ47" s="437"/>
      <c r="BA47" s="437"/>
      <c r="BB47" s="437"/>
      <c r="BC47" s="437"/>
      <c r="BD47" s="437"/>
      <c r="BE47" s="437"/>
    </row>
    <row r="48" spans="2:100" ht="14.4">
      <c r="B48" s="8" t="str">
        <f>Processes!D47</f>
        <v>IMPGRS</v>
      </c>
      <c r="C48" s="8" t="str">
        <f>Processes!E47</f>
        <v>Import technology - Grass</v>
      </c>
      <c r="D48" s="67"/>
      <c r="E48" s="67" t="str">
        <f t="shared" si="5"/>
        <v>GRS</v>
      </c>
      <c r="F48" s="387" t="str">
        <f t="shared" si="6"/>
        <v>MKr14</v>
      </c>
      <c r="G48" s="330">
        <f t="shared" si="19"/>
        <v>41.5</v>
      </c>
      <c r="H48" s="330">
        <f t="shared" si="19"/>
        <v>41.5</v>
      </c>
      <c r="I48" s="330">
        <f t="shared" si="19"/>
        <v>41.5</v>
      </c>
      <c r="J48" s="330">
        <f t="shared" si="19"/>
        <v>41.2</v>
      </c>
      <c r="K48" s="330">
        <f t="shared" si="19"/>
        <v>40.799999999999997</v>
      </c>
      <c r="L48" s="330">
        <f t="shared" si="19"/>
        <v>40.5</v>
      </c>
      <c r="M48" s="330">
        <f t="shared" si="19"/>
        <v>40.9</v>
      </c>
      <c r="N48" s="330">
        <f t="shared" si="19"/>
        <v>41.4</v>
      </c>
      <c r="O48" s="330">
        <f t="shared" si="19"/>
        <v>41.634898055339931</v>
      </c>
      <c r="P48" s="330">
        <f t="shared" si="19"/>
        <v>41.634898055339931</v>
      </c>
      <c r="Q48" s="330">
        <f t="shared" si="20"/>
        <v>41.962449107096752</v>
      </c>
      <c r="R48" s="330">
        <f t="shared" si="20"/>
        <v>42.37591413450582</v>
      </c>
      <c r="S48" s="330">
        <f t="shared" si="20"/>
        <v>42.791201303703261</v>
      </c>
      <c r="T48" s="330">
        <f t="shared" si="20"/>
        <v>43.208184541451871</v>
      </c>
      <c r="U48" s="330">
        <f t="shared" si="20"/>
        <v>43.626739530646304</v>
      </c>
      <c r="V48" s="330">
        <f t="shared" si="20"/>
        <v>44.046743692103149</v>
      </c>
      <c r="W48" s="330">
        <f t="shared" si="20"/>
        <v>44.303492323512977</v>
      </c>
      <c r="X48" s="330">
        <f t="shared" si="20"/>
        <v>44.56044844066794</v>
      </c>
      <c r="Y48" s="330">
        <f t="shared" si="20"/>
        <v>44.817607952103295</v>
      </c>
      <c r="Z48" s="330">
        <f t="shared" si="20"/>
        <v>45.074966809344929</v>
      </c>
      <c r="AA48" s="330">
        <f t="shared" si="21"/>
        <v>45.332521006394593</v>
      </c>
      <c r="AB48" s="330">
        <f t="shared" si="21"/>
        <v>45.549544275390517</v>
      </c>
      <c r="AC48" s="330">
        <f t="shared" si="21"/>
        <v>45.766845997017583</v>
      </c>
      <c r="AD48" s="330">
        <f t="shared" si="21"/>
        <v>45.93621057509371</v>
      </c>
      <c r="AE48" s="330">
        <f t="shared" si="21"/>
        <v>46.091987325464736</v>
      </c>
      <c r="AF48" s="330">
        <f t="shared" si="21"/>
        <v>46.247727566987081</v>
      </c>
      <c r="AG48" s="330">
        <f t="shared" si="21"/>
        <v>46.390503884981669</v>
      </c>
      <c r="AH48" s="330">
        <f t="shared" si="21"/>
        <v>46.533237561648519</v>
      </c>
      <c r="AI48" s="330">
        <f t="shared" si="21"/>
        <v>46.675927978934773</v>
      </c>
      <c r="AJ48" s="330">
        <f t="shared" si="21"/>
        <v>46.818574524689666</v>
      </c>
      <c r="AK48" s="330">
        <f t="shared" si="22"/>
        <v>46.961176592602918</v>
      </c>
      <c r="AL48" s="330">
        <f t="shared" si="22"/>
        <v>46.961176592602918</v>
      </c>
      <c r="AM48" s="330">
        <f t="shared" si="22"/>
        <v>46.961176592602918</v>
      </c>
      <c r="AN48" s="330">
        <f t="shared" si="22"/>
        <v>46.961176592602918</v>
      </c>
      <c r="AO48" s="330">
        <f t="shared" si="22"/>
        <v>46.961176592602918</v>
      </c>
      <c r="AP48" s="330">
        <f t="shared" si="22"/>
        <v>46.961176592602918</v>
      </c>
      <c r="AQ48" s="330">
        <f t="shared" si="22"/>
        <v>46.961176592602918</v>
      </c>
      <c r="AR48" s="330">
        <f t="shared" si="22"/>
        <v>46.961176592602918</v>
      </c>
      <c r="AS48" s="330">
        <f t="shared" si="22"/>
        <v>46.961176592602918</v>
      </c>
      <c r="AT48" s="330">
        <f t="shared" si="22"/>
        <v>46.961176592602918</v>
      </c>
      <c r="AU48" s="330">
        <f t="shared" si="22"/>
        <v>46.961176592602918</v>
      </c>
      <c r="AV48" s="331">
        <v>5</v>
      </c>
      <c r="AW48" s="437"/>
      <c r="AX48" s="437"/>
      <c r="AY48" s="437"/>
      <c r="AZ48" s="437"/>
      <c r="BA48" s="437"/>
      <c r="BB48" s="437"/>
      <c r="BC48" s="437"/>
      <c r="BD48" s="437"/>
      <c r="BE48" s="437"/>
    </row>
    <row r="49" spans="2:65" ht="14.4">
      <c r="B49" s="8" t="str">
        <f>Processes!D48</f>
        <v>IMPWPE</v>
      </c>
      <c r="C49" s="8" t="str">
        <f>Processes!E48</f>
        <v>Import technology - Wood pellets</v>
      </c>
      <c r="D49" s="67"/>
      <c r="E49" s="67" t="str">
        <f t="shared" si="5"/>
        <v>WPE</v>
      </c>
      <c r="F49" s="387" t="str">
        <f t="shared" si="6"/>
        <v>MKr19</v>
      </c>
      <c r="G49" s="330">
        <f t="shared" si="19"/>
        <v>73.7</v>
      </c>
      <c r="H49" s="330">
        <f t="shared" si="19"/>
        <v>73.7</v>
      </c>
      <c r="I49" s="330">
        <f t="shared" si="19"/>
        <v>73.7</v>
      </c>
      <c r="J49" s="330">
        <f t="shared" si="19"/>
        <v>72.7</v>
      </c>
      <c r="K49" s="330">
        <f t="shared" si="19"/>
        <v>71.8</v>
      </c>
      <c r="L49" s="330">
        <f t="shared" si="19"/>
        <v>70.8</v>
      </c>
      <c r="M49" s="330">
        <f t="shared" si="19"/>
        <v>71.2</v>
      </c>
      <c r="N49" s="330">
        <f t="shared" si="19"/>
        <v>71.599999999999994</v>
      </c>
      <c r="O49" s="330">
        <f t="shared" si="19"/>
        <v>69.494890781791952</v>
      </c>
      <c r="P49" s="330">
        <f t="shared" si="19"/>
        <v>69.433019142282461</v>
      </c>
      <c r="Q49" s="330">
        <f t="shared" si="20"/>
        <v>59.910194122791161</v>
      </c>
      <c r="R49" s="330">
        <f t="shared" si="20"/>
        <v>62.854344413402906</v>
      </c>
      <c r="S49" s="330">
        <f t="shared" si="20"/>
        <v>63.172513966646889</v>
      </c>
      <c r="T49" s="330">
        <f t="shared" si="20"/>
        <v>62.478874618815077</v>
      </c>
      <c r="U49" s="330">
        <f t="shared" si="20"/>
        <v>62.142339464339834</v>
      </c>
      <c r="V49" s="330">
        <f t="shared" si="20"/>
        <v>61.840436911371611</v>
      </c>
      <c r="W49" s="330">
        <f t="shared" si="20"/>
        <v>61.559038676176264</v>
      </c>
      <c r="X49" s="330">
        <f t="shared" si="20"/>
        <v>61.304552221855602</v>
      </c>
      <c r="Y49" s="330">
        <f t="shared" si="20"/>
        <v>61.075127920444082</v>
      </c>
      <c r="Z49" s="330">
        <f t="shared" si="20"/>
        <v>60.879811326662022</v>
      </c>
      <c r="AA49" s="330">
        <f t="shared" si="21"/>
        <v>60.705878120268423</v>
      </c>
      <c r="AB49" s="330">
        <f t="shared" si="21"/>
        <v>60.70433047636952</v>
      </c>
      <c r="AC49" s="330">
        <f t="shared" si="21"/>
        <v>60.702548817291905</v>
      </c>
      <c r="AD49" s="330">
        <f t="shared" si="21"/>
        <v>60.700536499539886</v>
      </c>
      <c r="AE49" s="330">
        <f t="shared" si="21"/>
        <v>60.698296822060883</v>
      </c>
      <c r="AF49" s="330">
        <f t="shared" si="21"/>
        <v>60.695833026853684</v>
      </c>
      <c r="AG49" s="330">
        <f t="shared" si="21"/>
        <v>60.689945389690699</v>
      </c>
      <c r="AH49" s="330">
        <f t="shared" si="21"/>
        <v>60.683892039969457</v>
      </c>
      <c r="AI49" s="330">
        <f t="shared" si="21"/>
        <v>60.677675969854107</v>
      </c>
      <c r="AJ49" s="330">
        <f t="shared" si="21"/>
        <v>60.671300113152753</v>
      </c>
      <c r="AK49" s="330">
        <f t="shared" si="22"/>
        <v>60.664767346129707</v>
      </c>
      <c r="AL49" s="330">
        <f t="shared" si="22"/>
        <v>60.675957923099851</v>
      </c>
      <c r="AM49" s="330">
        <f t="shared" si="22"/>
        <v>60.68702193291076</v>
      </c>
      <c r="AN49" s="330">
        <f t="shared" si="22"/>
        <v>60.697960969252613</v>
      </c>
      <c r="AO49" s="330">
        <f t="shared" si="22"/>
        <v>60.70877659234629</v>
      </c>
      <c r="AP49" s="330">
        <f t="shared" si="22"/>
        <v>60.719470329291362</v>
      </c>
      <c r="AQ49" s="330">
        <f t="shared" si="22"/>
        <v>60.774302670903623</v>
      </c>
      <c r="AR49" s="330">
        <f t="shared" si="22"/>
        <v>60.828784329157571</v>
      </c>
      <c r="AS49" s="330">
        <f t="shared" si="22"/>
        <v>60.882916997101603</v>
      </c>
      <c r="AT49" s="330">
        <f t="shared" si="22"/>
        <v>60.936702331670006</v>
      </c>
      <c r="AU49" s="330">
        <f t="shared" si="22"/>
        <v>60.990141954059872</v>
      </c>
      <c r="AV49" s="331">
        <v>5</v>
      </c>
      <c r="AW49" s="437"/>
      <c r="AX49" s="437"/>
      <c r="AY49" s="437"/>
      <c r="AZ49" s="437"/>
      <c r="BA49" s="437"/>
      <c r="BB49" s="437"/>
      <c r="BC49" s="437"/>
      <c r="BD49" s="437"/>
      <c r="BE49" s="437"/>
    </row>
    <row r="50" spans="2:65" ht="14.4">
      <c r="B50" s="8" t="str">
        <f>Processes!D49</f>
        <v>IMPWCH</v>
      </c>
      <c r="C50" s="8" t="str">
        <f>Processes!E49</f>
        <v>Import technology - Wood chips and wood waste</v>
      </c>
      <c r="D50" s="67"/>
      <c r="E50" s="67" t="str">
        <f t="shared" si="5"/>
        <v>WCH</v>
      </c>
      <c r="F50" s="387" t="str">
        <f t="shared" si="6"/>
        <v>MKr19</v>
      </c>
      <c r="G50" s="330">
        <f t="shared" si="19"/>
        <v>46</v>
      </c>
      <c r="H50" s="330">
        <f t="shared" si="19"/>
        <v>46</v>
      </c>
      <c r="I50" s="330">
        <f t="shared" si="19"/>
        <v>46</v>
      </c>
      <c r="J50" s="330">
        <f t="shared" si="19"/>
        <v>45.7</v>
      </c>
      <c r="K50" s="330">
        <f t="shared" si="19"/>
        <v>45.3</v>
      </c>
      <c r="L50" s="330">
        <f t="shared" si="19"/>
        <v>44.9</v>
      </c>
      <c r="M50" s="330">
        <f t="shared" si="19"/>
        <v>45.4</v>
      </c>
      <c r="N50" s="330">
        <f t="shared" si="19"/>
        <v>45.9</v>
      </c>
      <c r="O50" s="330">
        <f t="shared" si="19"/>
        <v>45.179472202489855</v>
      </c>
      <c r="P50" s="330">
        <f t="shared" si="19"/>
        <v>45.117600562980392</v>
      </c>
      <c r="Q50" s="330">
        <f t="shared" si="20"/>
        <v>45.248389703133633</v>
      </c>
      <c r="R50" s="330">
        <f t="shared" si="20"/>
        <v>45.190250127598674</v>
      </c>
      <c r="S50" s="330">
        <f t="shared" si="20"/>
        <v>45.392121473736516</v>
      </c>
      <c r="T50" s="330">
        <f t="shared" si="20"/>
        <v>45.644433925671841</v>
      </c>
      <c r="U50" s="330">
        <f t="shared" si="20"/>
        <v>45.923015098100862</v>
      </c>
      <c r="V50" s="330">
        <f t="shared" si="20"/>
        <v>46.207001444406053</v>
      </c>
      <c r="W50" s="330">
        <f t="shared" si="20"/>
        <v>46.419730980267232</v>
      </c>
      <c r="X50" s="330">
        <f t="shared" si="20"/>
        <v>46.631059323825987</v>
      </c>
      <c r="Y50" s="330">
        <f t="shared" si="20"/>
        <v>46.839924523073165</v>
      </c>
      <c r="Z50" s="330">
        <f t="shared" si="20"/>
        <v>47.054043906757286</v>
      </c>
      <c r="AA50" s="330">
        <f t="shared" si="21"/>
        <v>47.263106384197172</v>
      </c>
      <c r="AB50" s="330">
        <f t="shared" si="21"/>
        <v>47.363169268373781</v>
      </c>
      <c r="AC50" s="330">
        <f t="shared" si="21"/>
        <v>47.463048827686151</v>
      </c>
      <c r="AD50" s="330">
        <f t="shared" si="21"/>
        <v>47.562746231205452</v>
      </c>
      <c r="AE50" s="330">
        <f t="shared" si="21"/>
        <v>47.662262629564232</v>
      </c>
      <c r="AF50" s="330">
        <f t="shared" si="21"/>
        <v>47.761599155151828</v>
      </c>
      <c r="AG50" s="330">
        <f t="shared" si="21"/>
        <v>47.861557709026719</v>
      </c>
      <c r="AH50" s="330">
        <f t="shared" si="21"/>
        <v>47.961224086497161</v>
      </c>
      <c r="AI50" s="330">
        <f t="shared" si="21"/>
        <v>48.06060022028862</v>
      </c>
      <c r="AJ50" s="330">
        <f t="shared" si="21"/>
        <v>48.159688016832391</v>
      </c>
      <c r="AK50" s="330">
        <f t="shared" si="22"/>
        <v>48.258489356547372</v>
      </c>
      <c r="AL50" s="330">
        <f t="shared" si="22"/>
        <v>48.37762671431922</v>
      </c>
      <c r="AM50" s="330">
        <f t="shared" si="22"/>
        <v>48.496315696545963</v>
      </c>
      <c r="AN50" s="330">
        <f t="shared" si="22"/>
        <v>48.614559135690349</v>
      </c>
      <c r="AO50" s="330">
        <f t="shared" si="22"/>
        <v>48.73235982855357</v>
      </c>
      <c r="AP50" s="330">
        <f t="shared" si="22"/>
        <v>48.849720536660548</v>
      </c>
      <c r="AQ50" s="330">
        <f t="shared" si="22"/>
        <v>49.024574818868821</v>
      </c>
      <c r="AR50" s="330">
        <f t="shared" si="22"/>
        <v>49.198719487894593</v>
      </c>
      <c r="AS50" s="330">
        <f t="shared" si="22"/>
        <v>49.372158440659689</v>
      </c>
      <c r="AT50" s="330">
        <f t="shared" si="22"/>
        <v>49.544895527221009</v>
      </c>
      <c r="AU50" s="330">
        <f t="shared" si="22"/>
        <v>49.716934551280723</v>
      </c>
      <c r="AV50" s="331">
        <v>5</v>
      </c>
      <c r="AW50" s="437"/>
      <c r="AX50" s="437"/>
      <c r="AY50" s="437"/>
      <c r="AZ50" s="437"/>
      <c r="BA50" s="437"/>
      <c r="BB50" s="437"/>
      <c r="BC50" s="437"/>
      <c r="BD50" s="437"/>
      <c r="BE50" s="437"/>
    </row>
    <row r="51" spans="2:65" ht="14.4">
      <c r="B51" s="8" t="str">
        <f>Processes!D50</f>
        <v>IMPFIW</v>
      </c>
      <c r="C51" s="8" t="str">
        <f>Processes!E50</f>
        <v>Import technology - Firewood</v>
      </c>
      <c r="D51" s="67"/>
      <c r="E51" s="67" t="str">
        <f t="shared" si="5"/>
        <v>FIW</v>
      </c>
      <c r="F51" s="387" t="str">
        <f t="shared" si="6"/>
        <v>MKr14</v>
      </c>
      <c r="G51" s="330">
        <f>G50</f>
        <v>46</v>
      </c>
      <c r="H51" s="330">
        <f t="shared" ref="H51:AU51" si="23">H50</f>
        <v>46</v>
      </c>
      <c r="I51" s="330">
        <f t="shared" si="23"/>
        <v>46</v>
      </c>
      <c r="J51" s="330">
        <f t="shared" si="23"/>
        <v>45.7</v>
      </c>
      <c r="K51" s="330">
        <f t="shared" si="23"/>
        <v>45.3</v>
      </c>
      <c r="L51" s="330">
        <f t="shared" si="23"/>
        <v>44.9</v>
      </c>
      <c r="M51" s="330">
        <f t="shared" si="23"/>
        <v>45.4</v>
      </c>
      <c r="N51" s="330">
        <f t="shared" si="23"/>
        <v>45.9</v>
      </c>
      <c r="O51" s="330">
        <f t="shared" si="23"/>
        <v>45.179472202489855</v>
      </c>
      <c r="P51" s="330">
        <f t="shared" si="23"/>
        <v>45.117600562980392</v>
      </c>
      <c r="Q51" s="330">
        <f t="shared" si="23"/>
        <v>45.248389703133633</v>
      </c>
      <c r="R51" s="330">
        <f t="shared" si="23"/>
        <v>45.190250127598674</v>
      </c>
      <c r="S51" s="330">
        <f t="shared" si="23"/>
        <v>45.392121473736516</v>
      </c>
      <c r="T51" s="330">
        <f t="shared" si="23"/>
        <v>45.644433925671841</v>
      </c>
      <c r="U51" s="330">
        <f t="shared" si="23"/>
        <v>45.923015098100862</v>
      </c>
      <c r="V51" s="330">
        <f t="shared" si="23"/>
        <v>46.207001444406053</v>
      </c>
      <c r="W51" s="330">
        <f t="shared" si="23"/>
        <v>46.419730980267232</v>
      </c>
      <c r="X51" s="330">
        <f t="shared" si="23"/>
        <v>46.631059323825987</v>
      </c>
      <c r="Y51" s="330">
        <f t="shared" si="23"/>
        <v>46.839924523073165</v>
      </c>
      <c r="Z51" s="330">
        <f t="shared" si="23"/>
        <v>47.054043906757286</v>
      </c>
      <c r="AA51" s="330">
        <f t="shared" si="23"/>
        <v>47.263106384197172</v>
      </c>
      <c r="AB51" s="330">
        <f t="shared" si="23"/>
        <v>47.363169268373781</v>
      </c>
      <c r="AC51" s="330">
        <f t="shared" si="23"/>
        <v>47.463048827686151</v>
      </c>
      <c r="AD51" s="330">
        <f t="shared" si="23"/>
        <v>47.562746231205452</v>
      </c>
      <c r="AE51" s="330">
        <f t="shared" si="23"/>
        <v>47.662262629564232</v>
      </c>
      <c r="AF51" s="330">
        <f t="shared" si="23"/>
        <v>47.761599155151828</v>
      </c>
      <c r="AG51" s="330">
        <f t="shared" si="23"/>
        <v>47.861557709026719</v>
      </c>
      <c r="AH51" s="330">
        <f t="shared" si="23"/>
        <v>47.961224086497161</v>
      </c>
      <c r="AI51" s="330">
        <f t="shared" si="23"/>
        <v>48.06060022028862</v>
      </c>
      <c r="AJ51" s="330">
        <f t="shared" si="23"/>
        <v>48.159688016832391</v>
      </c>
      <c r="AK51" s="330">
        <f t="shared" si="23"/>
        <v>48.258489356547372</v>
      </c>
      <c r="AL51" s="330">
        <f t="shared" si="23"/>
        <v>48.37762671431922</v>
      </c>
      <c r="AM51" s="330">
        <f t="shared" si="23"/>
        <v>48.496315696545963</v>
      </c>
      <c r="AN51" s="330">
        <f t="shared" si="23"/>
        <v>48.614559135690349</v>
      </c>
      <c r="AO51" s="330">
        <f t="shared" si="23"/>
        <v>48.73235982855357</v>
      </c>
      <c r="AP51" s="330">
        <f t="shared" si="23"/>
        <v>48.849720536660548</v>
      </c>
      <c r="AQ51" s="330">
        <f t="shared" si="23"/>
        <v>49.024574818868821</v>
      </c>
      <c r="AR51" s="330">
        <f t="shared" si="23"/>
        <v>49.198719487894593</v>
      </c>
      <c r="AS51" s="330">
        <f t="shared" si="23"/>
        <v>49.372158440659689</v>
      </c>
      <c r="AT51" s="330">
        <f t="shared" si="23"/>
        <v>49.544895527221009</v>
      </c>
      <c r="AU51" s="330">
        <f t="shared" si="23"/>
        <v>49.716934551280723</v>
      </c>
      <c r="AV51" s="331">
        <v>5</v>
      </c>
      <c r="AW51" s="437"/>
      <c r="AX51" s="437"/>
      <c r="AY51" s="437"/>
      <c r="AZ51" s="437"/>
      <c r="BA51" s="437"/>
      <c r="BB51" s="437"/>
      <c r="BC51" s="437"/>
      <c r="BD51" s="437"/>
      <c r="BE51" s="437"/>
    </row>
    <row r="52" spans="2:65" ht="14.4">
      <c r="B52" s="8" t="str">
        <f>Processes!D51</f>
        <v>IMPCRN</v>
      </c>
      <c r="C52" s="8" t="str">
        <f>Processes!E51</f>
        <v>Import technology - Corn</v>
      </c>
      <c r="D52" s="67"/>
      <c r="E52" s="67" t="str">
        <f t="shared" si="5"/>
        <v>CRN</v>
      </c>
      <c r="F52" s="387" t="str">
        <f t="shared" si="6"/>
        <v>MKr14</v>
      </c>
      <c r="G52" s="330">
        <f t="shared" si="19"/>
        <v>72.400000000000006</v>
      </c>
      <c r="H52" s="330">
        <f t="shared" si="19"/>
        <v>72.400000000000006</v>
      </c>
      <c r="I52" s="330">
        <f t="shared" si="19"/>
        <v>72.400000000000006</v>
      </c>
      <c r="J52" s="330">
        <f t="shared" si="19"/>
        <v>72.400000000000006</v>
      </c>
      <c r="K52" s="330">
        <f t="shared" si="19"/>
        <v>72.400000000000006</v>
      </c>
      <c r="L52" s="330">
        <f t="shared" si="19"/>
        <v>72.400000000000006</v>
      </c>
      <c r="M52" s="330">
        <f t="shared" si="19"/>
        <v>72.400000000000006</v>
      </c>
      <c r="N52" s="330">
        <f t="shared" si="19"/>
        <v>72.400000000000006</v>
      </c>
      <c r="O52" s="330">
        <f t="shared" si="19"/>
        <v>72.400000000000006</v>
      </c>
      <c r="P52" s="330">
        <f t="shared" si="19"/>
        <v>72.400000000000006</v>
      </c>
      <c r="Q52" s="330">
        <f t="shared" si="20"/>
        <v>72.400000000000006</v>
      </c>
      <c r="R52" s="330">
        <f t="shared" si="20"/>
        <v>72.400000000000006</v>
      </c>
      <c r="S52" s="330">
        <f t="shared" si="20"/>
        <v>72.400000000000006</v>
      </c>
      <c r="T52" s="330">
        <f t="shared" si="20"/>
        <v>72.400000000000006</v>
      </c>
      <c r="U52" s="330">
        <f t="shared" si="20"/>
        <v>72.400000000000006</v>
      </c>
      <c r="V52" s="330">
        <f t="shared" si="20"/>
        <v>72.400000000000006</v>
      </c>
      <c r="W52" s="330">
        <f t="shared" si="20"/>
        <v>72.400000000000006</v>
      </c>
      <c r="X52" s="330">
        <f t="shared" si="20"/>
        <v>72.400000000000006</v>
      </c>
      <c r="Y52" s="330">
        <f t="shared" si="20"/>
        <v>72.400000000000006</v>
      </c>
      <c r="Z52" s="330">
        <f t="shared" si="20"/>
        <v>72.400000000000006</v>
      </c>
      <c r="AA52" s="330">
        <f t="shared" si="21"/>
        <v>72.400000000000006</v>
      </c>
      <c r="AB52" s="330">
        <f t="shared" si="21"/>
        <v>72.400000000000006</v>
      </c>
      <c r="AC52" s="330">
        <f t="shared" si="21"/>
        <v>72.400000000000006</v>
      </c>
      <c r="AD52" s="330">
        <f t="shared" si="21"/>
        <v>72.400000000000006</v>
      </c>
      <c r="AE52" s="330">
        <f t="shared" si="21"/>
        <v>72.400000000000006</v>
      </c>
      <c r="AF52" s="330">
        <f t="shared" si="21"/>
        <v>72.400000000000006</v>
      </c>
      <c r="AG52" s="330">
        <f t="shared" si="21"/>
        <v>72.400000000000006</v>
      </c>
      <c r="AH52" s="330">
        <f t="shared" si="21"/>
        <v>72.400000000000006</v>
      </c>
      <c r="AI52" s="330">
        <f t="shared" si="21"/>
        <v>72.400000000000006</v>
      </c>
      <c r="AJ52" s="330">
        <f t="shared" si="21"/>
        <v>72.400000000000006</v>
      </c>
      <c r="AK52" s="330">
        <f t="shared" si="22"/>
        <v>72.400000000000006</v>
      </c>
      <c r="AL52" s="330">
        <f t="shared" si="22"/>
        <v>72.400000000000006</v>
      </c>
      <c r="AM52" s="330">
        <f t="shared" si="22"/>
        <v>72.400000000000006</v>
      </c>
      <c r="AN52" s="330">
        <f t="shared" si="22"/>
        <v>72.400000000000006</v>
      </c>
      <c r="AO52" s="330">
        <f t="shared" si="22"/>
        <v>72.400000000000006</v>
      </c>
      <c r="AP52" s="330">
        <f t="shared" si="22"/>
        <v>72.400000000000006</v>
      </c>
      <c r="AQ52" s="330">
        <f t="shared" si="22"/>
        <v>72.400000000000006</v>
      </c>
      <c r="AR52" s="330">
        <f t="shared" si="22"/>
        <v>72.400000000000006</v>
      </c>
      <c r="AS52" s="330">
        <f t="shared" si="22"/>
        <v>72.400000000000006</v>
      </c>
      <c r="AT52" s="330">
        <f t="shared" si="22"/>
        <v>72.400000000000006</v>
      </c>
      <c r="AU52" s="330">
        <f t="shared" si="22"/>
        <v>72.400000000000006</v>
      </c>
      <c r="AV52" s="331">
        <v>5</v>
      </c>
      <c r="AW52" s="437"/>
      <c r="AX52" s="437"/>
      <c r="AY52" s="437"/>
      <c r="AZ52" s="437"/>
      <c r="BA52" s="437"/>
      <c r="BB52" s="437"/>
      <c r="BC52" s="437"/>
      <c r="BD52" s="437"/>
      <c r="BE52" s="437"/>
    </row>
    <row r="53" spans="2:65" ht="14.4">
      <c r="B53" s="8" t="str">
        <f>Processes!D52</f>
        <v>IMPRPS</v>
      </c>
      <c r="C53" s="8" t="str">
        <f>Processes!E52</f>
        <v>Import technology - Rapeseed</v>
      </c>
      <c r="D53" s="67"/>
      <c r="E53" s="67" t="str">
        <f t="shared" si="5"/>
        <v>RPS</v>
      </c>
      <c r="F53" s="387" t="str">
        <f t="shared" si="6"/>
        <v>MKr14</v>
      </c>
      <c r="G53" s="330">
        <f t="shared" si="19"/>
        <v>101.7</v>
      </c>
      <c r="H53" s="330">
        <f t="shared" si="19"/>
        <v>101.7</v>
      </c>
      <c r="I53" s="330">
        <f t="shared" si="19"/>
        <v>101.7</v>
      </c>
      <c r="J53" s="330">
        <f t="shared" si="19"/>
        <v>101.7</v>
      </c>
      <c r="K53" s="330">
        <f t="shared" si="19"/>
        <v>101.7</v>
      </c>
      <c r="L53" s="330">
        <f t="shared" si="19"/>
        <v>101.7</v>
      </c>
      <c r="M53" s="330">
        <f t="shared" si="19"/>
        <v>101.7</v>
      </c>
      <c r="N53" s="330">
        <f t="shared" si="19"/>
        <v>101.7</v>
      </c>
      <c r="O53" s="330">
        <f t="shared" si="19"/>
        <v>101.7</v>
      </c>
      <c r="P53" s="330">
        <f t="shared" si="19"/>
        <v>101.7</v>
      </c>
      <c r="Q53" s="330">
        <f t="shared" si="20"/>
        <v>101.7</v>
      </c>
      <c r="R53" s="330">
        <f t="shared" si="20"/>
        <v>101.7</v>
      </c>
      <c r="S53" s="330">
        <f t="shared" si="20"/>
        <v>101.7</v>
      </c>
      <c r="T53" s="330">
        <f t="shared" si="20"/>
        <v>101.7</v>
      </c>
      <c r="U53" s="330">
        <f t="shared" si="20"/>
        <v>101.7</v>
      </c>
      <c r="V53" s="330">
        <f t="shared" si="20"/>
        <v>101.7</v>
      </c>
      <c r="W53" s="330">
        <f t="shared" si="20"/>
        <v>101.7</v>
      </c>
      <c r="X53" s="330">
        <f t="shared" si="20"/>
        <v>101.7</v>
      </c>
      <c r="Y53" s="330">
        <f t="shared" si="20"/>
        <v>101.7</v>
      </c>
      <c r="Z53" s="330">
        <f t="shared" si="20"/>
        <v>101.7</v>
      </c>
      <c r="AA53" s="330">
        <f t="shared" si="21"/>
        <v>101.7</v>
      </c>
      <c r="AB53" s="330">
        <f t="shared" si="21"/>
        <v>101.7</v>
      </c>
      <c r="AC53" s="330">
        <f t="shared" si="21"/>
        <v>101.7</v>
      </c>
      <c r="AD53" s="330">
        <f t="shared" si="21"/>
        <v>101.7</v>
      </c>
      <c r="AE53" s="330">
        <f t="shared" si="21"/>
        <v>101.7</v>
      </c>
      <c r="AF53" s="330">
        <f t="shared" si="21"/>
        <v>101.7</v>
      </c>
      <c r="AG53" s="330">
        <f t="shared" si="21"/>
        <v>101.7</v>
      </c>
      <c r="AH53" s="330">
        <f t="shared" si="21"/>
        <v>101.7</v>
      </c>
      <c r="AI53" s="330">
        <f t="shared" si="21"/>
        <v>101.7</v>
      </c>
      <c r="AJ53" s="330">
        <f t="shared" si="21"/>
        <v>101.7</v>
      </c>
      <c r="AK53" s="330">
        <f t="shared" si="22"/>
        <v>101.7</v>
      </c>
      <c r="AL53" s="330">
        <f t="shared" si="22"/>
        <v>101.7</v>
      </c>
      <c r="AM53" s="330">
        <f t="shared" si="22"/>
        <v>101.7</v>
      </c>
      <c r="AN53" s="330">
        <f t="shared" si="22"/>
        <v>101.7</v>
      </c>
      <c r="AO53" s="330">
        <f t="shared" si="22"/>
        <v>101.7</v>
      </c>
      <c r="AP53" s="330">
        <f t="shared" si="22"/>
        <v>101.7</v>
      </c>
      <c r="AQ53" s="330">
        <f t="shared" si="22"/>
        <v>101.7</v>
      </c>
      <c r="AR53" s="330">
        <f t="shared" si="22"/>
        <v>101.7</v>
      </c>
      <c r="AS53" s="330">
        <f t="shared" si="22"/>
        <v>101.7</v>
      </c>
      <c r="AT53" s="330">
        <f t="shared" si="22"/>
        <v>101.7</v>
      </c>
      <c r="AU53" s="330">
        <f t="shared" si="22"/>
        <v>101.7</v>
      </c>
      <c r="AV53" s="331">
        <v>5</v>
      </c>
      <c r="AW53" s="437"/>
      <c r="AX53" s="437"/>
      <c r="AY53" s="437"/>
      <c r="AZ53" s="437"/>
      <c r="BA53" s="437"/>
      <c r="BB53" s="437"/>
      <c r="BC53" s="437"/>
      <c r="BD53" s="437"/>
      <c r="BE53" s="437"/>
    </row>
    <row r="54" spans="2:65" ht="14.4">
      <c r="B54" s="8" t="str">
        <f>Processes!D53</f>
        <v>IMPSGB</v>
      </c>
      <c r="C54" s="8" t="str">
        <f>Processes!E53</f>
        <v>Import technology - Sugar Beet</v>
      </c>
      <c r="D54" s="1"/>
      <c r="E54" s="67" t="str">
        <f>IF(LEN(B54)=6,RIGHT(B54,3),RIGHT(B54,4))</f>
        <v>SGB</v>
      </c>
      <c r="F54" s="387" t="str">
        <f t="shared" si="6"/>
        <v>MKr14</v>
      </c>
      <c r="G54" s="330">
        <f t="shared" si="19"/>
        <v>10.6</v>
      </c>
      <c r="H54" s="330">
        <f t="shared" si="19"/>
        <v>10.6</v>
      </c>
      <c r="I54" s="330">
        <f t="shared" si="19"/>
        <v>10.6</v>
      </c>
      <c r="J54" s="330">
        <f t="shared" si="19"/>
        <v>10.6</v>
      </c>
      <c r="K54" s="330">
        <f t="shared" si="19"/>
        <v>10.6</v>
      </c>
      <c r="L54" s="330">
        <f t="shared" si="19"/>
        <v>10.6</v>
      </c>
      <c r="M54" s="330">
        <f t="shared" si="19"/>
        <v>10.6</v>
      </c>
      <c r="N54" s="330">
        <f t="shared" si="19"/>
        <v>10.6</v>
      </c>
      <c r="O54" s="330">
        <f t="shared" si="19"/>
        <v>10.6</v>
      </c>
      <c r="P54" s="330">
        <f t="shared" si="19"/>
        <v>10.6</v>
      </c>
      <c r="Q54" s="330">
        <f t="shared" si="20"/>
        <v>10.6</v>
      </c>
      <c r="R54" s="330">
        <f t="shared" si="20"/>
        <v>10.6</v>
      </c>
      <c r="S54" s="330">
        <f t="shared" si="20"/>
        <v>10.6</v>
      </c>
      <c r="T54" s="330">
        <f t="shared" si="20"/>
        <v>10.6</v>
      </c>
      <c r="U54" s="330">
        <f t="shared" si="20"/>
        <v>10.6</v>
      </c>
      <c r="V54" s="330">
        <f t="shared" si="20"/>
        <v>10.6</v>
      </c>
      <c r="W54" s="330">
        <f t="shared" si="20"/>
        <v>10.6</v>
      </c>
      <c r="X54" s="330">
        <f t="shared" si="20"/>
        <v>10.6</v>
      </c>
      <c r="Y54" s="330">
        <f t="shared" si="20"/>
        <v>10.6</v>
      </c>
      <c r="Z54" s="330">
        <f t="shared" si="20"/>
        <v>10.6</v>
      </c>
      <c r="AA54" s="330">
        <f t="shared" si="21"/>
        <v>10.6</v>
      </c>
      <c r="AB54" s="330">
        <f t="shared" si="21"/>
        <v>10.6</v>
      </c>
      <c r="AC54" s="330">
        <f t="shared" si="21"/>
        <v>10.6</v>
      </c>
      <c r="AD54" s="330">
        <f t="shared" si="21"/>
        <v>10.6</v>
      </c>
      <c r="AE54" s="330">
        <f t="shared" si="21"/>
        <v>10.6</v>
      </c>
      <c r="AF54" s="330">
        <f t="shared" si="21"/>
        <v>10.6</v>
      </c>
      <c r="AG54" s="330">
        <f t="shared" si="21"/>
        <v>10.6</v>
      </c>
      <c r="AH54" s="330">
        <f t="shared" si="21"/>
        <v>10.6</v>
      </c>
      <c r="AI54" s="330">
        <f t="shared" si="21"/>
        <v>10.6</v>
      </c>
      <c r="AJ54" s="330">
        <f t="shared" si="21"/>
        <v>10.6</v>
      </c>
      <c r="AK54" s="330">
        <f t="shared" si="22"/>
        <v>10.6</v>
      </c>
      <c r="AL54" s="330">
        <f t="shared" si="22"/>
        <v>10.6</v>
      </c>
      <c r="AM54" s="330">
        <f t="shared" si="22"/>
        <v>10.6</v>
      </c>
      <c r="AN54" s="330">
        <f t="shared" si="22"/>
        <v>10.6</v>
      </c>
      <c r="AO54" s="330">
        <f t="shared" si="22"/>
        <v>10.6</v>
      </c>
      <c r="AP54" s="330">
        <f t="shared" si="22"/>
        <v>10.6</v>
      </c>
      <c r="AQ54" s="330">
        <f t="shared" si="22"/>
        <v>10.6</v>
      </c>
      <c r="AR54" s="330">
        <f t="shared" si="22"/>
        <v>10.6</v>
      </c>
      <c r="AS54" s="330">
        <f t="shared" si="22"/>
        <v>10.6</v>
      </c>
      <c r="AT54" s="330">
        <f t="shared" si="22"/>
        <v>10.6</v>
      </c>
      <c r="AU54" s="330">
        <f t="shared" si="22"/>
        <v>10.6</v>
      </c>
      <c r="AV54" s="331">
        <v>5</v>
      </c>
      <c r="AW54" s="437"/>
      <c r="AX54" s="437"/>
      <c r="AY54" s="437"/>
      <c r="AZ54" s="437"/>
      <c r="BA54" s="437"/>
      <c r="BB54" s="437"/>
      <c r="BC54" s="437"/>
      <c r="BD54" s="437"/>
      <c r="BE54" s="437"/>
    </row>
    <row r="55" spans="2:65" ht="14.4">
      <c r="B55" s="407" t="str">
        <f>Processes!D54</f>
        <v>IMPDLI</v>
      </c>
      <c r="C55" s="407" t="str">
        <f>Processes!E54</f>
        <v>Import technology - Deep Litter</v>
      </c>
      <c r="D55" s="372"/>
      <c r="E55" s="408" t="str">
        <f t="shared" ref="E55:E75" si="24">IF(LEN(B55)=6,RIGHT(B55,3),RIGHT(B55,4))</f>
        <v>DLI</v>
      </c>
      <c r="F55" s="387" t="str">
        <f t="shared" si="6"/>
        <v>MKr14</v>
      </c>
      <c r="G55" s="409">
        <f t="shared" si="19"/>
        <v>0.01</v>
      </c>
      <c r="H55" s="409">
        <f t="shared" si="19"/>
        <v>0.01</v>
      </c>
      <c r="I55" s="409">
        <f t="shared" si="19"/>
        <v>0.01</v>
      </c>
      <c r="J55" s="409">
        <f t="shared" si="19"/>
        <v>0.01</v>
      </c>
      <c r="K55" s="409">
        <f t="shared" si="19"/>
        <v>0.01</v>
      </c>
      <c r="L55" s="409">
        <f t="shared" si="19"/>
        <v>0.01</v>
      </c>
      <c r="M55" s="409">
        <f t="shared" si="19"/>
        <v>0.01</v>
      </c>
      <c r="N55" s="409">
        <f t="shared" si="19"/>
        <v>0.01</v>
      </c>
      <c r="O55" s="409">
        <f t="shared" si="19"/>
        <v>0.01</v>
      </c>
      <c r="P55" s="409">
        <f t="shared" si="19"/>
        <v>0.01</v>
      </c>
      <c r="Q55" s="409">
        <f t="shared" si="20"/>
        <v>0.01</v>
      </c>
      <c r="R55" s="409">
        <f t="shared" si="20"/>
        <v>0.01</v>
      </c>
      <c r="S55" s="409">
        <f t="shared" si="20"/>
        <v>0.01</v>
      </c>
      <c r="T55" s="409">
        <f t="shared" si="20"/>
        <v>0.01</v>
      </c>
      <c r="U55" s="409">
        <f t="shared" si="20"/>
        <v>0.01</v>
      </c>
      <c r="V55" s="409">
        <f t="shared" si="20"/>
        <v>0.01</v>
      </c>
      <c r="W55" s="409">
        <f t="shared" si="20"/>
        <v>0.01</v>
      </c>
      <c r="X55" s="409">
        <f t="shared" si="20"/>
        <v>0.01</v>
      </c>
      <c r="Y55" s="409">
        <f t="shared" si="20"/>
        <v>0.01</v>
      </c>
      <c r="Z55" s="409">
        <f t="shared" si="20"/>
        <v>0.01</v>
      </c>
      <c r="AA55" s="409">
        <f t="shared" si="21"/>
        <v>0.01</v>
      </c>
      <c r="AB55" s="409">
        <f t="shared" si="21"/>
        <v>0.01</v>
      </c>
      <c r="AC55" s="409">
        <f t="shared" si="21"/>
        <v>0.01</v>
      </c>
      <c r="AD55" s="409">
        <f t="shared" si="21"/>
        <v>0.01</v>
      </c>
      <c r="AE55" s="409">
        <f t="shared" si="21"/>
        <v>0.01</v>
      </c>
      <c r="AF55" s="409">
        <f t="shared" si="21"/>
        <v>0.01</v>
      </c>
      <c r="AG55" s="409">
        <f t="shared" si="21"/>
        <v>0.01</v>
      </c>
      <c r="AH55" s="409">
        <f t="shared" si="21"/>
        <v>0.01</v>
      </c>
      <c r="AI55" s="409">
        <f t="shared" si="21"/>
        <v>0.01</v>
      </c>
      <c r="AJ55" s="409">
        <f t="shared" si="21"/>
        <v>0.01</v>
      </c>
      <c r="AK55" s="409">
        <f t="shared" si="22"/>
        <v>0.01</v>
      </c>
      <c r="AL55" s="409">
        <f t="shared" si="22"/>
        <v>0.01</v>
      </c>
      <c r="AM55" s="409">
        <f t="shared" si="22"/>
        <v>0.01</v>
      </c>
      <c r="AN55" s="409">
        <f t="shared" si="22"/>
        <v>0.01</v>
      </c>
      <c r="AO55" s="409">
        <f t="shared" si="22"/>
        <v>0.01</v>
      </c>
      <c r="AP55" s="409">
        <f t="shared" si="22"/>
        <v>0.01</v>
      </c>
      <c r="AQ55" s="409">
        <f t="shared" si="22"/>
        <v>0.01</v>
      </c>
      <c r="AR55" s="409">
        <f t="shared" si="22"/>
        <v>0.01</v>
      </c>
      <c r="AS55" s="409">
        <f t="shared" si="22"/>
        <v>0.01</v>
      </c>
      <c r="AT55" s="409">
        <f t="shared" si="22"/>
        <v>0.01</v>
      </c>
      <c r="AU55" s="409">
        <f t="shared" si="22"/>
        <v>0.01</v>
      </c>
      <c r="AV55" s="331">
        <v>5</v>
      </c>
      <c r="AW55" s="437"/>
      <c r="AX55" s="437"/>
      <c r="AY55" s="437"/>
      <c r="AZ55" s="437"/>
      <c r="BA55" s="437"/>
      <c r="BB55" s="437"/>
      <c r="BC55" s="437"/>
      <c r="BD55" s="437"/>
      <c r="BE55" s="437"/>
    </row>
    <row r="56" spans="2:65" ht="14.4">
      <c r="B56" s="8" t="str">
        <f>Processes!D55</f>
        <v>IMPMNR</v>
      </c>
      <c r="C56" s="8" t="str">
        <f>Processes!E55</f>
        <v>Import technology - Manure (Gylle)</v>
      </c>
      <c r="E56" s="67" t="str">
        <f t="shared" si="24"/>
        <v>MNR</v>
      </c>
      <c r="F56" s="387" t="str">
        <f t="shared" si="6"/>
        <v>MKr14</v>
      </c>
      <c r="G56" s="413">
        <f t="shared" ref="G56:P65" si="25">IFERROR(INDEX($G$121:$AU$176,MATCH($E56,$E$121:$E$176,0),MATCH(G$6,$G$120:$AU$120,0)),0)*$E$187</f>
        <v>9.4999999999999998E-3</v>
      </c>
      <c r="H56" s="413">
        <f t="shared" si="25"/>
        <v>9.4999999999999998E-3</v>
      </c>
      <c r="I56" s="413">
        <f t="shared" si="25"/>
        <v>9.4999999999999998E-3</v>
      </c>
      <c r="J56" s="413">
        <f t="shared" si="25"/>
        <v>9.4999999999999998E-3</v>
      </c>
      <c r="K56" s="413">
        <f t="shared" si="25"/>
        <v>9.4999999999999998E-3</v>
      </c>
      <c r="L56" s="413">
        <f t="shared" si="25"/>
        <v>9.4999999999999998E-3</v>
      </c>
      <c r="M56" s="413">
        <f t="shared" si="25"/>
        <v>9.4999999999999998E-3</v>
      </c>
      <c r="N56" s="413">
        <f t="shared" si="25"/>
        <v>9.4999999999999998E-3</v>
      </c>
      <c r="O56" s="413">
        <f t="shared" si="25"/>
        <v>9.4999999999999998E-3</v>
      </c>
      <c r="P56" s="413">
        <f t="shared" si="25"/>
        <v>9.4999999999999998E-3</v>
      </c>
      <c r="Q56" s="413">
        <f t="shared" ref="Q56:Z65" si="26">IFERROR(INDEX($G$121:$AU$176,MATCH($E56,$E$121:$E$176,0),MATCH(Q$6,$G$120:$AU$120,0)),0)*$E$187</f>
        <v>9.4999999999999998E-3</v>
      </c>
      <c r="R56" s="413">
        <f t="shared" si="26"/>
        <v>9.4999999999999998E-3</v>
      </c>
      <c r="S56" s="413">
        <f t="shared" si="26"/>
        <v>9.4999999999999998E-3</v>
      </c>
      <c r="T56" s="413">
        <f t="shared" si="26"/>
        <v>9.4999999999999998E-3</v>
      </c>
      <c r="U56" s="413">
        <f t="shared" si="26"/>
        <v>9.4999999999999998E-3</v>
      </c>
      <c r="V56" s="413">
        <f t="shared" si="26"/>
        <v>9.4999999999999998E-3</v>
      </c>
      <c r="W56" s="413">
        <f t="shared" si="26"/>
        <v>9.4999999999999998E-3</v>
      </c>
      <c r="X56" s="413">
        <f t="shared" si="26"/>
        <v>9.4999999999999998E-3</v>
      </c>
      <c r="Y56" s="413">
        <f t="shared" si="26"/>
        <v>9.4999999999999998E-3</v>
      </c>
      <c r="Z56" s="413">
        <f t="shared" si="26"/>
        <v>9.4999999999999998E-3</v>
      </c>
      <c r="AA56" s="413">
        <f t="shared" ref="AA56:AJ65" si="27">IFERROR(INDEX($G$121:$AU$176,MATCH($E56,$E$121:$E$176,0),MATCH(AA$6,$G$120:$AU$120,0)),0)*$E$187</f>
        <v>9.4999999999999998E-3</v>
      </c>
      <c r="AB56" s="413">
        <f t="shared" si="27"/>
        <v>9.4999999999999998E-3</v>
      </c>
      <c r="AC56" s="413">
        <f t="shared" si="27"/>
        <v>9.4999999999999998E-3</v>
      </c>
      <c r="AD56" s="413">
        <f t="shared" si="27"/>
        <v>9.4999999999999998E-3</v>
      </c>
      <c r="AE56" s="413">
        <f t="shared" si="27"/>
        <v>9.4999999999999998E-3</v>
      </c>
      <c r="AF56" s="413">
        <f t="shared" si="27"/>
        <v>9.4999999999999998E-3</v>
      </c>
      <c r="AG56" s="413">
        <f t="shared" si="27"/>
        <v>9.4999999999999998E-3</v>
      </c>
      <c r="AH56" s="413">
        <f t="shared" si="27"/>
        <v>9.4999999999999998E-3</v>
      </c>
      <c r="AI56" s="413">
        <f t="shared" si="27"/>
        <v>9.4999999999999998E-3</v>
      </c>
      <c r="AJ56" s="413">
        <f t="shared" si="27"/>
        <v>9.4999999999999998E-3</v>
      </c>
      <c r="AK56" s="413">
        <f t="shared" ref="AK56:AU65" si="28">IFERROR(INDEX($G$121:$AU$176,MATCH($E56,$E$121:$E$176,0),MATCH(AK$6,$G$120:$AU$120,0)),0)*$E$187</f>
        <v>9.4999999999999998E-3</v>
      </c>
      <c r="AL56" s="413">
        <f t="shared" si="28"/>
        <v>9.4999999999999998E-3</v>
      </c>
      <c r="AM56" s="413">
        <f t="shared" si="28"/>
        <v>9.4999999999999998E-3</v>
      </c>
      <c r="AN56" s="413">
        <f t="shared" si="28"/>
        <v>9.4999999999999998E-3</v>
      </c>
      <c r="AO56" s="413">
        <f t="shared" si="28"/>
        <v>9.4999999999999998E-3</v>
      </c>
      <c r="AP56" s="413">
        <f t="shared" si="28"/>
        <v>9.4999999999999998E-3</v>
      </c>
      <c r="AQ56" s="413">
        <f t="shared" si="28"/>
        <v>9.4999999999999998E-3</v>
      </c>
      <c r="AR56" s="413">
        <f t="shared" si="28"/>
        <v>9.4999999999999998E-3</v>
      </c>
      <c r="AS56" s="413">
        <f t="shared" si="28"/>
        <v>9.4999999999999998E-3</v>
      </c>
      <c r="AT56" s="413">
        <f t="shared" si="28"/>
        <v>9.4999999999999998E-3</v>
      </c>
      <c r="AU56" s="413">
        <f t="shared" si="28"/>
        <v>9.4999999999999998E-3</v>
      </c>
      <c r="AV56" s="331">
        <v>5</v>
      </c>
      <c r="AW56" s="437"/>
      <c r="AX56" s="437"/>
      <c r="AY56" s="437"/>
      <c r="AZ56" s="437"/>
      <c r="BA56" s="437"/>
      <c r="BB56" s="437"/>
      <c r="BC56" s="437"/>
      <c r="BD56" s="437"/>
      <c r="BE56" s="437"/>
    </row>
    <row r="57" spans="2:65" ht="14.4">
      <c r="B57" s="8" t="str">
        <f>Processes!D56</f>
        <v>MINWST</v>
      </c>
      <c r="C57" s="8" t="str">
        <f>Processes!E56</f>
        <v>Mining technology - Waste</v>
      </c>
      <c r="E57" s="67" t="str">
        <f t="shared" si="24"/>
        <v>WST</v>
      </c>
      <c r="F57" s="387" t="str">
        <f t="shared" si="6"/>
        <v>MKr14</v>
      </c>
      <c r="G57" s="330">
        <f t="shared" si="25"/>
        <v>9.5000000000000001E-2</v>
      </c>
      <c r="H57" s="330">
        <f t="shared" si="25"/>
        <v>9.5000000000000001E-2</v>
      </c>
      <c r="I57" s="330">
        <f t="shared" si="25"/>
        <v>9.5000000000000001E-2</v>
      </c>
      <c r="J57" s="330">
        <f t="shared" si="25"/>
        <v>9.5000000000000001E-2</v>
      </c>
      <c r="K57" s="330">
        <f t="shared" si="25"/>
        <v>9.5000000000000001E-2</v>
      </c>
      <c r="L57" s="330">
        <f t="shared" si="25"/>
        <v>9.5000000000000001E-2</v>
      </c>
      <c r="M57" s="330">
        <f t="shared" si="25"/>
        <v>9.5000000000000001E-2</v>
      </c>
      <c r="N57" s="330">
        <f t="shared" si="25"/>
        <v>9.5000000000000001E-2</v>
      </c>
      <c r="O57" s="330">
        <f t="shared" si="25"/>
        <v>9.5000000000000001E-2</v>
      </c>
      <c r="P57" s="330">
        <f t="shared" si="25"/>
        <v>9.5000000000000001E-2</v>
      </c>
      <c r="Q57" s="330">
        <f t="shared" si="26"/>
        <v>9.5000000000000001E-2</v>
      </c>
      <c r="R57" s="330">
        <f t="shared" si="26"/>
        <v>9.5000000000000001E-2</v>
      </c>
      <c r="S57" s="330">
        <f t="shared" si="26"/>
        <v>9.5000000000000001E-2</v>
      </c>
      <c r="T57" s="330">
        <f t="shared" si="26"/>
        <v>9.5000000000000001E-2</v>
      </c>
      <c r="U57" s="330">
        <f t="shared" si="26"/>
        <v>9.5000000000000001E-2</v>
      </c>
      <c r="V57" s="330">
        <f t="shared" si="26"/>
        <v>9.5000000000000001E-2</v>
      </c>
      <c r="W57" s="330">
        <f t="shared" si="26"/>
        <v>9.5000000000000001E-2</v>
      </c>
      <c r="X57" s="330">
        <f t="shared" si="26"/>
        <v>9.5000000000000001E-2</v>
      </c>
      <c r="Y57" s="330">
        <f t="shared" si="26"/>
        <v>9.5000000000000001E-2</v>
      </c>
      <c r="Z57" s="330">
        <f t="shared" si="26"/>
        <v>9.5000000000000001E-2</v>
      </c>
      <c r="AA57" s="330">
        <f t="shared" si="27"/>
        <v>9.5000000000000001E-2</v>
      </c>
      <c r="AB57" s="330">
        <f t="shared" si="27"/>
        <v>9.5000000000000001E-2</v>
      </c>
      <c r="AC57" s="330">
        <f t="shared" si="27"/>
        <v>9.5000000000000001E-2</v>
      </c>
      <c r="AD57" s="330">
        <f t="shared" si="27"/>
        <v>9.5000000000000001E-2</v>
      </c>
      <c r="AE57" s="330">
        <f t="shared" si="27"/>
        <v>9.5000000000000001E-2</v>
      </c>
      <c r="AF57" s="330">
        <f t="shared" si="27"/>
        <v>9.5000000000000001E-2</v>
      </c>
      <c r="AG57" s="330">
        <f t="shared" si="27"/>
        <v>9.5000000000000001E-2</v>
      </c>
      <c r="AH57" s="330">
        <f t="shared" si="27"/>
        <v>9.5000000000000001E-2</v>
      </c>
      <c r="AI57" s="330">
        <f t="shared" si="27"/>
        <v>9.5000000000000001E-2</v>
      </c>
      <c r="AJ57" s="330">
        <f t="shared" si="27"/>
        <v>9.5000000000000001E-2</v>
      </c>
      <c r="AK57" s="330">
        <f t="shared" si="28"/>
        <v>9.5000000000000001E-2</v>
      </c>
      <c r="AL57" s="330">
        <f t="shared" si="28"/>
        <v>9.5000000000000001E-2</v>
      </c>
      <c r="AM57" s="330">
        <f t="shared" si="28"/>
        <v>9.5000000000000001E-2</v>
      </c>
      <c r="AN57" s="330">
        <f t="shared" si="28"/>
        <v>9.5000000000000001E-2</v>
      </c>
      <c r="AO57" s="330">
        <f t="shared" si="28"/>
        <v>9.5000000000000001E-2</v>
      </c>
      <c r="AP57" s="330">
        <f t="shared" si="28"/>
        <v>9.5000000000000001E-2</v>
      </c>
      <c r="AQ57" s="330">
        <f t="shared" si="28"/>
        <v>9.5000000000000001E-2</v>
      </c>
      <c r="AR57" s="330">
        <f t="shared" si="28"/>
        <v>9.5000000000000001E-2</v>
      </c>
      <c r="AS57" s="330">
        <f t="shared" si="28"/>
        <v>9.5000000000000001E-2</v>
      </c>
      <c r="AT57" s="330">
        <f t="shared" si="28"/>
        <v>9.5000000000000001E-2</v>
      </c>
      <c r="AU57" s="330">
        <f t="shared" si="28"/>
        <v>9.5000000000000001E-2</v>
      </c>
      <c r="AV57" s="331">
        <v>5</v>
      </c>
      <c r="AW57" s="467" cm="1">
        <f t="array" ref="AW57">INDEX('Energy Balance'!$D$7:$W$154,MATCH('MIN-IMP-EXP'!$B57,'Energy Balance'!$A$7:$A$154,0),MATCH('MIN-IMP-EXP'!AW$1&amp;'MIN-IMP-EXP'!AW$3,'Energy Balance'!$D$4:$W$4&amp;'Energy Balance'!$D$6:$W$6,0))/1000*INDEX('Energy Balance'!$Z$7:$AJ$155,MATCH($B57,'Energy Balance'!$A$7:$A$155,0),MATCH(AW$2,'Energy Balance'!$Z$5:$AJ$5,0))</f>
        <v>2.2352821385428605</v>
      </c>
      <c r="AX57" s="467" cm="1">
        <f t="array" ref="AX57">INDEX('Energy Balance'!$D$7:$W$154,MATCH('MIN-IMP-EXP'!$B57,'Energy Balance'!$A$7:$A$154,0),MATCH('MIN-IMP-EXP'!AX$1&amp;'MIN-IMP-EXP'!AX$3,'Energy Balance'!$D$4:$W$4&amp;'Energy Balance'!$D$6:$W$6,0))/1000*INDEX('Energy Balance'!$Z$7:$AJ$155,MATCH($B57,'Energy Balance'!$A$7:$A$155,0),MATCH(AX$2,'Energy Balance'!$Z$5:$AJ$5,0))</f>
        <v>5.5248523330610908</v>
      </c>
      <c r="AY57" s="467" cm="1">
        <f t="array" ref="AY57">INDEX('Energy Balance'!$D$7:$W$154,MATCH('MIN-IMP-EXP'!$B57,'Energy Balance'!$A$7:$A$154,0),MATCH('MIN-IMP-EXP'!AY$1&amp;'MIN-IMP-EXP'!AY$3,'Energy Balance'!$D$4:$W$4&amp;'Energy Balance'!$D$6:$W$6,0))/1000*INDEX('Energy Balance'!$Z$7:$AJ$155,MATCH($B57,'Energy Balance'!$A$7:$A$155,0),MATCH(AY$2,'Energy Balance'!$Z$5:$AJ$5,0))</f>
        <v>46.771040723227593</v>
      </c>
      <c r="AZ57" s="467" cm="1">
        <f t="array" ref="AZ57">INDEX('Energy Balance'!$D$7:$W$154,MATCH('MIN-IMP-EXP'!$B57,'Energy Balance'!$A$7:$A$154,0),MATCH('MIN-IMP-EXP'!AZ$1&amp;'MIN-IMP-EXP'!AZ$3,'Energy Balance'!$D$4:$W$4&amp;'Energy Balance'!$D$6:$W$6,0))/1000*INDEX('Energy Balance'!$Z$7:$AJ$155,MATCH($B57,'Energy Balance'!$A$7:$A$155,0),MATCH(AZ$2,'Energy Balance'!$Z$5:$AJ$5,0))</f>
        <v>15.514824805168461</v>
      </c>
      <c r="BA57" s="467" cm="1">
        <f t="array" ref="BA57">INDEX('Energy Balance'!$D$7:$W$154,MATCH('MIN-IMP-EXP'!$B57,'Energy Balance'!$A$7:$A$154,0),MATCH('MIN-IMP-EXP'!BA$1&amp;'MIN-IMP-EXP'!BA$3,'Energy Balance'!$D$4:$W$4&amp;'Energy Balance'!$D$6:$W$6,0))/1000*INDEX('Energy Balance'!$Z$7:$AJ$155,MATCH($B57,'Energy Balance'!$A$7:$A$155,0),MATCH(BA$2,'Energy Balance'!$Z$5:$AJ$5,0))</f>
        <v>2.2200602903276168</v>
      </c>
      <c r="BB57" s="467" cm="1">
        <f t="array" ref="BB57">INDEX('Energy Balance'!$D$7:$W$154,MATCH('MIN-IMP-EXP'!$B57,'Energy Balance'!$A$7:$A$154,0),MATCH('MIN-IMP-EXP'!BB$1&amp;'MIN-IMP-EXP'!BB$3,'Energy Balance'!$D$4:$W$4&amp;'Energy Balance'!$D$6:$W$6,0))/1000*INDEX('Energy Balance'!$Z$7:$AJ$155,MATCH($B57,'Energy Balance'!$A$7:$A$155,0),MATCH(BB$2,'Energy Balance'!$Z$5:$AJ$5,0))</f>
        <v>5.487229134550538</v>
      </c>
      <c r="BC57" s="467" cm="1">
        <f t="array" ref="BC57">INDEX('Energy Balance'!$D$7:$W$154,MATCH('MIN-IMP-EXP'!$B57,'Energy Balance'!$A$7:$A$154,0),MATCH('MIN-IMP-EXP'!BC$1&amp;'MIN-IMP-EXP'!BC$3,'Energy Balance'!$D$4:$W$4&amp;'Energy Balance'!$D$6:$W$6,0))/1000*INDEX('Energy Balance'!$Z$7:$AJ$155,MATCH($B57,'Energy Balance'!$A$7:$A$155,0),MATCH(BC$2,'Energy Balance'!$Z$5:$AJ$5,0))</f>
        <v>46.452538789855531</v>
      </c>
      <c r="BD57" s="467" cm="1">
        <f t="array" ref="BD57">INDEX('Energy Balance'!$D$7:$W$154,MATCH('MIN-IMP-EXP'!$B57,'Energy Balance'!$A$7:$A$154,0),MATCH('MIN-IMP-EXP'!BD$1&amp;'MIN-IMP-EXP'!BD$3,'Energy Balance'!$D$4:$W$4&amp;'Energy Balance'!$D$6:$W$6,0))/1000*INDEX('Energy Balance'!$Z$7:$AJ$155,MATCH($B57,'Energy Balance'!$A$7:$A$155,0),MATCH(BD$2,'Energy Balance'!$Z$5:$AJ$5,0))</f>
        <v>15.40917178526632</v>
      </c>
      <c r="BE57" s="467" cm="1">
        <f t="array" ref="BE57">INDEX('Energy Balance'!$D$7:$W$154,MATCH('MIN-IMP-EXP'!$B57,'Energy Balance'!$A$7:$A$154,0),MATCH('MIN-IMP-EXP'!BE$1&amp;'MIN-IMP-EXP'!BE$3,'Energy Balance'!$D$4:$W$4&amp;'Energy Balance'!$D$6:$W$6,0))/1000*INDEX('Energy Balance'!$Z$7:$AJ$155,MATCH($B57,'Energy Balance'!$A$7:$A$155,0),MATCH(BE$2,'Energy Balance'!$Z$5:$AJ$5,0))</f>
        <v>2.5861824382804226</v>
      </c>
      <c r="BF57" s="467" cm="1">
        <f t="array" ref="BF57">INDEX('Energy Balance'!$D$7:$W$154,MATCH('MIN-IMP-EXP'!$B57,'Energy Balance'!$A$7:$A$154,0),MATCH('MIN-IMP-EXP'!BF$1&amp;'MIN-IMP-EXP'!BF$3,'Energy Balance'!$D$4:$W$4&amp;'Energy Balance'!$D$6:$W$6,0))/1000*INDEX('Energy Balance'!$Z$7:$AJ$155,MATCH($B57,'Energy Balance'!$A$7:$A$155,0),MATCH(BF$2,'Energy Balance'!$Z$5:$AJ$5,0))</f>
        <v>6.3921577645538203</v>
      </c>
      <c r="BG57" s="467" cm="1">
        <f t="array" ref="BG57">INDEX('Energy Balance'!$D$7:$W$154,MATCH('MIN-IMP-EXP'!$B57,'Energy Balance'!$A$7:$A$154,0),MATCH('MIN-IMP-EXP'!BG$1&amp;'MIN-IMP-EXP'!BG$3,'Energy Balance'!$D$4:$W$4&amp;'Energy Balance'!$D$6:$W$6,0))/1000*INDEX('Energy Balance'!$Z$7:$AJ$155,MATCH($B57,'Energy Balance'!$A$7:$A$155,0),MATCH(BG$2,'Energy Balance'!$Z$5:$AJ$5,0))</f>
        <v>54.113278164232227</v>
      </c>
      <c r="BH57" s="467" cm="1">
        <f t="array" ref="BH57">INDEX('Energy Balance'!$D$7:$W$154,MATCH('MIN-IMP-EXP'!$B57,'Energy Balance'!$A$7:$A$154,0),MATCH('MIN-IMP-EXP'!BH$1&amp;'MIN-IMP-EXP'!BH$3,'Energy Balance'!$D$4:$W$4&amp;'Energy Balance'!$D$6:$W$6,0))/1000*INDEX('Energy Balance'!$Z$7:$AJ$155,MATCH($B57,'Energy Balance'!$A$7:$A$155,0),MATCH(BH$2,'Energy Balance'!$Z$5:$AJ$5,0))</f>
        <v>17.950381632933535</v>
      </c>
      <c r="BI57" s="467" cm="1">
        <f t="array" ref="BI57">INDEX('Energy Balance'!$D$7:$W$154,MATCH('MIN-IMP-EXP'!$B57,'Energy Balance'!$A$7:$A$154,0),MATCH('MIN-IMP-EXP'!BI$1&amp;'MIN-IMP-EXP'!BI$3,'Energy Balance'!$D$4:$W$4&amp;'Energy Balance'!$D$6:$W$6,0))/1000*INDEX('Energy Balance'!$Z$7:$AJ$155,MATCH($B57,'Energy Balance'!$A$7:$A$155,0),MATCH(BI$2,'Energy Balance'!$Z$5:$AJ$5,0))</f>
        <v>2.801458304234369</v>
      </c>
      <c r="BJ57" s="467" cm="1">
        <f t="array" ref="BJ57">INDEX('Energy Balance'!$D$7:$W$154,MATCH('MIN-IMP-EXP'!$B57,'Energy Balance'!$A$7:$A$154,0),MATCH('MIN-IMP-EXP'!BJ$1&amp;'MIN-IMP-EXP'!BJ$3,'Energy Balance'!$D$4:$W$4&amp;'Energy Balance'!$D$6:$W$6,0))/1000*INDEX('Energy Balance'!$Z$7:$AJ$155,MATCH($B57,'Energy Balance'!$A$7:$A$155,0),MATCH(BJ$2,'Energy Balance'!$Z$5:$AJ$5,0))</f>
        <v>6.9242460185416297</v>
      </c>
      <c r="BK57" s="467" cm="1">
        <f t="array" ref="BK57">INDEX('Energy Balance'!$D$7:$W$154,MATCH('MIN-IMP-EXP'!$B57,'Energy Balance'!$A$7:$A$154,0),MATCH('MIN-IMP-EXP'!BK$1&amp;'MIN-IMP-EXP'!BK$3,'Energy Balance'!$D$4:$W$4&amp;'Energy Balance'!$D$6:$W$6,0))/1000*INDEX('Energy Balance'!$Z$7:$AJ$155,MATCH($B57,'Energy Balance'!$A$7:$A$155,0),MATCH(BK$2,'Energy Balance'!$Z$5:$AJ$5,0))</f>
        <v>58.617710119217421</v>
      </c>
      <c r="BL57" s="467" cm="1">
        <f t="array" ref="BL57">INDEX('Energy Balance'!$D$7:$W$154,MATCH('MIN-IMP-EXP'!$B57,'Energy Balance'!$A$7:$A$154,0),MATCH('MIN-IMP-EXP'!BL$1&amp;'MIN-IMP-EXP'!BL$3,'Energy Balance'!$D$4:$W$4&amp;'Energy Balance'!$D$6:$W$6,0))/1000*INDEX('Energy Balance'!$Z$7:$AJ$155,MATCH($B57,'Energy Balance'!$A$7:$A$155,0),MATCH(BL$2,'Energy Balance'!$Z$5:$AJ$5,0))</f>
        <v>19.444585558006576</v>
      </c>
      <c r="BM57" s="466">
        <v>5</v>
      </c>
    </row>
    <row r="58" spans="2:65" ht="14.4">
      <c r="B58" s="8" t="str">
        <f>Processes!D57</f>
        <v>MINSTR</v>
      </c>
      <c r="C58" s="8" t="str">
        <f>Processes!E57</f>
        <v>Mining technology - Straw</v>
      </c>
      <c r="E58" s="67" t="str">
        <f t="shared" si="24"/>
        <v>STR</v>
      </c>
      <c r="F58" s="387" t="str">
        <f t="shared" si="6"/>
        <v>MKr19</v>
      </c>
      <c r="G58" s="330">
        <f t="shared" si="25"/>
        <v>39.424999999999997</v>
      </c>
      <c r="H58" s="330">
        <f t="shared" si="25"/>
        <v>39.424999999999997</v>
      </c>
      <c r="I58" s="330">
        <f t="shared" si="25"/>
        <v>39.424999999999997</v>
      </c>
      <c r="J58" s="330">
        <f t="shared" si="25"/>
        <v>39.14</v>
      </c>
      <c r="K58" s="330">
        <f t="shared" si="25"/>
        <v>38.76</v>
      </c>
      <c r="L58" s="330">
        <f t="shared" si="25"/>
        <v>38.475000000000001</v>
      </c>
      <c r="M58" s="330">
        <f t="shared" si="25"/>
        <v>38.854999999999997</v>
      </c>
      <c r="N58" s="330">
        <f t="shared" si="25"/>
        <v>39.33</v>
      </c>
      <c r="O58" s="330">
        <f t="shared" si="25"/>
        <v>39.553153152572932</v>
      </c>
      <c r="P58" s="330">
        <f t="shared" si="25"/>
        <v>39.553153152572932</v>
      </c>
      <c r="Q58" s="330">
        <f t="shared" si="26"/>
        <v>39.864326651741912</v>
      </c>
      <c r="R58" s="330">
        <f t="shared" si="26"/>
        <v>40.257118427780526</v>
      </c>
      <c r="S58" s="330">
        <f t="shared" si="26"/>
        <v>40.651641238518096</v>
      </c>
      <c r="T58" s="330">
        <f t="shared" si="26"/>
        <v>41.047775314379273</v>
      </c>
      <c r="U58" s="330">
        <f t="shared" si="26"/>
        <v>41.44540255411399</v>
      </c>
      <c r="V58" s="330">
        <f t="shared" si="26"/>
        <v>41.844406507497993</v>
      </c>
      <c r="W58" s="330">
        <f t="shared" si="26"/>
        <v>42.088317707337325</v>
      </c>
      <c r="X58" s="330">
        <f t="shared" si="26"/>
        <v>42.332426018634543</v>
      </c>
      <c r="Y58" s="330">
        <f t="shared" si="26"/>
        <v>42.576727554498127</v>
      </c>
      <c r="Z58" s="330">
        <f t="shared" si="26"/>
        <v>42.821218468877682</v>
      </c>
      <c r="AA58" s="330">
        <f t="shared" si="27"/>
        <v>43.065894956074864</v>
      </c>
      <c r="AB58" s="330">
        <f t="shared" si="27"/>
        <v>43.272067061620987</v>
      </c>
      <c r="AC58" s="330">
        <f t="shared" si="27"/>
        <v>43.478503697166701</v>
      </c>
      <c r="AD58" s="330">
        <f t="shared" si="27"/>
        <v>43.63940004633902</v>
      </c>
      <c r="AE58" s="330">
        <f t="shared" si="27"/>
        <v>43.787387959191499</v>
      </c>
      <c r="AF58" s="330">
        <f t="shared" si="27"/>
        <v>43.935341188637722</v>
      </c>
      <c r="AG58" s="330">
        <f t="shared" si="27"/>
        <v>44.070978690732581</v>
      </c>
      <c r="AH58" s="330">
        <f t="shared" si="27"/>
        <v>44.206575683566093</v>
      </c>
      <c r="AI58" s="330">
        <f t="shared" si="27"/>
        <v>44.342131579988035</v>
      </c>
      <c r="AJ58" s="330">
        <f t="shared" si="27"/>
        <v>44.477645798455178</v>
      </c>
      <c r="AK58" s="330">
        <f t="shared" si="28"/>
        <v>44.61311776297277</v>
      </c>
      <c r="AL58" s="330">
        <f t="shared" si="28"/>
        <v>44.61311776297277</v>
      </c>
      <c r="AM58" s="330">
        <f t="shared" si="28"/>
        <v>44.61311776297277</v>
      </c>
      <c r="AN58" s="330">
        <f t="shared" si="28"/>
        <v>44.61311776297277</v>
      </c>
      <c r="AO58" s="330">
        <f t="shared" si="28"/>
        <v>44.61311776297277</v>
      </c>
      <c r="AP58" s="330">
        <f t="shared" si="28"/>
        <v>44.61311776297277</v>
      </c>
      <c r="AQ58" s="330">
        <f t="shared" si="28"/>
        <v>44.61311776297277</v>
      </c>
      <c r="AR58" s="330">
        <f t="shared" si="28"/>
        <v>44.61311776297277</v>
      </c>
      <c r="AS58" s="330">
        <f t="shared" si="28"/>
        <v>44.61311776297277</v>
      </c>
      <c r="AT58" s="330">
        <f t="shared" si="28"/>
        <v>44.61311776297277</v>
      </c>
      <c r="AU58" s="330">
        <f t="shared" si="28"/>
        <v>44.61311776297277</v>
      </c>
      <c r="AV58" s="331">
        <v>5</v>
      </c>
      <c r="AW58" s="437"/>
      <c r="AX58" s="437"/>
      <c r="AY58" s="437"/>
      <c r="AZ58" s="437"/>
      <c r="BA58" s="437"/>
      <c r="BB58" s="437"/>
      <c r="BC58" s="437"/>
      <c r="BD58" s="437"/>
      <c r="BE58" s="437"/>
    </row>
    <row r="59" spans="2:65" ht="14.4">
      <c r="B59" s="8" t="str">
        <f>Processes!D58</f>
        <v>MINGRS</v>
      </c>
      <c r="C59" s="8" t="str">
        <f>Processes!E58</f>
        <v>Mining technology - Grass</v>
      </c>
      <c r="D59" s="67"/>
      <c r="E59" s="67" t="str">
        <f t="shared" si="24"/>
        <v>GRS</v>
      </c>
      <c r="F59" s="387" t="str">
        <f t="shared" si="6"/>
        <v>MKr14</v>
      </c>
      <c r="G59" s="330">
        <f t="shared" si="25"/>
        <v>39.424999999999997</v>
      </c>
      <c r="H59" s="330">
        <f t="shared" si="25"/>
        <v>39.424999999999997</v>
      </c>
      <c r="I59" s="330">
        <f t="shared" si="25"/>
        <v>39.424999999999997</v>
      </c>
      <c r="J59" s="330">
        <f t="shared" si="25"/>
        <v>39.14</v>
      </c>
      <c r="K59" s="330">
        <f t="shared" si="25"/>
        <v>38.76</v>
      </c>
      <c r="L59" s="330">
        <f t="shared" si="25"/>
        <v>38.475000000000001</v>
      </c>
      <c r="M59" s="330">
        <f t="shared" si="25"/>
        <v>38.854999999999997</v>
      </c>
      <c r="N59" s="330">
        <f t="shared" si="25"/>
        <v>39.33</v>
      </c>
      <c r="O59" s="330">
        <f t="shared" si="25"/>
        <v>39.553153152572932</v>
      </c>
      <c r="P59" s="330">
        <f t="shared" si="25"/>
        <v>39.553153152572932</v>
      </c>
      <c r="Q59" s="330">
        <f t="shared" si="26"/>
        <v>39.864326651741912</v>
      </c>
      <c r="R59" s="330">
        <f t="shared" si="26"/>
        <v>40.257118427780526</v>
      </c>
      <c r="S59" s="330">
        <f t="shared" si="26"/>
        <v>40.651641238518096</v>
      </c>
      <c r="T59" s="330">
        <f t="shared" si="26"/>
        <v>41.047775314379273</v>
      </c>
      <c r="U59" s="330">
        <f t="shared" si="26"/>
        <v>41.44540255411399</v>
      </c>
      <c r="V59" s="330">
        <f t="shared" si="26"/>
        <v>41.844406507497993</v>
      </c>
      <c r="W59" s="330">
        <f t="shared" si="26"/>
        <v>42.088317707337325</v>
      </c>
      <c r="X59" s="330">
        <f t="shared" si="26"/>
        <v>42.332426018634543</v>
      </c>
      <c r="Y59" s="330">
        <f t="shared" si="26"/>
        <v>42.576727554498127</v>
      </c>
      <c r="Z59" s="330">
        <f t="shared" si="26"/>
        <v>42.821218468877682</v>
      </c>
      <c r="AA59" s="330">
        <f t="shared" si="27"/>
        <v>43.065894956074864</v>
      </c>
      <c r="AB59" s="330">
        <f t="shared" si="27"/>
        <v>43.272067061620987</v>
      </c>
      <c r="AC59" s="330">
        <f t="shared" si="27"/>
        <v>43.478503697166701</v>
      </c>
      <c r="AD59" s="330">
        <f t="shared" si="27"/>
        <v>43.63940004633902</v>
      </c>
      <c r="AE59" s="330">
        <f t="shared" si="27"/>
        <v>43.787387959191499</v>
      </c>
      <c r="AF59" s="330">
        <f t="shared" si="27"/>
        <v>43.935341188637722</v>
      </c>
      <c r="AG59" s="330">
        <f t="shared" si="27"/>
        <v>44.070978690732581</v>
      </c>
      <c r="AH59" s="330">
        <f t="shared" si="27"/>
        <v>44.206575683566093</v>
      </c>
      <c r="AI59" s="330">
        <f t="shared" si="27"/>
        <v>44.342131579988035</v>
      </c>
      <c r="AJ59" s="330">
        <f t="shared" si="27"/>
        <v>44.477645798455178</v>
      </c>
      <c r="AK59" s="330">
        <f t="shared" si="28"/>
        <v>44.61311776297277</v>
      </c>
      <c r="AL59" s="330">
        <f t="shared" si="28"/>
        <v>44.61311776297277</v>
      </c>
      <c r="AM59" s="330">
        <f t="shared" si="28"/>
        <v>44.61311776297277</v>
      </c>
      <c r="AN59" s="330">
        <f t="shared" si="28"/>
        <v>44.61311776297277</v>
      </c>
      <c r="AO59" s="330">
        <f t="shared" si="28"/>
        <v>44.61311776297277</v>
      </c>
      <c r="AP59" s="330">
        <f t="shared" si="28"/>
        <v>44.61311776297277</v>
      </c>
      <c r="AQ59" s="330">
        <f t="shared" si="28"/>
        <v>44.61311776297277</v>
      </c>
      <c r="AR59" s="330">
        <f t="shared" si="28"/>
        <v>44.61311776297277</v>
      </c>
      <c r="AS59" s="330">
        <f t="shared" si="28"/>
        <v>44.61311776297277</v>
      </c>
      <c r="AT59" s="330">
        <f t="shared" si="28"/>
        <v>44.61311776297277</v>
      </c>
      <c r="AU59" s="330">
        <f t="shared" si="28"/>
        <v>44.61311776297277</v>
      </c>
      <c r="AV59" s="331">
        <v>5</v>
      </c>
      <c r="AW59" s="437"/>
      <c r="AX59" s="437"/>
      <c r="AY59" s="437"/>
      <c r="AZ59" s="437"/>
      <c r="BA59" s="437"/>
      <c r="BB59" s="437"/>
      <c r="BC59" s="437"/>
      <c r="BD59" s="437"/>
      <c r="BE59" s="437"/>
    </row>
    <row r="60" spans="2:65" ht="14.4">
      <c r="B60" s="8" t="str">
        <f>Processes!D59</f>
        <v>MINWPE</v>
      </c>
      <c r="C60" s="8" t="str">
        <f>Processes!E59</f>
        <v>Mining technology - Wood pellets</v>
      </c>
      <c r="D60" s="67"/>
      <c r="E60" s="67" t="str">
        <f t="shared" si="24"/>
        <v>WPE</v>
      </c>
      <c r="F60" s="387" t="str">
        <f t="shared" si="6"/>
        <v>MKr19</v>
      </c>
      <c r="G60" s="330">
        <f t="shared" si="25"/>
        <v>70.015000000000001</v>
      </c>
      <c r="H60" s="330">
        <f t="shared" si="25"/>
        <v>70.015000000000001</v>
      </c>
      <c r="I60" s="330">
        <f t="shared" si="25"/>
        <v>70.015000000000001</v>
      </c>
      <c r="J60" s="330">
        <f t="shared" si="25"/>
        <v>69.064999999999998</v>
      </c>
      <c r="K60" s="330">
        <f t="shared" si="25"/>
        <v>68.209999999999994</v>
      </c>
      <c r="L60" s="330">
        <f t="shared" si="25"/>
        <v>67.259999999999991</v>
      </c>
      <c r="M60" s="330">
        <f t="shared" si="25"/>
        <v>67.64</v>
      </c>
      <c r="N60" s="330">
        <f t="shared" si="25"/>
        <v>68.02</v>
      </c>
      <c r="O60" s="330">
        <f t="shared" si="25"/>
        <v>66.020146242702353</v>
      </c>
      <c r="P60" s="330">
        <f t="shared" si="25"/>
        <v>65.96136818516834</v>
      </c>
      <c r="Q60" s="330">
        <f t="shared" si="26"/>
        <v>56.914684416651603</v>
      </c>
      <c r="R60" s="330">
        <f t="shared" si="26"/>
        <v>59.711627192732756</v>
      </c>
      <c r="S60" s="330">
        <f t="shared" si="26"/>
        <v>60.013888268314545</v>
      </c>
      <c r="T60" s="330">
        <f t="shared" si="26"/>
        <v>59.354930887874318</v>
      </c>
      <c r="U60" s="330">
        <f t="shared" si="26"/>
        <v>59.035222491122838</v>
      </c>
      <c r="V60" s="330">
        <f t="shared" si="26"/>
        <v>58.74841506580303</v>
      </c>
      <c r="W60" s="330">
        <f t="shared" si="26"/>
        <v>58.481086742367445</v>
      </c>
      <c r="X60" s="330">
        <f t="shared" si="26"/>
        <v>58.239324610762822</v>
      </c>
      <c r="Y60" s="330">
        <f t="shared" si="26"/>
        <v>58.021371524421873</v>
      </c>
      <c r="Z60" s="330">
        <f t="shared" si="26"/>
        <v>57.835820760328922</v>
      </c>
      <c r="AA60" s="330">
        <f t="shared" si="27"/>
        <v>57.670584214255001</v>
      </c>
      <c r="AB60" s="330">
        <f t="shared" si="27"/>
        <v>57.669113952551044</v>
      </c>
      <c r="AC60" s="330">
        <f t="shared" si="27"/>
        <v>57.667421376427306</v>
      </c>
      <c r="AD60" s="330">
        <f t="shared" si="27"/>
        <v>57.665509674562891</v>
      </c>
      <c r="AE60" s="330">
        <f t="shared" si="27"/>
        <v>57.663381980957837</v>
      </c>
      <c r="AF60" s="330">
        <f t="shared" si="27"/>
        <v>57.661041375510997</v>
      </c>
      <c r="AG60" s="330">
        <f t="shared" si="27"/>
        <v>57.65544812020616</v>
      </c>
      <c r="AH60" s="330">
        <f t="shared" si="27"/>
        <v>57.649697437970978</v>
      </c>
      <c r="AI60" s="330">
        <f t="shared" si="27"/>
        <v>57.643792171361397</v>
      </c>
      <c r="AJ60" s="330">
        <f t="shared" si="27"/>
        <v>57.637735107495111</v>
      </c>
      <c r="AK60" s="330">
        <f t="shared" si="28"/>
        <v>57.631528978823219</v>
      </c>
      <c r="AL60" s="330">
        <f t="shared" si="28"/>
        <v>57.642160026944858</v>
      </c>
      <c r="AM60" s="330">
        <f t="shared" si="28"/>
        <v>57.652670836265216</v>
      </c>
      <c r="AN60" s="330">
        <f t="shared" si="28"/>
        <v>57.663062920789976</v>
      </c>
      <c r="AO60" s="330">
        <f t="shared" si="28"/>
        <v>57.67333776272897</v>
      </c>
      <c r="AP60" s="330">
        <f t="shared" si="28"/>
        <v>57.683496812826789</v>
      </c>
      <c r="AQ60" s="330">
        <f t="shared" si="28"/>
        <v>57.735587537358441</v>
      </c>
      <c r="AR60" s="330">
        <f t="shared" si="28"/>
        <v>57.78734511269969</v>
      </c>
      <c r="AS60" s="330">
        <f t="shared" si="28"/>
        <v>57.838771147246518</v>
      </c>
      <c r="AT60" s="330">
        <f t="shared" si="28"/>
        <v>57.889867215086504</v>
      </c>
      <c r="AU60" s="330">
        <f t="shared" si="28"/>
        <v>57.940634856356873</v>
      </c>
      <c r="AV60" s="331">
        <v>5</v>
      </c>
      <c r="AW60" s="437"/>
      <c r="AX60" s="437"/>
      <c r="AY60" s="437"/>
      <c r="AZ60" s="437"/>
      <c r="BA60" s="437"/>
      <c r="BB60" s="437"/>
      <c r="BC60" s="437"/>
      <c r="BD60" s="437"/>
      <c r="BE60" s="437"/>
    </row>
    <row r="61" spans="2:65" ht="14.4">
      <c r="B61" s="8" t="str">
        <f>Processes!D60</f>
        <v>MINWCH</v>
      </c>
      <c r="C61" s="8" t="str">
        <f>Processes!E60</f>
        <v>Mining technology - Wood chips and wood waste</v>
      </c>
      <c r="D61" s="67"/>
      <c r="E61" s="67" t="str">
        <f t="shared" si="24"/>
        <v>WCH</v>
      </c>
      <c r="F61" s="387" t="str">
        <f t="shared" si="6"/>
        <v>MKr19</v>
      </c>
      <c r="G61" s="330">
        <f t="shared" si="25"/>
        <v>43.699999999999996</v>
      </c>
      <c r="H61" s="330">
        <f t="shared" si="25"/>
        <v>43.699999999999996</v>
      </c>
      <c r="I61" s="330">
        <f t="shared" si="25"/>
        <v>43.699999999999996</v>
      </c>
      <c r="J61" s="330">
        <f t="shared" si="25"/>
        <v>43.414999999999999</v>
      </c>
      <c r="K61" s="330">
        <f t="shared" si="25"/>
        <v>43.034999999999997</v>
      </c>
      <c r="L61" s="330">
        <f t="shared" si="25"/>
        <v>42.654999999999994</v>
      </c>
      <c r="M61" s="330">
        <f t="shared" si="25"/>
        <v>43.129999999999995</v>
      </c>
      <c r="N61" s="330">
        <f t="shared" si="25"/>
        <v>43.604999999999997</v>
      </c>
      <c r="O61" s="330">
        <f t="shared" si="25"/>
        <v>42.920498592365362</v>
      </c>
      <c r="P61" s="330">
        <f t="shared" si="25"/>
        <v>42.86172053483137</v>
      </c>
      <c r="Q61" s="330">
        <f t="shared" si="26"/>
        <v>42.985970217976949</v>
      </c>
      <c r="R61" s="330">
        <f t="shared" si="26"/>
        <v>42.930737621218739</v>
      </c>
      <c r="S61" s="330">
        <f t="shared" si="26"/>
        <v>43.122515400049686</v>
      </c>
      <c r="T61" s="330">
        <f t="shared" si="26"/>
        <v>43.362212229388248</v>
      </c>
      <c r="U61" s="330">
        <f t="shared" si="26"/>
        <v>43.62686434319582</v>
      </c>
      <c r="V61" s="330">
        <f t="shared" si="26"/>
        <v>43.896651372185751</v>
      </c>
      <c r="W61" s="330">
        <f t="shared" si="26"/>
        <v>44.09874443125387</v>
      </c>
      <c r="X61" s="330">
        <f t="shared" si="26"/>
        <v>44.299506357634684</v>
      </c>
      <c r="Y61" s="330">
        <f t="shared" si="26"/>
        <v>44.497928296919504</v>
      </c>
      <c r="Z61" s="330">
        <f t="shared" si="26"/>
        <v>44.701341711419417</v>
      </c>
      <c r="AA61" s="330">
        <f t="shared" si="27"/>
        <v>44.899951064987313</v>
      </c>
      <c r="AB61" s="330">
        <f t="shared" si="27"/>
        <v>44.995010804955093</v>
      </c>
      <c r="AC61" s="330">
        <f t="shared" si="27"/>
        <v>45.089896386301845</v>
      </c>
      <c r="AD61" s="330">
        <f t="shared" si="27"/>
        <v>45.184608919645179</v>
      </c>
      <c r="AE61" s="330">
        <f t="shared" si="27"/>
        <v>45.279149498086021</v>
      </c>
      <c r="AF61" s="330">
        <f t="shared" si="27"/>
        <v>45.373519197394238</v>
      </c>
      <c r="AG61" s="330">
        <f t="shared" si="27"/>
        <v>45.468479823575379</v>
      </c>
      <c r="AH61" s="330">
        <f t="shared" si="27"/>
        <v>45.5631628821723</v>
      </c>
      <c r="AI61" s="330">
        <f t="shared" si="27"/>
        <v>45.657570209274184</v>
      </c>
      <c r="AJ61" s="330">
        <f t="shared" si="27"/>
        <v>45.75170361599077</v>
      </c>
      <c r="AK61" s="330">
        <f t="shared" si="28"/>
        <v>45.845564888719998</v>
      </c>
      <c r="AL61" s="330">
        <f t="shared" si="28"/>
        <v>45.958745378603254</v>
      </c>
      <c r="AM61" s="330">
        <f t="shared" si="28"/>
        <v>46.071499911718661</v>
      </c>
      <c r="AN61" s="330">
        <f t="shared" si="28"/>
        <v>46.183831178905827</v>
      </c>
      <c r="AO61" s="330">
        <f t="shared" si="28"/>
        <v>46.295741837125888</v>
      </c>
      <c r="AP61" s="330">
        <f t="shared" si="28"/>
        <v>46.407234509827518</v>
      </c>
      <c r="AQ61" s="330">
        <f t="shared" si="28"/>
        <v>46.573346077925379</v>
      </c>
      <c r="AR61" s="330">
        <f t="shared" si="28"/>
        <v>46.738783513499861</v>
      </c>
      <c r="AS61" s="330">
        <f t="shared" si="28"/>
        <v>46.903550518626702</v>
      </c>
      <c r="AT61" s="330">
        <f t="shared" si="28"/>
        <v>47.067650750859954</v>
      </c>
      <c r="AU61" s="330">
        <f t="shared" si="28"/>
        <v>47.231087823716685</v>
      </c>
      <c r="AV61" s="331">
        <v>5</v>
      </c>
    </row>
    <row r="62" spans="2:65" ht="14.4">
      <c r="B62" s="8" t="str">
        <f>Processes!D61</f>
        <v>MINFIW</v>
      </c>
      <c r="C62" s="8" t="str">
        <f>Processes!E61</f>
        <v>Mining technology - Firewood</v>
      </c>
      <c r="D62" s="67"/>
      <c r="E62" s="67" t="str">
        <f t="shared" si="24"/>
        <v>FIW</v>
      </c>
      <c r="F62" s="387" t="str">
        <f t="shared" si="6"/>
        <v>MKr14</v>
      </c>
      <c r="G62" s="330">
        <f t="shared" si="25"/>
        <v>10.924999999999999</v>
      </c>
      <c r="H62" s="330">
        <f t="shared" si="25"/>
        <v>10.924999999999999</v>
      </c>
      <c r="I62" s="330">
        <f t="shared" si="25"/>
        <v>10.924999999999999</v>
      </c>
      <c r="J62" s="330">
        <f t="shared" si="25"/>
        <v>10.85375</v>
      </c>
      <c r="K62" s="330">
        <f t="shared" si="25"/>
        <v>10.758749999999999</v>
      </c>
      <c r="L62" s="330">
        <f t="shared" si="25"/>
        <v>10.663749999999999</v>
      </c>
      <c r="M62" s="330">
        <f t="shared" si="25"/>
        <v>10.782499999999999</v>
      </c>
      <c r="N62" s="330">
        <f t="shared" si="25"/>
        <v>10.901249999999999</v>
      </c>
      <c r="O62" s="330">
        <f t="shared" si="25"/>
        <v>10.730124648091341</v>
      </c>
      <c r="P62" s="330">
        <f t="shared" si="25"/>
        <v>10.715430133707843</v>
      </c>
      <c r="Q62" s="330">
        <f t="shared" si="26"/>
        <v>10.746492554494237</v>
      </c>
      <c r="R62" s="330">
        <f t="shared" si="26"/>
        <v>10.732684405304685</v>
      </c>
      <c r="S62" s="330">
        <f t="shared" si="26"/>
        <v>10.780628850012421</v>
      </c>
      <c r="T62" s="330">
        <f t="shared" si="26"/>
        <v>10.840553057347062</v>
      </c>
      <c r="U62" s="330">
        <f t="shared" si="26"/>
        <v>10.906716085798955</v>
      </c>
      <c r="V62" s="330">
        <f t="shared" si="26"/>
        <v>10.974162843046438</v>
      </c>
      <c r="W62" s="330">
        <f t="shared" si="26"/>
        <v>11.024686107813467</v>
      </c>
      <c r="X62" s="330">
        <f t="shared" si="26"/>
        <v>11.074876589408671</v>
      </c>
      <c r="Y62" s="330">
        <f t="shared" si="26"/>
        <v>11.124482074229876</v>
      </c>
      <c r="Z62" s="330">
        <f t="shared" si="26"/>
        <v>11.175335427854854</v>
      </c>
      <c r="AA62" s="330">
        <f t="shared" si="27"/>
        <v>11.224987766246828</v>
      </c>
      <c r="AB62" s="330">
        <f t="shared" si="27"/>
        <v>11.248752701238773</v>
      </c>
      <c r="AC62" s="330">
        <f t="shared" si="27"/>
        <v>11.272474096575461</v>
      </c>
      <c r="AD62" s="330">
        <f t="shared" si="27"/>
        <v>11.296152229911295</v>
      </c>
      <c r="AE62" s="330">
        <f t="shared" si="27"/>
        <v>11.319787374521505</v>
      </c>
      <c r="AF62" s="330">
        <f t="shared" si="27"/>
        <v>11.343379799348559</v>
      </c>
      <c r="AG62" s="330">
        <f t="shared" si="27"/>
        <v>11.367119955893845</v>
      </c>
      <c r="AH62" s="330">
        <f t="shared" si="27"/>
        <v>11.390790720543075</v>
      </c>
      <c r="AI62" s="330">
        <f t="shared" si="27"/>
        <v>11.414392552318546</v>
      </c>
      <c r="AJ62" s="330">
        <f t="shared" si="27"/>
        <v>11.437925903997693</v>
      </c>
      <c r="AK62" s="330">
        <f t="shared" si="28"/>
        <v>11.46139122218</v>
      </c>
      <c r="AL62" s="330">
        <f t="shared" si="28"/>
        <v>11.489686344650814</v>
      </c>
      <c r="AM62" s="330">
        <f t="shared" si="28"/>
        <v>11.517874977929665</v>
      </c>
      <c r="AN62" s="330">
        <f t="shared" si="28"/>
        <v>11.545957794726457</v>
      </c>
      <c r="AO62" s="330">
        <f t="shared" si="28"/>
        <v>11.573935459281472</v>
      </c>
      <c r="AP62" s="330">
        <f t="shared" si="28"/>
        <v>11.601808627456879</v>
      </c>
      <c r="AQ62" s="330">
        <f t="shared" si="28"/>
        <v>11.643336519481345</v>
      </c>
      <c r="AR62" s="330">
        <f t="shared" si="28"/>
        <v>11.684695878374965</v>
      </c>
      <c r="AS62" s="330">
        <f t="shared" si="28"/>
        <v>11.725887629656675</v>
      </c>
      <c r="AT62" s="330">
        <f t="shared" si="28"/>
        <v>11.766912687714989</v>
      </c>
      <c r="AU62" s="330">
        <f t="shared" si="28"/>
        <v>11.807771955929171</v>
      </c>
      <c r="AV62" s="331">
        <v>5</v>
      </c>
    </row>
    <row r="63" spans="2:65" ht="14.4">
      <c r="B63" s="8" t="str">
        <f>Processes!D62</f>
        <v>MINCRN</v>
      </c>
      <c r="C63" s="8" t="str">
        <f>Processes!E62</f>
        <v>Mining technology - Corn</v>
      </c>
      <c r="D63" s="67"/>
      <c r="E63" s="67" t="str">
        <f t="shared" si="24"/>
        <v>CRN</v>
      </c>
      <c r="F63" s="387" t="str">
        <f t="shared" si="6"/>
        <v>MKr14</v>
      </c>
      <c r="G63" s="330">
        <f t="shared" si="25"/>
        <v>68.78</v>
      </c>
      <c r="H63" s="330">
        <f t="shared" si="25"/>
        <v>68.78</v>
      </c>
      <c r="I63" s="330">
        <f t="shared" si="25"/>
        <v>68.78</v>
      </c>
      <c r="J63" s="330">
        <f t="shared" si="25"/>
        <v>68.78</v>
      </c>
      <c r="K63" s="330">
        <f t="shared" si="25"/>
        <v>68.78</v>
      </c>
      <c r="L63" s="330">
        <f t="shared" si="25"/>
        <v>68.78</v>
      </c>
      <c r="M63" s="330">
        <f t="shared" si="25"/>
        <v>68.78</v>
      </c>
      <c r="N63" s="330">
        <f t="shared" si="25"/>
        <v>68.78</v>
      </c>
      <c r="O63" s="330">
        <f t="shared" si="25"/>
        <v>68.78</v>
      </c>
      <c r="P63" s="330">
        <f t="shared" si="25"/>
        <v>68.78</v>
      </c>
      <c r="Q63" s="330">
        <f t="shared" si="26"/>
        <v>68.78</v>
      </c>
      <c r="R63" s="330">
        <f t="shared" si="26"/>
        <v>68.78</v>
      </c>
      <c r="S63" s="330">
        <f t="shared" si="26"/>
        <v>68.78</v>
      </c>
      <c r="T63" s="330">
        <f t="shared" si="26"/>
        <v>68.78</v>
      </c>
      <c r="U63" s="330">
        <f t="shared" si="26"/>
        <v>68.78</v>
      </c>
      <c r="V63" s="330">
        <f t="shared" si="26"/>
        <v>68.78</v>
      </c>
      <c r="W63" s="330">
        <f t="shared" si="26"/>
        <v>68.78</v>
      </c>
      <c r="X63" s="330">
        <f t="shared" si="26"/>
        <v>68.78</v>
      </c>
      <c r="Y63" s="330">
        <f t="shared" si="26"/>
        <v>68.78</v>
      </c>
      <c r="Z63" s="330">
        <f t="shared" si="26"/>
        <v>68.78</v>
      </c>
      <c r="AA63" s="330">
        <f t="shared" si="27"/>
        <v>68.78</v>
      </c>
      <c r="AB63" s="330">
        <f t="shared" si="27"/>
        <v>68.78</v>
      </c>
      <c r="AC63" s="330">
        <f t="shared" si="27"/>
        <v>68.78</v>
      </c>
      <c r="AD63" s="330">
        <f t="shared" si="27"/>
        <v>68.78</v>
      </c>
      <c r="AE63" s="330">
        <f t="shared" si="27"/>
        <v>68.78</v>
      </c>
      <c r="AF63" s="330">
        <f t="shared" si="27"/>
        <v>68.78</v>
      </c>
      <c r="AG63" s="330">
        <f t="shared" si="27"/>
        <v>68.78</v>
      </c>
      <c r="AH63" s="330">
        <f t="shared" si="27"/>
        <v>68.78</v>
      </c>
      <c r="AI63" s="330">
        <f t="shared" si="27"/>
        <v>68.78</v>
      </c>
      <c r="AJ63" s="330">
        <f t="shared" si="27"/>
        <v>68.78</v>
      </c>
      <c r="AK63" s="330">
        <f t="shared" si="28"/>
        <v>68.78</v>
      </c>
      <c r="AL63" s="330">
        <f t="shared" si="28"/>
        <v>68.78</v>
      </c>
      <c r="AM63" s="330">
        <f t="shared" si="28"/>
        <v>68.78</v>
      </c>
      <c r="AN63" s="330">
        <f t="shared" si="28"/>
        <v>68.78</v>
      </c>
      <c r="AO63" s="330">
        <f t="shared" si="28"/>
        <v>68.78</v>
      </c>
      <c r="AP63" s="330">
        <f t="shared" si="28"/>
        <v>68.78</v>
      </c>
      <c r="AQ63" s="330">
        <f t="shared" si="28"/>
        <v>68.78</v>
      </c>
      <c r="AR63" s="330">
        <f t="shared" si="28"/>
        <v>68.78</v>
      </c>
      <c r="AS63" s="330">
        <f t="shared" si="28"/>
        <v>68.78</v>
      </c>
      <c r="AT63" s="330">
        <f t="shared" si="28"/>
        <v>68.78</v>
      </c>
      <c r="AU63" s="330">
        <f t="shared" si="28"/>
        <v>68.78</v>
      </c>
      <c r="AV63" s="331">
        <v>5</v>
      </c>
    </row>
    <row r="64" spans="2:65" ht="14.4">
      <c r="B64" s="8" t="str">
        <f>Processes!D63</f>
        <v>MINRPS</v>
      </c>
      <c r="C64" s="8" t="str">
        <f>Processes!E63</f>
        <v>Mining technology - Rapeseed</v>
      </c>
      <c r="D64" s="67"/>
      <c r="E64" s="67" t="str">
        <f t="shared" si="24"/>
        <v>RPS</v>
      </c>
      <c r="F64" s="387" t="str">
        <f t="shared" si="6"/>
        <v>MKr14</v>
      </c>
      <c r="G64" s="330">
        <f t="shared" si="25"/>
        <v>96.614999999999995</v>
      </c>
      <c r="H64" s="330">
        <f t="shared" si="25"/>
        <v>96.614999999999995</v>
      </c>
      <c r="I64" s="330">
        <f t="shared" si="25"/>
        <v>96.614999999999995</v>
      </c>
      <c r="J64" s="330">
        <f t="shared" si="25"/>
        <v>96.614999999999995</v>
      </c>
      <c r="K64" s="330">
        <f t="shared" si="25"/>
        <v>96.614999999999995</v>
      </c>
      <c r="L64" s="330">
        <f t="shared" si="25"/>
        <v>96.614999999999995</v>
      </c>
      <c r="M64" s="330">
        <f t="shared" si="25"/>
        <v>96.614999999999995</v>
      </c>
      <c r="N64" s="330">
        <f t="shared" si="25"/>
        <v>96.614999999999995</v>
      </c>
      <c r="O64" s="330">
        <f t="shared" si="25"/>
        <v>96.614999999999995</v>
      </c>
      <c r="P64" s="330">
        <f t="shared" si="25"/>
        <v>96.614999999999995</v>
      </c>
      <c r="Q64" s="330">
        <f t="shared" si="26"/>
        <v>96.614999999999995</v>
      </c>
      <c r="R64" s="330">
        <f t="shared" si="26"/>
        <v>96.614999999999995</v>
      </c>
      <c r="S64" s="330">
        <f t="shared" si="26"/>
        <v>96.614999999999995</v>
      </c>
      <c r="T64" s="330">
        <f t="shared" si="26"/>
        <v>96.614999999999995</v>
      </c>
      <c r="U64" s="330">
        <f t="shared" si="26"/>
        <v>96.614999999999995</v>
      </c>
      <c r="V64" s="330">
        <f t="shared" si="26"/>
        <v>96.614999999999995</v>
      </c>
      <c r="W64" s="330">
        <f t="shared" si="26"/>
        <v>96.614999999999995</v>
      </c>
      <c r="X64" s="330">
        <f t="shared" si="26"/>
        <v>96.614999999999995</v>
      </c>
      <c r="Y64" s="330">
        <f t="shared" si="26"/>
        <v>96.614999999999995</v>
      </c>
      <c r="Z64" s="330">
        <f t="shared" si="26"/>
        <v>96.614999999999995</v>
      </c>
      <c r="AA64" s="330">
        <f t="shared" si="27"/>
        <v>96.614999999999995</v>
      </c>
      <c r="AB64" s="330">
        <f t="shared" si="27"/>
        <v>96.614999999999995</v>
      </c>
      <c r="AC64" s="330">
        <f t="shared" si="27"/>
        <v>96.614999999999995</v>
      </c>
      <c r="AD64" s="330">
        <f t="shared" si="27"/>
        <v>96.614999999999995</v>
      </c>
      <c r="AE64" s="330">
        <f t="shared" si="27"/>
        <v>96.614999999999995</v>
      </c>
      <c r="AF64" s="330">
        <f t="shared" si="27"/>
        <v>96.614999999999995</v>
      </c>
      <c r="AG64" s="330">
        <f t="shared" si="27"/>
        <v>96.614999999999995</v>
      </c>
      <c r="AH64" s="330">
        <f t="shared" si="27"/>
        <v>96.614999999999995</v>
      </c>
      <c r="AI64" s="330">
        <f t="shared" si="27"/>
        <v>96.614999999999995</v>
      </c>
      <c r="AJ64" s="330">
        <f t="shared" si="27"/>
        <v>96.614999999999995</v>
      </c>
      <c r="AK64" s="330">
        <f t="shared" si="28"/>
        <v>96.614999999999995</v>
      </c>
      <c r="AL64" s="330">
        <f t="shared" si="28"/>
        <v>96.614999999999995</v>
      </c>
      <c r="AM64" s="330">
        <f t="shared" si="28"/>
        <v>96.614999999999995</v>
      </c>
      <c r="AN64" s="330">
        <f t="shared" si="28"/>
        <v>96.614999999999995</v>
      </c>
      <c r="AO64" s="330">
        <f t="shared" si="28"/>
        <v>96.614999999999995</v>
      </c>
      <c r="AP64" s="330">
        <f t="shared" si="28"/>
        <v>96.614999999999995</v>
      </c>
      <c r="AQ64" s="330">
        <f t="shared" si="28"/>
        <v>96.614999999999995</v>
      </c>
      <c r="AR64" s="330">
        <f t="shared" si="28"/>
        <v>96.614999999999995</v>
      </c>
      <c r="AS64" s="330">
        <f t="shared" si="28"/>
        <v>96.614999999999995</v>
      </c>
      <c r="AT64" s="330">
        <f t="shared" si="28"/>
        <v>96.614999999999995</v>
      </c>
      <c r="AU64" s="330">
        <f t="shared" si="28"/>
        <v>96.614999999999995</v>
      </c>
      <c r="AV64" s="331">
        <v>5</v>
      </c>
    </row>
    <row r="65" spans="2:65" ht="14.4">
      <c r="B65" s="8" t="str">
        <f>Processes!D64</f>
        <v>MINSGB</v>
      </c>
      <c r="C65" s="8" t="str">
        <f>Processes!E64</f>
        <v>Mining technology - Sugar Beet</v>
      </c>
      <c r="D65" s="67"/>
      <c r="E65" s="67" t="str">
        <f t="shared" si="24"/>
        <v>SGB</v>
      </c>
      <c r="F65" s="387" t="str">
        <f t="shared" si="6"/>
        <v>MKr14</v>
      </c>
      <c r="G65" s="330">
        <f t="shared" si="25"/>
        <v>10.069999999999999</v>
      </c>
      <c r="H65" s="330">
        <f t="shared" si="25"/>
        <v>10.069999999999999</v>
      </c>
      <c r="I65" s="330">
        <f t="shared" si="25"/>
        <v>10.069999999999999</v>
      </c>
      <c r="J65" s="330">
        <f t="shared" si="25"/>
        <v>10.069999999999999</v>
      </c>
      <c r="K65" s="330">
        <f t="shared" si="25"/>
        <v>10.069999999999999</v>
      </c>
      <c r="L65" s="330">
        <f t="shared" si="25"/>
        <v>10.069999999999999</v>
      </c>
      <c r="M65" s="330">
        <f t="shared" si="25"/>
        <v>10.069999999999999</v>
      </c>
      <c r="N65" s="330">
        <f t="shared" si="25"/>
        <v>10.069999999999999</v>
      </c>
      <c r="O65" s="330">
        <f t="shared" si="25"/>
        <v>10.069999999999999</v>
      </c>
      <c r="P65" s="330">
        <f t="shared" si="25"/>
        <v>10.069999999999999</v>
      </c>
      <c r="Q65" s="330">
        <f t="shared" si="26"/>
        <v>10.069999999999999</v>
      </c>
      <c r="R65" s="330">
        <f t="shared" si="26"/>
        <v>10.069999999999999</v>
      </c>
      <c r="S65" s="330">
        <f t="shared" si="26"/>
        <v>10.069999999999999</v>
      </c>
      <c r="T65" s="330">
        <f t="shared" si="26"/>
        <v>10.069999999999999</v>
      </c>
      <c r="U65" s="330">
        <f t="shared" si="26"/>
        <v>10.069999999999999</v>
      </c>
      <c r="V65" s="330">
        <f t="shared" si="26"/>
        <v>10.069999999999999</v>
      </c>
      <c r="W65" s="330">
        <f t="shared" si="26"/>
        <v>10.069999999999999</v>
      </c>
      <c r="X65" s="330">
        <f t="shared" si="26"/>
        <v>10.069999999999999</v>
      </c>
      <c r="Y65" s="330">
        <f t="shared" si="26"/>
        <v>10.069999999999999</v>
      </c>
      <c r="Z65" s="330">
        <f t="shared" si="26"/>
        <v>10.069999999999999</v>
      </c>
      <c r="AA65" s="330">
        <f t="shared" si="27"/>
        <v>10.069999999999999</v>
      </c>
      <c r="AB65" s="330">
        <f t="shared" si="27"/>
        <v>10.069999999999999</v>
      </c>
      <c r="AC65" s="330">
        <f t="shared" si="27"/>
        <v>10.069999999999999</v>
      </c>
      <c r="AD65" s="330">
        <f t="shared" si="27"/>
        <v>10.069999999999999</v>
      </c>
      <c r="AE65" s="330">
        <f t="shared" si="27"/>
        <v>10.069999999999999</v>
      </c>
      <c r="AF65" s="330">
        <f t="shared" si="27"/>
        <v>10.069999999999999</v>
      </c>
      <c r="AG65" s="330">
        <f t="shared" si="27"/>
        <v>10.069999999999999</v>
      </c>
      <c r="AH65" s="330">
        <f t="shared" si="27"/>
        <v>10.069999999999999</v>
      </c>
      <c r="AI65" s="330">
        <f t="shared" si="27"/>
        <v>10.069999999999999</v>
      </c>
      <c r="AJ65" s="330">
        <f t="shared" si="27"/>
        <v>10.069999999999999</v>
      </c>
      <c r="AK65" s="330">
        <f t="shared" si="28"/>
        <v>10.069999999999999</v>
      </c>
      <c r="AL65" s="330">
        <f t="shared" si="28"/>
        <v>10.069999999999999</v>
      </c>
      <c r="AM65" s="330">
        <f t="shared" si="28"/>
        <v>10.069999999999999</v>
      </c>
      <c r="AN65" s="330">
        <f t="shared" si="28"/>
        <v>10.069999999999999</v>
      </c>
      <c r="AO65" s="330">
        <f t="shared" si="28"/>
        <v>10.069999999999999</v>
      </c>
      <c r="AP65" s="330">
        <f t="shared" si="28"/>
        <v>10.069999999999999</v>
      </c>
      <c r="AQ65" s="330">
        <f t="shared" si="28"/>
        <v>10.069999999999999</v>
      </c>
      <c r="AR65" s="330">
        <f t="shared" si="28"/>
        <v>10.069999999999999</v>
      </c>
      <c r="AS65" s="330">
        <f t="shared" si="28"/>
        <v>10.069999999999999</v>
      </c>
      <c r="AT65" s="330">
        <f t="shared" si="28"/>
        <v>10.069999999999999</v>
      </c>
      <c r="AU65" s="330">
        <f t="shared" si="28"/>
        <v>10.069999999999999</v>
      </c>
      <c r="AV65" s="331">
        <v>5</v>
      </c>
    </row>
    <row r="66" spans="2:65" ht="14.4">
      <c r="B66" s="8" t="str">
        <f>Processes!D65</f>
        <v>MINDLI</v>
      </c>
      <c r="C66" s="8" t="str">
        <f>Processes!E65</f>
        <v>Mining technology - Deep Litter</v>
      </c>
      <c r="D66" s="67"/>
      <c r="E66" s="67" t="str">
        <f t="shared" si="24"/>
        <v>DLI</v>
      </c>
      <c r="F66" s="387" t="str">
        <f t="shared" si="6"/>
        <v>MKr14</v>
      </c>
      <c r="G66" s="330">
        <f t="shared" ref="G66:P75" si="29">IFERROR(INDEX($G$121:$AU$176,MATCH($E66,$E$121:$E$176,0),MATCH(G$6,$G$120:$AU$120,0)),0)*$E$187</f>
        <v>9.4999999999999998E-3</v>
      </c>
      <c r="H66" s="330">
        <f t="shared" si="29"/>
        <v>9.4999999999999998E-3</v>
      </c>
      <c r="I66" s="330">
        <f t="shared" si="29"/>
        <v>9.4999999999999998E-3</v>
      </c>
      <c r="J66" s="330">
        <f t="shared" si="29"/>
        <v>9.4999999999999998E-3</v>
      </c>
      <c r="K66" s="330">
        <f t="shared" si="29"/>
        <v>9.4999999999999998E-3</v>
      </c>
      <c r="L66" s="330">
        <f t="shared" si="29"/>
        <v>9.4999999999999998E-3</v>
      </c>
      <c r="M66" s="330">
        <f t="shared" si="29"/>
        <v>9.4999999999999998E-3</v>
      </c>
      <c r="N66" s="330">
        <f t="shared" si="29"/>
        <v>9.4999999999999998E-3</v>
      </c>
      <c r="O66" s="330">
        <f t="shared" si="29"/>
        <v>9.4999999999999998E-3</v>
      </c>
      <c r="P66" s="330">
        <f t="shared" si="29"/>
        <v>9.4999999999999998E-3</v>
      </c>
      <c r="Q66" s="330">
        <f t="shared" ref="Q66:Z75" si="30">IFERROR(INDEX($G$121:$AU$176,MATCH($E66,$E$121:$E$176,0),MATCH(Q$6,$G$120:$AU$120,0)),0)*$E$187</f>
        <v>9.4999999999999998E-3</v>
      </c>
      <c r="R66" s="330">
        <f t="shared" si="30"/>
        <v>9.4999999999999998E-3</v>
      </c>
      <c r="S66" s="330">
        <f t="shared" si="30"/>
        <v>9.4999999999999998E-3</v>
      </c>
      <c r="T66" s="330">
        <f t="shared" si="30"/>
        <v>9.4999999999999998E-3</v>
      </c>
      <c r="U66" s="330">
        <f t="shared" si="30"/>
        <v>9.4999999999999998E-3</v>
      </c>
      <c r="V66" s="330">
        <f t="shared" si="30"/>
        <v>9.4999999999999998E-3</v>
      </c>
      <c r="W66" s="330">
        <f t="shared" si="30"/>
        <v>9.4999999999999998E-3</v>
      </c>
      <c r="X66" s="330">
        <f t="shared" si="30"/>
        <v>9.4999999999999998E-3</v>
      </c>
      <c r="Y66" s="330">
        <f t="shared" si="30"/>
        <v>9.4999999999999998E-3</v>
      </c>
      <c r="Z66" s="330">
        <f t="shared" si="30"/>
        <v>9.4999999999999998E-3</v>
      </c>
      <c r="AA66" s="330">
        <f t="shared" ref="AA66:AJ75" si="31">IFERROR(INDEX($G$121:$AU$176,MATCH($E66,$E$121:$E$176,0),MATCH(AA$6,$G$120:$AU$120,0)),0)*$E$187</f>
        <v>9.4999999999999998E-3</v>
      </c>
      <c r="AB66" s="330">
        <f t="shared" si="31"/>
        <v>9.4999999999999998E-3</v>
      </c>
      <c r="AC66" s="330">
        <f t="shared" si="31"/>
        <v>9.4999999999999998E-3</v>
      </c>
      <c r="AD66" s="330">
        <f t="shared" si="31"/>
        <v>9.4999999999999998E-3</v>
      </c>
      <c r="AE66" s="330">
        <f t="shared" si="31"/>
        <v>9.4999999999999998E-3</v>
      </c>
      <c r="AF66" s="330">
        <f t="shared" si="31"/>
        <v>9.4999999999999998E-3</v>
      </c>
      <c r="AG66" s="330">
        <f t="shared" si="31"/>
        <v>9.4999999999999998E-3</v>
      </c>
      <c r="AH66" s="330">
        <f t="shared" si="31"/>
        <v>9.4999999999999998E-3</v>
      </c>
      <c r="AI66" s="330">
        <f t="shared" si="31"/>
        <v>9.4999999999999998E-3</v>
      </c>
      <c r="AJ66" s="330">
        <f t="shared" si="31"/>
        <v>9.4999999999999998E-3</v>
      </c>
      <c r="AK66" s="330">
        <f t="shared" ref="AK66:AU75" si="32">IFERROR(INDEX($G$121:$AU$176,MATCH($E66,$E$121:$E$176,0),MATCH(AK$6,$G$120:$AU$120,0)),0)*$E$187</f>
        <v>9.4999999999999998E-3</v>
      </c>
      <c r="AL66" s="330">
        <f t="shared" si="32"/>
        <v>9.4999999999999998E-3</v>
      </c>
      <c r="AM66" s="330">
        <f t="shared" si="32"/>
        <v>9.4999999999999998E-3</v>
      </c>
      <c r="AN66" s="330">
        <f t="shared" si="32"/>
        <v>9.4999999999999998E-3</v>
      </c>
      <c r="AO66" s="330">
        <f t="shared" si="32"/>
        <v>9.4999999999999998E-3</v>
      </c>
      <c r="AP66" s="330">
        <f t="shared" si="32"/>
        <v>9.4999999999999998E-3</v>
      </c>
      <c r="AQ66" s="330">
        <f t="shared" si="32"/>
        <v>9.4999999999999998E-3</v>
      </c>
      <c r="AR66" s="330">
        <f t="shared" si="32"/>
        <v>9.4999999999999998E-3</v>
      </c>
      <c r="AS66" s="330">
        <f t="shared" si="32"/>
        <v>9.4999999999999998E-3</v>
      </c>
      <c r="AT66" s="330">
        <f t="shared" si="32"/>
        <v>9.4999999999999998E-3</v>
      </c>
      <c r="AU66" s="330">
        <f t="shared" si="32"/>
        <v>9.4999999999999998E-3</v>
      </c>
      <c r="AV66" s="331">
        <v>5</v>
      </c>
    </row>
    <row r="67" spans="2:65" ht="14.4">
      <c r="B67" s="8" t="str">
        <f>Processes!D66</f>
        <v>MINMNR</v>
      </c>
      <c r="C67" s="8" t="str">
        <f>Processes!E66</f>
        <v>Mining technology - Manure (Gylle)</v>
      </c>
      <c r="D67" s="67"/>
      <c r="E67" s="67" t="str">
        <f t="shared" si="24"/>
        <v>MNR</v>
      </c>
      <c r="F67" s="387" t="str">
        <f t="shared" si="6"/>
        <v>MKr14</v>
      </c>
      <c r="G67" s="330">
        <f t="shared" si="29"/>
        <v>9.4999999999999998E-3</v>
      </c>
      <c r="H67" s="330">
        <f t="shared" si="29"/>
        <v>9.4999999999999998E-3</v>
      </c>
      <c r="I67" s="330">
        <f t="shared" si="29"/>
        <v>9.4999999999999998E-3</v>
      </c>
      <c r="J67" s="330">
        <f t="shared" si="29"/>
        <v>9.4999999999999998E-3</v>
      </c>
      <c r="K67" s="330">
        <f t="shared" si="29"/>
        <v>9.4999999999999998E-3</v>
      </c>
      <c r="L67" s="330">
        <f t="shared" si="29"/>
        <v>9.4999999999999998E-3</v>
      </c>
      <c r="M67" s="330">
        <f t="shared" si="29"/>
        <v>9.4999999999999998E-3</v>
      </c>
      <c r="N67" s="330">
        <f t="shared" si="29"/>
        <v>9.4999999999999998E-3</v>
      </c>
      <c r="O67" s="330">
        <f t="shared" si="29"/>
        <v>9.4999999999999998E-3</v>
      </c>
      <c r="P67" s="330">
        <f t="shared" si="29"/>
        <v>9.4999999999999998E-3</v>
      </c>
      <c r="Q67" s="330">
        <f t="shared" si="30"/>
        <v>9.4999999999999998E-3</v>
      </c>
      <c r="R67" s="330">
        <f t="shared" si="30"/>
        <v>9.4999999999999998E-3</v>
      </c>
      <c r="S67" s="330">
        <f t="shared" si="30"/>
        <v>9.4999999999999998E-3</v>
      </c>
      <c r="T67" s="330">
        <f t="shared" si="30"/>
        <v>9.4999999999999998E-3</v>
      </c>
      <c r="U67" s="330">
        <f t="shared" si="30"/>
        <v>9.4999999999999998E-3</v>
      </c>
      <c r="V67" s="330">
        <f t="shared" si="30"/>
        <v>9.4999999999999998E-3</v>
      </c>
      <c r="W67" s="330">
        <f t="shared" si="30"/>
        <v>9.4999999999999998E-3</v>
      </c>
      <c r="X67" s="330">
        <f t="shared" si="30"/>
        <v>9.4999999999999998E-3</v>
      </c>
      <c r="Y67" s="330">
        <f t="shared" si="30"/>
        <v>9.4999999999999998E-3</v>
      </c>
      <c r="Z67" s="330">
        <f t="shared" si="30"/>
        <v>9.4999999999999998E-3</v>
      </c>
      <c r="AA67" s="330">
        <f t="shared" si="31"/>
        <v>9.4999999999999998E-3</v>
      </c>
      <c r="AB67" s="330">
        <f t="shared" si="31"/>
        <v>9.4999999999999998E-3</v>
      </c>
      <c r="AC67" s="330">
        <f t="shared" si="31"/>
        <v>9.4999999999999998E-3</v>
      </c>
      <c r="AD67" s="330">
        <f t="shared" si="31"/>
        <v>9.4999999999999998E-3</v>
      </c>
      <c r="AE67" s="330">
        <f t="shared" si="31"/>
        <v>9.4999999999999998E-3</v>
      </c>
      <c r="AF67" s="330">
        <f t="shared" si="31"/>
        <v>9.4999999999999998E-3</v>
      </c>
      <c r="AG67" s="330">
        <f t="shared" si="31"/>
        <v>9.4999999999999998E-3</v>
      </c>
      <c r="AH67" s="330">
        <f t="shared" si="31"/>
        <v>9.4999999999999998E-3</v>
      </c>
      <c r="AI67" s="330">
        <f t="shared" si="31"/>
        <v>9.4999999999999998E-3</v>
      </c>
      <c r="AJ67" s="330">
        <f t="shared" si="31"/>
        <v>9.4999999999999998E-3</v>
      </c>
      <c r="AK67" s="330">
        <f t="shared" si="32"/>
        <v>9.4999999999999998E-3</v>
      </c>
      <c r="AL67" s="330">
        <f t="shared" si="32"/>
        <v>9.4999999999999998E-3</v>
      </c>
      <c r="AM67" s="330">
        <f t="shared" si="32"/>
        <v>9.4999999999999998E-3</v>
      </c>
      <c r="AN67" s="330">
        <f t="shared" si="32"/>
        <v>9.4999999999999998E-3</v>
      </c>
      <c r="AO67" s="330">
        <f t="shared" si="32"/>
        <v>9.4999999999999998E-3</v>
      </c>
      <c r="AP67" s="330">
        <f t="shared" si="32"/>
        <v>9.4999999999999998E-3</v>
      </c>
      <c r="AQ67" s="330">
        <f t="shared" si="32"/>
        <v>9.4999999999999998E-3</v>
      </c>
      <c r="AR67" s="330">
        <f t="shared" si="32"/>
        <v>9.4999999999999998E-3</v>
      </c>
      <c r="AS67" s="330">
        <f t="shared" si="32"/>
        <v>9.4999999999999998E-3</v>
      </c>
      <c r="AT67" s="330">
        <f t="shared" si="32"/>
        <v>9.4999999999999998E-3</v>
      </c>
      <c r="AU67" s="330">
        <f t="shared" si="32"/>
        <v>9.4999999999999998E-3</v>
      </c>
      <c r="AV67" s="331">
        <v>5</v>
      </c>
      <c r="AW67" s="1"/>
      <c r="AX67" s="1"/>
      <c r="AY67" s="1"/>
      <c r="AZ67" s="1"/>
      <c r="BA67" s="1"/>
      <c r="BB67" s="1"/>
      <c r="BC67" s="1"/>
      <c r="BD67" s="1"/>
      <c r="BE67" s="1"/>
    </row>
    <row r="68" spans="2:65" ht="14.4">
      <c r="B68" s="8" t="str">
        <f>Processes!D67</f>
        <v>MINNGA</v>
      </c>
      <c r="C68" s="8" t="str">
        <f>Processes!E67</f>
        <v>Mining technology - Mining Natural Gas</v>
      </c>
      <c r="D68" s="67"/>
      <c r="E68" s="333" t="s">
        <v>632</v>
      </c>
      <c r="F68" s="387" t="str">
        <f t="shared" si="6"/>
        <v>MKr19</v>
      </c>
      <c r="G68" s="330">
        <f t="shared" si="29"/>
        <v>42.18</v>
      </c>
      <c r="H68" s="330">
        <f t="shared" si="29"/>
        <v>43.795000000000002</v>
      </c>
      <c r="I68" s="330">
        <f t="shared" si="29"/>
        <v>52.344999999999999</v>
      </c>
      <c r="J68" s="330">
        <f t="shared" si="29"/>
        <v>51.49</v>
      </c>
      <c r="K68" s="330">
        <f t="shared" si="29"/>
        <v>43.414999999999999</v>
      </c>
      <c r="L68" s="330">
        <f t="shared" si="29"/>
        <v>41.8</v>
      </c>
      <c r="M68" s="330">
        <f t="shared" si="29"/>
        <v>34.959999999999994</v>
      </c>
      <c r="N68" s="330">
        <f t="shared" si="29"/>
        <v>35.055</v>
      </c>
      <c r="O68" s="330">
        <f t="shared" si="29"/>
        <v>50.751074212757736</v>
      </c>
      <c r="P68" s="330">
        <f t="shared" si="29"/>
        <v>32.54796067858944</v>
      </c>
      <c r="Q68" s="330">
        <f t="shared" si="30"/>
        <v>31.727957487158143</v>
      </c>
      <c r="R68" s="330">
        <f t="shared" si="30"/>
        <v>29.949025524166288</v>
      </c>
      <c r="S68" s="330">
        <f t="shared" si="30"/>
        <v>31.124421190464801</v>
      </c>
      <c r="T68" s="330">
        <f t="shared" si="30"/>
        <v>31.69930389723169</v>
      </c>
      <c r="U68" s="330">
        <f t="shared" si="30"/>
        <v>31.888767724343968</v>
      </c>
      <c r="V68" s="330">
        <f t="shared" si="30"/>
        <v>31.830779289767982</v>
      </c>
      <c r="W68" s="330">
        <f t="shared" si="30"/>
        <v>31.794257244088858</v>
      </c>
      <c r="X68" s="330">
        <f t="shared" si="30"/>
        <v>31.770799731920086</v>
      </c>
      <c r="Y68" s="330">
        <f t="shared" si="30"/>
        <v>31.750709610930787</v>
      </c>
      <c r="Z68" s="330">
        <f t="shared" si="30"/>
        <v>31.743509235621186</v>
      </c>
      <c r="AA68" s="330">
        <f t="shared" si="31"/>
        <v>31.741544979889387</v>
      </c>
      <c r="AB68" s="330">
        <f t="shared" si="31"/>
        <v>31.785326421240963</v>
      </c>
      <c r="AC68" s="330">
        <f t="shared" si="31"/>
        <v>31.829107862592537</v>
      </c>
      <c r="AD68" s="330">
        <f t="shared" si="31"/>
        <v>31.872889303944106</v>
      </c>
      <c r="AE68" s="330">
        <f t="shared" si="31"/>
        <v>31.916670745295676</v>
      </c>
      <c r="AF68" s="330">
        <f t="shared" si="31"/>
        <v>31.960452186647256</v>
      </c>
      <c r="AG68" s="330">
        <f t="shared" si="31"/>
        <v>32.004233627998829</v>
      </c>
      <c r="AH68" s="330">
        <f t="shared" si="31"/>
        <v>32.048015069350392</v>
      </c>
      <c r="AI68" s="330">
        <f t="shared" si="31"/>
        <v>32.091796510701968</v>
      </c>
      <c r="AJ68" s="330">
        <f t="shared" si="31"/>
        <v>32.135577952053531</v>
      </c>
      <c r="AK68" s="330">
        <f t="shared" si="32"/>
        <v>32.179359393405107</v>
      </c>
      <c r="AL68" s="330">
        <f t="shared" si="32"/>
        <v>32.223140834756684</v>
      </c>
      <c r="AM68" s="330">
        <f t="shared" si="32"/>
        <v>32.266922276108254</v>
      </c>
      <c r="AN68" s="330">
        <f t="shared" si="32"/>
        <v>32.310703717459816</v>
      </c>
      <c r="AO68" s="330">
        <f t="shared" si="32"/>
        <v>32.354485158811393</v>
      </c>
      <c r="AP68" s="330">
        <f t="shared" si="32"/>
        <v>32.39826660016297</v>
      </c>
      <c r="AQ68" s="330">
        <f t="shared" si="32"/>
        <v>32.442048041514546</v>
      </c>
      <c r="AR68" s="330">
        <f t="shared" si="32"/>
        <v>32.485829482866109</v>
      </c>
      <c r="AS68" s="330">
        <f t="shared" si="32"/>
        <v>32.529610924217685</v>
      </c>
      <c r="AT68" s="330">
        <f t="shared" si="32"/>
        <v>32.573392365569248</v>
      </c>
      <c r="AU68" s="330">
        <f t="shared" si="32"/>
        <v>32.617173806920832</v>
      </c>
      <c r="AV68" s="331">
        <v>5</v>
      </c>
      <c r="AW68" s="467" cm="1">
        <f t="array" ref="AW68">INDEX('Energy Balance'!$D$7:$W$154,MATCH('MIN-IMP-EXP'!$B68,'Energy Balance'!$A$7:$A$154,0),MATCH('MIN-IMP-EXP'!AW$1&amp;'MIN-IMP-EXP'!AW$3,'Energy Balance'!$D$4:$W$4&amp;'Energy Balance'!$D$6:$W$6,0))/1000*INDEX('Energy Balance'!$Z$7:$AJ$155,MATCH($B68,'Energy Balance'!$A$7:$A$155,0),MATCH(AW$2,'Energy Balance'!$Z$5:$AJ$5,0))</f>
        <v>0</v>
      </c>
      <c r="AX68" s="467" cm="1">
        <f t="array" ref="AX68">INDEX('Energy Balance'!$D$7:$W$154,MATCH('MIN-IMP-EXP'!$B68,'Energy Balance'!$A$7:$A$154,0),MATCH('MIN-IMP-EXP'!AX$1&amp;'MIN-IMP-EXP'!AX$3,'Energy Balance'!$D$4:$W$4&amp;'Energy Balance'!$D$6:$W$6,0))/1000*INDEX('Energy Balance'!$Z$7:$AJ$155,MATCH($B68,'Energy Balance'!$A$7:$A$155,0),MATCH(AX$2,'Energy Balance'!$Z$5:$AJ$5,0))</f>
        <v>0</v>
      </c>
      <c r="AY68" s="467" cm="1">
        <f t="array" ref="AY68">INDEX('Energy Balance'!$D$7:$W$154,MATCH('MIN-IMP-EXP'!$B68,'Energy Balance'!$A$7:$A$154,0),MATCH('MIN-IMP-EXP'!AY$1&amp;'MIN-IMP-EXP'!AY$3,'Energy Balance'!$D$4:$W$4&amp;'Energy Balance'!$D$6:$W$6,0))/1000*INDEX('Energy Balance'!$Z$7:$AJ$155,MATCH($B68,'Energy Balance'!$A$7:$A$155,0),MATCH(AY$2,'Energy Balance'!$Z$5:$AJ$5,0))</f>
        <v>0</v>
      </c>
      <c r="AZ68" s="467" cm="1">
        <f t="array" ref="AZ68">INDEX('Energy Balance'!$D$7:$W$154,MATCH('MIN-IMP-EXP'!$B68,'Energy Balance'!$A$7:$A$154,0),MATCH('MIN-IMP-EXP'!AZ$1&amp;'MIN-IMP-EXP'!AZ$3,'Energy Balance'!$D$4:$W$4&amp;'Energy Balance'!$D$6:$W$6,0))/1000*INDEX('Energy Balance'!$Z$7:$AJ$155,MATCH($B68,'Energy Balance'!$A$7:$A$155,0),MATCH(AZ$2,'Energy Balance'!$Z$5:$AJ$5,0))</f>
        <v>0</v>
      </c>
      <c r="BA68" s="467" cm="1">
        <f t="array" ref="BA68">INDEX('Energy Balance'!$D$7:$W$154,MATCH('MIN-IMP-EXP'!$B68,'Energy Balance'!$A$7:$A$154,0),MATCH('MIN-IMP-EXP'!BA$1&amp;'MIN-IMP-EXP'!BA$3,'Energy Balance'!$D$4:$W$4&amp;'Energy Balance'!$D$6:$W$6,0))/1000*INDEX('Energy Balance'!$Z$7:$AJ$155,MATCH($B68,'Energy Balance'!$A$7:$A$155,0),MATCH(BA$2,'Energy Balance'!$Z$5:$AJ$5,0))</f>
        <v>0</v>
      </c>
      <c r="BB68" s="467" cm="1">
        <f t="array" ref="BB68">INDEX('Energy Balance'!$D$7:$W$154,MATCH('MIN-IMP-EXP'!$B68,'Energy Balance'!$A$7:$A$154,0),MATCH('MIN-IMP-EXP'!BB$1&amp;'MIN-IMP-EXP'!BB$3,'Energy Balance'!$D$4:$W$4&amp;'Energy Balance'!$D$6:$W$6,0))/1000*INDEX('Energy Balance'!$Z$7:$AJ$155,MATCH($B68,'Energy Balance'!$A$7:$A$155,0),MATCH(BB$2,'Energy Balance'!$Z$5:$AJ$5,0))</f>
        <v>0</v>
      </c>
      <c r="BC68" s="467" cm="1">
        <f t="array" ref="BC68">INDEX('Energy Balance'!$D$7:$W$154,MATCH('MIN-IMP-EXP'!$B68,'Energy Balance'!$A$7:$A$154,0),MATCH('MIN-IMP-EXP'!BC$1&amp;'MIN-IMP-EXP'!BC$3,'Energy Balance'!$D$4:$W$4&amp;'Energy Balance'!$D$6:$W$6,0))/1000*INDEX('Energy Balance'!$Z$7:$AJ$155,MATCH($B68,'Energy Balance'!$A$7:$A$155,0),MATCH(BC$2,'Energy Balance'!$Z$5:$AJ$5,0))</f>
        <v>0</v>
      </c>
      <c r="BD68" s="467" cm="1">
        <f t="array" ref="BD68">INDEX('Energy Balance'!$D$7:$W$154,MATCH('MIN-IMP-EXP'!$B68,'Energy Balance'!$A$7:$A$154,0),MATCH('MIN-IMP-EXP'!BD$1&amp;'MIN-IMP-EXP'!BD$3,'Energy Balance'!$D$4:$W$4&amp;'Energy Balance'!$D$6:$W$6,0))/1000*INDEX('Energy Balance'!$Z$7:$AJ$155,MATCH($B68,'Energy Balance'!$A$7:$A$155,0),MATCH(BD$2,'Energy Balance'!$Z$5:$AJ$5,0))</f>
        <v>0</v>
      </c>
      <c r="BE68" s="467" cm="1">
        <f t="array" ref="BE68">INDEX('Energy Balance'!$D$7:$W$154,MATCH('MIN-IMP-EXP'!$B68,'Energy Balance'!$A$7:$A$154,0),MATCH('MIN-IMP-EXP'!BE$1&amp;'MIN-IMP-EXP'!BE$3,'Energy Balance'!$D$4:$W$4&amp;'Energy Balance'!$D$6:$W$6,0))/1000*INDEX('Energy Balance'!$Z$7:$AJ$155,MATCH($B68,'Energy Balance'!$A$7:$A$155,0),MATCH(BE$2,'Energy Balance'!$Z$5:$AJ$5,0))</f>
        <v>0</v>
      </c>
      <c r="BF68" s="467" cm="1">
        <f t="array" ref="BF68">INDEX('Energy Balance'!$D$7:$W$154,MATCH('MIN-IMP-EXP'!$B68,'Energy Balance'!$A$7:$A$154,0),MATCH('MIN-IMP-EXP'!BF$1&amp;'MIN-IMP-EXP'!BF$3,'Energy Balance'!$D$4:$W$4&amp;'Energy Balance'!$D$6:$W$6,0))/1000*INDEX('Energy Balance'!$Z$7:$AJ$155,MATCH($B68,'Energy Balance'!$A$7:$A$155,0),MATCH(BF$2,'Energy Balance'!$Z$5:$AJ$5,0))</f>
        <v>0</v>
      </c>
      <c r="BG68" s="467" cm="1">
        <f t="array" ref="BG68">INDEX('Energy Balance'!$D$7:$W$154,MATCH('MIN-IMP-EXP'!$B68,'Energy Balance'!$A$7:$A$154,0),MATCH('MIN-IMP-EXP'!BG$1&amp;'MIN-IMP-EXP'!BG$3,'Energy Balance'!$D$4:$W$4&amp;'Energy Balance'!$D$6:$W$6,0))/1000*INDEX('Energy Balance'!$Z$7:$AJ$155,MATCH($B68,'Energy Balance'!$A$7:$A$155,0),MATCH(BG$2,'Energy Balance'!$Z$5:$AJ$5,0))</f>
        <v>0</v>
      </c>
      <c r="BH68" s="467" cm="1">
        <f t="array" ref="BH68">INDEX('Energy Balance'!$D$7:$W$154,MATCH('MIN-IMP-EXP'!$B68,'Energy Balance'!$A$7:$A$154,0),MATCH('MIN-IMP-EXP'!BH$1&amp;'MIN-IMP-EXP'!BH$3,'Energy Balance'!$D$4:$W$4&amp;'Energy Balance'!$D$6:$W$6,0))/1000*INDEX('Energy Balance'!$Z$7:$AJ$155,MATCH($B68,'Energy Balance'!$A$7:$A$155,0),MATCH(BH$2,'Energy Balance'!$Z$5:$AJ$5,0))</f>
        <v>0</v>
      </c>
      <c r="BI68" s="467" cm="1">
        <f t="array" ref="BI68">INDEX('Energy Balance'!$D$7:$W$154,MATCH('MIN-IMP-EXP'!$B68,'Energy Balance'!$A$7:$A$154,0),MATCH('MIN-IMP-EXP'!BI$1&amp;'MIN-IMP-EXP'!BI$3,'Energy Balance'!$D$4:$W$4&amp;'Energy Balance'!$D$6:$W$6,0))/1000*INDEX('Energy Balance'!$Z$7:$AJ$155,MATCH($B68,'Energy Balance'!$A$7:$A$155,0),MATCH(BI$2,'Energy Balance'!$Z$5:$AJ$5,0))</f>
        <v>0</v>
      </c>
      <c r="BJ68" s="467" cm="1">
        <f t="array" ref="BJ68">INDEX('Energy Balance'!$D$7:$W$154,MATCH('MIN-IMP-EXP'!$B68,'Energy Balance'!$A$7:$A$154,0),MATCH('MIN-IMP-EXP'!BJ$1&amp;'MIN-IMP-EXP'!BJ$3,'Energy Balance'!$D$4:$W$4&amp;'Energy Balance'!$D$6:$W$6,0))/1000*INDEX('Energy Balance'!$Z$7:$AJ$155,MATCH($B68,'Energy Balance'!$A$7:$A$155,0),MATCH(BJ$2,'Energy Balance'!$Z$5:$AJ$5,0))</f>
        <v>0</v>
      </c>
      <c r="BK68" s="467" cm="1">
        <f t="array" ref="BK68">INDEX('Energy Balance'!$D$7:$W$154,MATCH('MIN-IMP-EXP'!$B68,'Energy Balance'!$A$7:$A$154,0),MATCH('MIN-IMP-EXP'!BK$1&amp;'MIN-IMP-EXP'!BK$3,'Energy Balance'!$D$4:$W$4&amp;'Energy Balance'!$D$6:$W$6,0))/1000*INDEX('Energy Balance'!$Z$7:$AJ$155,MATCH($B68,'Energy Balance'!$A$7:$A$155,0),MATCH(BK$2,'Energy Balance'!$Z$5:$AJ$5,0))</f>
        <v>0</v>
      </c>
      <c r="BL68" s="467" cm="1">
        <f t="array" ref="BL68">INDEX('Energy Balance'!$D$7:$W$154,MATCH('MIN-IMP-EXP'!$B68,'Energy Balance'!$A$7:$A$154,0),MATCH('MIN-IMP-EXP'!BL$1&amp;'MIN-IMP-EXP'!BL$3,'Energy Balance'!$D$4:$W$4&amp;'Energy Balance'!$D$6:$W$6,0))/1000*INDEX('Energy Balance'!$Z$7:$AJ$155,MATCH($B68,'Energy Balance'!$A$7:$A$155,0),MATCH(BL$2,'Energy Balance'!$Z$5:$AJ$5,0))</f>
        <v>0</v>
      </c>
      <c r="BM68" s="466">
        <v>5</v>
      </c>
    </row>
    <row r="69" spans="2:65" ht="14.4">
      <c r="B69" s="8" t="str">
        <f>Processes!D68</f>
        <v>MINCRD</v>
      </c>
      <c r="C69" s="8" t="str">
        <f>Processes!E68</f>
        <v>Mining technology - Mining Crude Oil</v>
      </c>
      <c r="D69" s="67"/>
      <c r="E69" s="333" t="s">
        <v>631</v>
      </c>
      <c r="F69" s="387" t="str">
        <f t="shared" si="6"/>
        <v>MKr19</v>
      </c>
      <c r="G69" s="330">
        <f t="shared" si="29"/>
        <v>72.39</v>
      </c>
      <c r="H69" s="330">
        <f t="shared" si="29"/>
        <v>100.79499999999999</v>
      </c>
      <c r="I69" s="330">
        <f t="shared" si="29"/>
        <v>107.255</v>
      </c>
      <c r="J69" s="330">
        <f t="shared" si="29"/>
        <v>95.284999999999997</v>
      </c>
      <c r="K69" s="330">
        <f t="shared" si="29"/>
        <v>92.434999999999988</v>
      </c>
      <c r="L69" s="330">
        <f t="shared" si="29"/>
        <v>59.564999999999998</v>
      </c>
      <c r="M69" s="330">
        <f t="shared" si="29"/>
        <v>56.904999999999994</v>
      </c>
      <c r="N69" s="330">
        <f t="shared" si="29"/>
        <v>60.704999999999998</v>
      </c>
      <c r="O69" s="330">
        <f t="shared" si="29"/>
        <v>74.663266513337106</v>
      </c>
      <c r="P69" s="330">
        <f t="shared" si="29"/>
        <v>69.03441780821916</v>
      </c>
      <c r="Q69" s="330">
        <f t="shared" si="30"/>
        <v>67.631970550230122</v>
      </c>
      <c r="R69" s="330">
        <f t="shared" si="30"/>
        <v>46.72206120455769</v>
      </c>
      <c r="S69" s="330">
        <f t="shared" si="30"/>
        <v>49.952257260471079</v>
      </c>
      <c r="T69" s="330">
        <f t="shared" si="30"/>
        <v>52.145468152516102</v>
      </c>
      <c r="U69" s="330">
        <f t="shared" si="30"/>
        <v>53.739968659338345</v>
      </c>
      <c r="V69" s="330">
        <f t="shared" si="30"/>
        <v>54.897107604482805</v>
      </c>
      <c r="W69" s="330">
        <f t="shared" si="30"/>
        <v>56.188956663113622</v>
      </c>
      <c r="X69" s="330">
        <f t="shared" si="30"/>
        <v>57.454144637525566</v>
      </c>
      <c r="Y69" s="330">
        <f t="shared" si="30"/>
        <v>58.618015544439388</v>
      </c>
      <c r="Z69" s="330">
        <f t="shared" si="30"/>
        <v>59.840122211312412</v>
      </c>
      <c r="AA69" s="330">
        <f t="shared" si="31"/>
        <v>60.99866547075451</v>
      </c>
      <c r="AB69" s="330">
        <f t="shared" si="31"/>
        <v>60.706456294846689</v>
      </c>
      <c r="AC69" s="330">
        <f t="shared" si="31"/>
        <v>60.414247118938881</v>
      </c>
      <c r="AD69" s="330">
        <f t="shared" si="31"/>
        <v>60.122037943031081</v>
      </c>
      <c r="AE69" s="330">
        <f t="shared" si="31"/>
        <v>59.829828767123267</v>
      </c>
      <c r="AF69" s="330">
        <f t="shared" si="31"/>
        <v>59.537619591215467</v>
      </c>
      <c r="AG69" s="330">
        <f t="shared" si="31"/>
        <v>59.24541041530766</v>
      </c>
      <c r="AH69" s="330">
        <f t="shared" si="31"/>
        <v>58.95320123939986</v>
      </c>
      <c r="AI69" s="330">
        <f t="shared" si="31"/>
        <v>58.66099206349206</v>
      </c>
      <c r="AJ69" s="330">
        <f t="shared" si="31"/>
        <v>58.368782887584253</v>
      </c>
      <c r="AK69" s="330">
        <f t="shared" si="32"/>
        <v>58.076573711676446</v>
      </c>
      <c r="AL69" s="330">
        <f t="shared" si="32"/>
        <v>57.784364535768646</v>
      </c>
      <c r="AM69" s="330">
        <f t="shared" si="32"/>
        <v>57.492155359860831</v>
      </c>
      <c r="AN69" s="330">
        <f t="shared" si="32"/>
        <v>57.199946183953024</v>
      </c>
      <c r="AO69" s="330">
        <f t="shared" si="32"/>
        <v>56.907737008045224</v>
      </c>
      <c r="AP69" s="330">
        <f t="shared" si="32"/>
        <v>56.615527832137417</v>
      </c>
      <c r="AQ69" s="330">
        <f t="shared" si="32"/>
        <v>56.32331865622961</v>
      </c>
      <c r="AR69" s="330">
        <f t="shared" si="32"/>
        <v>56.031109480321803</v>
      </c>
      <c r="AS69" s="330">
        <f t="shared" si="32"/>
        <v>55.738900304414003</v>
      </c>
      <c r="AT69" s="330">
        <f t="shared" si="32"/>
        <v>55.446691128506195</v>
      </c>
      <c r="AU69" s="330">
        <f t="shared" si="32"/>
        <v>55.154481952598395</v>
      </c>
      <c r="AV69" s="331">
        <v>5</v>
      </c>
      <c r="AW69" s="467" cm="1">
        <f t="array" ref="AW69">INDEX('Energy Balance'!$D$7:$W$154,MATCH('MIN-IMP-EXP'!$B69,'Energy Balance'!$A$7:$A$154,0),MATCH('MIN-IMP-EXP'!AW$1&amp;'MIN-IMP-EXP'!AW$3,'Energy Balance'!$D$4:$W$4&amp;'Energy Balance'!$D$6:$W$6,0))/1000*INDEX('Energy Balance'!$Z$7:$AJ$155,MATCH($B69,'Energy Balance'!$A$7:$A$155,0),MATCH(AW$2,'Energy Balance'!$Z$5:$AJ$5,0))</f>
        <v>0</v>
      </c>
      <c r="AX69" s="467" cm="1">
        <f t="array" ref="AX69">INDEX('Energy Balance'!$D$7:$W$154,MATCH('MIN-IMP-EXP'!$B69,'Energy Balance'!$A$7:$A$154,0),MATCH('MIN-IMP-EXP'!AX$1&amp;'MIN-IMP-EXP'!AX$3,'Energy Balance'!$D$4:$W$4&amp;'Energy Balance'!$D$6:$W$6,0))/1000*INDEX('Energy Balance'!$Z$7:$AJ$155,MATCH($B69,'Energy Balance'!$A$7:$A$155,0),MATCH(AX$2,'Energy Balance'!$Z$5:$AJ$5,0))</f>
        <v>0</v>
      </c>
      <c r="AY69" s="467" cm="1">
        <f t="array" ref="AY69">INDEX('Energy Balance'!$D$7:$W$154,MATCH('MIN-IMP-EXP'!$B69,'Energy Balance'!$A$7:$A$154,0),MATCH('MIN-IMP-EXP'!AY$1&amp;'MIN-IMP-EXP'!AY$3,'Energy Balance'!$D$4:$W$4&amp;'Energy Balance'!$D$6:$W$6,0))/1000*INDEX('Energy Balance'!$Z$7:$AJ$155,MATCH($B69,'Energy Balance'!$A$7:$A$155,0),MATCH(AY$2,'Energy Balance'!$Z$5:$AJ$5,0))</f>
        <v>0</v>
      </c>
      <c r="AZ69" s="467" cm="1">
        <f t="array" ref="AZ69">INDEX('Energy Balance'!$D$7:$W$154,MATCH('MIN-IMP-EXP'!$B69,'Energy Balance'!$A$7:$A$154,0),MATCH('MIN-IMP-EXP'!AZ$1&amp;'MIN-IMP-EXP'!AZ$3,'Energy Balance'!$D$4:$W$4&amp;'Energy Balance'!$D$6:$W$6,0))/1000*INDEX('Energy Balance'!$Z$7:$AJ$155,MATCH($B69,'Energy Balance'!$A$7:$A$155,0),MATCH(AZ$2,'Energy Balance'!$Z$5:$AJ$5,0))</f>
        <v>0</v>
      </c>
      <c r="BA69" s="467" cm="1">
        <f t="array" ref="BA69">INDEX('Energy Balance'!$D$7:$W$154,MATCH('MIN-IMP-EXP'!$B69,'Energy Balance'!$A$7:$A$154,0),MATCH('MIN-IMP-EXP'!BA$1&amp;'MIN-IMP-EXP'!BA$3,'Energy Balance'!$D$4:$W$4&amp;'Energy Balance'!$D$6:$W$6,0))/1000*INDEX('Energy Balance'!$Z$7:$AJ$155,MATCH($B69,'Energy Balance'!$A$7:$A$155,0),MATCH(BA$2,'Energy Balance'!$Z$5:$AJ$5,0))</f>
        <v>0</v>
      </c>
      <c r="BB69" s="467" cm="1">
        <f t="array" ref="BB69">INDEX('Energy Balance'!$D$7:$W$154,MATCH('MIN-IMP-EXP'!$B69,'Energy Balance'!$A$7:$A$154,0),MATCH('MIN-IMP-EXP'!BB$1&amp;'MIN-IMP-EXP'!BB$3,'Energy Balance'!$D$4:$W$4&amp;'Energy Balance'!$D$6:$W$6,0))/1000*INDEX('Energy Balance'!$Z$7:$AJ$155,MATCH($B69,'Energy Balance'!$A$7:$A$155,0),MATCH(BB$2,'Energy Balance'!$Z$5:$AJ$5,0))</f>
        <v>0</v>
      </c>
      <c r="BC69" s="467" cm="1">
        <f t="array" ref="BC69">INDEX('Energy Balance'!$D$7:$W$154,MATCH('MIN-IMP-EXP'!$B69,'Energy Balance'!$A$7:$A$154,0),MATCH('MIN-IMP-EXP'!BC$1&amp;'MIN-IMP-EXP'!BC$3,'Energy Balance'!$D$4:$W$4&amp;'Energy Balance'!$D$6:$W$6,0))/1000*INDEX('Energy Balance'!$Z$7:$AJ$155,MATCH($B69,'Energy Balance'!$A$7:$A$155,0),MATCH(BC$2,'Energy Balance'!$Z$5:$AJ$5,0))</f>
        <v>0</v>
      </c>
      <c r="BD69" s="467" cm="1">
        <f t="array" ref="BD69">INDEX('Energy Balance'!$D$7:$W$154,MATCH('MIN-IMP-EXP'!$B69,'Energy Balance'!$A$7:$A$154,0),MATCH('MIN-IMP-EXP'!BD$1&amp;'MIN-IMP-EXP'!BD$3,'Energy Balance'!$D$4:$W$4&amp;'Energy Balance'!$D$6:$W$6,0))/1000*INDEX('Energy Balance'!$Z$7:$AJ$155,MATCH($B69,'Energy Balance'!$A$7:$A$155,0),MATCH(BD$2,'Energy Balance'!$Z$5:$AJ$5,0))</f>
        <v>0</v>
      </c>
      <c r="BE69" s="467" cm="1">
        <f t="array" ref="BE69">INDEX('Energy Balance'!$D$7:$W$154,MATCH('MIN-IMP-EXP'!$B69,'Energy Balance'!$A$7:$A$154,0),MATCH('MIN-IMP-EXP'!BE$1&amp;'MIN-IMP-EXP'!BE$3,'Energy Balance'!$D$4:$W$4&amp;'Energy Balance'!$D$6:$W$6,0))/1000*INDEX('Energy Balance'!$Z$7:$AJ$155,MATCH($B69,'Energy Balance'!$A$7:$A$155,0),MATCH(BE$2,'Energy Balance'!$Z$5:$AJ$5,0))</f>
        <v>0</v>
      </c>
      <c r="BF69" s="467" cm="1">
        <f t="array" ref="BF69">INDEX('Energy Balance'!$D$7:$W$154,MATCH('MIN-IMP-EXP'!$B69,'Energy Balance'!$A$7:$A$154,0),MATCH('MIN-IMP-EXP'!BF$1&amp;'MIN-IMP-EXP'!BF$3,'Energy Balance'!$D$4:$W$4&amp;'Energy Balance'!$D$6:$W$6,0))/1000*INDEX('Energy Balance'!$Z$7:$AJ$155,MATCH($B69,'Energy Balance'!$A$7:$A$155,0),MATCH(BF$2,'Energy Balance'!$Z$5:$AJ$5,0))</f>
        <v>0</v>
      </c>
      <c r="BG69" s="467" cm="1">
        <f t="array" ref="BG69">INDEX('Energy Balance'!$D$7:$W$154,MATCH('MIN-IMP-EXP'!$B69,'Energy Balance'!$A$7:$A$154,0),MATCH('MIN-IMP-EXP'!BG$1&amp;'MIN-IMP-EXP'!BG$3,'Energy Balance'!$D$4:$W$4&amp;'Energy Balance'!$D$6:$W$6,0))/1000*INDEX('Energy Balance'!$Z$7:$AJ$155,MATCH($B69,'Energy Balance'!$A$7:$A$155,0),MATCH(BG$2,'Energy Balance'!$Z$5:$AJ$5,0))</f>
        <v>0</v>
      </c>
      <c r="BH69" s="467" cm="1">
        <f t="array" ref="BH69">INDEX('Energy Balance'!$D$7:$W$154,MATCH('MIN-IMP-EXP'!$B69,'Energy Balance'!$A$7:$A$154,0),MATCH('MIN-IMP-EXP'!BH$1&amp;'MIN-IMP-EXP'!BH$3,'Energy Balance'!$D$4:$W$4&amp;'Energy Balance'!$D$6:$W$6,0))/1000*INDEX('Energy Balance'!$Z$7:$AJ$155,MATCH($B69,'Energy Balance'!$A$7:$A$155,0),MATCH(BH$2,'Energy Balance'!$Z$5:$AJ$5,0))</f>
        <v>0</v>
      </c>
      <c r="BI69" s="467" cm="1">
        <f t="array" ref="BI69">INDEX('Energy Balance'!$D$7:$W$154,MATCH('MIN-IMP-EXP'!$B69,'Energy Balance'!$A$7:$A$154,0),MATCH('MIN-IMP-EXP'!BI$1&amp;'MIN-IMP-EXP'!BI$3,'Energy Balance'!$D$4:$W$4&amp;'Energy Balance'!$D$6:$W$6,0))/1000*INDEX('Energy Balance'!$Z$7:$AJ$155,MATCH($B69,'Energy Balance'!$A$7:$A$155,0),MATCH(BI$2,'Energy Balance'!$Z$5:$AJ$5,0))</f>
        <v>0</v>
      </c>
      <c r="BJ69" s="467" cm="1">
        <f t="array" ref="BJ69">INDEX('Energy Balance'!$D$7:$W$154,MATCH('MIN-IMP-EXP'!$B69,'Energy Balance'!$A$7:$A$154,0),MATCH('MIN-IMP-EXP'!BJ$1&amp;'MIN-IMP-EXP'!BJ$3,'Energy Balance'!$D$4:$W$4&amp;'Energy Balance'!$D$6:$W$6,0))/1000*INDEX('Energy Balance'!$Z$7:$AJ$155,MATCH($B69,'Energy Balance'!$A$7:$A$155,0),MATCH(BJ$2,'Energy Balance'!$Z$5:$AJ$5,0))</f>
        <v>0</v>
      </c>
      <c r="BK69" s="467" cm="1">
        <f t="array" ref="BK69">INDEX('Energy Balance'!$D$7:$W$154,MATCH('MIN-IMP-EXP'!$B69,'Energy Balance'!$A$7:$A$154,0),MATCH('MIN-IMP-EXP'!BK$1&amp;'MIN-IMP-EXP'!BK$3,'Energy Balance'!$D$4:$W$4&amp;'Energy Balance'!$D$6:$W$6,0))/1000*INDEX('Energy Balance'!$Z$7:$AJ$155,MATCH($B69,'Energy Balance'!$A$7:$A$155,0),MATCH(BK$2,'Energy Balance'!$Z$5:$AJ$5,0))</f>
        <v>0</v>
      </c>
      <c r="BL69" s="467" cm="1">
        <f t="array" ref="BL69">INDEX('Energy Balance'!$D$7:$W$154,MATCH('MIN-IMP-EXP'!$B69,'Energy Balance'!$A$7:$A$154,0),MATCH('MIN-IMP-EXP'!BL$1&amp;'MIN-IMP-EXP'!BL$3,'Energy Balance'!$D$4:$W$4&amp;'Energy Balance'!$D$6:$W$6,0))/1000*INDEX('Energy Balance'!$Z$7:$AJ$155,MATCH($B69,'Energy Balance'!$A$7:$A$155,0),MATCH(BL$2,'Energy Balance'!$Z$5:$AJ$5,0))</f>
        <v>0</v>
      </c>
      <c r="BM69" s="466">
        <v>5</v>
      </c>
    </row>
    <row r="70" spans="2:65" ht="14.4">
      <c r="B70" s="8" t="str">
        <f>Processes!D69</f>
        <v>MINWIN</v>
      </c>
      <c r="C70" s="8" t="str">
        <f>Processes!E69</f>
        <v>Mining technology - Wind</v>
      </c>
      <c r="D70" s="67"/>
      <c r="E70" s="67" t="str">
        <f t="shared" si="24"/>
        <v>WIN</v>
      </c>
      <c r="F70" s="387" t="str">
        <f t="shared" si="6"/>
        <v>MKr19</v>
      </c>
      <c r="G70" s="330">
        <f t="shared" si="29"/>
        <v>0</v>
      </c>
      <c r="H70" s="330">
        <f t="shared" si="29"/>
        <v>0</v>
      </c>
      <c r="I70" s="330">
        <f t="shared" si="29"/>
        <v>0</v>
      </c>
      <c r="J70" s="330">
        <f t="shared" si="29"/>
        <v>0</v>
      </c>
      <c r="K70" s="330">
        <f t="shared" si="29"/>
        <v>0</v>
      </c>
      <c r="L70" s="330">
        <f t="shared" si="29"/>
        <v>0</v>
      </c>
      <c r="M70" s="330">
        <f t="shared" si="29"/>
        <v>0</v>
      </c>
      <c r="N70" s="330">
        <f t="shared" si="29"/>
        <v>0</v>
      </c>
      <c r="O70" s="330">
        <f t="shared" si="29"/>
        <v>0</v>
      </c>
      <c r="P70" s="330">
        <f t="shared" si="29"/>
        <v>0</v>
      </c>
      <c r="Q70" s="330">
        <f t="shared" si="30"/>
        <v>0</v>
      </c>
      <c r="R70" s="330">
        <f t="shared" si="30"/>
        <v>0</v>
      </c>
      <c r="S70" s="330">
        <f t="shared" si="30"/>
        <v>0</v>
      </c>
      <c r="T70" s="330">
        <f t="shared" si="30"/>
        <v>0</v>
      </c>
      <c r="U70" s="330">
        <f t="shared" si="30"/>
        <v>0</v>
      </c>
      <c r="V70" s="330">
        <f t="shared" si="30"/>
        <v>0</v>
      </c>
      <c r="W70" s="330">
        <f t="shared" si="30"/>
        <v>0</v>
      </c>
      <c r="X70" s="330">
        <f t="shared" si="30"/>
        <v>0</v>
      </c>
      <c r="Y70" s="330">
        <f t="shared" si="30"/>
        <v>0</v>
      </c>
      <c r="Z70" s="330">
        <f t="shared" si="30"/>
        <v>0</v>
      </c>
      <c r="AA70" s="330">
        <f t="shared" si="31"/>
        <v>0</v>
      </c>
      <c r="AB70" s="330">
        <f t="shared" si="31"/>
        <v>0</v>
      </c>
      <c r="AC70" s="330">
        <f t="shared" si="31"/>
        <v>0</v>
      </c>
      <c r="AD70" s="330">
        <f t="shared" si="31"/>
        <v>0</v>
      </c>
      <c r="AE70" s="330">
        <f t="shared" si="31"/>
        <v>0</v>
      </c>
      <c r="AF70" s="330">
        <f t="shared" si="31"/>
        <v>0</v>
      </c>
      <c r="AG70" s="330">
        <f t="shared" si="31"/>
        <v>0</v>
      </c>
      <c r="AH70" s="330">
        <f t="shared" si="31"/>
        <v>0</v>
      </c>
      <c r="AI70" s="330">
        <f t="shared" si="31"/>
        <v>0</v>
      </c>
      <c r="AJ70" s="330">
        <f t="shared" si="31"/>
        <v>0</v>
      </c>
      <c r="AK70" s="330">
        <f t="shared" si="32"/>
        <v>0</v>
      </c>
      <c r="AL70" s="330">
        <f t="shared" si="32"/>
        <v>0</v>
      </c>
      <c r="AM70" s="330">
        <f t="shared" si="32"/>
        <v>0</v>
      </c>
      <c r="AN70" s="330">
        <f t="shared" si="32"/>
        <v>0</v>
      </c>
      <c r="AO70" s="330">
        <f t="shared" si="32"/>
        <v>0</v>
      </c>
      <c r="AP70" s="330">
        <f t="shared" si="32"/>
        <v>0</v>
      </c>
      <c r="AQ70" s="330">
        <f t="shared" si="32"/>
        <v>0</v>
      </c>
      <c r="AR70" s="330">
        <f t="shared" si="32"/>
        <v>0</v>
      </c>
      <c r="AS70" s="330">
        <f t="shared" si="32"/>
        <v>0</v>
      </c>
      <c r="AT70" s="330">
        <f t="shared" si="32"/>
        <v>0</v>
      </c>
      <c r="AU70" s="330">
        <f t="shared" si="32"/>
        <v>0</v>
      </c>
      <c r="AV70" s="331">
        <v>5</v>
      </c>
      <c r="AW70" s="1"/>
      <c r="AX70" s="1"/>
      <c r="AY70" s="1"/>
      <c r="AZ70" s="1"/>
      <c r="BA70" s="1"/>
      <c r="BB70" s="1"/>
      <c r="BC70" s="1"/>
      <c r="BD70" s="1"/>
      <c r="BE70" s="1"/>
    </row>
    <row r="71" spans="2:65" ht="14.4">
      <c r="B71" s="8" t="str">
        <f>Processes!D70</f>
        <v>MINHYD</v>
      </c>
      <c r="C71" s="8" t="str">
        <f>Processes!E70</f>
        <v>Mining technology - Hydro</v>
      </c>
      <c r="D71" s="67"/>
      <c r="E71" s="67" t="str">
        <f t="shared" si="24"/>
        <v>HYD</v>
      </c>
      <c r="F71" s="387" t="str">
        <f t="shared" si="6"/>
        <v>MKr19</v>
      </c>
      <c r="G71" s="330">
        <f t="shared" si="29"/>
        <v>0</v>
      </c>
      <c r="H71" s="330">
        <f t="shared" si="29"/>
        <v>0</v>
      </c>
      <c r="I71" s="330">
        <f t="shared" si="29"/>
        <v>0</v>
      </c>
      <c r="J71" s="330">
        <f t="shared" si="29"/>
        <v>0</v>
      </c>
      <c r="K71" s="330">
        <f t="shared" si="29"/>
        <v>0</v>
      </c>
      <c r="L71" s="330">
        <f t="shared" si="29"/>
        <v>0</v>
      </c>
      <c r="M71" s="330">
        <f t="shared" si="29"/>
        <v>0</v>
      </c>
      <c r="N71" s="330">
        <f t="shared" si="29"/>
        <v>0</v>
      </c>
      <c r="O71" s="330">
        <f t="shared" si="29"/>
        <v>0</v>
      </c>
      <c r="P71" s="330">
        <f t="shared" si="29"/>
        <v>0</v>
      </c>
      <c r="Q71" s="330">
        <f t="shared" si="30"/>
        <v>0</v>
      </c>
      <c r="R71" s="330">
        <f t="shared" si="30"/>
        <v>0</v>
      </c>
      <c r="S71" s="330">
        <f t="shared" si="30"/>
        <v>0</v>
      </c>
      <c r="T71" s="330">
        <f t="shared" si="30"/>
        <v>0</v>
      </c>
      <c r="U71" s="330">
        <f t="shared" si="30"/>
        <v>0</v>
      </c>
      <c r="V71" s="330">
        <f t="shared" si="30"/>
        <v>0</v>
      </c>
      <c r="W71" s="330">
        <f t="shared" si="30"/>
        <v>0</v>
      </c>
      <c r="X71" s="330">
        <f t="shared" si="30"/>
        <v>0</v>
      </c>
      <c r="Y71" s="330">
        <f t="shared" si="30"/>
        <v>0</v>
      </c>
      <c r="Z71" s="330">
        <f t="shared" si="30"/>
        <v>0</v>
      </c>
      <c r="AA71" s="330">
        <f t="shared" si="31"/>
        <v>0</v>
      </c>
      <c r="AB71" s="330">
        <f t="shared" si="31"/>
        <v>0</v>
      </c>
      <c r="AC71" s="330">
        <f t="shared" si="31"/>
        <v>0</v>
      </c>
      <c r="AD71" s="330">
        <f t="shared" si="31"/>
        <v>0</v>
      </c>
      <c r="AE71" s="330">
        <f t="shared" si="31"/>
        <v>0</v>
      </c>
      <c r="AF71" s="330">
        <f t="shared" si="31"/>
        <v>0</v>
      </c>
      <c r="AG71" s="330">
        <f t="shared" si="31"/>
        <v>0</v>
      </c>
      <c r="AH71" s="330">
        <f t="shared" si="31"/>
        <v>0</v>
      </c>
      <c r="AI71" s="330">
        <f t="shared" si="31"/>
        <v>0</v>
      </c>
      <c r="AJ71" s="330">
        <f t="shared" si="31"/>
        <v>0</v>
      </c>
      <c r="AK71" s="330">
        <f t="shared" si="32"/>
        <v>0</v>
      </c>
      <c r="AL71" s="330">
        <f t="shared" si="32"/>
        <v>0</v>
      </c>
      <c r="AM71" s="330">
        <f t="shared" si="32"/>
        <v>0</v>
      </c>
      <c r="AN71" s="330">
        <f t="shared" si="32"/>
        <v>0</v>
      </c>
      <c r="AO71" s="330">
        <f t="shared" si="32"/>
        <v>0</v>
      </c>
      <c r="AP71" s="330">
        <f t="shared" si="32"/>
        <v>0</v>
      </c>
      <c r="AQ71" s="330">
        <f t="shared" si="32"/>
        <v>0</v>
      </c>
      <c r="AR71" s="330">
        <f t="shared" si="32"/>
        <v>0</v>
      </c>
      <c r="AS71" s="330">
        <f t="shared" si="32"/>
        <v>0</v>
      </c>
      <c r="AT71" s="330">
        <f t="shared" si="32"/>
        <v>0</v>
      </c>
      <c r="AU71" s="330">
        <f t="shared" si="32"/>
        <v>0</v>
      </c>
      <c r="AV71" s="331">
        <v>5</v>
      </c>
    </row>
    <row r="72" spans="2:65" ht="14.4">
      <c r="B72" s="8" t="str">
        <f>Processes!D71</f>
        <v>MINSOL</v>
      </c>
      <c r="C72" s="8" t="str">
        <f>Processes!E71</f>
        <v>Mining technology - Solar</v>
      </c>
      <c r="D72" s="67"/>
      <c r="E72" s="67" t="str">
        <f t="shared" si="24"/>
        <v>SOL</v>
      </c>
      <c r="F72" s="387" t="str">
        <f t="shared" si="6"/>
        <v>MKr19</v>
      </c>
      <c r="G72" s="330">
        <f t="shared" si="29"/>
        <v>0</v>
      </c>
      <c r="H72" s="330">
        <f t="shared" si="29"/>
        <v>0</v>
      </c>
      <c r="I72" s="330">
        <f t="shared" si="29"/>
        <v>0</v>
      </c>
      <c r="J72" s="330">
        <f t="shared" si="29"/>
        <v>0</v>
      </c>
      <c r="K72" s="330">
        <f t="shared" si="29"/>
        <v>0</v>
      </c>
      <c r="L72" s="330">
        <f t="shared" si="29"/>
        <v>0</v>
      </c>
      <c r="M72" s="330">
        <f t="shared" si="29"/>
        <v>0</v>
      </c>
      <c r="N72" s="330">
        <f t="shared" si="29"/>
        <v>0</v>
      </c>
      <c r="O72" s="330">
        <f t="shared" si="29"/>
        <v>0</v>
      </c>
      <c r="P72" s="330">
        <f t="shared" si="29"/>
        <v>0</v>
      </c>
      <c r="Q72" s="330">
        <f t="shared" si="30"/>
        <v>0</v>
      </c>
      <c r="R72" s="330">
        <f t="shared" si="30"/>
        <v>0</v>
      </c>
      <c r="S72" s="330">
        <f t="shared" si="30"/>
        <v>0</v>
      </c>
      <c r="T72" s="330">
        <f t="shared" si="30"/>
        <v>0</v>
      </c>
      <c r="U72" s="330">
        <f t="shared" si="30"/>
        <v>0</v>
      </c>
      <c r="V72" s="330">
        <f t="shared" si="30"/>
        <v>0</v>
      </c>
      <c r="W72" s="330">
        <f t="shared" si="30"/>
        <v>0</v>
      </c>
      <c r="X72" s="330">
        <f t="shared" si="30"/>
        <v>0</v>
      </c>
      <c r="Y72" s="330">
        <f t="shared" si="30"/>
        <v>0</v>
      </c>
      <c r="Z72" s="330">
        <f t="shared" si="30"/>
        <v>0</v>
      </c>
      <c r="AA72" s="330">
        <f t="shared" si="31"/>
        <v>0</v>
      </c>
      <c r="AB72" s="330">
        <f t="shared" si="31"/>
        <v>0</v>
      </c>
      <c r="AC72" s="330">
        <f t="shared" si="31"/>
        <v>0</v>
      </c>
      <c r="AD72" s="330">
        <f t="shared" si="31"/>
        <v>0</v>
      </c>
      <c r="AE72" s="330">
        <f t="shared" si="31"/>
        <v>0</v>
      </c>
      <c r="AF72" s="330">
        <f t="shared" si="31"/>
        <v>0</v>
      </c>
      <c r="AG72" s="330">
        <f t="shared" si="31"/>
        <v>0</v>
      </c>
      <c r="AH72" s="330">
        <f t="shared" si="31"/>
        <v>0</v>
      </c>
      <c r="AI72" s="330">
        <f t="shared" si="31"/>
        <v>0</v>
      </c>
      <c r="AJ72" s="330">
        <f t="shared" si="31"/>
        <v>0</v>
      </c>
      <c r="AK72" s="330">
        <f t="shared" si="32"/>
        <v>0</v>
      </c>
      <c r="AL72" s="330">
        <f t="shared" si="32"/>
        <v>0</v>
      </c>
      <c r="AM72" s="330">
        <f t="shared" si="32"/>
        <v>0</v>
      </c>
      <c r="AN72" s="330">
        <f t="shared" si="32"/>
        <v>0</v>
      </c>
      <c r="AO72" s="330">
        <f t="shared" si="32"/>
        <v>0</v>
      </c>
      <c r="AP72" s="330">
        <f t="shared" si="32"/>
        <v>0</v>
      </c>
      <c r="AQ72" s="330">
        <f t="shared" si="32"/>
        <v>0</v>
      </c>
      <c r="AR72" s="330">
        <f t="shared" si="32"/>
        <v>0</v>
      </c>
      <c r="AS72" s="330">
        <f t="shared" si="32"/>
        <v>0</v>
      </c>
      <c r="AT72" s="330">
        <f t="shared" si="32"/>
        <v>0</v>
      </c>
      <c r="AU72" s="330">
        <f t="shared" si="32"/>
        <v>0</v>
      </c>
      <c r="AV72" s="331">
        <v>5</v>
      </c>
    </row>
    <row r="73" spans="2:65" ht="14.4">
      <c r="B73" s="8" t="str">
        <f>Processes!D72</f>
        <v>MINGEO</v>
      </c>
      <c r="C73" s="8" t="str">
        <f>Processes!E72</f>
        <v>Mining technology - Geothermal</v>
      </c>
      <c r="D73" s="67"/>
      <c r="E73" s="67" t="str">
        <f t="shared" si="24"/>
        <v>GEO</v>
      </c>
      <c r="F73" s="387" t="str">
        <f t="shared" si="6"/>
        <v>MKr19</v>
      </c>
      <c r="G73" s="330">
        <f t="shared" si="29"/>
        <v>0</v>
      </c>
      <c r="H73" s="330">
        <f t="shared" si="29"/>
        <v>0</v>
      </c>
      <c r="I73" s="330">
        <f t="shared" si="29"/>
        <v>0</v>
      </c>
      <c r="J73" s="330">
        <f t="shared" si="29"/>
        <v>0</v>
      </c>
      <c r="K73" s="330">
        <f t="shared" si="29"/>
        <v>0</v>
      </c>
      <c r="L73" s="330">
        <f t="shared" si="29"/>
        <v>0</v>
      </c>
      <c r="M73" s="330">
        <f t="shared" si="29"/>
        <v>0</v>
      </c>
      <c r="N73" s="330">
        <f t="shared" si="29"/>
        <v>0</v>
      </c>
      <c r="O73" s="330">
        <f t="shared" si="29"/>
        <v>0</v>
      </c>
      <c r="P73" s="330">
        <f t="shared" si="29"/>
        <v>0</v>
      </c>
      <c r="Q73" s="330">
        <f t="shared" si="30"/>
        <v>0</v>
      </c>
      <c r="R73" s="330">
        <f t="shared" si="30"/>
        <v>0</v>
      </c>
      <c r="S73" s="330">
        <f t="shared" si="30"/>
        <v>0</v>
      </c>
      <c r="T73" s="330">
        <f t="shared" si="30"/>
        <v>0</v>
      </c>
      <c r="U73" s="330">
        <f t="shared" si="30"/>
        <v>0</v>
      </c>
      <c r="V73" s="330">
        <f t="shared" si="30"/>
        <v>0</v>
      </c>
      <c r="W73" s="330">
        <f t="shared" si="30"/>
        <v>0</v>
      </c>
      <c r="X73" s="330">
        <f t="shared" si="30"/>
        <v>0</v>
      </c>
      <c r="Y73" s="330">
        <f t="shared" si="30"/>
        <v>0</v>
      </c>
      <c r="Z73" s="330">
        <f t="shared" si="30"/>
        <v>0</v>
      </c>
      <c r="AA73" s="330">
        <f t="shared" si="31"/>
        <v>0</v>
      </c>
      <c r="AB73" s="330">
        <f t="shared" si="31"/>
        <v>0</v>
      </c>
      <c r="AC73" s="330">
        <f t="shared" si="31"/>
        <v>0</v>
      </c>
      <c r="AD73" s="330">
        <f t="shared" si="31"/>
        <v>0</v>
      </c>
      <c r="AE73" s="330">
        <f t="shared" si="31"/>
        <v>0</v>
      </c>
      <c r="AF73" s="330">
        <f t="shared" si="31"/>
        <v>0</v>
      </c>
      <c r="AG73" s="330">
        <f t="shared" si="31"/>
        <v>0</v>
      </c>
      <c r="AH73" s="330">
        <f t="shared" si="31"/>
        <v>0</v>
      </c>
      <c r="AI73" s="330">
        <f t="shared" si="31"/>
        <v>0</v>
      </c>
      <c r="AJ73" s="330">
        <f t="shared" si="31"/>
        <v>0</v>
      </c>
      <c r="AK73" s="330">
        <f t="shared" si="32"/>
        <v>0</v>
      </c>
      <c r="AL73" s="330">
        <f t="shared" si="32"/>
        <v>0</v>
      </c>
      <c r="AM73" s="330">
        <f t="shared" si="32"/>
        <v>0</v>
      </c>
      <c r="AN73" s="330">
        <f t="shared" si="32"/>
        <v>0</v>
      </c>
      <c r="AO73" s="330">
        <f t="shared" si="32"/>
        <v>0</v>
      </c>
      <c r="AP73" s="330">
        <f t="shared" si="32"/>
        <v>0</v>
      </c>
      <c r="AQ73" s="330">
        <f t="shared" si="32"/>
        <v>0</v>
      </c>
      <c r="AR73" s="330">
        <f t="shared" si="32"/>
        <v>0</v>
      </c>
      <c r="AS73" s="330">
        <f t="shared" si="32"/>
        <v>0</v>
      </c>
      <c r="AT73" s="330">
        <f t="shared" si="32"/>
        <v>0</v>
      </c>
      <c r="AU73" s="330">
        <f t="shared" si="32"/>
        <v>0</v>
      </c>
      <c r="AV73" s="331">
        <v>5</v>
      </c>
    </row>
    <row r="74" spans="2:65" ht="14.4">
      <c r="B74" s="8" t="str">
        <f>Processes!D73</f>
        <v>MINWAV</v>
      </c>
      <c r="C74" s="8" t="str">
        <f>Processes!E73</f>
        <v>Mining technology - Wave</v>
      </c>
      <c r="D74" s="67"/>
      <c r="E74" s="67" t="str">
        <f t="shared" si="24"/>
        <v>WAV</v>
      </c>
      <c r="F74" s="387" t="str">
        <f t="shared" si="6"/>
        <v>MKr19</v>
      </c>
      <c r="G74" s="330">
        <f t="shared" si="29"/>
        <v>0</v>
      </c>
      <c r="H74" s="330">
        <f t="shared" si="29"/>
        <v>0</v>
      </c>
      <c r="I74" s="330">
        <f t="shared" si="29"/>
        <v>0</v>
      </c>
      <c r="J74" s="330">
        <f t="shared" si="29"/>
        <v>0</v>
      </c>
      <c r="K74" s="330">
        <f t="shared" si="29"/>
        <v>0</v>
      </c>
      <c r="L74" s="330">
        <f t="shared" si="29"/>
        <v>0</v>
      </c>
      <c r="M74" s="330">
        <f t="shared" si="29"/>
        <v>0</v>
      </c>
      <c r="N74" s="330">
        <f t="shared" si="29"/>
        <v>0</v>
      </c>
      <c r="O74" s="330">
        <f t="shared" si="29"/>
        <v>0</v>
      </c>
      <c r="P74" s="330">
        <f t="shared" si="29"/>
        <v>0</v>
      </c>
      <c r="Q74" s="330">
        <f t="shared" si="30"/>
        <v>0</v>
      </c>
      <c r="R74" s="330">
        <f t="shared" si="30"/>
        <v>0</v>
      </c>
      <c r="S74" s="330">
        <f t="shared" si="30"/>
        <v>0</v>
      </c>
      <c r="T74" s="330">
        <f t="shared" si="30"/>
        <v>0</v>
      </c>
      <c r="U74" s="330">
        <f t="shared" si="30"/>
        <v>0</v>
      </c>
      <c r="V74" s="330">
        <f t="shared" si="30"/>
        <v>0</v>
      </c>
      <c r="W74" s="330">
        <f t="shared" si="30"/>
        <v>0</v>
      </c>
      <c r="X74" s="330">
        <f t="shared" si="30"/>
        <v>0</v>
      </c>
      <c r="Y74" s="330">
        <f t="shared" si="30"/>
        <v>0</v>
      </c>
      <c r="Z74" s="330">
        <f t="shared" si="30"/>
        <v>0</v>
      </c>
      <c r="AA74" s="330">
        <f t="shared" si="31"/>
        <v>0</v>
      </c>
      <c r="AB74" s="330">
        <f t="shared" si="31"/>
        <v>0</v>
      </c>
      <c r="AC74" s="330">
        <f t="shared" si="31"/>
        <v>0</v>
      </c>
      <c r="AD74" s="330">
        <f t="shared" si="31"/>
        <v>0</v>
      </c>
      <c r="AE74" s="330">
        <f t="shared" si="31"/>
        <v>0</v>
      </c>
      <c r="AF74" s="330">
        <f t="shared" si="31"/>
        <v>0</v>
      </c>
      <c r="AG74" s="330">
        <f t="shared" si="31"/>
        <v>0</v>
      </c>
      <c r="AH74" s="330">
        <f t="shared" si="31"/>
        <v>0</v>
      </c>
      <c r="AI74" s="330">
        <f t="shared" si="31"/>
        <v>0</v>
      </c>
      <c r="AJ74" s="330">
        <f t="shared" si="31"/>
        <v>0</v>
      </c>
      <c r="AK74" s="330">
        <f t="shared" si="32"/>
        <v>0</v>
      </c>
      <c r="AL74" s="330">
        <f t="shared" si="32"/>
        <v>0</v>
      </c>
      <c r="AM74" s="330">
        <f t="shared" si="32"/>
        <v>0</v>
      </c>
      <c r="AN74" s="330">
        <f t="shared" si="32"/>
        <v>0</v>
      </c>
      <c r="AO74" s="330">
        <f t="shared" si="32"/>
        <v>0</v>
      </c>
      <c r="AP74" s="330">
        <f t="shared" si="32"/>
        <v>0</v>
      </c>
      <c r="AQ74" s="330">
        <f t="shared" si="32"/>
        <v>0</v>
      </c>
      <c r="AR74" s="330">
        <f t="shared" si="32"/>
        <v>0</v>
      </c>
      <c r="AS74" s="330">
        <f t="shared" si="32"/>
        <v>0</v>
      </c>
      <c r="AT74" s="330">
        <f t="shared" si="32"/>
        <v>0</v>
      </c>
      <c r="AU74" s="330">
        <f t="shared" si="32"/>
        <v>0</v>
      </c>
      <c r="AV74" s="331">
        <v>5</v>
      </c>
    </row>
    <row r="75" spans="2:65" ht="14.4">
      <c r="B75" s="407" t="str">
        <f>Processes!D74</f>
        <v>MINMOV</v>
      </c>
      <c r="C75" s="407" t="str">
        <f>Processes!E74</f>
        <v>Mining technology - Movement - Dummy commodity for bike and walk</v>
      </c>
      <c r="D75" s="408"/>
      <c r="E75" s="408" t="str">
        <f t="shared" si="24"/>
        <v>MOV</v>
      </c>
      <c r="F75" s="387" t="str">
        <f t="shared" si="6"/>
        <v>MKr19</v>
      </c>
      <c r="G75" s="409">
        <f t="shared" si="29"/>
        <v>0</v>
      </c>
      <c r="H75" s="409">
        <f t="shared" si="29"/>
        <v>0</v>
      </c>
      <c r="I75" s="409">
        <f t="shared" si="29"/>
        <v>0</v>
      </c>
      <c r="J75" s="409">
        <f t="shared" si="29"/>
        <v>0</v>
      </c>
      <c r="K75" s="409">
        <f t="shared" si="29"/>
        <v>0</v>
      </c>
      <c r="L75" s="409">
        <f t="shared" si="29"/>
        <v>0</v>
      </c>
      <c r="M75" s="409">
        <f t="shared" si="29"/>
        <v>0</v>
      </c>
      <c r="N75" s="409">
        <f t="shared" si="29"/>
        <v>0</v>
      </c>
      <c r="O75" s="409">
        <f t="shared" si="29"/>
        <v>0</v>
      </c>
      <c r="P75" s="409">
        <f t="shared" si="29"/>
        <v>0</v>
      </c>
      <c r="Q75" s="409">
        <f t="shared" si="30"/>
        <v>0</v>
      </c>
      <c r="R75" s="409">
        <f t="shared" si="30"/>
        <v>0</v>
      </c>
      <c r="S75" s="409">
        <f t="shared" si="30"/>
        <v>0</v>
      </c>
      <c r="T75" s="409">
        <f t="shared" si="30"/>
        <v>0</v>
      </c>
      <c r="U75" s="409">
        <f t="shared" si="30"/>
        <v>0</v>
      </c>
      <c r="V75" s="409">
        <f t="shared" si="30"/>
        <v>0</v>
      </c>
      <c r="W75" s="409">
        <f t="shared" si="30"/>
        <v>0</v>
      </c>
      <c r="X75" s="409">
        <f t="shared" si="30"/>
        <v>0</v>
      </c>
      <c r="Y75" s="409">
        <f t="shared" si="30"/>
        <v>0</v>
      </c>
      <c r="Z75" s="409">
        <f t="shared" si="30"/>
        <v>0</v>
      </c>
      <c r="AA75" s="409">
        <f t="shared" si="31"/>
        <v>0</v>
      </c>
      <c r="AB75" s="409">
        <f t="shared" si="31"/>
        <v>0</v>
      </c>
      <c r="AC75" s="409">
        <f t="shared" si="31"/>
        <v>0</v>
      </c>
      <c r="AD75" s="409">
        <f t="shared" si="31"/>
        <v>0</v>
      </c>
      <c r="AE75" s="409">
        <f t="shared" si="31"/>
        <v>0</v>
      </c>
      <c r="AF75" s="409">
        <f t="shared" si="31"/>
        <v>0</v>
      </c>
      <c r="AG75" s="409">
        <f t="shared" si="31"/>
        <v>0</v>
      </c>
      <c r="AH75" s="409">
        <f t="shared" si="31"/>
        <v>0</v>
      </c>
      <c r="AI75" s="409">
        <f t="shared" si="31"/>
        <v>0</v>
      </c>
      <c r="AJ75" s="409">
        <f t="shared" si="31"/>
        <v>0</v>
      </c>
      <c r="AK75" s="409">
        <f t="shared" si="32"/>
        <v>0</v>
      </c>
      <c r="AL75" s="409">
        <f t="shared" si="32"/>
        <v>0</v>
      </c>
      <c r="AM75" s="409">
        <f t="shared" si="32"/>
        <v>0</v>
      </c>
      <c r="AN75" s="409">
        <f t="shared" si="32"/>
        <v>0</v>
      </c>
      <c r="AO75" s="409">
        <f t="shared" si="32"/>
        <v>0</v>
      </c>
      <c r="AP75" s="409">
        <f t="shared" si="32"/>
        <v>0</v>
      </c>
      <c r="AQ75" s="409">
        <f t="shared" si="32"/>
        <v>0</v>
      </c>
      <c r="AR75" s="409">
        <f t="shared" si="32"/>
        <v>0</v>
      </c>
      <c r="AS75" s="409">
        <f t="shared" si="32"/>
        <v>0</v>
      </c>
      <c r="AT75" s="409">
        <f t="shared" si="32"/>
        <v>0</v>
      </c>
      <c r="AU75" s="409">
        <f t="shared" si="32"/>
        <v>0</v>
      </c>
      <c r="AV75" s="331">
        <v>5</v>
      </c>
    </row>
    <row r="76" spans="2:65" ht="14.4">
      <c r="B76" s="8" t="str">
        <f>Processes!D75</f>
        <v>EXPCOA</v>
      </c>
      <c r="C76" s="8" t="str">
        <f>Processes!E75</f>
        <v>Export technology - Coal</v>
      </c>
      <c r="D76" s="67" t="str">
        <f>IF(LEN(B76)=6,RIGHT(B76,3),RIGHT(B76,4))</f>
        <v>COA</v>
      </c>
      <c r="E76" s="331"/>
      <c r="F76" s="387" t="str">
        <f>IFERROR(VLOOKUP(D76,$E$121:$F$173,2,FALSE),"MKr19")</f>
        <v>MKr19</v>
      </c>
      <c r="G76" s="330">
        <f t="shared" ref="G76:V85" si="33">IFERROR(INDEX($G$121:$AU$176,MATCH($D76,$E$121:$E$176,0),MATCH(G$6,$G$120:$AU$120,0)),0)*$E$192</f>
        <v>21.945</v>
      </c>
      <c r="H76" s="330">
        <f t="shared" si="33"/>
        <v>26.314999999999998</v>
      </c>
      <c r="I76" s="330">
        <f t="shared" si="33"/>
        <v>22.704999999999998</v>
      </c>
      <c r="J76" s="330">
        <f t="shared" si="33"/>
        <v>19.285</v>
      </c>
      <c r="K76" s="330">
        <f t="shared" si="33"/>
        <v>16.34</v>
      </c>
      <c r="L76" s="330">
        <f t="shared" si="33"/>
        <v>14.914999999999999</v>
      </c>
      <c r="M76" s="330">
        <f t="shared" si="33"/>
        <v>11.589999999999998</v>
      </c>
      <c r="N76" s="330">
        <f t="shared" si="33"/>
        <v>11.114999999999998</v>
      </c>
      <c r="O76" s="330">
        <f t="shared" si="33"/>
        <v>21.78900632162258</v>
      </c>
      <c r="P76" s="330">
        <f t="shared" si="33"/>
        <v>14.756127705880644</v>
      </c>
      <c r="Q76" s="330">
        <f t="shared" si="33"/>
        <v>12.283074295108483</v>
      </c>
      <c r="R76" s="330">
        <f t="shared" si="33"/>
        <v>12.507756006608648</v>
      </c>
      <c r="S76" s="330">
        <f t="shared" si="33"/>
        <v>12.989799807358731</v>
      </c>
      <c r="T76" s="330">
        <f t="shared" si="33"/>
        <v>13.465230349692069</v>
      </c>
      <c r="U76" s="330">
        <f t="shared" si="33"/>
        <v>13.915030684931427</v>
      </c>
      <c r="V76" s="330">
        <f t="shared" si="33"/>
        <v>13.851853886698651</v>
      </c>
      <c r="W76" s="330">
        <f t="shared" ref="H76:AU82" si="34">IFERROR(INDEX($G$121:$AU$176,MATCH($D76,$E$121:$E$176,0),MATCH(W$6,$G$120:$AU$120,0)),0)*$E$192</f>
        <v>13.80507556918923</v>
      </c>
      <c r="X76" s="330">
        <f t="shared" si="34"/>
        <v>13.753369063433919</v>
      </c>
      <c r="Y76" s="330">
        <f t="shared" si="34"/>
        <v>13.692531115779898</v>
      </c>
      <c r="Z76" s="330">
        <f t="shared" si="34"/>
        <v>13.626765425212151</v>
      </c>
      <c r="AA76" s="330">
        <f t="shared" si="34"/>
        <v>13.553177994478832</v>
      </c>
      <c r="AB76" s="330">
        <f t="shared" si="34"/>
        <v>13.519158410926833</v>
      </c>
      <c r="AC76" s="330">
        <f t="shared" si="34"/>
        <v>13.485285401041429</v>
      </c>
      <c r="AD76" s="330">
        <f t="shared" si="34"/>
        <v>13.451158746657704</v>
      </c>
      <c r="AE76" s="330">
        <f t="shared" si="34"/>
        <v>13.417185755155389</v>
      </c>
      <c r="AF76" s="330">
        <f t="shared" si="34"/>
        <v>13.383193406292561</v>
      </c>
      <c r="AG76" s="330">
        <f t="shared" si="34"/>
        <v>13.349386406163774</v>
      </c>
      <c r="AH76" s="330">
        <f t="shared" si="34"/>
        <v>13.315362687933581</v>
      </c>
      <c r="AI76" s="330">
        <f t="shared" si="34"/>
        <v>13.281485201433636</v>
      </c>
      <c r="AJ76" s="330">
        <f t="shared" si="34"/>
        <v>13.247421773855388</v>
      </c>
      <c r="AK76" s="330">
        <f t="shared" si="34"/>
        <v>13.213418778043801</v>
      </c>
      <c r="AL76" s="330">
        <f t="shared" si="34"/>
        <v>13.179415681273062</v>
      </c>
      <c r="AM76" s="330">
        <f t="shared" si="34"/>
        <v>13.144779930167507</v>
      </c>
      <c r="AN76" s="330">
        <f t="shared" si="34"/>
        <v>13.110143029498113</v>
      </c>
      <c r="AO76" s="330">
        <f t="shared" si="34"/>
        <v>13.075504977795086</v>
      </c>
      <c r="AP76" s="330">
        <f t="shared" si="34"/>
        <v>13.040865773586766</v>
      </c>
      <c r="AQ76" s="330">
        <f t="shared" si="34"/>
        <v>13.006225415399589</v>
      </c>
      <c r="AR76" s="330">
        <f t="shared" si="34"/>
        <v>12.971583901758121</v>
      </c>
      <c r="AS76" s="330">
        <f t="shared" si="34"/>
        <v>12.936941231185042</v>
      </c>
      <c r="AT76" s="330">
        <f t="shared" si="34"/>
        <v>12.902297402201137</v>
      </c>
      <c r="AU76" s="330">
        <f t="shared" si="34"/>
        <v>12.867652413325308</v>
      </c>
      <c r="AV76" s="331">
        <v>5</v>
      </c>
      <c r="AW76" s="467" cm="1">
        <f t="array" ref="AW76">INDEX('Energy Balance'!$D$7:$W$154,MATCH('MIN-IMP-EXP'!$B76,'Energy Balance'!$A$7:$A$154,0),MATCH('MIN-IMP-EXP'!AW$1&amp;'MIN-IMP-EXP'!AW$3,'Energy Balance'!$D$4:$W$4&amp;'Energy Balance'!$D$6:$W$6,0))/1000*INDEX('Energy Balance'!$Z$7:$AJ$155,MATCH($B76,'Energy Balance'!$A$7:$A$155,0),MATCH(AW$2,'Energy Balance'!$Z$5:$AJ$5,0))</f>
        <v>3.0444972895746086E-2</v>
      </c>
      <c r="AX76" s="467" cm="1">
        <f t="array" ref="AX76">INDEX('Energy Balance'!$D$7:$W$154,MATCH('MIN-IMP-EXP'!$B76,'Energy Balance'!$A$7:$A$154,0),MATCH('MIN-IMP-EXP'!AX$1&amp;'MIN-IMP-EXP'!AX$3,'Energy Balance'!$D$4:$W$4&amp;'Energy Balance'!$D$6:$W$6,0))/1000*INDEX('Energy Balance'!$Z$7:$AJ$155,MATCH($B76,'Energy Balance'!$A$7:$A$155,0),MATCH(AX$2,'Energy Balance'!$Z$5:$AJ$5,0))</f>
        <v>7.5249552006304468E-2</v>
      </c>
      <c r="AY76" s="467" cm="1">
        <f t="array" ref="AY76">INDEX('Energy Balance'!$D$7:$W$154,MATCH('MIN-IMP-EXP'!$B76,'Energy Balance'!$A$7:$A$154,0),MATCH('MIN-IMP-EXP'!AY$1&amp;'MIN-IMP-EXP'!AY$3,'Energy Balance'!$D$4:$W$4&amp;'Energy Balance'!$D$6:$W$6,0))/1000*INDEX('Energy Balance'!$Z$7:$AJ$155,MATCH($B76,'Energy Balance'!$A$7:$A$155,0),MATCH(AY$2,'Energy Balance'!$Z$5:$AJ$5,0))</f>
        <v>0.63703057550164255</v>
      </c>
      <c r="AZ76" s="467" cm="1">
        <f t="array" ref="AZ76">INDEX('Energy Balance'!$D$7:$W$154,MATCH('MIN-IMP-EXP'!$B76,'Energy Balance'!$A$7:$A$154,0),MATCH('MIN-IMP-EXP'!AZ$1&amp;'MIN-IMP-EXP'!AZ$3,'Energy Balance'!$D$4:$W$4&amp;'Energy Balance'!$D$6:$W$6,0))/1000*INDEX('Energy Balance'!$Z$7:$AJ$155,MATCH($B76,'Energy Balance'!$A$7:$A$155,0),MATCH(AZ$2,'Energy Balance'!$Z$5:$AJ$5,0))</f>
        <v>0.21131489959630695</v>
      </c>
      <c r="BA76" s="467" cm="1">
        <f t="array" ref="BA76">INDEX('Energy Balance'!$D$7:$W$154,MATCH('MIN-IMP-EXP'!$B76,'Energy Balance'!$A$7:$A$154,0),MATCH('MIN-IMP-EXP'!BA$1&amp;'MIN-IMP-EXP'!BA$3,'Energy Balance'!$D$4:$W$4&amp;'Energy Balance'!$D$6:$W$6,0))/1000*INDEX('Energy Balance'!$Z$7:$AJ$155,MATCH($B76,'Energy Balance'!$A$7:$A$155,0),MATCH(BA$2,'Energy Balance'!$Z$5:$AJ$5,0))</f>
        <v>2.0588108164667669E-2</v>
      </c>
      <c r="BB76" s="467" cm="1">
        <f t="array" ref="BB76">INDEX('Energy Balance'!$D$7:$W$154,MATCH('MIN-IMP-EXP'!$B76,'Energy Balance'!$A$7:$A$154,0),MATCH('MIN-IMP-EXP'!BB$1&amp;'MIN-IMP-EXP'!BB$3,'Energy Balance'!$D$4:$W$4&amp;'Energy Balance'!$D$6:$W$6,0))/1000*INDEX('Energy Balance'!$Z$7:$AJ$155,MATCH($B76,'Energy Balance'!$A$7:$A$155,0),MATCH(BB$2,'Energy Balance'!$Z$5:$AJ$5,0))</f>
        <v>5.0886756291546882E-2</v>
      </c>
      <c r="BC76" s="467" cm="1">
        <f t="array" ref="BC76">INDEX('Energy Balance'!$D$7:$W$154,MATCH('MIN-IMP-EXP'!$B76,'Energy Balance'!$A$7:$A$154,0),MATCH('MIN-IMP-EXP'!BC$1&amp;'MIN-IMP-EXP'!BC$3,'Energy Balance'!$D$4:$W$4&amp;'Energy Balance'!$D$6:$W$6,0))/1000*INDEX('Energy Balance'!$Z$7:$AJ$155,MATCH($B76,'Energy Balance'!$A$7:$A$155,0),MATCH(BC$2,'Energy Balance'!$Z$5:$AJ$5,0))</f>
        <v>0.43078554996712887</v>
      </c>
      <c r="BD76" s="467" cm="1">
        <f t="array" ref="BD76">INDEX('Energy Balance'!$D$7:$W$154,MATCH('MIN-IMP-EXP'!$B76,'Energy Balance'!$A$7:$A$154,0),MATCH('MIN-IMP-EXP'!BD$1&amp;'MIN-IMP-EXP'!BD$3,'Energy Balance'!$D$4:$W$4&amp;'Energy Balance'!$D$6:$W$6,0))/1000*INDEX('Energy Balance'!$Z$7:$AJ$155,MATCH($B76,'Energy Balance'!$A$7:$A$155,0),MATCH(BD$2,'Energy Balance'!$Z$5:$AJ$5,0))</f>
        <v>0.14289958557665652</v>
      </c>
      <c r="BE76" s="467" cm="1">
        <f t="array" ref="BE76">INDEX('Energy Balance'!$D$7:$W$154,MATCH('MIN-IMP-EXP'!$B76,'Energy Balance'!$A$7:$A$154,0),MATCH('MIN-IMP-EXP'!BE$1&amp;'MIN-IMP-EXP'!BE$3,'Energy Balance'!$D$4:$W$4&amp;'Energy Balance'!$D$6:$W$6,0))/1000*INDEX('Energy Balance'!$Z$7:$AJ$155,MATCH($B76,'Energy Balance'!$A$7:$A$155,0),MATCH(BE$2,'Energy Balance'!$Z$5:$AJ$5,0))</f>
        <v>7.2582367565213787E-2</v>
      </c>
      <c r="BF76" s="467" cm="1">
        <f t="array" ref="BF76">INDEX('Energy Balance'!$D$7:$W$154,MATCH('MIN-IMP-EXP'!$B76,'Energy Balance'!$A$7:$A$154,0),MATCH('MIN-IMP-EXP'!BF$1&amp;'MIN-IMP-EXP'!BF$3,'Energy Balance'!$D$4:$W$4&amp;'Energy Balance'!$D$6:$W$6,0))/1000*INDEX('Energy Balance'!$Z$7:$AJ$155,MATCH($B76,'Energy Balance'!$A$7:$A$155,0),MATCH(BF$2,'Energy Balance'!$Z$5:$AJ$5,0))</f>
        <v>0.17939876844503311</v>
      </c>
      <c r="BG76" s="467" cm="1">
        <f t="array" ref="BG76">INDEX('Energy Balance'!$D$7:$W$154,MATCH('MIN-IMP-EXP'!$B76,'Energy Balance'!$A$7:$A$154,0),MATCH('MIN-IMP-EXP'!BG$1&amp;'MIN-IMP-EXP'!BG$3,'Energy Balance'!$D$4:$W$4&amp;'Energy Balance'!$D$6:$W$6,0))/1000*INDEX('Energy Balance'!$Z$7:$AJ$155,MATCH($B76,'Energy Balance'!$A$7:$A$155,0),MATCH(BG$2,'Energy Balance'!$Z$5:$AJ$5,0))</f>
        <v>1.5187133698450546</v>
      </c>
      <c r="BH76" s="467" cm="1">
        <f t="array" ref="BH76">INDEX('Energy Balance'!$D$7:$W$154,MATCH('MIN-IMP-EXP'!$B76,'Energy Balance'!$A$7:$A$154,0),MATCH('MIN-IMP-EXP'!BH$1&amp;'MIN-IMP-EXP'!BH$3,'Energy Balance'!$D$4:$W$4&amp;'Energy Balance'!$D$6:$W$6,0))/1000*INDEX('Energy Balance'!$Z$7:$AJ$155,MATCH($B76,'Energy Balance'!$A$7:$A$155,0),MATCH(BH$2,'Energy Balance'!$Z$5:$AJ$5,0))</f>
        <v>0.50378549414469864</v>
      </c>
      <c r="BI76" s="467" cm="1">
        <f t="array" ref="BI76">INDEX('Energy Balance'!$D$7:$W$154,MATCH('MIN-IMP-EXP'!$B76,'Energy Balance'!$A$7:$A$154,0),MATCH('MIN-IMP-EXP'!BI$1&amp;'MIN-IMP-EXP'!BI$3,'Energy Balance'!$D$4:$W$4&amp;'Energy Balance'!$D$6:$W$6,0))/1000*INDEX('Energy Balance'!$Z$7:$AJ$155,MATCH($B76,'Energy Balance'!$A$7:$A$155,0),MATCH(BI$2,'Energy Balance'!$Z$5:$AJ$5,0))</f>
        <v>8.0647075072459769E-3</v>
      </c>
      <c r="BJ76" s="467" cm="1">
        <f t="array" ref="BJ76">INDEX('Energy Balance'!$D$7:$W$154,MATCH('MIN-IMP-EXP'!$B76,'Energy Balance'!$A$7:$A$154,0),MATCH('MIN-IMP-EXP'!BJ$1&amp;'MIN-IMP-EXP'!BJ$3,'Energy Balance'!$D$4:$W$4&amp;'Energy Balance'!$D$6:$W$6,0))/1000*INDEX('Energy Balance'!$Z$7:$AJ$155,MATCH($B76,'Energy Balance'!$A$7:$A$155,0),MATCH(BJ$2,'Energy Balance'!$Z$5:$AJ$5,0))</f>
        <v>1.9933196493892566E-2</v>
      </c>
      <c r="BK76" s="467" cm="1">
        <f t="array" ref="BK76">INDEX('Energy Balance'!$D$7:$W$154,MATCH('MIN-IMP-EXP'!$B76,'Energy Balance'!$A$7:$A$154,0),MATCH('MIN-IMP-EXP'!BK$1&amp;'MIN-IMP-EXP'!BK$3,'Energy Balance'!$D$4:$W$4&amp;'Energy Balance'!$D$6:$W$6,0))/1000*INDEX('Energy Balance'!$Z$7:$AJ$155,MATCH($B76,'Energy Balance'!$A$7:$A$155,0),MATCH(BK$2,'Energy Balance'!$Z$5:$AJ$5,0))</f>
        <v>0.16874592998278384</v>
      </c>
      <c r="BL76" s="467" cm="1">
        <f t="array" ref="BL76">INDEX('Energy Balance'!$D$7:$W$154,MATCH('MIN-IMP-EXP'!$B76,'Energy Balance'!$A$7:$A$154,0),MATCH('MIN-IMP-EXP'!BL$1&amp;'MIN-IMP-EXP'!BL$3,'Energy Balance'!$D$4:$W$4&amp;'Energy Balance'!$D$6:$W$6,0))/1000*INDEX('Energy Balance'!$Z$7:$AJ$155,MATCH($B76,'Energy Balance'!$A$7:$A$155,0),MATCH(BL$2,'Energy Balance'!$Z$5:$AJ$5,0))</f>
        <v>5.5976166016077619E-2</v>
      </c>
      <c r="BM76" s="466">
        <v>4</v>
      </c>
    </row>
    <row r="77" spans="2:65" ht="14.4">
      <c r="B77" s="8" t="str">
        <f>Processes!D76</f>
        <v>EXPNGA</v>
      </c>
      <c r="C77" s="8" t="str">
        <f>Processes!E76</f>
        <v>Export technology - Natural Gas</v>
      </c>
      <c r="D77" s="67" t="str">
        <f>IF(LEN(B77)=6,RIGHT(B77,3),RIGHT(B77,4))</f>
        <v>NGA</v>
      </c>
      <c r="E77" s="331"/>
      <c r="F77" s="387" t="str">
        <f t="shared" ref="F77:F112" si="35">IFERROR(VLOOKUP(D77,$E$121:$F$173,2,FALSE),"MKr19")</f>
        <v>MKr19</v>
      </c>
      <c r="G77" s="330">
        <f t="shared" si="33"/>
        <v>42.18</v>
      </c>
      <c r="H77" s="330">
        <f t="shared" si="34"/>
        <v>43.795000000000002</v>
      </c>
      <c r="I77" s="330">
        <f t="shared" si="34"/>
        <v>52.344999999999999</v>
      </c>
      <c r="J77" s="330">
        <f t="shared" si="34"/>
        <v>51.49</v>
      </c>
      <c r="K77" s="330">
        <f t="shared" si="34"/>
        <v>43.414999999999999</v>
      </c>
      <c r="L77" s="330">
        <f t="shared" si="34"/>
        <v>41.8</v>
      </c>
      <c r="M77" s="330">
        <f t="shared" si="34"/>
        <v>34.959999999999994</v>
      </c>
      <c r="N77" s="330">
        <f t="shared" si="34"/>
        <v>35.055</v>
      </c>
      <c r="O77" s="330">
        <f t="shared" si="34"/>
        <v>50.751074212757736</v>
      </c>
      <c r="P77" s="330">
        <f t="shared" si="34"/>
        <v>32.54796067858944</v>
      </c>
      <c r="Q77" s="330">
        <f t="shared" si="34"/>
        <v>31.727957487158143</v>
      </c>
      <c r="R77" s="330">
        <f t="shared" si="34"/>
        <v>29.949025524166288</v>
      </c>
      <c r="S77" s="330">
        <f t="shared" si="34"/>
        <v>31.124421190464801</v>
      </c>
      <c r="T77" s="330">
        <f t="shared" si="34"/>
        <v>31.69930389723169</v>
      </c>
      <c r="U77" s="330">
        <f t="shared" si="34"/>
        <v>31.888767724343968</v>
      </c>
      <c r="V77" s="330">
        <f t="shared" si="34"/>
        <v>31.830779289767982</v>
      </c>
      <c r="W77" s="330">
        <f t="shared" si="34"/>
        <v>31.794257244088858</v>
      </c>
      <c r="X77" s="330">
        <f t="shared" si="34"/>
        <v>31.770799731920086</v>
      </c>
      <c r="Y77" s="330">
        <f t="shared" si="34"/>
        <v>31.750709610930787</v>
      </c>
      <c r="Z77" s="330">
        <f t="shared" si="34"/>
        <v>31.743509235621186</v>
      </c>
      <c r="AA77" s="330">
        <f t="shared" si="34"/>
        <v>31.741544979889387</v>
      </c>
      <c r="AB77" s="330">
        <f t="shared" si="34"/>
        <v>31.785326421240963</v>
      </c>
      <c r="AC77" s="330">
        <f t="shared" si="34"/>
        <v>31.829107862592537</v>
      </c>
      <c r="AD77" s="330">
        <f t="shared" si="34"/>
        <v>31.872889303944106</v>
      </c>
      <c r="AE77" s="330">
        <f t="shared" si="34"/>
        <v>31.916670745295676</v>
      </c>
      <c r="AF77" s="330">
        <f t="shared" si="34"/>
        <v>31.960452186647256</v>
      </c>
      <c r="AG77" s="330">
        <f t="shared" si="34"/>
        <v>32.004233627998829</v>
      </c>
      <c r="AH77" s="330">
        <f t="shared" si="34"/>
        <v>32.048015069350392</v>
      </c>
      <c r="AI77" s="330">
        <f t="shared" si="34"/>
        <v>32.091796510701968</v>
      </c>
      <c r="AJ77" s="330">
        <f t="shared" si="34"/>
        <v>32.135577952053531</v>
      </c>
      <c r="AK77" s="330">
        <f t="shared" si="34"/>
        <v>32.179359393405107</v>
      </c>
      <c r="AL77" s="330">
        <f t="shared" si="34"/>
        <v>32.223140834756684</v>
      </c>
      <c r="AM77" s="330">
        <f t="shared" si="34"/>
        <v>32.266922276108254</v>
      </c>
      <c r="AN77" s="330">
        <f t="shared" si="34"/>
        <v>32.310703717459816</v>
      </c>
      <c r="AO77" s="330">
        <f t="shared" si="34"/>
        <v>32.354485158811393</v>
      </c>
      <c r="AP77" s="330">
        <f t="shared" si="34"/>
        <v>32.39826660016297</v>
      </c>
      <c r="AQ77" s="330">
        <f t="shared" si="34"/>
        <v>32.442048041514546</v>
      </c>
      <c r="AR77" s="330">
        <f t="shared" si="34"/>
        <v>32.485829482866109</v>
      </c>
      <c r="AS77" s="330">
        <f t="shared" si="34"/>
        <v>32.529610924217685</v>
      </c>
      <c r="AT77" s="330">
        <f t="shared" si="34"/>
        <v>32.573392365569248</v>
      </c>
      <c r="AU77" s="330">
        <f t="shared" si="34"/>
        <v>32.617173806920832</v>
      </c>
      <c r="AV77" s="331">
        <v>5</v>
      </c>
      <c r="AW77" s="467" cm="1">
        <f t="array" ref="AW77">INDEX('Energy Balance'!$D$7:$W$154,MATCH('MIN-IMP-EXP'!$B77,'Energy Balance'!$A$7:$A$154,0),MATCH('MIN-IMP-EXP'!AW$1&amp;'MIN-IMP-EXP'!AW$3,'Energy Balance'!$D$4:$W$4&amp;'Energy Balance'!$D$6:$W$6,0))/1000*INDEX('Energy Balance'!$Z$7:$AJ$155,MATCH($B77,'Energy Balance'!$A$7:$A$155,0),MATCH(AW$2,'Energy Balance'!$Z$5:$AJ$5,0))</f>
        <v>0</v>
      </c>
      <c r="AX77" s="467" cm="1">
        <f t="array" ref="AX77">INDEX('Energy Balance'!$D$7:$W$154,MATCH('MIN-IMP-EXP'!$B77,'Energy Balance'!$A$7:$A$154,0),MATCH('MIN-IMP-EXP'!AX$1&amp;'MIN-IMP-EXP'!AX$3,'Energy Balance'!$D$4:$W$4&amp;'Energy Balance'!$D$6:$W$6,0))/1000*INDEX('Energy Balance'!$Z$7:$AJ$155,MATCH($B77,'Energy Balance'!$A$7:$A$155,0),MATCH(AX$2,'Energy Balance'!$Z$5:$AJ$5,0))</f>
        <v>0</v>
      </c>
      <c r="AY77" s="467" cm="1">
        <f t="array" ref="AY77">INDEX('Energy Balance'!$D$7:$W$154,MATCH('MIN-IMP-EXP'!$B77,'Energy Balance'!$A$7:$A$154,0),MATCH('MIN-IMP-EXP'!AY$1&amp;'MIN-IMP-EXP'!AY$3,'Energy Balance'!$D$4:$W$4&amp;'Energy Balance'!$D$6:$W$6,0))/1000*INDEX('Energy Balance'!$Z$7:$AJ$155,MATCH($B77,'Energy Balance'!$A$7:$A$155,0),MATCH(AY$2,'Energy Balance'!$Z$5:$AJ$5,0))</f>
        <v>0</v>
      </c>
      <c r="AZ77" s="467" cm="1">
        <f t="array" ref="AZ77">INDEX('Energy Balance'!$D$7:$W$154,MATCH('MIN-IMP-EXP'!$B77,'Energy Balance'!$A$7:$A$154,0),MATCH('MIN-IMP-EXP'!AZ$1&amp;'MIN-IMP-EXP'!AZ$3,'Energy Balance'!$D$4:$W$4&amp;'Energy Balance'!$D$6:$W$6,0))/1000*INDEX('Energy Balance'!$Z$7:$AJ$155,MATCH($B77,'Energy Balance'!$A$7:$A$155,0),MATCH(AZ$2,'Energy Balance'!$Z$5:$AJ$5,0))</f>
        <v>0</v>
      </c>
      <c r="BA77" s="467" cm="1">
        <f t="array" ref="BA77">INDEX('Energy Balance'!$D$7:$W$154,MATCH('MIN-IMP-EXP'!$B77,'Energy Balance'!$A$7:$A$154,0),MATCH('MIN-IMP-EXP'!BA$1&amp;'MIN-IMP-EXP'!BA$3,'Energy Balance'!$D$4:$W$4&amp;'Energy Balance'!$D$6:$W$6,0))/1000*INDEX('Energy Balance'!$Z$7:$AJ$155,MATCH($B77,'Energy Balance'!$A$7:$A$155,0),MATCH(BA$2,'Energy Balance'!$Z$5:$AJ$5,0))</f>
        <v>0</v>
      </c>
      <c r="BB77" s="467" cm="1">
        <f t="array" ref="BB77">INDEX('Energy Balance'!$D$7:$W$154,MATCH('MIN-IMP-EXP'!$B77,'Energy Balance'!$A$7:$A$154,0),MATCH('MIN-IMP-EXP'!BB$1&amp;'MIN-IMP-EXP'!BB$3,'Energy Balance'!$D$4:$W$4&amp;'Energy Balance'!$D$6:$W$6,0))/1000*INDEX('Energy Balance'!$Z$7:$AJ$155,MATCH($B77,'Energy Balance'!$A$7:$A$155,0),MATCH(BB$2,'Energy Balance'!$Z$5:$AJ$5,0))</f>
        <v>0</v>
      </c>
      <c r="BC77" s="467" cm="1">
        <f t="array" ref="BC77">INDEX('Energy Balance'!$D$7:$W$154,MATCH('MIN-IMP-EXP'!$B77,'Energy Balance'!$A$7:$A$154,0),MATCH('MIN-IMP-EXP'!BC$1&amp;'MIN-IMP-EXP'!BC$3,'Energy Balance'!$D$4:$W$4&amp;'Energy Balance'!$D$6:$W$6,0))/1000*INDEX('Energy Balance'!$Z$7:$AJ$155,MATCH($B77,'Energy Balance'!$A$7:$A$155,0),MATCH(BC$2,'Energy Balance'!$Z$5:$AJ$5,0))</f>
        <v>0</v>
      </c>
      <c r="BD77" s="467" cm="1">
        <f t="array" ref="BD77">INDEX('Energy Balance'!$D$7:$W$154,MATCH('MIN-IMP-EXP'!$B77,'Energy Balance'!$A$7:$A$154,0),MATCH('MIN-IMP-EXP'!BD$1&amp;'MIN-IMP-EXP'!BD$3,'Energy Balance'!$D$4:$W$4&amp;'Energy Balance'!$D$6:$W$6,0))/1000*INDEX('Energy Balance'!$Z$7:$AJ$155,MATCH($B77,'Energy Balance'!$A$7:$A$155,0),MATCH(BD$2,'Energy Balance'!$Z$5:$AJ$5,0))</f>
        <v>0</v>
      </c>
      <c r="BE77" s="467" cm="1">
        <f t="array" ref="BE77">INDEX('Energy Balance'!$D$7:$W$154,MATCH('MIN-IMP-EXP'!$B77,'Energy Balance'!$A$7:$A$154,0),MATCH('MIN-IMP-EXP'!BE$1&amp;'MIN-IMP-EXP'!BE$3,'Energy Balance'!$D$4:$W$4&amp;'Energy Balance'!$D$6:$W$6,0))/1000*INDEX('Energy Balance'!$Z$7:$AJ$155,MATCH($B77,'Energy Balance'!$A$7:$A$155,0),MATCH(BE$2,'Energy Balance'!$Z$5:$AJ$5,0))</f>
        <v>0</v>
      </c>
      <c r="BF77" s="467" cm="1">
        <f t="array" ref="BF77">INDEX('Energy Balance'!$D$7:$W$154,MATCH('MIN-IMP-EXP'!$B77,'Energy Balance'!$A$7:$A$154,0),MATCH('MIN-IMP-EXP'!BF$1&amp;'MIN-IMP-EXP'!BF$3,'Energy Balance'!$D$4:$W$4&amp;'Energy Balance'!$D$6:$W$6,0))/1000*INDEX('Energy Balance'!$Z$7:$AJ$155,MATCH($B77,'Energy Balance'!$A$7:$A$155,0),MATCH(BF$2,'Energy Balance'!$Z$5:$AJ$5,0))</f>
        <v>0</v>
      </c>
      <c r="BG77" s="467" cm="1">
        <f t="array" ref="BG77">INDEX('Energy Balance'!$D$7:$W$154,MATCH('MIN-IMP-EXP'!$B77,'Energy Balance'!$A$7:$A$154,0),MATCH('MIN-IMP-EXP'!BG$1&amp;'MIN-IMP-EXP'!BG$3,'Energy Balance'!$D$4:$W$4&amp;'Energy Balance'!$D$6:$W$6,0))/1000*INDEX('Energy Balance'!$Z$7:$AJ$155,MATCH($B77,'Energy Balance'!$A$7:$A$155,0),MATCH(BG$2,'Energy Balance'!$Z$5:$AJ$5,0))</f>
        <v>0</v>
      </c>
      <c r="BH77" s="467" cm="1">
        <f t="array" ref="BH77">INDEX('Energy Balance'!$D$7:$W$154,MATCH('MIN-IMP-EXP'!$B77,'Energy Balance'!$A$7:$A$154,0),MATCH('MIN-IMP-EXP'!BH$1&amp;'MIN-IMP-EXP'!BH$3,'Energy Balance'!$D$4:$W$4&amp;'Energy Balance'!$D$6:$W$6,0))/1000*INDEX('Energy Balance'!$Z$7:$AJ$155,MATCH($B77,'Energy Balance'!$A$7:$A$155,0),MATCH(BH$2,'Energy Balance'!$Z$5:$AJ$5,0))</f>
        <v>0</v>
      </c>
      <c r="BI77" s="467" cm="1">
        <f t="array" ref="BI77">INDEX('Energy Balance'!$D$7:$W$154,MATCH('MIN-IMP-EXP'!$B77,'Energy Balance'!$A$7:$A$154,0),MATCH('MIN-IMP-EXP'!BI$1&amp;'MIN-IMP-EXP'!BI$3,'Energy Balance'!$D$4:$W$4&amp;'Energy Balance'!$D$6:$W$6,0))/1000*INDEX('Energy Balance'!$Z$7:$AJ$155,MATCH($B77,'Energy Balance'!$A$7:$A$155,0),MATCH(BI$2,'Energy Balance'!$Z$5:$AJ$5,0))</f>
        <v>1.8984229566558368E-2</v>
      </c>
      <c r="BJ77" s="467" cm="1">
        <f t="array" ref="BJ77">INDEX('Energy Balance'!$D$7:$W$154,MATCH('MIN-IMP-EXP'!$B77,'Energy Balance'!$A$7:$A$154,0),MATCH('MIN-IMP-EXP'!BJ$1&amp;'MIN-IMP-EXP'!BJ$3,'Energy Balance'!$D$4:$W$4&amp;'Energy Balance'!$D$6:$W$6,0))/1000*INDEX('Energy Balance'!$Z$7:$AJ$155,MATCH($B77,'Energy Balance'!$A$7:$A$155,0),MATCH(BJ$2,'Energy Balance'!$Z$5:$AJ$5,0))</f>
        <v>4.6922517387688698E-2</v>
      </c>
      <c r="BK77" s="467" cm="1">
        <f t="array" ref="BK77">INDEX('Energy Balance'!$D$7:$W$154,MATCH('MIN-IMP-EXP'!$B77,'Energy Balance'!$A$7:$A$154,0),MATCH('MIN-IMP-EXP'!BK$1&amp;'MIN-IMP-EXP'!BK$3,'Energy Balance'!$D$4:$W$4&amp;'Energy Balance'!$D$6:$W$6,0))/1000*INDEX('Energy Balance'!$Z$7:$AJ$155,MATCH($B77,'Energy Balance'!$A$7:$A$155,0),MATCH(BK$2,'Energy Balance'!$Z$5:$AJ$5,0))</f>
        <v>0.397225996148932</v>
      </c>
      <c r="BL77" s="467" cm="1">
        <f t="array" ref="BL77">INDEX('Energy Balance'!$D$7:$W$154,MATCH('MIN-IMP-EXP'!$B77,'Energy Balance'!$A$7:$A$154,0),MATCH('MIN-IMP-EXP'!BL$1&amp;'MIN-IMP-EXP'!BL$3,'Energy Balance'!$D$4:$W$4&amp;'Energy Balance'!$D$6:$W$6,0))/1000*INDEX('Energy Balance'!$Z$7:$AJ$155,MATCH($B77,'Energy Balance'!$A$7:$A$155,0),MATCH(BL$2,'Energy Balance'!$Z$5:$AJ$5,0))</f>
        <v>0.13176725689682089</v>
      </c>
      <c r="BM77" s="466">
        <v>4</v>
      </c>
    </row>
    <row r="78" spans="2:65" ht="14.4">
      <c r="B78" s="8" t="str">
        <f>Processes!D77</f>
        <v>EXPCRD</v>
      </c>
      <c r="C78" s="8" t="str">
        <f>Processes!E77</f>
        <v>Export technology - Crude Oil</v>
      </c>
      <c r="D78" s="67" t="str">
        <f t="shared" ref="D78:D112" si="36">IF(LEN(B78)=6,RIGHT(B78,3),RIGHT(B78,4))</f>
        <v>CRD</v>
      </c>
      <c r="E78" s="332"/>
      <c r="F78" s="387" t="str">
        <f t="shared" si="35"/>
        <v>MKr19</v>
      </c>
      <c r="G78" s="330">
        <f t="shared" si="33"/>
        <v>72.39</v>
      </c>
      <c r="H78" s="330">
        <f t="shared" si="34"/>
        <v>100.79499999999999</v>
      </c>
      <c r="I78" s="330">
        <f t="shared" si="34"/>
        <v>107.255</v>
      </c>
      <c r="J78" s="330">
        <f t="shared" si="34"/>
        <v>95.284999999999997</v>
      </c>
      <c r="K78" s="330">
        <f t="shared" si="34"/>
        <v>92.434999999999988</v>
      </c>
      <c r="L78" s="330">
        <f t="shared" si="34"/>
        <v>59.564999999999998</v>
      </c>
      <c r="M78" s="330">
        <f t="shared" si="34"/>
        <v>56.904999999999994</v>
      </c>
      <c r="N78" s="330">
        <f t="shared" si="34"/>
        <v>60.704999999999998</v>
      </c>
      <c r="O78" s="330">
        <f t="shared" si="34"/>
        <v>74.663266513337106</v>
      </c>
      <c r="P78" s="330">
        <f t="shared" si="34"/>
        <v>69.03441780821916</v>
      </c>
      <c r="Q78" s="330">
        <f t="shared" si="34"/>
        <v>67.631970550230122</v>
      </c>
      <c r="R78" s="330">
        <f t="shared" si="34"/>
        <v>46.72206120455769</v>
      </c>
      <c r="S78" s="330">
        <f t="shared" si="34"/>
        <v>49.952257260471079</v>
      </c>
      <c r="T78" s="330">
        <f t="shared" si="34"/>
        <v>52.145468152516102</v>
      </c>
      <c r="U78" s="330">
        <f t="shared" si="34"/>
        <v>53.739968659338345</v>
      </c>
      <c r="V78" s="330">
        <f t="shared" si="34"/>
        <v>54.897107604482805</v>
      </c>
      <c r="W78" s="330">
        <f t="shared" si="34"/>
        <v>56.188956663113622</v>
      </c>
      <c r="X78" s="330">
        <f t="shared" si="34"/>
        <v>57.454144637525566</v>
      </c>
      <c r="Y78" s="330">
        <f t="shared" si="34"/>
        <v>58.618015544439388</v>
      </c>
      <c r="Z78" s="330">
        <f t="shared" si="34"/>
        <v>59.840122211312412</v>
      </c>
      <c r="AA78" s="330">
        <f t="shared" si="34"/>
        <v>60.99866547075451</v>
      </c>
      <c r="AB78" s="330">
        <f t="shared" si="34"/>
        <v>60.706456294846689</v>
      </c>
      <c r="AC78" s="330">
        <f t="shared" si="34"/>
        <v>60.414247118938881</v>
      </c>
      <c r="AD78" s="330">
        <f t="shared" si="34"/>
        <v>60.122037943031081</v>
      </c>
      <c r="AE78" s="330">
        <f t="shared" si="34"/>
        <v>59.829828767123267</v>
      </c>
      <c r="AF78" s="330">
        <f t="shared" si="34"/>
        <v>59.537619591215467</v>
      </c>
      <c r="AG78" s="330">
        <f t="shared" si="34"/>
        <v>59.24541041530766</v>
      </c>
      <c r="AH78" s="330">
        <f t="shared" si="34"/>
        <v>58.95320123939986</v>
      </c>
      <c r="AI78" s="330">
        <f t="shared" si="34"/>
        <v>58.66099206349206</v>
      </c>
      <c r="AJ78" s="330">
        <f t="shared" si="34"/>
        <v>58.368782887584253</v>
      </c>
      <c r="AK78" s="330">
        <f t="shared" si="34"/>
        <v>58.076573711676446</v>
      </c>
      <c r="AL78" s="330">
        <f t="shared" si="34"/>
        <v>57.784364535768646</v>
      </c>
      <c r="AM78" s="330">
        <f t="shared" si="34"/>
        <v>57.492155359860831</v>
      </c>
      <c r="AN78" s="330">
        <f t="shared" si="34"/>
        <v>57.199946183953024</v>
      </c>
      <c r="AO78" s="330">
        <f t="shared" si="34"/>
        <v>56.907737008045224</v>
      </c>
      <c r="AP78" s="330">
        <f t="shared" si="34"/>
        <v>56.615527832137417</v>
      </c>
      <c r="AQ78" s="330">
        <f t="shared" si="34"/>
        <v>56.32331865622961</v>
      </c>
      <c r="AR78" s="330">
        <f t="shared" si="34"/>
        <v>56.031109480321803</v>
      </c>
      <c r="AS78" s="330">
        <f t="shared" si="34"/>
        <v>55.738900304414003</v>
      </c>
      <c r="AT78" s="330">
        <f t="shared" si="34"/>
        <v>55.446691128506195</v>
      </c>
      <c r="AU78" s="330">
        <f t="shared" si="34"/>
        <v>55.154481952598395</v>
      </c>
      <c r="AV78" s="331">
        <v>5</v>
      </c>
      <c r="AW78" s="467" cm="1">
        <f t="array" ref="AW78">INDEX('Energy Balance'!$D$7:$W$154,MATCH('MIN-IMP-EXP'!$B78,'Energy Balance'!$A$7:$A$154,0),MATCH('MIN-IMP-EXP'!AW$1&amp;'MIN-IMP-EXP'!AW$3,'Energy Balance'!$D$4:$W$4&amp;'Energy Balance'!$D$6:$W$6,0))/1000*INDEX('Energy Balance'!$Z$7:$AJ$155,MATCH($B78,'Energy Balance'!$A$7:$A$155,0),MATCH(AW$2,'Energy Balance'!$Z$5:$AJ$5,0))</f>
        <v>0</v>
      </c>
      <c r="AX78" s="467" cm="1">
        <f t="array" ref="AX78">INDEX('Energy Balance'!$D$7:$W$154,MATCH('MIN-IMP-EXP'!$B78,'Energy Balance'!$A$7:$A$154,0),MATCH('MIN-IMP-EXP'!AX$1&amp;'MIN-IMP-EXP'!AX$3,'Energy Balance'!$D$4:$W$4&amp;'Energy Balance'!$D$6:$W$6,0))/1000*INDEX('Energy Balance'!$Z$7:$AJ$155,MATCH($B78,'Energy Balance'!$A$7:$A$155,0),MATCH(AX$2,'Energy Balance'!$Z$5:$AJ$5,0))</f>
        <v>0</v>
      </c>
      <c r="AY78" s="467" cm="1">
        <f t="array" ref="AY78">INDEX('Energy Balance'!$D$7:$W$154,MATCH('MIN-IMP-EXP'!$B78,'Energy Balance'!$A$7:$A$154,0),MATCH('MIN-IMP-EXP'!AY$1&amp;'MIN-IMP-EXP'!AY$3,'Energy Balance'!$D$4:$W$4&amp;'Energy Balance'!$D$6:$W$6,0))/1000*INDEX('Energy Balance'!$Z$7:$AJ$155,MATCH($B78,'Energy Balance'!$A$7:$A$155,0),MATCH(AY$2,'Energy Balance'!$Z$5:$AJ$5,0))</f>
        <v>35.660663999999997</v>
      </c>
      <c r="AZ78" s="467" cm="1">
        <f t="array" ref="AZ78">INDEX('Energy Balance'!$D$7:$W$154,MATCH('MIN-IMP-EXP'!$B78,'Energy Balance'!$A$7:$A$154,0),MATCH('MIN-IMP-EXP'!AZ$1&amp;'MIN-IMP-EXP'!AZ$3,'Energy Balance'!$D$4:$W$4&amp;'Energy Balance'!$D$6:$W$6,0))/1000*INDEX('Energy Balance'!$Z$7:$AJ$155,MATCH($B78,'Energy Balance'!$A$7:$A$155,0),MATCH(AZ$2,'Energy Balance'!$Z$5:$AJ$5,0))</f>
        <v>0</v>
      </c>
      <c r="BA78" s="467" cm="1">
        <f t="array" ref="BA78">INDEX('Energy Balance'!$D$7:$W$154,MATCH('MIN-IMP-EXP'!$B78,'Energy Balance'!$A$7:$A$154,0),MATCH('MIN-IMP-EXP'!BA$1&amp;'MIN-IMP-EXP'!BA$3,'Energy Balance'!$D$4:$W$4&amp;'Energy Balance'!$D$6:$W$6,0))/1000*INDEX('Energy Balance'!$Z$7:$AJ$155,MATCH($B78,'Energy Balance'!$A$7:$A$155,0),MATCH(BA$2,'Energy Balance'!$Z$5:$AJ$5,0))</f>
        <v>0</v>
      </c>
      <c r="BB78" s="467" cm="1">
        <f t="array" ref="BB78">INDEX('Energy Balance'!$D$7:$W$154,MATCH('MIN-IMP-EXP'!$B78,'Energy Balance'!$A$7:$A$154,0),MATCH('MIN-IMP-EXP'!BB$1&amp;'MIN-IMP-EXP'!BB$3,'Energy Balance'!$D$4:$W$4&amp;'Energy Balance'!$D$6:$W$6,0))/1000*INDEX('Energy Balance'!$Z$7:$AJ$155,MATCH($B78,'Energy Balance'!$A$7:$A$155,0),MATCH(BB$2,'Energy Balance'!$Z$5:$AJ$5,0))</f>
        <v>0</v>
      </c>
      <c r="BC78" s="467" cm="1">
        <f t="array" ref="BC78">INDEX('Energy Balance'!$D$7:$W$154,MATCH('MIN-IMP-EXP'!$B78,'Energy Balance'!$A$7:$A$154,0),MATCH('MIN-IMP-EXP'!BC$1&amp;'MIN-IMP-EXP'!BC$3,'Energy Balance'!$D$4:$W$4&amp;'Energy Balance'!$D$6:$W$6,0))/1000*INDEX('Energy Balance'!$Z$7:$AJ$155,MATCH($B78,'Energy Balance'!$A$7:$A$155,0),MATCH(BC$2,'Energy Balance'!$Z$5:$AJ$5,0))</f>
        <v>27.680581000000004</v>
      </c>
      <c r="BD78" s="467" cm="1">
        <f t="array" ref="BD78">INDEX('Energy Balance'!$D$7:$W$154,MATCH('MIN-IMP-EXP'!$B78,'Energy Balance'!$A$7:$A$154,0),MATCH('MIN-IMP-EXP'!BD$1&amp;'MIN-IMP-EXP'!BD$3,'Energy Balance'!$D$4:$W$4&amp;'Energy Balance'!$D$6:$W$6,0))/1000*INDEX('Energy Balance'!$Z$7:$AJ$155,MATCH($B78,'Energy Balance'!$A$7:$A$155,0),MATCH(BD$2,'Energy Balance'!$Z$5:$AJ$5,0))</f>
        <v>0</v>
      </c>
      <c r="BE78" s="467" cm="1">
        <f t="array" ref="BE78">INDEX('Energy Balance'!$D$7:$W$154,MATCH('MIN-IMP-EXP'!$B78,'Energy Balance'!$A$7:$A$154,0),MATCH('MIN-IMP-EXP'!BE$1&amp;'MIN-IMP-EXP'!BE$3,'Energy Balance'!$D$4:$W$4&amp;'Energy Balance'!$D$6:$W$6,0))/1000*INDEX('Energy Balance'!$Z$7:$AJ$155,MATCH($B78,'Energy Balance'!$A$7:$A$155,0),MATCH(BE$2,'Energy Balance'!$Z$5:$AJ$5,0))</f>
        <v>0</v>
      </c>
      <c r="BF78" s="467" cm="1">
        <f t="array" ref="BF78">INDEX('Energy Balance'!$D$7:$W$154,MATCH('MIN-IMP-EXP'!$B78,'Energy Balance'!$A$7:$A$154,0),MATCH('MIN-IMP-EXP'!BF$1&amp;'MIN-IMP-EXP'!BF$3,'Energy Balance'!$D$4:$W$4&amp;'Energy Balance'!$D$6:$W$6,0))/1000*INDEX('Energy Balance'!$Z$7:$AJ$155,MATCH($B78,'Energy Balance'!$A$7:$A$155,0),MATCH(BF$2,'Energy Balance'!$Z$5:$AJ$5,0))</f>
        <v>0</v>
      </c>
      <c r="BG78" s="467" cm="1">
        <f t="array" ref="BG78">INDEX('Energy Balance'!$D$7:$W$154,MATCH('MIN-IMP-EXP'!$B78,'Energy Balance'!$A$7:$A$154,0),MATCH('MIN-IMP-EXP'!BG$1&amp;'MIN-IMP-EXP'!BG$3,'Energy Balance'!$D$4:$W$4&amp;'Energy Balance'!$D$6:$W$6,0))/1000*INDEX('Energy Balance'!$Z$7:$AJ$155,MATCH($B78,'Energy Balance'!$A$7:$A$155,0),MATCH(BG$2,'Energy Balance'!$Z$5:$AJ$5,0))</f>
        <v>51.013332000000005</v>
      </c>
      <c r="BH78" s="467" cm="1">
        <f t="array" ref="BH78">INDEX('Energy Balance'!$D$7:$W$154,MATCH('MIN-IMP-EXP'!$B78,'Energy Balance'!$A$7:$A$154,0),MATCH('MIN-IMP-EXP'!BH$1&amp;'MIN-IMP-EXP'!BH$3,'Energy Balance'!$D$4:$W$4&amp;'Energy Balance'!$D$6:$W$6,0))/1000*INDEX('Energy Balance'!$Z$7:$AJ$155,MATCH($B78,'Energy Balance'!$A$7:$A$155,0),MATCH(BH$2,'Energy Balance'!$Z$5:$AJ$5,0))</f>
        <v>0</v>
      </c>
      <c r="BI78" s="467" cm="1">
        <f t="array" ref="BI78">INDEX('Energy Balance'!$D$7:$W$154,MATCH('MIN-IMP-EXP'!$B78,'Energy Balance'!$A$7:$A$154,0),MATCH('MIN-IMP-EXP'!BI$1&amp;'MIN-IMP-EXP'!BI$3,'Energy Balance'!$D$4:$W$4&amp;'Energy Balance'!$D$6:$W$6,0))/1000*INDEX('Energy Balance'!$Z$7:$AJ$155,MATCH($B78,'Energy Balance'!$A$7:$A$155,0),MATCH(BI$2,'Energy Balance'!$Z$5:$AJ$5,0))</f>
        <v>0</v>
      </c>
      <c r="BJ78" s="467" cm="1">
        <f t="array" ref="BJ78">INDEX('Energy Balance'!$D$7:$W$154,MATCH('MIN-IMP-EXP'!$B78,'Energy Balance'!$A$7:$A$154,0),MATCH('MIN-IMP-EXP'!BJ$1&amp;'MIN-IMP-EXP'!BJ$3,'Energy Balance'!$D$4:$W$4&amp;'Energy Balance'!$D$6:$W$6,0))/1000*INDEX('Energy Balance'!$Z$7:$AJ$155,MATCH($B78,'Energy Balance'!$A$7:$A$155,0),MATCH(BJ$2,'Energy Balance'!$Z$5:$AJ$5,0))</f>
        <v>0</v>
      </c>
      <c r="BK78" s="467" cm="1">
        <f t="array" ref="BK78">INDEX('Energy Balance'!$D$7:$W$154,MATCH('MIN-IMP-EXP'!$B78,'Energy Balance'!$A$7:$A$154,0),MATCH('MIN-IMP-EXP'!BK$1&amp;'MIN-IMP-EXP'!BK$3,'Energy Balance'!$D$4:$W$4&amp;'Energy Balance'!$D$6:$W$6,0))/1000*INDEX('Energy Balance'!$Z$7:$AJ$155,MATCH($B78,'Energy Balance'!$A$7:$A$155,0),MATCH(BK$2,'Energy Balance'!$Z$5:$AJ$5,0))</f>
        <v>53.092800000000004</v>
      </c>
      <c r="BL78" s="467" cm="1">
        <f t="array" ref="BL78">INDEX('Energy Balance'!$D$7:$W$154,MATCH('MIN-IMP-EXP'!$B78,'Energy Balance'!$A$7:$A$154,0),MATCH('MIN-IMP-EXP'!BL$1&amp;'MIN-IMP-EXP'!BL$3,'Energy Balance'!$D$4:$W$4&amp;'Energy Balance'!$D$6:$W$6,0))/1000*INDEX('Energy Balance'!$Z$7:$AJ$155,MATCH($B78,'Energy Balance'!$A$7:$A$155,0),MATCH(BL$2,'Energy Balance'!$Z$5:$AJ$5,0))</f>
        <v>0</v>
      </c>
      <c r="BM78" s="466">
        <v>4</v>
      </c>
    </row>
    <row r="79" spans="2:65" ht="14.4">
      <c r="B79" s="8" t="str">
        <f>Processes!D78</f>
        <v>EXPLPG</v>
      </c>
      <c r="C79" s="8" t="str">
        <f>Processes!E78</f>
        <v>Export technology - Liquid petrol gas</v>
      </c>
      <c r="D79" s="67" t="str">
        <f t="shared" si="36"/>
        <v>LPG</v>
      </c>
      <c r="E79" s="332"/>
      <c r="F79" s="387" t="str">
        <f t="shared" si="35"/>
        <v>MKr14</v>
      </c>
      <c r="G79" s="330">
        <f t="shared" si="33"/>
        <v>84.36</v>
      </c>
      <c r="H79" s="330">
        <f t="shared" si="34"/>
        <v>87.59</v>
      </c>
      <c r="I79" s="330">
        <f t="shared" si="34"/>
        <v>104.69</v>
      </c>
      <c r="J79" s="330">
        <f t="shared" si="34"/>
        <v>102.98</v>
      </c>
      <c r="K79" s="330">
        <f t="shared" si="34"/>
        <v>86.83</v>
      </c>
      <c r="L79" s="330">
        <f t="shared" si="34"/>
        <v>83.6</v>
      </c>
      <c r="M79" s="330">
        <f t="shared" si="34"/>
        <v>69.919999999999987</v>
      </c>
      <c r="N79" s="330">
        <f t="shared" si="34"/>
        <v>70.11</v>
      </c>
      <c r="O79" s="330">
        <f t="shared" si="34"/>
        <v>101.50214842551547</v>
      </c>
      <c r="P79" s="330">
        <f t="shared" si="34"/>
        <v>65.095921357178881</v>
      </c>
      <c r="Q79" s="330">
        <f t="shared" si="34"/>
        <v>63.455914974316286</v>
      </c>
      <c r="R79" s="330">
        <f t="shared" si="34"/>
        <v>59.898051048332576</v>
      </c>
      <c r="S79" s="330">
        <f t="shared" si="34"/>
        <v>62.248842380929602</v>
      </c>
      <c r="T79" s="330">
        <f t="shared" si="34"/>
        <v>63.398607794463381</v>
      </c>
      <c r="U79" s="330">
        <f t="shared" si="34"/>
        <v>63.777535448687935</v>
      </c>
      <c r="V79" s="330">
        <f t="shared" si="34"/>
        <v>63.661558579535964</v>
      </c>
      <c r="W79" s="330">
        <f t="shared" si="34"/>
        <v>63.588514488177715</v>
      </c>
      <c r="X79" s="330">
        <f t="shared" si="34"/>
        <v>63.541599463840171</v>
      </c>
      <c r="Y79" s="330">
        <f t="shared" si="34"/>
        <v>63.501419221861575</v>
      </c>
      <c r="Z79" s="330">
        <f t="shared" si="34"/>
        <v>63.487018471242372</v>
      </c>
      <c r="AA79" s="330">
        <f t="shared" si="34"/>
        <v>63.483089959778773</v>
      </c>
      <c r="AB79" s="330">
        <f t="shared" si="34"/>
        <v>63.570652842481927</v>
      </c>
      <c r="AC79" s="330">
        <f t="shared" si="34"/>
        <v>63.658215725185073</v>
      </c>
      <c r="AD79" s="330">
        <f t="shared" si="34"/>
        <v>63.745778607888212</v>
      </c>
      <c r="AE79" s="330">
        <f t="shared" si="34"/>
        <v>63.833341490591351</v>
      </c>
      <c r="AF79" s="330">
        <f t="shared" si="34"/>
        <v>63.920904373294512</v>
      </c>
      <c r="AG79" s="330">
        <f t="shared" si="34"/>
        <v>64.008467255997658</v>
      </c>
      <c r="AH79" s="330">
        <f t="shared" si="34"/>
        <v>64.096030138700783</v>
      </c>
      <c r="AI79" s="330">
        <f t="shared" si="34"/>
        <v>64.183593021403937</v>
      </c>
      <c r="AJ79" s="330">
        <f t="shared" si="34"/>
        <v>64.271155904107061</v>
      </c>
      <c r="AK79" s="330">
        <f t="shared" si="34"/>
        <v>64.358718786810215</v>
      </c>
      <c r="AL79" s="330">
        <f t="shared" si="34"/>
        <v>64.446281669513368</v>
      </c>
      <c r="AM79" s="330">
        <f t="shared" si="34"/>
        <v>64.533844552216507</v>
      </c>
      <c r="AN79" s="330">
        <f t="shared" si="34"/>
        <v>64.621407434919632</v>
      </c>
      <c r="AO79" s="330">
        <f t="shared" si="34"/>
        <v>64.708970317622786</v>
      </c>
      <c r="AP79" s="330">
        <f t="shared" si="34"/>
        <v>64.796533200325939</v>
      </c>
      <c r="AQ79" s="330">
        <f t="shared" si="34"/>
        <v>64.884096083029092</v>
      </c>
      <c r="AR79" s="330">
        <f t="shared" si="34"/>
        <v>64.971658965732217</v>
      </c>
      <c r="AS79" s="330">
        <f t="shared" si="34"/>
        <v>65.059221848435371</v>
      </c>
      <c r="AT79" s="330">
        <f t="shared" si="34"/>
        <v>65.146784731138496</v>
      </c>
      <c r="AU79" s="330">
        <f t="shared" si="34"/>
        <v>65.234347613841663</v>
      </c>
      <c r="AV79" s="331">
        <v>5</v>
      </c>
      <c r="AW79" s="467" cm="1">
        <f t="array" ref="AW79">INDEX('Energy Balance'!$D$7:$W$154,MATCH('MIN-IMP-EXP'!$B79,'Energy Balance'!$A$7:$A$154,0),MATCH('MIN-IMP-EXP'!AW$1&amp;'MIN-IMP-EXP'!AW$3,'Energy Balance'!$D$4:$W$4&amp;'Energy Balance'!$D$6:$W$6,0))/1000*INDEX('Energy Balance'!$Z$7:$AJ$155,MATCH($B79,'Energy Balance'!$A$7:$A$155,0),MATCH(AW$2,'Energy Balance'!$Z$5:$AJ$5,0))</f>
        <v>0.64301299196543593</v>
      </c>
      <c r="AX79" s="467" cm="1">
        <f t="array" ref="AX79">INDEX('Energy Balance'!$D$7:$W$154,MATCH('MIN-IMP-EXP'!$B79,'Energy Balance'!$A$7:$A$154,0),MATCH('MIN-IMP-EXP'!AX$1&amp;'MIN-IMP-EXP'!AX$3,'Energy Balance'!$D$4:$W$4&amp;'Energy Balance'!$D$6:$W$6,0))/1000*INDEX('Energy Balance'!$Z$7:$AJ$155,MATCH($B79,'Energy Balance'!$A$7:$A$155,0),MATCH(AX$2,'Energy Balance'!$Z$5:$AJ$5,0))</f>
        <v>1.5893080195973268</v>
      </c>
      <c r="AY79" s="467" cm="1">
        <f t="array" ref="AY79">INDEX('Energy Balance'!$D$7:$W$154,MATCH('MIN-IMP-EXP'!$B79,'Energy Balance'!$A$7:$A$154,0),MATCH('MIN-IMP-EXP'!AY$1&amp;'MIN-IMP-EXP'!AY$3,'Energy Balance'!$D$4:$W$4&amp;'Energy Balance'!$D$6:$W$6,0))/1000*INDEX('Energy Balance'!$Z$7:$AJ$155,MATCH($B79,'Energy Balance'!$A$7:$A$155,0),MATCH(AY$2,'Energy Balance'!$Z$5:$AJ$5,0))</f>
        <v>13.454403054633973</v>
      </c>
      <c r="AZ79" s="467" cm="1">
        <f t="array" ref="AZ79">INDEX('Energy Balance'!$D$7:$W$154,MATCH('MIN-IMP-EXP'!$B79,'Energy Balance'!$A$7:$A$154,0),MATCH('MIN-IMP-EXP'!AZ$1&amp;'MIN-IMP-EXP'!AZ$3,'Energy Balance'!$D$4:$W$4&amp;'Energy Balance'!$D$6:$W$6,0))/1000*INDEX('Energy Balance'!$Z$7:$AJ$155,MATCH($B79,'Energy Balance'!$A$7:$A$155,0),MATCH(AZ$2,'Energy Balance'!$Z$5:$AJ$5,0))</f>
        <v>4.463075933803264</v>
      </c>
      <c r="BA79" s="467" cm="1">
        <f t="array" ref="BA79">INDEX('Energy Balance'!$D$7:$W$154,MATCH('MIN-IMP-EXP'!$B79,'Energy Balance'!$A$7:$A$154,0),MATCH('MIN-IMP-EXP'!BA$1&amp;'MIN-IMP-EXP'!BA$3,'Energy Balance'!$D$4:$W$4&amp;'Energy Balance'!$D$6:$W$6,0))/1000*INDEX('Energy Balance'!$Z$7:$AJ$155,MATCH($B79,'Energy Balance'!$A$7:$A$155,0),MATCH(BA$2,'Energy Balance'!$Z$5:$AJ$5,0))</f>
        <v>0.86187891646071335</v>
      </c>
      <c r="BB79" s="467" cm="1">
        <f t="array" ref="BB79">INDEX('Energy Balance'!$D$7:$W$154,MATCH('MIN-IMP-EXP'!$B79,'Energy Balance'!$A$7:$A$154,0),MATCH('MIN-IMP-EXP'!BB$1&amp;'MIN-IMP-EXP'!BB$3,'Energy Balance'!$D$4:$W$4&amp;'Energy Balance'!$D$6:$W$6,0))/1000*INDEX('Energy Balance'!$Z$7:$AJ$155,MATCH($B79,'Energy Balance'!$A$7:$A$155,0),MATCH(BB$2,'Energy Balance'!$Z$5:$AJ$5,0))</f>
        <v>2.1302696694602665</v>
      </c>
      <c r="BC79" s="467" cm="1">
        <f t="array" ref="BC79">INDEX('Energy Balance'!$D$7:$W$154,MATCH('MIN-IMP-EXP'!$B79,'Energy Balance'!$A$7:$A$154,0),MATCH('MIN-IMP-EXP'!BC$1&amp;'MIN-IMP-EXP'!BC$3,'Energy Balance'!$D$4:$W$4&amp;'Energy Balance'!$D$6:$W$6,0))/1000*INDEX('Energy Balance'!$Z$7:$AJ$155,MATCH($B79,'Energy Balance'!$A$7:$A$155,0),MATCH(BC$2,'Energy Balance'!$Z$5:$AJ$5,0))</f>
        <v>18.033953390131451</v>
      </c>
      <c r="BD79" s="467" cm="1">
        <f t="array" ref="BD79">INDEX('Energy Balance'!$D$7:$W$154,MATCH('MIN-IMP-EXP'!$B79,'Energy Balance'!$A$7:$A$154,0),MATCH('MIN-IMP-EXP'!BD$1&amp;'MIN-IMP-EXP'!BD$3,'Energy Balance'!$D$4:$W$4&amp;'Energy Balance'!$D$6:$W$6,0))/1000*INDEX('Energy Balance'!$Z$7:$AJ$155,MATCH($B79,'Energy Balance'!$A$7:$A$155,0),MATCH(BD$2,'Energy Balance'!$Z$5:$AJ$5,0))</f>
        <v>5.9821980239475669</v>
      </c>
      <c r="BE79" s="467" cm="1">
        <f t="array" ref="BE79">INDEX('Energy Balance'!$D$7:$W$154,MATCH('MIN-IMP-EXP'!$B79,'Energy Balance'!$A$7:$A$154,0),MATCH('MIN-IMP-EXP'!BE$1&amp;'MIN-IMP-EXP'!BE$3,'Energy Balance'!$D$4:$W$4&amp;'Energy Balance'!$D$6:$W$6,0))/1000*INDEX('Energy Balance'!$Z$7:$AJ$155,MATCH($B79,'Energy Balance'!$A$7:$A$155,0),MATCH(BE$2,'Energy Balance'!$Z$5:$AJ$5,0))</f>
        <v>0.85735065595391469</v>
      </c>
      <c r="BF79" s="467" cm="1">
        <f t="array" ref="BF79">INDEX('Energy Balance'!$D$7:$W$154,MATCH('MIN-IMP-EXP'!$B79,'Energy Balance'!$A$7:$A$154,0),MATCH('MIN-IMP-EXP'!BF$1&amp;'MIN-IMP-EXP'!BF$3,'Energy Balance'!$D$4:$W$4&amp;'Energy Balance'!$D$6:$W$6,0))/1000*INDEX('Energy Balance'!$Z$7:$AJ$155,MATCH($B79,'Energy Balance'!$A$7:$A$155,0),MATCH(BF$2,'Energy Balance'!$Z$5:$AJ$5,0))</f>
        <v>2.1190773594631027</v>
      </c>
      <c r="BG79" s="467" cm="1">
        <f t="array" ref="BG79">INDEX('Energy Balance'!$D$7:$W$154,MATCH('MIN-IMP-EXP'!$B79,'Energy Balance'!$A$7:$A$154,0),MATCH('MIN-IMP-EXP'!BG$1&amp;'MIN-IMP-EXP'!BG$3,'Energy Balance'!$D$4:$W$4&amp;'Energy Balance'!$D$6:$W$6,0))/1000*INDEX('Energy Balance'!$Z$7:$AJ$155,MATCH($B79,'Energy Balance'!$A$7:$A$155,0),MATCH(BG$2,'Energy Balance'!$Z$5:$AJ$5,0))</f>
        <v>17.9392040728453</v>
      </c>
      <c r="BH79" s="467" cm="1">
        <f t="array" ref="BH79">INDEX('Energy Balance'!$D$7:$W$154,MATCH('MIN-IMP-EXP'!$B79,'Energy Balance'!$A$7:$A$154,0),MATCH('MIN-IMP-EXP'!BH$1&amp;'MIN-IMP-EXP'!BH$3,'Energy Balance'!$D$4:$W$4&amp;'Energy Balance'!$D$6:$W$6,0))/1000*INDEX('Energy Balance'!$Z$7:$AJ$155,MATCH($B79,'Energy Balance'!$A$7:$A$155,0),MATCH(BH$2,'Energy Balance'!$Z$5:$AJ$5,0))</f>
        <v>5.9507679117376862</v>
      </c>
      <c r="BI79" s="467" cm="1">
        <f t="array" ref="BI79">INDEX('Energy Balance'!$D$7:$W$154,MATCH('MIN-IMP-EXP'!$B79,'Energy Balance'!$A$7:$A$154,0),MATCH('MIN-IMP-EXP'!BI$1&amp;'MIN-IMP-EXP'!BI$3,'Energy Balance'!$D$4:$W$4&amp;'Energy Balance'!$D$6:$W$6,0))/1000*INDEX('Energy Balance'!$Z$7:$AJ$155,MATCH($B79,'Energy Balance'!$A$7:$A$155,0),MATCH(BI$2,'Energy Balance'!$Z$5:$AJ$5,0))</f>
        <v>0.84487001688267416</v>
      </c>
      <c r="BJ79" s="467" cm="1">
        <f t="array" ref="BJ79">INDEX('Energy Balance'!$D$7:$W$154,MATCH('MIN-IMP-EXP'!$B79,'Energy Balance'!$A$7:$A$154,0),MATCH('MIN-IMP-EXP'!BJ$1&amp;'MIN-IMP-EXP'!BJ$3,'Energy Balance'!$D$4:$W$4&amp;'Energy Balance'!$D$6:$W$6,0))/1000*INDEX('Energy Balance'!$Z$7:$AJ$155,MATCH($B79,'Energy Balance'!$A$7:$A$155,0),MATCH(BJ$2,'Energy Balance'!$Z$5:$AJ$5,0))</f>
        <v>2.08822949166965</v>
      </c>
      <c r="BK79" s="467" cm="1">
        <f t="array" ref="BK79">INDEX('Energy Balance'!$D$7:$W$154,MATCH('MIN-IMP-EXP'!$B79,'Energy Balance'!$A$7:$A$154,0),MATCH('MIN-IMP-EXP'!BK$1&amp;'MIN-IMP-EXP'!BK$3,'Energy Balance'!$D$4:$W$4&amp;'Energy Balance'!$D$6:$W$6,0))/1000*INDEX('Energy Balance'!$Z$7:$AJ$155,MATCH($B79,'Energy Balance'!$A$7:$A$155,0),MATCH(BK$2,'Energy Balance'!$Z$5:$AJ$5,0))</f>
        <v>17.678059196237722</v>
      </c>
      <c r="BL79" s="467" cm="1">
        <f t="array" ref="BL79">INDEX('Energy Balance'!$D$7:$W$154,MATCH('MIN-IMP-EXP'!$B79,'Energy Balance'!$A$7:$A$154,0),MATCH('MIN-IMP-EXP'!BL$1&amp;'MIN-IMP-EXP'!BL$3,'Energy Balance'!$D$4:$W$4&amp;'Energy Balance'!$D$6:$W$6,0))/1000*INDEX('Energy Balance'!$Z$7:$AJ$155,MATCH($B79,'Energy Balance'!$A$7:$A$155,0),MATCH(BL$2,'Energy Balance'!$Z$5:$AJ$5,0))</f>
        <v>5.8641412952099552</v>
      </c>
      <c r="BM79" s="466">
        <v>4</v>
      </c>
    </row>
    <row r="80" spans="2:65" ht="14.4">
      <c r="B80" s="8" t="str">
        <f>Processes!D79</f>
        <v>EXPLVN</v>
      </c>
      <c r="C80" s="8" t="str">
        <f>Processes!E79</f>
        <v>Export technology - Naphtha (Petroleoum)</v>
      </c>
      <c r="D80" s="67" t="str">
        <f t="shared" si="36"/>
        <v>LVN</v>
      </c>
      <c r="E80" s="332"/>
      <c r="F80" s="387" t="str">
        <f t="shared" si="35"/>
        <v>MKr14</v>
      </c>
      <c r="G80" s="330">
        <f t="shared" si="33"/>
        <v>84.36</v>
      </c>
      <c r="H80" s="330">
        <f t="shared" si="34"/>
        <v>87.59</v>
      </c>
      <c r="I80" s="330">
        <f t="shared" si="34"/>
        <v>104.69</v>
      </c>
      <c r="J80" s="330">
        <f t="shared" si="34"/>
        <v>102.98</v>
      </c>
      <c r="K80" s="330">
        <f t="shared" si="34"/>
        <v>86.83</v>
      </c>
      <c r="L80" s="330">
        <f t="shared" si="34"/>
        <v>83.6</v>
      </c>
      <c r="M80" s="330">
        <f t="shared" si="34"/>
        <v>69.919999999999987</v>
      </c>
      <c r="N80" s="330">
        <f t="shared" si="34"/>
        <v>70.11</v>
      </c>
      <c r="O80" s="330">
        <f t="shared" si="34"/>
        <v>101.50214842551547</v>
      </c>
      <c r="P80" s="330">
        <f t="shared" si="34"/>
        <v>65.095921357178881</v>
      </c>
      <c r="Q80" s="330">
        <f t="shared" si="34"/>
        <v>63.455914974316286</v>
      </c>
      <c r="R80" s="330">
        <f t="shared" si="34"/>
        <v>59.898051048332576</v>
      </c>
      <c r="S80" s="330">
        <f t="shared" si="34"/>
        <v>62.248842380929602</v>
      </c>
      <c r="T80" s="330">
        <f t="shared" si="34"/>
        <v>63.398607794463381</v>
      </c>
      <c r="U80" s="330">
        <f t="shared" si="34"/>
        <v>63.777535448687935</v>
      </c>
      <c r="V80" s="330">
        <f t="shared" si="34"/>
        <v>63.661558579535964</v>
      </c>
      <c r="W80" s="330">
        <f t="shared" si="34"/>
        <v>63.588514488177715</v>
      </c>
      <c r="X80" s="330">
        <f t="shared" si="34"/>
        <v>63.541599463840171</v>
      </c>
      <c r="Y80" s="330">
        <f t="shared" si="34"/>
        <v>63.501419221861575</v>
      </c>
      <c r="Z80" s="330">
        <f t="shared" si="34"/>
        <v>63.487018471242372</v>
      </c>
      <c r="AA80" s="330">
        <f t="shared" si="34"/>
        <v>63.483089959778773</v>
      </c>
      <c r="AB80" s="330">
        <f t="shared" si="34"/>
        <v>63.570652842481927</v>
      </c>
      <c r="AC80" s="330">
        <f t="shared" si="34"/>
        <v>63.658215725185073</v>
      </c>
      <c r="AD80" s="330">
        <f t="shared" si="34"/>
        <v>63.745778607888212</v>
      </c>
      <c r="AE80" s="330">
        <f t="shared" si="34"/>
        <v>63.833341490591351</v>
      </c>
      <c r="AF80" s="330">
        <f t="shared" si="34"/>
        <v>63.920904373294512</v>
      </c>
      <c r="AG80" s="330">
        <f t="shared" si="34"/>
        <v>64.008467255997658</v>
      </c>
      <c r="AH80" s="330">
        <f t="shared" si="34"/>
        <v>64.096030138700783</v>
      </c>
      <c r="AI80" s="330">
        <f t="shared" si="34"/>
        <v>64.183593021403937</v>
      </c>
      <c r="AJ80" s="330">
        <f t="shared" si="34"/>
        <v>64.271155904107061</v>
      </c>
      <c r="AK80" s="330">
        <f t="shared" si="34"/>
        <v>64.358718786810215</v>
      </c>
      <c r="AL80" s="330">
        <f t="shared" si="34"/>
        <v>64.446281669513368</v>
      </c>
      <c r="AM80" s="330">
        <f t="shared" si="34"/>
        <v>64.533844552216507</v>
      </c>
      <c r="AN80" s="330">
        <f t="shared" si="34"/>
        <v>64.621407434919632</v>
      </c>
      <c r="AO80" s="330">
        <f t="shared" si="34"/>
        <v>64.708970317622786</v>
      </c>
      <c r="AP80" s="330">
        <f t="shared" si="34"/>
        <v>64.796533200325939</v>
      </c>
      <c r="AQ80" s="330">
        <f t="shared" si="34"/>
        <v>64.884096083029092</v>
      </c>
      <c r="AR80" s="330">
        <f t="shared" si="34"/>
        <v>64.971658965732217</v>
      </c>
      <c r="AS80" s="330">
        <f t="shared" si="34"/>
        <v>65.059221848435371</v>
      </c>
      <c r="AT80" s="330">
        <f t="shared" si="34"/>
        <v>65.146784731138496</v>
      </c>
      <c r="AU80" s="330">
        <f t="shared" si="34"/>
        <v>65.234347613841663</v>
      </c>
      <c r="AV80" s="331">
        <v>5</v>
      </c>
      <c r="AW80" s="467" cm="1">
        <f t="array" ref="AW80">INDEX('Energy Balance'!$D$7:$W$154,MATCH('MIN-IMP-EXP'!$B80,'Energy Balance'!$A$7:$A$154,0),MATCH('MIN-IMP-EXP'!AW$1&amp;'MIN-IMP-EXP'!AW$3,'Energy Balance'!$D$4:$W$4&amp;'Energy Balance'!$D$6:$W$6,0))/1000*INDEX('Energy Balance'!$Z$7:$AJ$155,MATCH($B80,'Energy Balance'!$A$7:$A$155,0),MATCH(AW$2,'Energy Balance'!$Z$5:$AJ$5,0))</f>
        <v>0.32803561578321866</v>
      </c>
      <c r="AX80" s="467" cm="1">
        <f t="array" ref="AX80">INDEX('Energy Balance'!$D$7:$W$154,MATCH('MIN-IMP-EXP'!$B80,'Energy Balance'!$A$7:$A$154,0),MATCH('MIN-IMP-EXP'!AX$1&amp;'MIN-IMP-EXP'!AX$3,'Energy Balance'!$D$4:$W$4&amp;'Energy Balance'!$D$6:$W$6,0))/1000*INDEX('Energy Balance'!$Z$7:$AJ$155,MATCH($B80,'Energy Balance'!$A$7:$A$155,0),MATCH(AX$2,'Energy Balance'!$Z$5:$AJ$5,0))</f>
        <v>0.81079175909690038</v>
      </c>
      <c r="AY80" s="467" cm="1">
        <f t="array" ref="AY80">INDEX('Energy Balance'!$D$7:$W$154,MATCH('MIN-IMP-EXP'!$B80,'Energy Balance'!$A$7:$A$154,0),MATCH('MIN-IMP-EXP'!AY$1&amp;'MIN-IMP-EXP'!AY$3,'Energy Balance'!$D$4:$W$4&amp;'Energy Balance'!$D$6:$W$6,0))/1000*INDEX('Energy Balance'!$Z$7:$AJ$155,MATCH($B80,'Energy Balance'!$A$7:$A$155,0),MATCH(AY$2,'Energy Balance'!$Z$5:$AJ$5,0))</f>
        <v>6.8638168220086522</v>
      </c>
      <c r="AZ80" s="467" cm="1">
        <f t="array" ref="AZ80">INDEX('Energy Balance'!$D$7:$W$154,MATCH('MIN-IMP-EXP'!$B80,'Energy Balance'!$A$7:$A$154,0),MATCH('MIN-IMP-EXP'!AZ$1&amp;'MIN-IMP-EXP'!AZ$3,'Energy Balance'!$D$4:$W$4&amp;'Energy Balance'!$D$6:$W$6,0))/1000*INDEX('Energy Balance'!$Z$7:$AJ$155,MATCH($B80,'Energy Balance'!$A$7:$A$155,0),MATCH(AZ$2,'Energy Balance'!$Z$5:$AJ$5,0))</f>
        <v>2.2768558031112298</v>
      </c>
      <c r="BA80" s="467" cm="1">
        <f t="array" ref="BA80">INDEX('Energy Balance'!$D$7:$W$154,MATCH('MIN-IMP-EXP'!$B80,'Energy Balance'!$A$7:$A$154,0),MATCH('MIN-IMP-EXP'!BA$1&amp;'MIN-IMP-EXP'!BA$3,'Energy Balance'!$D$4:$W$4&amp;'Energy Balance'!$D$6:$W$6,0))/1000*INDEX('Energy Balance'!$Z$7:$AJ$155,MATCH($B80,'Energy Balance'!$A$7:$A$155,0),MATCH(BA$2,'Energy Balance'!$Z$5:$AJ$5,0))</f>
        <v>0.34365635939194333</v>
      </c>
      <c r="BB80" s="467" cm="1">
        <f t="array" ref="BB80">INDEX('Energy Balance'!$D$7:$W$154,MATCH('MIN-IMP-EXP'!$B80,'Energy Balance'!$A$7:$A$154,0),MATCH('MIN-IMP-EXP'!BB$1&amp;'MIN-IMP-EXP'!BB$3,'Energy Balance'!$D$4:$W$4&amp;'Energy Balance'!$D$6:$W$6,0))/1000*INDEX('Energy Balance'!$Z$7:$AJ$155,MATCH($B80,'Energy Balance'!$A$7:$A$155,0),MATCH(BB$2,'Energy Balance'!$Z$5:$AJ$5,0))</f>
        <v>0.84940089048246703</v>
      </c>
      <c r="BC80" s="467" cm="1">
        <f t="array" ref="BC80">INDEX('Energy Balance'!$D$7:$W$154,MATCH('MIN-IMP-EXP'!$B80,'Energy Balance'!$A$7:$A$154,0),MATCH('MIN-IMP-EXP'!BC$1&amp;'MIN-IMP-EXP'!BC$3,'Energy Balance'!$D$4:$W$4&amp;'Energy Balance'!$D$6:$W$6,0))/1000*INDEX('Energy Balance'!$Z$7:$AJ$155,MATCH($B80,'Energy Balance'!$A$7:$A$155,0),MATCH(BC$2,'Energy Balance'!$Z$5:$AJ$5,0))</f>
        <v>7.190665242104302</v>
      </c>
      <c r="BD80" s="467" cm="1">
        <f t="array" ref="BD80">INDEX('Energy Balance'!$D$7:$W$154,MATCH('MIN-IMP-EXP'!$B80,'Energy Balance'!$A$7:$A$154,0),MATCH('MIN-IMP-EXP'!BD$1&amp;'MIN-IMP-EXP'!BD$3,'Energy Balance'!$D$4:$W$4&amp;'Energy Balance'!$D$6:$W$6,0))/1000*INDEX('Energy Balance'!$Z$7:$AJ$155,MATCH($B80,'Energy Balance'!$A$7:$A$155,0),MATCH(BD$2,'Energy Balance'!$Z$5:$AJ$5,0))</f>
        <v>2.385277508021288</v>
      </c>
      <c r="BE80" s="467" cm="1">
        <f t="array" ref="BE80">INDEX('Energy Balance'!$D$7:$W$154,MATCH('MIN-IMP-EXP'!$B80,'Energy Balance'!$A$7:$A$154,0),MATCH('MIN-IMP-EXP'!BE$1&amp;'MIN-IMP-EXP'!BE$3,'Energy Balance'!$D$4:$W$4&amp;'Energy Balance'!$D$6:$W$6,0))/1000*INDEX('Energy Balance'!$Z$7:$AJ$155,MATCH($B80,'Energy Balance'!$A$7:$A$155,0),MATCH(BE$2,'Energy Balance'!$Z$5:$AJ$5,0))</f>
        <v>0</v>
      </c>
      <c r="BF80" s="467" cm="1">
        <f t="array" ref="BF80">INDEX('Energy Balance'!$D$7:$W$154,MATCH('MIN-IMP-EXP'!$B80,'Energy Balance'!$A$7:$A$154,0),MATCH('MIN-IMP-EXP'!BF$1&amp;'MIN-IMP-EXP'!BF$3,'Energy Balance'!$D$4:$W$4&amp;'Energy Balance'!$D$6:$W$6,0))/1000*INDEX('Energy Balance'!$Z$7:$AJ$155,MATCH($B80,'Energy Balance'!$A$7:$A$155,0),MATCH(BF$2,'Energy Balance'!$Z$5:$AJ$5,0))</f>
        <v>0</v>
      </c>
      <c r="BG80" s="467" cm="1">
        <f t="array" ref="BG80">INDEX('Energy Balance'!$D$7:$W$154,MATCH('MIN-IMP-EXP'!$B80,'Energy Balance'!$A$7:$A$154,0),MATCH('MIN-IMP-EXP'!BG$1&amp;'MIN-IMP-EXP'!BG$3,'Energy Balance'!$D$4:$W$4&amp;'Energy Balance'!$D$6:$W$6,0))/1000*INDEX('Energy Balance'!$Z$7:$AJ$155,MATCH($B80,'Energy Balance'!$A$7:$A$155,0),MATCH(BG$2,'Energy Balance'!$Z$5:$AJ$5,0))</f>
        <v>0</v>
      </c>
      <c r="BH80" s="467" cm="1">
        <f t="array" ref="BH80">INDEX('Energy Balance'!$D$7:$W$154,MATCH('MIN-IMP-EXP'!$B80,'Energy Balance'!$A$7:$A$154,0),MATCH('MIN-IMP-EXP'!BH$1&amp;'MIN-IMP-EXP'!BH$3,'Energy Balance'!$D$4:$W$4&amp;'Energy Balance'!$D$6:$W$6,0))/1000*INDEX('Energy Balance'!$Z$7:$AJ$155,MATCH($B80,'Energy Balance'!$A$7:$A$155,0),MATCH(BH$2,'Energy Balance'!$Z$5:$AJ$5,0))</f>
        <v>0</v>
      </c>
      <c r="BI80" s="467" cm="1">
        <f t="array" ref="BI80">INDEX('Energy Balance'!$D$7:$W$154,MATCH('MIN-IMP-EXP'!$B80,'Energy Balance'!$A$7:$A$154,0),MATCH('MIN-IMP-EXP'!BI$1&amp;'MIN-IMP-EXP'!BI$3,'Energy Balance'!$D$4:$W$4&amp;'Energy Balance'!$D$6:$W$6,0))/1000*INDEX('Energy Balance'!$Z$7:$AJ$155,MATCH($B80,'Energy Balance'!$A$7:$A$155,0),MATCH(BI$2,'Energy Balance'!$Z$5:$AJ$5,0))</f>
        <v>4.5704891687343402E-2</v>
      </c>
      <c r="BJ80" s="467" cm="1">
        <f t="array" ref="BJ80">INDEX('Energy Balance'!$D$7:$W$154,MATCH('MIN-IMP-EXP'!$B80,'Energy Balance'!$A$7:$A$154,0),MATCH('MIN-IMP-EXP'!BJ$1&amp;'MIN-IMP-EXP'!BJ$3,'Energy Balance'!$D$4:$W$4&amp;'Energy Balance'!$D$6:$W$6,0))/1000*INDEX('Energy Balance'!$Z$7:$AJ$155,MATCH($B80,'Energy Balance'!$A$7:$A$155,0),MATCH(BJ$2,'Energy Balance'!$Z$5:$AJ$5,0))</f>
        <v>0.11296684795044805</v>
      </c>
      <c r="BK80" s="467" cm="1">
        <f t="array" ref="BK80">INDEX('Energy Balance'!$D$7:$W$154,MATCH('MIN-IMP-EXP'!$B80,'Energy Balance'!$A$7:$A$154,0),MATCH('MIN-IMP-EXP'!BK$1&amp;'MIN-IMP-EXP'!BK$3,'Energy Balance'!$D$4:$W$4&amp;'Energy Balance'!$D$6:$W$6,0))/1000*INDEX('Energy Balance'!$Z$7:$AJ$155,MATCH($B80,'Energy Balance'!$A$7:$A$155,0),MATCH(BK$2,'Energy Balance'!$Z$5:$AJ$5,0))</f>
        <v>0.956329097566605</v>
      </c>
      <c r="BL80" s="467" cm="1">
        <f t="array" ref="BL80">INDEX('Energy Balance'!$D$7:$W$154,MATCH('MIN-IMP-EXP'!$B80,'Energy Balance'!$A$7:$A$154,0),MATCH('MIN-IMP-EXP'!BL$1&amp;'MIN-IMP-EXP'!BL$3,'Energy Balance'!$D$4:$W$4&amp;'Energy Balance'!$D$6:$W$6,0))/1000*INDEX('Energy Balance'!$Z$7:$AJ$155,MATCH($B80,'Energy Balance'!$A$7:$A$155,0),MATCH(BL$2,'Energy Balance'!$Z$5:$AJ$5,0))</f>
        <v>0.3172321627956034</v>
      </c>
      <c r="BM80" s="466">
        <v>4</v>
      </c>
    </row>
    <row r="81" spans="2:65" ht="14.4">
      <c r="B81" s="8" t="str">
        <f>Processes!D80</f>
        <v>EXPGSL</v>
      </c>
      <c r="C81" s="8" t="str">
        <f>Processes!E80</f>
        <v>Export technology - Gasoline</v>
      </c>
      <c r="D81" s="67" t="str">
        <f t="shared" si="36"/>
        <v>GSL</v>
      </c>
      <c r="E81" s="332"/>
      <c r="F81" s="387" t="str">
        <f t="shared" si="35"/>
        <v>MKr19</v>
      </c>
      <c r="G81" s="330">
        <f t="shared" si="33"/>
        <v>88.16</v>
      </c>
      <c r="H81" s="330">
        <f t="shared" si="34"/>
        <v>116.755</v>
      </c>
      <c r="I81" s="330">
        <f t="shared" si="34"/>
        <v>129.86499999999998</v>
      </c>
      <c r="J81" s="330">
        <f t="shared" si="34"/>
        <v>115.89999999999999</v>
      </c>
      <c r="K81" s="330">
        <f t="shared" si="34"/>
        <v>109.05999999999999</v>
      </c>
      <c r="L81" s="330">
        <f t="shared" si="34"/>
        <v>74.290000000000006</v>
      </c>
      <c r="M81" s="330">
        <f t="shared" si="34"/>
        <v>71.534999999999997</v>
      </c>
      <c r="N81" s="330">
        <f t="shared" si="34"/>
        <v>75.430000000000007</v>
      </c>
      <c r="O81" s="330">
        <f t="shared" si="34"/>
        <v>97.281022004987349</v>
      </c>
      <c r="P81" s="330">
        <f t="shared" si="34"/>
        <v>92.859615434698739</v>
      </c>
      <c r="Q81" s="330">
        <f t="shared" si="34"/>
        <v>91.453673832219465</v>
      </c>
      <c r="R81" s="330">
        <f t="shared" si="34"/>
        <v>70.56879269142425</v>
      </c>
      <c r="S81" s="330">
        <f t="shared" si="34"/>
        <v>73.806866618593077</v>
      </c>
      <c r="T81" s="330">
        <f t="shared" si="34"/>
        <v>76.013796318990643</v>
      </c>
      <c r="U81" s="330">
        <f t="shared" si="34"/>
        <v>77.627095006707535</v>
      </c>
      <c r="V81" s="330">
        <f t="shared" si="34"/>
        <v>78.80174894190931</v>
      </c>
      <c r="W81" s="330">
        <f t="shared" si="34"/>
        <v>80.09893911330299</v>
      </c>
      <c r="X81" s="330">
        <f t="shared" si="34"/>
        <v>81.370170941805384</v>
      </c>
      <c r="Y81" s="330">
        <f t="shared" si="34"/>
        <v>82.539736173993532</v>
      </c>
      <c r="Z81" s="330">
        <f t="shared" si="34"/>
        <v>83.767850466579958</v>
      </c>
      <c r="AA81" s="330">
        <f t="shared" si="34"/>
        <v>84.929880872470534</v>
      </c>
      <c r="AB81" s="330">
        <f t="shared" si="34"/>
        <v>84.639044298377826</v>
      </c>
      <c r="AC81" s="330">
        <f t="shared" si="34"/>
        <v>84.347512149203396</v>
      </c>
      <c r="AD81" s="330">
        <f t="shared" si="34"/>
        <v>84.057183686862714</v>
      </c>
      <c r="AE81" s="330">
        <f t="shared" si="34"/>
        <v>83.766126007099942</v>
      </c>
      <c r="AF81" s="330">
        <f t="shared" si="34"/>
        <v>83.475160188978734</v>
      </c>
      <c r="AG81" s="330">
        <f t="shared" si="34"/>
        <v>83.183314786114749</v>
      </c>
      <c r="AH81" s="330">
        <f t="shared" si="34"/>
        <v>82.892497833412349</v>
      </c>
      <c r="AI81" s="330">
        <f t="shared" si="34"/>
        <v>82.600986928309936</v>
      </c>
      <c r="AJ81" s="330">
        <f t="shared" si="34"/>
        <v>82.310358418959339</v>
      </c>
      <c r="AK81" s="330">
        <f t="shared" si="34"/>
        <v>82.019443126641477</v>
      </c>
      <c r="AL81" s="330">
        <f t="shared" si="34"/>
        <v>81.728528313431966</v>
      </c>
      <c r="AM81" s="330">
        <f t="shared" si="34"/>
        <v>81.44061580343886</v>
      </c>
      <c r="AN81" s="330">
        <f t="shared" si="34"/>
        <v>81.152708748777343</v>
      </c>
      <c r="AO81" s="330">
        <f t="shared" si="34"/>
        <v>80.864807156422501</v>
      </c>
      <c r="AP81" s="330">
        <f t="shared" si="34"/>
        <v>80.576911033358186</v>
      </c>
      <c r="AQ81" s="330">
        <f t="shared" si="34"/>
        <v>80.289020386577249</v>
      </c>
      <c r="AR81" s="330">
        <f t="shared" si="34"/>
        <v>80.001135223081477</v>
      </c>
      <c r="AS81" s="330">
        <f t="shared" si="34"/>
        <v>79.713255549881637</v>
      </c>
      <c r="AT81" s="330">
        <f t="shared" si="34"/>
        <v>79.425381373997368</v>
      </c>
      <c r="AU81" s="330">
        <f t="shared" si="34"/>
        <v>79.137512702457386</v>
      </c>
      <c r="AV81" s="331">
        <v>5</v>
      </c>
      <c r="AW81" s="467" cm="1">
        <f t="array" ref="AW81">INDEX('Energy Balance'!$D$7:$W$154,MATCH('MIN-IMP-EXP'!$B81,'Energy Balance'!$A$7:$A$154,0),MATCH('MIN-IMP-EXP'!AW$1&amp;'MIN-IMP-EXP'!AW$3,'Energy Balance'!$D$4:$W$4&amp;'Energy Balance'!$D$6:$W$6,0))/1000*INDEX('Energy Balance'!$Z$7:$AJ$155,MATCH($B81,'Energy Balance'!$A$7:$A$155,0),MATCH(AW$2,'Energy Balance'!$Z$5:$AJ$5,0))</f>
        <v>3.0153906905030707</v>
      </c>
      <c r="AX81" s="467" cm="1">
        <f t="array" ref="AX81">INDEX('Energy Balance'!$D$7:$W$154,MATCH('MIN-IMP-EXP'!$B81,'Energy Balance'!$A$7:$A$154,0),MATCH('MIN-IMP-EXP'!AX$1&amp;'MIN-IMP-EXP'!AX$3,'Energy Balance'!$D$4:$W$4&amp;'Energy Balance'!$D$6:$W$6,0))/1000*INDEX('Energy Balance'!$Z$7:$AJ$155,MATCH($B81,'Energy Balance'!$A$7:$A$155,0),MATCH(AX$2,'Energy Balance'!$Z$5:$AJ$5,0))</f>
        <v>7.4530136506063904</v>
      </c>
      <c r="AY81" s="467" cm="1">
        <f t="array" ref="AY81">INDEX('Energy Balance'!$D$7:$W$154,MATCH('MIN-IMP-EXP'!$B81,'Energy Balance'!$A$7:$A$154,0),MATCH('MIN-IMP-EXP'!AY$1&amp;'MIN-IMP-EXP'!AY$3,'Energy Balance'!$D$4:$W$4&amp;'Energy Balance'!$D$6:$W$6,0))/1000*INDEX('Energy Balance'!$Z$7:$AJ$155,MATCH($B81,'Energy Balance'!$A$7:$A$155,0),MATCH(AY$2,'Energy Balance'!$Z$5:$AJ$5,0))</f>
        <v>63.094031106917583</v>
      </c>
      <c r="AZ81" s="467" cm="1">
        <f t="array" ref="AZ81">INDEX('Energy Balance'!$D$7:$W$154,MATCH('MIN-IMP-EXP'!$B81,'Energy Balance'!$A$7:$A$154,0),MATCH('MIN-IMP-EXP'!AZ$1&amp;'MIN-IMP-EXP'!AZ$3,'Energy Balance'!$D$4:$W$4&amp;'Energy Balance'!$D$6:$W$6,0))/1000*INDEX('Energy Balance'!$Z$7:$AJ$155,MATCH($B81,'Energy Balance'!$A$7:$A$155,0),MATCH(AZ$2,'Energy Balance'!$Z$5:$AJ$5,0))</f>
        <v>20.929464551972956</v>
      </c>
      <c r="BA81" s="467" cm="1">
        <f t="array" ref="BA81">INDEX('Energy Balance'!$D$7:$W$154,MATCH('MIN-IMP-EXP'!$B81,'Energy Balance'!$A$7:$A$154,0),MATCH('MIN-IMP-EXP'!BA$1&amp;'MIN-IMP-EXP'!BA$3,'Energy Balance'!$D$4:$W$4&amp;'Energy Balance'!$D$6:$W$6,0))/1000*INDEX('Energy Balance'!$Z$7:$AJ$155,MATCH($B81,'Energy Balance'!$A$7:$A$155,0),MATCH(BA$2,'Energy Balance'!$Z$5:$AJ$5,0))</f>
        <v>3.9993156415532991</v>
      </c>
      <c r="BB81" s="467" cm="1">
        <f t="array" ref="BB81">INDEX('Energy Balance'!$D$7:$W$154,MATCH('MIN-IMP-EXP'!$B81,'Energy Balance'!$A$7:$A$154,0),MATCH('MIN-IMP-EXP'!BB$1&amp;'MIN-IMP-EXP'!BB$3,'Energy Balance'!$D$4:$W$4&amp;'Energy Balance'!$D$6:$W$6,0))/1000*INDEX('Energy Balance'!$Z$7:$AJ$155,MATCH($B81,'Energy Balance'!$A$7:$A$155,0),MATCH(BB$2,'Energy Balance'!$Z$5:$AJ$5,0))</f>
        <v>9.884939342506085</v>
      </c>
      <c r="BC81" s="467" cm="1">
        <f t="array" ref="BC81">INDEX('Energy Balance'!$D$7:$W$154,MATCH('MIN-IMP-EXP'!$B81,'Energy Balance'!$A$7:$A$154,0),MATCH('MIN-IMP-EXP'!BC$1&amp;'MIN-IMP-EXP'!BC$3,'Energy Balance'!$D$4:$W$4&amp;'Energy Balance'!$D$6:$W$6,0))/1000*INDEX('Energy Balance'!$Z$7:$AJ$155,MATCH($B81,'Energy Balance'!$A$7:$A$155,0),MATCH(BC$2,'Energy Balance'!$Z$5:$AJ$5,0))</f>
        <v>83.681675574997584</v>
      </c>
      <c r="BD81" s="467" cm="1">
        <f t="array" ref="BD81">INDEX('Energy Balance'!$D$7:$W$154,MATCH('MIN-IMP-EXP'!$B81,'Energy Balance'!$A$7:$A$154,0),MATCH('MIN-IMP-EXP'!BD$1&amp;'MIN-IMP-EXP'!BD$3,'Energy Balance'!$D$4:$W$4&amp;'Energy Balance'!$D$6:$W$6,0))/1000*INDEX('Energy Balance'!$Z$7:$AJ$155,MATCH($B81,'Energy Balance'!$A$7:$A$155,0),MATCH(BD$2,'Energy Balance'!$Z$5:$AJ$5,0))</f>
        <v>27.758769440943031</v>
      </c>
      <c r="BE81" s="467" cm="1">
        <f t="array" ref="BE81">INDEX('Energy Balance'!$D$7:$W$154,MATCH('MIN-IMP-EXP'!$B81,'Energy Balance'!$A$7:$A$154,0),MATCH('MIN-IMP-EXP'!BE$1&amp;'MIN-IMP-EXP'!BE$3,'Energy Balance'!$D$4:$W$4&amp;'Energy Balance'!$D$6:$W$6,0))/1000*INDEX('Energy Balance'!$Z$7:$AJ$155,MATCH($B81,'Energy Balance'!$A$7:$A$155,0),MATCH(BE$2,'Energy Balance'!$Z$5:$AJ$5,0))</f>
        <v>5.4568251595601751</v>
      </c>
      <c r="BF81" s="467" cm="1">
        <f t="array" ref="BF81">INDEX('Energy Balance'!$D$7:$W$154,MATCH('MIN-IMP-EXP'!$B81,'Energy Balance'!$A$7:$A$154,0),MATCH('MIN-IMP-EXP'!BF$1&amp;'MIN-IMP-EXP'!BF$3,'Energy Balance'!$D$4:$W$4&amp;'Energy Balance'!$D$6:$W$6,0))/1000*INDEX('Energy Balance'!$Z$7:$AJ$155,MATCH($B81,'Energy Balance'!$A$7:$A$155,0),MATCH(BF$2,'Energy Balance'!$Z$5:$AJ$5,0))</f>
        <v>13.487403980937959</v>
      </c>
      <c r="BG81" s="467" cm="1">
        <f t="array" ref="BG81">INDEX('Energy Balance'!$D$7:$W$154,MATCH('MIN-IMP-EXP'!$B81,'Energy Balance'!$A$7:$A$154,0),MATCH('MIN-IMP-EXP'!BG$1&amp;'MIN-IMP-EXP'!BG$3,'Energy Balance'!$D$4:$W$4&amp;'Energy Balance'!$D$6:$W$6,0))/1000*INDEX('Energy Balance'!$Z$7:$AJ$155,MATCH($B81,'Energy Balance'!$A$7:$A$155,0),MATCH(BG$2,'Energy Balance'!$Z$5:$AJ$5,0))</f>
        <v>114.17860294078849</v>
      </c>
      <c r="BH81" s="467" cm="1">
        <f t="array" ref="BH81">INDEX('Energy Balance'!$D$7:$W$154,MATCH('MIN-IMP-EXP'!$B81,'Energy Balance'!$A$7:$A$154,0),MATCH('MIN-IMP-EXP'!BH$1&amp;'MIN-IMP-EXP'!BH$3,'Energy Balance'!$D$4:$W$4&amp;'Energy Balance'!$D$6:$W$6,0))/1000*INDEX('Energy Balance'!$Z$7:$AJ$155,MATCH($B81,'Energy Balance'!$A$7:$A$155,0),MATCH(BH$2,'Energy Balance'!$Z$5:$AJ$5,0))</f>
        <v>37.875167918713359</v>
      </c>
      <c r="BI81" s="467" cm="1">
        <f t="array" ref="BI81">INDEX('Energy Balance'!$D$7:$W$154,MATCH('MIN-IMP-EXP'!$B81,'Energy Balance'!$A$7:$A$154,0),MATCH('MIN-IMP-EXP'!BI$1&amp;'MIN-IMP-EXP'!BI$3,'Energy Balance'!$D$4:$W$4&amp;'Energy Balance'!$D$6:$W$6,0))/1000*INDEX('Energy Balance'!$Z$7:$AJ$155,MATCH($B81,'Energy Balance'!$A$7:$A$155,0),MATCH(BI$2,'Energy Balance'!$Z$5:$AJ$5,0))</f>
        <v>5.0307241428945879</v>
      </c>
      <c r="BJ81" s="467" cm="1">
        <f t="array" ref="BJ81">INDEX('Energy Balance'!$D$7:$W$154,MATCH('MIN-IMP-EXP'!$B81,'Energy Balance'!$A$7:$A$154,0),MATCH('MIN-IMP-EXP'!BJ$1&amp;'MIN-IMP-EXP'!BJ$3,'Energy Balance'!$D$4:$W$4&amp;'Energy Balance'!$D$6:$W$6,0))/1000*INDEX('Energy Balance'!$Z$7:$AJ$155,MATCH($B81,'Energy Balance'!$A$7:$A$155,0),MATCH(BJ$2,'Energy Balance'!$Z$5:$AJ$5,0))</f>
        <v>12.434228117608601</v>
      </c>
      <c r="BK81" s="467" cm="1">
        <f t="array" ref="BK81">INDEX('Energy Balance'!$D$7:$W$154,MATCH('MIN-IMP-EXP'!$B81,'Energy Balance'!$A$7:$A$154,0),MATCH('MIN-IMP-EXP'!BK$1&amp;'MIN-IMP-EXP'!BK$3,'Energy Balance'!$D$4:$W$4&amp;'Energy Balance'!$D$6:$W$6,0))/1000*INDEX('Energy Balance'!$Z$7:$AJ$155,MATCH($B81,'Energy Balance'!$A$7:$A$155,0),MATCH(BK$2,'Energy Balance'!$Z$5:$AJ$5,0))</f>
        <v>105.26286579108519</v>
      </c>
      <c r="BL81" s="467" cm="1">
        <f t="array" ref="BL81">INDEX('Energy Balance'!$D$7:$W$154,MATCH('MIN-IMP-EXP'!$B81,'Energy Balance'!$A$7:$A$154,0),MATCH('MIN-IMP-EXP'!BL$1&amp;'MIN-IMP-EXP'!BL$3,'Energy Balance'!$D$4:$W$4&amp;'Energy Balance'!$D$6:$W$6,0))/1000*INDEX('Energy Balance'!$Z$7:$AJ$155,MATCH($B81,'Energy Balance'!$A$7:$A$155,0),MATCH(BL$2,'Energy Balance'!$Z$5:$AJ$5,0))</f>
        <v>34.917651948411617</v>
      </c>
      <c r="BM81" s="466">
        <v>4</v>
      </c>
    </row>
    <row r="82" spans="2:65" ht="14.4">
      <c r="B82" s="8" t="str">
        <f>Processes!D81</f>
        <v>EXPKER</v>
      </c>
      <c r="C82" s="8" t="str">
        <f>Processes!E81</f>
        <v>Export technology - Kerosene</v>
      </c>
      <c r="D82" s="67" t="str">
        <f t="shared" si="36"/>
        <v>KER</v>
      </c>
      <c r="E82" s="332"/>
      <c r="F82" s="387" t="str">
        <f t="shared" si="35"/>
        <v>MKr19</v>
      </c>
      <c r="G82" s="330">
        <f t="shared" si="33"/>
        <v>72.674999999999997</v>
      </c>
      <c r="H82" s="330">
        <f t="shared" si="34"/>
        <v>106.78</v>
      </c>
      <c r="I82" s="330">
        <f t="shared" si="34"/>
        <v>110.48499999999999</v>
      </c>
      <c r="J82" s="330">
        <f t="shared" si="34"/>
        <v>112.66999999999999</v>
      </c>
      <c r="K82" s="330">
        <f t="shared" si="34"/>
        <v>104.59499999999998</v>
      </c>
      <c r="L82" s="330">
        <f t="shared" si="34"/>
        <v>69.825000000000003</v>
      </c>
      <c r="M82" s="330">
        <f t="shared" si="34"/>
        <v>67.069999999999993</v>
      </c>
      <c r="N82" s="330">
        <f t="shared" si="34"/>
        <v>70.965000000000003</v>
      </c>
      <c r="O82" s="330">
        <f t="shared" si="34"/>
        <v>94.52602200498734</v>
      </c>
      <c r="P82" s="330">
        <f t="shared" si="34"/>
        <v>88.34711543469875</v>
      </c>
      <c r="Q82" s="330">
        <f t="shared" si="34"/>
        <v>86.941173832219462</v>
      </c>
      <c r="R82" s="330">
        <f t="shared" si="34"/>
        <v>66.056292691424247</v>
      </c>
      <c r="S82" s="330">
        <f t="shared" si="34"/>
        <v>69.294366618593074</v>
      </c>
      <c r="T82" s="330">
        <f t="shared" si="34"/>
        <v>71.50129631899064</v>
      </c>
      <c r="U82" s="330">
        <f t="shared" si="34"/>
        <v>73.114595006707532</v>
      </c>
      <c r="V82" s="330">
        <f t="shared" si="34"/>
        <v>74.289248941909307</v>
      </c>
      <c r="W82" s="330">
        <f t="shared" si="34"/>
        <v>75.586439113303001</v>
      </c>
      <c r="X82" s="330">
        <f t="shared" si="34"/>
        <v>76.857670941805381</v>
      </c>
      <c r="Y82" s="330">
        <f t="shared" si="34"/>
        <v>78.027236173993543</v>
      </c>
      <c r="Z82" s="330">
        <f t="shared" si="34"/>
        <v>79.255350466579955</v>
      </c>
      <c r="AA82" s="330">
        <f t="shared" si="34"/>
        <v>80.417380872470531</v>
      </c>
      <c r="AB82" s="330">
        <f t="shared" si="34"/>
        <v>80.126544298377823</v>
      </c>
      <c r="AC82" s="330">
        <f t="shared" si="34"/>
        <v>79.835012149203408</v>
      </c>
      <c r="AD82" s="330">
        <f t="shared" si="34"/>
        <v>79.544683686862726</v>
      </c>
      <c r="AE82" s="330">
        <f t="shared" si="34"/>
        <v>79.253626007099939</v>
      </c>
      <c r="AF82" s="330">
        <f t="shared" si="34"/>
        <v>78.962660188978745</v>
      </c>
      <c r="AG82" s="330">
        <f t="shared" si="34"/>
        <v>78.670814786114747</v>
      </c>
      <c r="AH82" s="330">
        <f t="shared" si="34"/>
        <v>78.379997833412347</v>
      </c>
      <c r="AI82" s="330">
        <f t="shared" si="34"/>
        <v>78.088486928309948</v>
      </c>
      <c r="AJ82" s="330">
        <f t="shared" si="34"/>
        <v>77.797858418959336</v>
      </c>
      <c r="AK82" s="330">
        <f t="shared" si="34"/>
        <v>77.506943126641474</v>
      </c>
      <c r="AL82" s="330">
        <f t="shared" ref="H82:AU85" si="37">IFERROR(INDEX($G$121:$AU$176,MATCH($D82,$E$121:$E$176,0),MATCH(AL$6,$G$120:$AU$120,0)),0)*$E$192</f>
        <v>77.216028313431977</v>
      </c>
      <c r="AM82" s="330">
        <f t="shared" si="37"/>
        <v>76.928115803438857</v>
      </c>
      <c r="AN82" s="330">
        <f t="shared" si="37"/>
        <v>76.640208748777354</v>
      </c>
      <c r="AO82" s="330">
        <f t="shared" si="37"/>
        <v>76.352307156422498</v>
      </c>
      <c r="AP82" s="330">
        <f t="shared" si="37"/>
        <v>76.064411033358184</v>
      </c>
      <c r="AQ82" s="330">
        <f t="shared" si="37"/>
        <v>75.776520386577246</v>
      </c>
      <c r="AR82" s="330">
        <f t="shared" si="37"/>
        <v>75.488635223081488</v>
      </c>
      <c r="AS82" s="330">
        <f t="shared" si="37"/>
        <v>75.200755549881634</v>
      </c>
      <c r="AT82" s="330">
        <f t="shared" si="37"/>
        <v>74.912881373997365</v>
      </c>
      <c r="AU82" s="330">
        <f t="shared" si="37"/>
        <v>74.625012702457397</v>
      </c>
      <c r="AV82" s="331">
        <v>5</v>
      </c>
      <c r="AW82" s="467" cm="1">
        <f t="array" ref="AW82">INDEX('Energy Balance'!$D$7:$W$154,MATCH('MIN-IMP-EXP'!$B82,'Energy Balance'!$A$7:$A$154,0),MATCH('MIN-IMP-EXP'!AW$1&amp;'MIN-IMP-EXP'!AW$3,'Energy Balance'!$D$4:$W$4&amp;'Energy Balance'!$D$6:$W$6,0))/1000*INDEX('Energy Balance'!$Z$7:$AJ$155,MATCH($B82,'Energy Balance'!$A$7:$A$155,0),MATCH(AW$2,'Energy Balance'!$Z$5:$AJ$5,0))</f>
        <v>4.7825962096824728E-2</v>
      </c>
      <c r="AX82" s="467" cm="1">
        <f t="array" ref="AX82">INDEX('Energy Balance'!$D$7:$W$154,MATCH('MIN-IMP-EXP'!$B82,'Energy Balance'!$A$7:$A$154,0),MATCH('MIN-IMP-EXP'!AX$1&amp;'MIN-IMP-EXP'!AX$3,'Energy Balance'!$D$4:$W$4&amp;'Energy Balance'!$D$6:$W$6,0))/1000*INDEX('Energy Balance'!$Z$7:$AJ$155,MATCH($B82,'Energy Balance'!$A$7:$A$155,0),MATCH(AX$2,'Energy Balance'!$Z$5:$AJ$5,0))</f>
        <v>0.11820940798273502</v>
      </c>
      <c r="AY82" s="467" cm="1">
        <f t="array" ref="AY82">INDEX('Energy Balance'!$D$7:$W$154,MATCH('MIN-IMP-EXP'!$B82,'Energy Balance'!$A$7:$A$154,0),MATCH('MIN-IMP-EXP'!AY$1&amp;'MIN-IMP-EXP'!AY$3,'Energy Balance'!$D$4:$W$4&amp;'Energy Balance'!$D$6:$W$6,0))/1000*INDEX('Energy Balance'!$Z$7:$AJ$155,MATCH($B82,'Energy Balance'!$A$7:$A$155,0),MATCH(AY$2,'Energy Balance'!$Z$5:$AJ$5,0))</f>
        <v>1.0007103722111355</v>
      </c>
      <c r="AZ82" s="467" cm="1">
        <f t="array" ref="AZ82">INDEX('Energy Balance'!$D$7:$W$154,MATCH('MIN-IMP-EXP'!$B82,'Energy Balance'!$A$7:$A$154,0),MATCH('MIN-IMP-EXP'!AZ$1&amp;'MIN-IMP-EXP'!AZ$3,'Energy Balance'!$D$4:$W$4&amp;'Energy Balance'!$D$6:$W$6,0))/1000*INDEX('Energy Balance'!$Z$7:$AJ$155,MATCH($B82,'Energy Balance'!$A$7:$A$155,0),MATCH(AZ$2,'Energy Balance'!$Z$5:$AJ$5,0))</f>
        <v>0.33195425770930492</v>
      </c>
      <c r="BA82" s="467" cm="1">
        <f t="array" ref="BA82">INDEX('Energy Balance'!$D$7:$W$154,MATCH('MIN-IMP-EXP'!$B82,'Energy Balance'!$A$7:$A$154,0),MATCH('MIN-IMP-EXP'!BA$1&amp;'MIN-IMP-EXP'!BA$3,'Energy Balance'!$D$4:$W$4&amp;'Energy Balance'!$D$6:$W$6,0))/1000*INDEX('Energy Balance'!$Z$7:$AJ$155,MATCH($B82,'Energy Balance'!$A$7:$A$155,0),MATCH(BA$2,'Energy Balance'!$Z$5:$AJ$5,0))</f>
        <v>6.1927712047172921E-2</v>
      </c>
      <c r="BB82" s="467" cm="1">
        <f t="array" ref="BB82">INDEX('Energy Balance'!$D$7:$W$154,MATCH('MIN-IMP-EXP'!$B82,'Energy Balance'!$A$7:$A$154,0),MATCH('MIN-IMP-EXP'!BB$1&amp;'MIN-IMP-EXP'!BB$3,'Energy Balance'!$D$4:$W$4&amp;'Energy Balance'!$D$6:$W$6,0))/1000*INDEX('Energy Balance'!$Z$7:$AJ$155,MATCH($B82,'Energy Balance'!$A$7:$A$155,0),MATCH(BB$2,'Energy Balance'!$Z$5:$AJ$5,0))</f>
        <v>0.15306410698024656</v>
      </c>
      <c r="BC82" s="467" cm="1">
        <f t="array" ref="BC82">INDEX('Energy Balance'!$D$7:$W$154,MATCH('MIN-IMP-EXP'!$B82,'Energy Balance'!$A$7:$A$154,0),MATCH('MIN-IMP-EXP'!BC$1&amp;'MIN-IMP-EXP'!BC$3,'Energy Balance'!$D$4:$W$4&amp;'Energy Balance'!$D$6:$W$6,0))/1000*INDEX('Energy Balance'!$Z$7:$AJ$155,MATCH($B82,'Energy Balance'!$A$7:$A$155,0),MATCH(BC$2,'Energy Balance'!$Z$5:$AJ$5,0))</f>
        <v>1.2957753708633677</v>
      </c>
      <c r="BD82" s="467" cm="1">
        <f t="array" ref="BD82">INDEX('Energy Balance'!$D$7:$W$154,MATCH('MIN-IMP-EXP'!$B82,'Energy Balance'!$A$7:$A$154,0),MATCH('MIN-IMP-EXP'!BD$1&amp;'MIN-IMP-EXP'!BD$3,'Energy Balance'!$D$4:$W$4&amp;'Energy Balance'!$D$6:$W$6,0))/1000*INDEX('Energy Balance'!$Z$7:$AJ$155,MATCH($B82,'Energy Balance'!$A$7:$A$155,0),MATCH(BD$2,'Energy Balance'!$Z$5:$AJ$5,0))</f>
        <v>0.42983281010921265</v>
      </c>
      <c r="BE82" s="467" cm="1">
        <f t="array" ref="BE82">INDEX('Energy Balance'!$D$7:$W$154,MATCH('MIN-IMP-EXP'!$B82,'Energy Balance'!$A$7:$A$154,0),MATCH('MIN-IMP-EXP'!BE$1&amp;'MIN-IMP-EXP'!BE$3,'Energy Balance'!$D$4:$W$4&amp;'Energy Balance'!$D$6:$W$6,0))/1000*INDEX('Energy Balance'!$Z$7:$AJ$155,MATCH($B82,'Energy Balance'!$A$7:$A$155,0),MATCH(BE$2,'Energy Balance'!$Z$5:$AJ$5,0))</f>
        <v>0</v>
      </c>
      <c r="BF82" s="467" cm="1">
        <f t="array" ref="BF82">INDEX('Energy Balance'!$D$7:$W$154,MATCH('MIN-IMP-EXP'!$B82,'Energy Balance'!$A$7:$A$154,0),MATCH('MIN-IMP-EXP'!BF$1&amp;'MIN-IMP-EXP'!BF$3,'Energy Balance'!$D$4:$W$4&amp;'Energy Balance'!$D$6:$W$6,0))/1000*INDEX('Energy Balance'!$Z$7:$AJ$155,MATCH($B82,'Energy Balance'!$A$7:$A$155,0),MATCH(BF$2,'Energy Balance'!$Z$5:$AJ$5,0))</f>
        <v>0</v>
      </c>
      <c r="BG82" s="467" cm="1">
        <f t="array" ref="BG82">INDEX('Energy Balance'!$D$7:$W$154,MATCH('MIN-IMP-EXP'!$B82,'Energy Balance'!$A$7:$A$154,0),MATCH('MIN-IMP-EXP'!BG$1&amp;'MIN-IMP-EXP'!BG$3,'Energy Balance'!$D$4:$W$4&amp;'Energy Balance'!$D$6:$W$6,0))/1000*INDEX('Energy Balance'!$Z$7:$AJ$155,MATCH($B82,'Energy Balance'!$A$7:$A$155,0),MATCH(BG$2,'Energy Balance'!$Z$5:$AJ$5,0))</f>
        <v>0</v>
      </c>
      <c r="BH82" s="467" cm="1">
        <f t="array" ref="BH82">INDEX('Energy Balance'!$D$7:$W$154,MATCH('MIN-IMP-EXP'!$B82,'Energy Balance'!$A$7:$A$154,0),MATCH('MIN-IMP-EXP'!BH$1&amp;'MIN-IMP-EXP'!BH$3,'Energy Balance'!$D$4:$W$4&amp;'Energy Balance'!$D$6:$W$6,0))/1000*INDEX('Energy Balance'!$Z$7:$AJ$155,MATCH($B82,'Energy Balance'!$A$7:$A$155,0),MATCH(BH$2,'Energy Balance'!$Z$5:$AJ$5,0))</f>
        <v>0</v>
      </c>
      <c r="BI82" s="467" cm="1">
        <f t="array" ref="BI82">INDEX('Energy Balance'!$D$7:$W$154,MATCH('MIN-IMP-EXP'!$B82,'Energy Balance'!$A$7:$A$154,0),MATCH('MIN-IMP-EXP'!BI$1&amp;'MIN-IMP-EXP'!BI$3,'Energy Balance'!$D$4:$W$4&amp;'Energy Balance'!$D$6:$W$6,0))/1000*INDEX('Energy Balance'!$Z$7:$AJ$155,MATCH($B82,'Energy Balance'!$A$7:$A$155,0),MATCH(BI$2,'Energy Balance'!$Z$5:$AJ$5,0))</f>
        <v>0.12682958814814185</v>
      </c>
      <c r="BJ82" s="467" cm="1">
        <f t="array" ref="BJ82">INDEX('Energy Balance'!$D$7:$W$154,MATCH('MIN-IMP-EXP'!$B82,'Energy Balance'!$A$7:$A$154,0),MATCH('MIN-IMP-EXP'!BJ$1&amp;'MIN-IMP-EXP'!BJ$3,'Energy Balance'!$D$4:$W$4&amp;'Energy Balance'!$D$6:$W$6,0))/1000*INDEX('Energy Balance'!$Z$7:$AJ$155,MATCH($B82,'Energy Balance'!$A$7:$A$155,0),MATCH(BJ$2,'Energy Balance'!$Z$5:$AJ$5,0))</f>
        <v>0.31347932947660107</v>
      </c>
      <c r="BK82" s="467" cm="1">
        <f t="array" ref="BK82">INDEX('Energy Balance'!$D$7:$W$154,MATCH('MIN-IMP-EXP'!$B82,'Energy Balance'!$A$7:$A$154,0),MATCH('MIN-IMP-EXP'!BK$1&amp;'MIN-IMP-EXP'!BK$3,'Energy Balance'!$D$4:$W$4&amp;'Energy Balance'!$D$6:$W$6,0))/1000*INDEX('Energy Balance'!$Z$7:$AJ$155,MATCH($B82,'Energy Balance'!$A$7:$A$155,0),MATCH(BK$2,'Energy Balance'!$Z$5:$AJ$5,0))</f>
        <v>2.6537821467377971</v>
      </c>
      <c r="BL82" s="467" cm="1">
        <f t="array" ref="BL82">INDEX('Energy Balance'!$D$7:$W$154,MATCH('MIN-IMP-EXP'!$B82,'Energy Balance'!$A$7:$A$154,0),MATCH('MIN-IMP-EXP'!BL$1&amp;'MIN-IMP-EXP'!BL$3,'Energy Balance'!$D$4:$W$4&amp;'Energy Balance'!$D$6:$W$6,0))/1000*INDEX('Energy Balance'!$Z$7:$AJ$155,MATCH($B82,'Energy Balance'!$A$7:$A$155,0),MATCH(BL$2,'Energy Balance'!$Z$5:$AJ$5,0))</f>
        <v>0.88030893563746004</v>
      </c>
      <c r="BM82" s="466">
        <v>4</v>
      </c>
    </row>
    <row r="83" spans="2:65" ht="14.4">
      <c r="B83" s="8" t="str">
        <f>Processes!D82</f>
        <v>EXPDSL</v>
      </c>
      <c r="C83" s="8" t="str">
        <f>Processes!E82</f>
        <v>Export technology - Diesel</v>
      </c>
      <c r="D83" s="67" t="str">
        <f t="shared" si="36"/>
        <v>DSL</v>
      </c>
      <c r="E83" s="332"/>
      <c r="F83" s="387" t="str">
        <f t="shared" si="35"/>
        <v>MKr19</v>
      </c>
      <c r="G83" s="330">
        <f t="shared" si="33"/>
        <v>100.13</v>
      </c>
      <c r="H83" s="330">
        <f t="shared" si="37"/>
        <v>111.53</v>
      </c>
      <c r="I83" s="330">
        <f t="shared" si="37"/>
        <v>127.48999999999998</v>
      </c>
      <c r="J83" s="330">
        <f t="shared" si="37"/>
        <v>117.03999999999999</v>
      </c>
      <c r="K83" s="330">
        <f t="shared" si="37"/>
        <v>107.82499999999999</v>
      </c>
      <c r="L83" s="330">
        <f t="shared" si="37"/>
        <v>73.149999999999991</v>
      </c>
      <c r="M83" s="330">
        <f t="shared" si="37"/>
        <v>70.3</v>
      </c>
      <c r="N83" s="330">
        <f t="shared" si="37"/>
        <v>74.290000000000006</v>
      </c>
      <c r="O83" s="330">
        <f t="shared" si="37"/>
        <v>96.426022004987345</v>
      </c>
      <c r="P83" s="330">
        <f t="shared" si="37"/>
        <v>90.807615434698747</v>
      </c>
      <c r="Q83" s="330">
        <f t="shared" si="37"/>
        <v>89.401673832219473</v>
      </c>
      <c r="R83" s="330">
        <f t="shared" si="37"/>
        <v>68.516792691424257</v>
      </c>
      <c r="S83" s="330">
        <f t="shared" si="37"/>
        <v>71.754866618593084</v>
      </c>
      <c r="T83" s="330">
        <f t="shared" si="37"/>
        <v>73.96179631899065</v>
      </c>
      <c r="U83" s="330">
        <f t="shared" si="37"/>
        <v>75.575095006707542</v>
      </c>
      <c r="V83" s="330">
        <f t="shared" si="37"/>
        <v>76.749748941909317</v>
      </c>
      <c r="W83" s="330">
        <f t="shared" si="37"/>
        <v>78.046939113302997</v>
      </c>
      <c r="X83" s="330">
        <f t="shared" si="37"/>
        <v>79.318170941805391</v>
      </c>
      <c r="Y83" s="330">
        <f t="shared" si="37"/>
        <v>80.48773617399354</v>
      </c>
      <c r="Z83" s="330">
        <f t="shared" si="37"/>
        <v>81.715850466579965</v>
      </c>
      <c r="AA83" s="330">
        <f t="shared" si="37"/>
        <v>82.877880872470527</v>
      </c>
      <c r="AB83" s="330">
        <f t="shared" si="37"/>
        <v>82.587044298377819</v>
      </c>
      <c r="AC83" s="330">
        <f t="shared" si="37"/>
        <v>82.295512149203404</v>
      </c>
      <c r="AD83" s="330">
        <f t="shared" si="37"/>
        <v>82.005183686862722</v>
      </c>
      <c r="AE83" s="330">
        <f t="shared" si="37"/>
        <v>81.714126007099949</v>
      </c>
      <c r="AF83" s="330">
        <f t="shared" si="37"/>
        <v>81.423160188978741</v>
      </c>
      <c r="AG83" s="330">
        <f t="shared" si="37"/>
        <v>81.131314786114757</v>
      </c>
      <c r="AH83" s="330">
        <f t="shared" si="37"/>
        <v>80.840497833412343</v>
      </c>
      <c r="AI83" s="330">
        <f t="shared" si="37"/>
        <v>80.548986928309944</v>
      </c>
      <c r="AJ83" s="330">
        <f t="shared" si="37"/>
        <v>80.258358418959332</v>
      </c>
      <c r="AK83" s="330">
        <f t="shared" si="37"/>
        <v>79.967443126641484</v>
      </c>
      <c r="AL83" s="330">
        <f t="shared" si="37"/>
        <v>79.676528313431973</v>
      </c>
      <c r="AM83" s="330">
        <f t="shared" si="37"/>
        <v>79.388615803438867</v>
      </c>
      <c r="AN83" s="330">
        <f t="shared" si="37"/>
        <v>79.10070874877735</v>
      </c>
      <c r="AO83" s="330">
        <f t="shared" si="37"/>
        <v>78.812807156422508</v>
      </c>
      <c r="AP83" s="330">
        <f t="shared" si="37"/>
        <v>78.524911033358194</v>
      </c>
      <c r="AQ83" s="330">
        <f t="shared" si="37"/>
        <v>78.237020386577257</v>
      </c>
      <c r="AR83" s="330">
        <f t="shared" si="37"/>
        <v>77.949135223081484</v>
      </c>
      <c r="AS83" s="330">
        <f t="shared" si="37"/>
        <v>77.661255549881631</v>
      </c>
      <c r="AT83" s="330">
        <f t="shared" si="37"/>
        <v>77.373381373997375</v>
      </c>
      <c r="AU83" s="330">
        <f t="shared" si="37"/>
        <v>77.085512702457393</v>
      </c>
      <c r="AV83" s="331">
        <v>5</v>
      </c>
      <c r="AW83" s="467" cm="1">
        <f t="array" ref="AW83">INDEX('Energy Balance'!$D$7:$W$154,MATCH('MIN-IMP-EXP'!$B83,'Energy Balance'!$A$7:$A$154,0),MATCH('MIN-IMP-EXP'!AW$1&amp;'MIN-IMP-EXP'!AW$3,'Energy Balance'!$D$4:$W$4&amp;'Energy Balance'!$D$6:$W$6,0))/1000*INDEX('Energy Balance'!$Z$7:$AJ$155,MATCH($B83,'Energy Balance'!$A$7:$A$155,0),MATCH(AW$2,'Energy Balance'!$Z$5:$AJ$5,0))</f>
        <v>6.2970265047575449</v>
      </c>
      <c r="AX83" s="467" cm="1">
        <f t="array" ref="AX83">INDEX('Energy Balance'!$D$7:$W$154,MATCH('MIN-IMP-EXP'!$B83,'Energy Balance'!$A$7:$A$154,0),MATCH('MIN-IMP-EXP'!AX$1&amp;'MIN-IMP-EXP'!AX$3,'Energy Balance'!$D$4:$W$4&amp;'Energy Balance'!$D$6:$W$6,0))/1000*INDEX('Energy Balance'!$Z$7:$AJ$155,MATCH($B83,'Energy Balance'!$A$7:$A$155,0),MATCH(AX$2,'Energy Balance'!$Z$5:$AJ$5,0))</f>
        <v>15.56409411423844</v>
      </c>
      <c r="AY83" s="467" cm="1">
        <f t="array" ref="AY83">INDEX('Energy Balance'!$D$7:$W$154,MATCH('MIN-IMP-EXP'!$B83,'Energy Balance'!$A$7:$A$154,0),MATCH('MIN-IMP-EXP'!AY$1&amp;'MIN-IMP-EXP'!AY$3,'Energy Balance'!$D$4:$W$4&amp;'Energy Balance'!$D$6:$W$6,0))/1000*INDEX('Energy Balance'!$Z$7:$AJ$155,MATCH($B83,'Energy Balance'!$A$7:$A$155,0),MATCH(AY$2,'Energy Balance'!$Z$5:$AJ$5,0))</f>
        <v>131.75897485641337</v>
      </c>
      <c r="AZ83" s="467" cm="1">
        <f t="array" ref="AZ83">INDEX('Energy Balance'!$D$7:$W$154,MATCH('MIN-IMP-EXP'!$B83,'Energy Balance'!$A$7:$A$154,0),MATCH('MIN-IMP-EXP'!AZ$1&amp;'MIN-IMP-EXP'!AZ$3,'Energy Balance'!$D$4:$W$4&amp;'Energy Balance'!$D$6:$W$6,0))/1000*INDEX('Energy Balance'!$Z$7:$AJ$155,MATCH($B83,'Energy Balance'!$A$7:$A$155,0),MATCH(AZ$2,'Energy Balance'!$Z$5:$AJ$5,0))</f>
        <v>43.706904524590648</v>
      </c>
      <c r="BA83" s="467" cm="1">
        <f t="array" ref="BA83">INDEX('Energy Balance'!$D$7:$W$154,MATCH('MIN-IMP-EXP'!$B83,'Energy Balance'!$A$7:$A$154,0),MATCH('MIN-IMP-EXP'!BA$1&amp;'MIN-IMP-EXP'!BA$3,'Energy Balance'!$D$4:$W$4&amp;'Energy Balance'!$D$6:$W$6,0))/1000*INDEX('Energy Balance'!$Z$7:$AJ$155,MATCH($B83,'Energy Balance'!$A$7:$A$155,0),MATCH(BA$2,'Energy Balance'!$Z$5:$AJ$5,0))</f>
        <v>6.996848583081003</v>
      </c>
      <c r="BB83" s="467" cm="1">
        <f t="array" ref="BB83">INDEX('Energy Balance'!$D$7:$W$154,MATCH('MIN-IMP-EXP'!$B83,'Energy Balance'!$A$7:$A$154,0),MATCH('MIN-IMP-EXP'!BB$1&amp;'MIN-IMP-EXP'!BB$3,'Energy Balance'!$D$4:$W$4&amp;'Energy Balance'!$D$6:$W$6,0))/1000*INDEX('Energy Balance'!$Z$7:$AJ$155,MATCH($B83,'Energy Balance'!$A$7:$A$155,0),MATCH(BB$2,'Energy Balance'!$Z$5:$AJ$5,0))</f>
        <v>17.293814750163829</v>
      </c>
      <c r="BC83" s="467" cm="1">
        <f t="array" ref="BC83">INDEX('Energy Balance'!$D$7:$W$154,MATCH('MIN-IMP-EXP'!$B83,'Energy Balance'!$A$7:$A$154,0),MATCH('MIN-IMP-EXP'!BC$1&amp;'MIN-IMP-EXP'!BC$3,'Energy Balance'!$D$4:$W$4&amp;'Energy Balance'!$D$6:$W$6,0))/1000*INDEX('Energy Balance'!$Z$7:$AJ$155,MATCH($B83,'Energy Balance'!$A$7:$A$155,0),MATCH(BC$2,'Energy Balance'!$Z$5:$AJ$5,0))</f>
        <v>146.40205116427364</v>
      </c>
      <c r="BD83" s="467" cm="1">
        <f t="array" ref="BD83">INDEX('Energy Balance'!$D$7:$W$154,MATCH('MIN-IMP-EXP'!$B83,'Energy Balance'!$A$7:$A$154,0),MATCH('MIN-IMP-EXP'!BD$1&amp;'MIN-IMP-EXP'!BD$3,'Energy Balance'!$D$4:$W$4&amp;'Energy Balance'!$D$6:$W$6,0))/1000*INDEX('Energy Balance'!$Z$7:$AJ$155,MATCH($B83,'Energy Balance'!$A$7:$A$155,0),MATCH(BD$2,'Energy Balance'!$Z$5:$AJ$5,0))</f>
        <v>48.564285502481525</v>
      </c>
      <c r="BE83" s="467" cm="1">
        <f t="array" ref="BE83">INDEX('Energy Balance'!$D$7:$W$154,MATCH('MIN-IMP-EXP'!$B83,'Energy Balance'!$A$7:$A$154,0),MATCH('MIN-IMP-EXP'!BE$1&amp;'MIN-IMP-EXP'!BE$3,'Energy Balance'!$D$4:$W$4&amp;'Energy Balance'!$D$6:$W$6,0))/1000*INDEX('Energy Balance'!$Z$7:$AJ$155,MATCH($B83,'Energy Balance'!$A$7:$A$155,0),MATCH(BE$2,'Energy Balance'!$Z$5:$AJ$5,0))</f>
        <v>7.6239440532649638</v>
      </c>
      <c r="BF83" s="467" cm="1">
        <f t="array" ref="BF83">INDEX('Energy Balance'!$D$7:$W$154,MATCH('MIN-IMP-EXP'!$B83,'Energy Balance'!$A$7:$A$154,0),MATCH('MIN-IMP-EXP'!BF$1&amp;'MIN-IMP-EXP'!BF$3,'Energy Balance'!$D$4:$W$4&amp;'Energy Balance'!$D$6:$W$6,0))/1000*INDEX('Energy Balance'!$Z$7:$AJ$155,MATCH($B83,'Energy Balance'!$A$7:$A$155,0),MATCH(BF$2,'Energy Balance'!$Z$5:$AJ$5,0))</f>
        <v>18.843780104316576</v>
      </c>
      <c r="BG83" s="467" cm="1">
        <f t="array" ref="BG83">INDEX('Energy Balance'!$D$7:$W$154,MATCH('MIN-IMP-EXP'!$B83,'Energy Balance'!$A$7:$A$154,0),MATCH('MIN-IMP-EXP'!BG$1&amp;'MIN-IMP-EXP'!BG$3,'Energy Balance'!$D$4:$W$4&amp;'Energy Balance'!$D$6:$W$6,0))/1000*INDEX('Energy Balance'!$Z$7:$AJ$155,MATCH($B83,'Energy Balance'!$A$7:$A$155,0),MATCH(BG$2,'Energy Balance'!$Z$5:$AJ$5,0))</f>
        <v>159.5233960126896</v>
      </c>
      <c r="BH83" s="467" cm="1">
        <f t="array" ref="BH83">INDEX('Energy Balance'!$D$7:$W$154,MATCH('MIN-IMP-EXP'!$B83,'Energy Balance'!$A$7:$A$154,0),MATCH('MIN-IMP-EXP'!BH$1&amp;'MIN-IMP-EXP'!BH$3,'Energy Balance'!$D$4:$W$4&amp;'Energy Balance'!$D$6:$W$6,0))/1000*INDEX('Energy Balance'!$Z$7:$AJ$155,MATCH($B83,'Energy Balance'!$A$7:$A$155,0),MATCH(BH$2,'Energy Balance'!$Z$5:$AJ$5,0))</f>
        <v>52.916879829728835</v>
      </c>
      <c r="BI83" s="467" cm="1">
        <f t="array" ref="BI83">INDEX('Energy Balance'!$D$7:$W$154,MATCH('MIN-IMP-EXP'!$B83,'Energy Balance'!$A$7:$A$154,0),MATCH('MIN-IMP-EXP'!BI$1&amp;'MIN-IMP-EXP'!BI$3,'Energy Balance'!$D$4:$W$4&amp;'Energy Balance'!$D$6:$W$6,0))/1000*INDEX('Energy Balance'!$Z$7:$AJ$155,MATCH($B83,'Energy Balance'!$A$7:$A$155,0),MATCH(BI$2,'Energy Balance'!$Z$5:$AJ$5,0))</f>
        <v>8.5512443033638537</v>
      </c>
      <c r="BJ83" s="467" cm="1">
        <f t="array" ref="BJ83">INDEX('Energy Balance'!$D$7:$W$154,MATCH('MIN-IMP-EXP'!$B83,'Energy Balance'!$A$7:$A$154,0),MATCH('MIN-IMP-EXP'!BJ$1&amp;'MIN-IMP-EXP'!BJ$3,'Energy Balance'!$D$4:$W$4&amp;'Energy Balance'!$D$6:$W$6,0))/1000*INDEX('Energy Balance'!$Z$7:$AJ$155,MATCH($B83,'Energy Balance'!$A$7:$A$155,0),MATCH(BJ$2,'Energy Balance'!$Z$5:$AJ$5,0))</f>
        <v>21.135748917500358</v>
      </c>
      <c r="BK83" s="467" cm="1">
        <f t="array" ref="BK83">INDEX('Energy Balance'!$D$7:$W$154,MATCH('MIN-IMP-EXP'!$B83,'Energy Balance'!$A$7:$A$154,0),MATCH('MIN-IMP-EXP'!BK$1&amp;'MIN-IMP-EXP'!BK$3,'Energy Balance'!$D$4:$W$4&amp;'Energy Balance'!$D$6:$W$6,0))/1000*INDEX('Energy Balance'!$Z$7:$AJ$155,MATCH($B83,'Energy Balance'!$A$7:$A$155,0),MATCH(BK$2,'Energy Balance'!$Z$5:$AJ$5,0))</f>
        <v>178.92622530756643</v>
      </c>
      <c r="BL83" s="467" cm="1">
        <f t="array" ref="BL83">INDEX('Energy Balance'!$D$7:$W$154,MATCH('MIN-IMP-EXP'!$B83,'Energy Balance'!$A$7:$A$154,0),MATCH('MIN-IMP-EXP'!BL$1&amp;'MIN-IMP-EXP'!BL$3,'Energy Balance'!$D$4:$W$4&amp;'Energy Balance'!$D$6:$W$6,0))/1000*INDEX('Energy Balance'!$Z$7:$AJ$155,MATCH($B83,'Energy Balance'!$A$7:$A$155,0),MATCH(BL$2,'Energy Balance'!$Z$5:$AJ$5,0))</f>
        <v>59.35315947156937</v>
      </c>
      <c r="BM83" s="466">
        <v>4</v>
      </c>
    </row>
    <row r="84" spans="2:65" ht="14.4">
      <c r="B84" s="8" t="str">
        <f>Processes!D83</f>
        <v>EXPHFO</v>
      </c>
      <c r="C84" s="8" t="str">
        <f>Processes!E83</f>
        <v>Export technology - Heavy Fuel Oil</v>
      </c>
      <c r="D84" s="67" t="str">
        <f t="shared" si="36"/>
        <v>HFO</v>
      </c>
      <c r="E84" s="332"/>
      <c r="F84" s="387" t="str">
        <f t="shared" si="35"/>
        <v>MKr19</v>
      </c>
      <c r="G84" s="330">
        <f t="shared" si="33"/>
        <v>64.790000000000006</v>
      </c>
      <c r="H84" s="330">
        <f t="shared" si="37"/>
        <v>96.899999999999991</v>
      </c>
      <c r="I84" s="330">
        <f t="shared" si="37"/>
        <v>91.39</v>
      </c>
      <c r="J84" s="330">
        <f t="shared" si="37"/>
        <v>87.114999999999995</v>
      </c>
      <c r="K84" s="330">
        <f t="shared" si="37"/>
        <v>79.8</v>
      </c>
      <c r="L84" s="330">
        <f t="shared" si="37"/>
        <v>45.125</v>
      </c>
      <c r="M84" s="330">
        <f t="shared" si="37"/>
        <v>42.274999999999999</v>
      </c>
      <c r="N84" s="330">
        <f t="shared" si="37"/>
        <v>46.265000000000001</v>
      </c>
      <c r="O84" s="330">
        <f t="shared" si="37"/>
        <v>64.34838436678902</v>
      </c>
      <c r="P84" s="330">
        <f t="shared" si="37"/>
        <v>58.729977796500442</v>
      </c>
      <c r="Q84" s="330">
        <f t="shared" si="37"/>
        <v>57.324036194021168</v>
      </c>
      <c r="R84" s="330">
        <f t="shared" si="37"/>
        <v>36.43915505322596</v>
      </c>
      <c r="S84" s="330">
        <f t="shared" si="37"/>
        <v>39.677228980394787</v>
      </c>
      <c r="T84" s="330">
        <f t="shared" si="37"/>
        <v>41.884158680792353</v>
      </c>
      <c r="U84" s="330">
        <f t="shared" si="37"/>
        <v>43.497457368509231</v>
      </c>
      <c r="V84" s="330">
        <f t="shared" si="37"/>
        <v>44.672111303711013</v>
      </c>
      <c r="W84" s="330">
        <f t="shared" si="37"/>
        <v>45.969301475104693</v>
      </c>
      <c r="X84" s="330">
        <f t="shared" si="37"/>
        <v>47.240533303607087</v>
      </c>
      <c r="Y84" s="330">
        <f t="shared" si="37"/>
        <v>48.410098535795242</v>
      </c>
      <c r="Z84" s="330">
        <f t="shared" si="37"/>
        <v>49.638212828381661</v>
      </c>
      <c r="AA84" s="330">
        <f t="shared" si="37"/>
        <v>50.80024323427223</v>
      </c>
      <c r="AB84" s="330">
        <f t="shared" si="37"/>
        <v>50.509406660179529</v>
      </c>
      <c r="AC84" s="330">
        <f t="shared" si="37"/>
        <v>50.2178745110051</v>
      </c>
      <c r="AD84" s="330">
        <f t="shared" si="37"/>
        <v>49.927546048664425</v>
      </c>
      <c r="AE84" s="330">
        <f t="shared" si="37"/>
        <v>49.636488368901652</v>
      </c>
      <c r="AF84" s="330">
        <f t="shared" si="37"/>
        <v>49.345522550780437</v>
      </c>
      <c r="AG84" s="330">
        <f t="shared" si="37"/>
        <v>49.05367714791646</v>
      </c>
      <c r="AH84" s="330">
        <f t="shared" si="37"/>
        <v>48.762860195214053</v>
      </c>
      <c r="AI84" s="330">
        <f t="shared" si="37"/>
        <v>48.47134929011164</v>
      </c>
      <c r="AJ84" s="330">
        <f t="shared" si="37"/>
        <v>48.180720780761035</v>
      </c>
      <c r="AK84" s="330">
        <f t="shared" si="37"/>
        <v>47.88980548844318</v>
      </c>
      <c r="AL84" s="330">
        <f t="shared" si="37"/>
        <v>47.598890675233669</v>
      </c>
      <c r="AM84" s="330">
        <f t="shared" si="37"/>
        <v>47.310978165240549</v>
      </c>
      <c r="AN84" s="330">
        <f t="shared" si="37"/>
        <v>47.023071110579053</v>
      </c>
      <c r="AO84" s="330">
        <f t="shared" si="37"/>
        <v>46.735169518224204</v>
      </c>
      <c r="AP84" s="330">
        <f t="shared" si="37"/>
        <v>46.447273395159883</v>
      </c>
      <c r="AQ84" s="330">
        <f t="shared" si="37"/>
        <v>46.15938274837896</v>
      </c>
      <c r="AR84" s="330">
        <f t="shared" si="37"/>
        <v>45.871497584883187</v>
      </c>
      <c r="AS84" s="330">
        <f t="shared" si="37"/>
        <v>45.583617911683326</v>
      </c>
      <c r="AT84" s="330">
        <f t="shared" si="37"/>
        <v>45.295743735799064</v>
      </c>
      <c r="AU84" s="330">
        <f t="shared" si="37"/>
        <v>45.007875064259089</v>
      </c>
      <c r="AV84" s="331">
        <v>5</v>
      </c>
      <c r="AW84" s="467" cm="1">
        <f t="array" ref="AW84">INDEX('Energy Balance'!$D$7:$W$154,MATCH('MIN-IMP-EXP'!$B84,'Energy Balance'!$A$7:$A$154,0),MATCH('MIN-IMP-EXP'!AW$1&amp;'MIN-IMP-EXP'!AW$3,'Energy Balance'!$D$4:$W$4&amp;'Energy Balance'!$D$6:$W$6,0))/1000*INDEX('Energy Balance'!$Z$7:$AJ$155,MATCH($B84,'Energy Balance'!$A$7:$A$155,0),MATCH(AW$2,'Energy Balance'!$Z$5:$AJ$5,0))</f>
        <v>4.6760368898494722</v>
      </c>
      <c r="AX84" s="467" cm="1">
        <f t="array" ref="AX84">INDEX('Energy Balance'!$D$7:$W$154,MATCH('MIN-IMP-EXP'!$B84,'Energy Balance'!$A$7:$A$154,0),MATCH('MIN-IMP-EXP'!AX$1&amp;'MIN-IMP-EXP'!AX$3,'Energy Balance'!$D$4:$W$4&amp;'Energy Balance'!$D$6:$W$6,0))/1000*INDEX('Energy Balance'!$Z$7:$AJ$155,MATCH($B84,'Energy Balance'!$A$7:$A$155,0),MATCH(AX$2,'Energy Balance'!$Z$5:$AJ$5,0))</f>
        <v>11.557562633773635</v>
      </c>
      <c r="AY84" s="467" cm="1">
        <f t="array" ref="AY84">INDEX('Energy Balance'!$D$7:$W$154,MATCH('MIN-IMP-EXP'!$B84,'Energy Balance'!$A$7:$A$154,0),MATCH('MIN-IMP-EXP'!AY$1&amp;'MIN-IMP-EXP'!AY$3,'Energy Balance'!$D$4:$W$4&amp;'Energy Balance'!$D$6:$W$6,0))/1000*INDEX('Energy Balance'!$Z$7:$AJ$155,MATCH($B84,'Energy Balance'!$A$7:$A$155,0),MATCH(AY$2,'Energy Balance'!$Z$5:$AJ$5,0))</f>
        <v>97.841390143721512</v>
      </c>
      <c r="AZ84" s="467" cm="1">
        <f t="array" ref="AZ84">INDEX('Energy Balance'!$D$7:$W$154,MATCH('MIN-IMP-EXP'!$B84,'Energy Balance'!$A$7:$A$154,0),MATCH('MIN-IMP-EXP'!AZ$1&amp;'MIN-IMP-EXP'!AZ$3,'Energy Balance'!$D$4:$W$4&amp;'Energy Balance'!$D$6:$W$6,0))/1000*INDEX('Energy Balance'!$Z$7:$AJ$155,MATCH($B84,'Energy Balance'!$A$7:$A$155,0),MATCH(AZ$2,'Energy Balance'!$Z$5:$AJ$5,0))</f>
        <v>32.455810332655375</v>
      </c>
      <c r="BA84" s="467" cm="1">
        <f t="array" ref="BA84">INDEX('Energy Balance'!$D$7:$W$154,MATCH('MIN-IMP-EXP'!$B84,'Energy Balance'!$A$7:$A$154,0),MATCH('MIN-IMP-EXP'!BA$1&amp;'MIN-IMP-EXP'!BA$3,'Energy Balance'!$D$4:$W$4&amp;'Energy Balance'!$D$6:$W$6,0))/1000*INDEX('Energy Balance'!$Z$7:$AJ$155,MATCH($B84,'Energy Balance'!$A$7:$A$155,0),MATCH(BA$2,'Energy Balance'!$Z$5:$AJ$5,0))</f>
        <v>4.152609545686559</v>
      </c>
      <c r="BB84" s="467" cm="1">
        <f t="array" ref="BB84">INDEX('Energy Balance'!$D$7:$W$154,MATCH('MIN-IMP-EXP'!$B84,'Energy Balance'!$A$7:$A$154,0),MATCH('MIN-IMP-EXP'!BB$1&amp;'MIN-IMP-EXP'!BB$3,'Energy Balance'!$D$4:$W$4&amp;'Energy Balance'!$D$6:$W$6,0))/1000*INDEX('Energy Balance'!$Z$7:$AJ$155,MATCH($B84,'Energy Balance'!$A$7:$A$155,0),MATCH(BB$2,'Energy Balance'!$Z$5:$AJ$5,0))</f>
        <v>10.263829402642646</v>
      </c>
      <c r="BC84" s="467" cm="1">
        <f t="array" ref="BC84">INDEX('Energy Balance'!$D$7:$W$154,MATCH('MIN-IMP-EXP'!$B84,'Energy Balance'!$A$7:$A$154,0),MATCH('MIN-IMP-EXP'!BC$1&amp;'MIN-IMP-EXP'!BC$3,'Energy Balance'!$D$4:$W$4&amp;'Energy Balance'!$D$6:$W$6,0))/1000*INDEX('Energy Balance'!$Z$7:$AJ$155,MATCH($B84,'Energy Balance'!$A$7:$A$155,0),MATCH(BC$2,'Energy Balance'!$Z$5:$AJ$5,0))</f>
        <v>86.889197036925012</v>
      </c>
      <c r="BD84" s="467" cm="1">
        <f t="array" ref="BD84">INDEX('Energy Balance'!$D$7:$W$154,MATCH('MIN-IMP-EXP'!$B84,'Energy Balance'!$A$7:$A$154,0),MATCH('MIN-IMP-EXP'!BD$1&amp;'MIN-IMP-EXP'!BD$3,'Energy Balance'!$D$4:$W$4&amp;'Energy Balance'!$D$6:$W$6,0))/1000*INDEX('Energy Balance'!$Z$7:$AJ$155,MATCH($B84,'Energy Balance'!$A$7:$A$155,0),MATCH(BD$2,'Energy Balance'!$Z$5:$AJ$5,0))</f>
        <v>28.822764014745786</v>
      </c>
      <c r="BE84" s="467" cm="1">
        <f t="array" ref="BE84">INDEX('Energy Balance'!$D$7:$W$154,MATCH('MIN-IMP-EXP'!$B84,'Energy Balance'!$A$7:$A$154,0),MATCH('MIN-IMP-EXP'!BE$1&amp;'MIN-IMP-EXP'!BE$3,'Energy Balance'!$D$4:$W$4&amp;'Energy Balance'!$D$6:$W$6,0))/1000*INDEX('Energy Balance'!$Z$7:$AJ$155,MATCH($B84,'Energy Balance'!$A$7:$A$155,0),MATCH(BE$2,'Energy Balance'!$Z$5:$AJ$5,0))</f>
        <v>3.6755944783459733</v>
      </c>
      <c r="BF84" s="467" cm="1">
        <f t="array" ref="BF84">INDEX('Energy Balance'!$D$7:$W$154,MATCH('MIN-IMP-EXP'!$B84,'Energy Balance'!$A$7:$A$154,0),MATCH('MIN-IMP-EXP'!BF$1&amp;'MIN-IMP-EXP'!BF$3,'Energy Balance'!$D$4:$W$4&amp;'Energy Balance'!$D$6:$W$6,0))/1000*INDEX('Energy Balance'!$Z$7:$AJ$155,MATCH($B84,'Energy Balance'!$A$7:$A$155,0),MATCH(BF$2,'Energy Balance'!$Z$5:$AJ$5,0))</f>
        <v>9.0848114333853403</v>
      </c>
      <c r="BG84" s="467" cm="1">
        <f t="array" ref="BG84">INDEX('Energy Balance'!$D$7:$W$154,MATCH('MIN-IMP-EXP'!$B84,'Energy Balance'!$A$7:$A$154,0),MATCH('MIN-IMP-EXP'!BG$1&amp;'MIN-IMP-EXP'!BG$3,'Energy Balance'!$D$4:$W$4&amp;'Energy Balance'!$D$6:$W$6,0))/1000*INDEX('Energy Balance'!$Z$7:$AJ$155,MATCH($B84,'Energy Balance'!$A$7:$A$155,0),MATCH(BG$2,'Energy Balance'!$Z$5:$AJ$5,0))</f>
        <v>76.908134353391233</v>
      </c>
      <c r="BH84" s="467" cm="1">
        <f t="array" ref="BH84">INDEX('Energy Balance'!$D$7:$W$154,MATCH('MIN-IMP-EXP'!$B84,'Energy Balance'!$A$7:$A$154,0),MATCH('MIN-IMP-EXP'!BH$1&amp;'MIN-IMP-EXP'!BH$3,'Energy Balance'!$D$4:$W$4&amp;'Energy Balance'!$D$6:$W$6,0))/1000*INDEX('Energy Balance'!$Z$7:$AJ$155,MATCH($B84,'Energy Balance'!$A$7:$A$155,0),MATCH(BH$2,'Energy Balance'!$Z$5:$AJ$5,0))</f>
        <v>25.51185973487744</v>
      </c>
      <c r="BI84" s="467" cm="1">
        <f t="array" ref="BI84">INDEX('Energy Balance'!$D$7:$W$154,MATCH('MIN-IMP-EXP'!$B84,'Energy Balance'!$A$7:$A$154,0),MATCH('MIN-IMP-EXP'!BI$1&amp;'MIN-IMP-EXP'!BI$3,'Energy Balance'!$D$4:$W$4&amp;'Energy Balance'!$D$6:$W$6,0))/1000*INDEX('Energy Balance'!$Z$7:$AJ$155,MATCH($B84,'Energy Balance'!$A$7:$A$155,0),MATCH(BI$2,'Energy Balance'!$Z$5:$AJ$5,0))</f>
        <v>5.8009598104847182</v>
      </c>
      <c r="BJ84" s="467" cm="1">
        <f t="array" ref="BJ84">INDEX('Energy Balance'!$D$7:$W$154,MATCH('MIN-IMP-EXP'!$B84,'Energy Balance'!$A$7:$A$154,0),MATCH('MIN-IMP-EXP'!BJ$1&amp;'MIN-IMP-EXP'!BJ$3,'Energy Balance'!$D$4:$W$4&amp;'Energy Balance'!$D$6:$W$6,0))/1000*INDEX('Energy Balance'!$Z$7:$AJ$155,MATCH($B84,'Energy Balance'!$A$7:$A$155,0),MATCH(BJ$2,'Energy Balance'!$Z$5:$AJ$5,0))</f>
        <v>14.337987044374884</v>
      </c>
      <c r="BK84" s="467" cm="1">
        <f t="array" ref="BK84">INDEX('Energy Balance'!$D$7:$W$154,MATCH('MIN-IMP-EXP'!$B84,'Energy Balance'!$A$7:$A$154,0),MATCH('MIN-IMP-EXP'!BK$1&amp;'MIN-IMP-EXP'!BK$3,'Energy Balance'!$D$4:$W$4&amp;'Energy Balance'!$D$6:$W$6,0))/1000*INDEX('Energy Balance'!$Z$7:$AJ$155,MATCH($B84,'Energy Balance'!$A$7:$A$155,0),MATCH(BK$2,'Energy Balance'!$Z$5:$AJ$5,0))</f>
        <v>121.37927595433386</v>
      </c>
      <c r="BL84" s="467" cm="1">
        <f t="array" ref="BL84">INDEX('Energy Balance'!$D$7:$W$154,MATCH('MIN-IMP-EXP'!$B84,'Energy Balance'!$A$7:$A$154,0),MATCH('MIN-IMP-EXP'!BL$1&amp;'MIN-IMP-EXP'!BL$3,'Energy Balance'!$D$4:$W$4&amp;'Energy Balance'!$D$6:$W$6,0))/1000*INDEX('Energy Balance'!$Z$7:$AJ$155,MATCH($B84,'Energy Balance'!$A$7:$A$155,0),MATCH(BL$2,'Energy Balance'!$Z$5:$AJ$5,0))</f>
        <v>40.263765190806545</v>
      </c>
      <c r="BM84" s="466">
        <v>4</v>
      </c>
    </row>
    <row r="85" spans="2:65" ht="14.4">
      <c r="B85" s="8" t="str">
        <f>Processes!D84</f>
        <v>EXPMGO</v>
      </c>
      <c r="C85" s="8" t="str">
        <f>Processes!E84</f>
        <v>Export technology - Marine Gas Oil</v>
      </c>
      <c r="D85" s="67" t="str">
        <f t="shared" si="36"/>
        <v>MGO</v>
      </c>
      <c r="E85" s="332"/>
      <c r="F85" s="387" t="str">
        <f t="shared" si="35"/>
        <v>MKr19</v>
      </c>
      <c r="G85" s="330">
        <f t="shared" si="33"/>
        <v>64.790000000000006</v>
      </c>
      <c r="H85" s="330">
        <f t="shared" si="37"/>
        <v>96.899999999999991</v>
      </c>
      <c r="I85" s="330">
        <f t="shared" si="37"/>
        <v>91.39</v>
      </c>
      <c r="J85" s="330">
        <f t="shared" si="37"/>
        <v>87.114999999999995</v>
      </c>
      <c r="K85" s="330">
        <f t="shared" si="37"/>
        <v>79.8</v>
      </c>
      <c r="L85" s="330">
        <f t="shared" si="37"/>
        <v>45.125</v>
      </c>
      <c r="M85" s="330">
        <f t="shared" si="37"/>
        <v>42.274999999999999</v>
      </c>
      <c r="N85" s="330">
        <f t="shared" si="37"/>
        <v>46.265000000000001</v>
      </c>
      <c r="O85" s="330">
        <f t="shared" si="37"/>
        <v>64.34838436678902</v>
      </c>
      <c r="P85" s="330">
        <f t="shared" si="37"/>
        <v>58.729977796500442</v>
      </c>
      <c r="Q85" s="330">
        <f t="shared" si="37"/>
        <v>57.324036194021168</v>
      </c>
      <c r="R85" s="330">
        <f t="shared" si="37"/>
        <v>36.43915505322596</v>
      </c>
      <c r="S85" s="330">
        <f t="shared" si="37"/>
        <v>39.677228980394787</v>
      </c>
      <c r="T85" s="330">
        <f t="shared" si="37"/>
        <v>41.884158680792353</v>
      </c>
      <c r="U85" s="330">
        <f t="shared" si="37"/>
        <v>43.497457368509231</v>
      </c>
      <c r="V85" s="330">
        <f t="shared" si="37"/>
        <v>44.672111303711013</v>
      </c>
      <c r="W85" s="330">
        <f t="shared" si="37"/>
        <v>45.969301475104693</v>
      </c>
      <c r="X85" s="330">
        <f t="shared" si="37"/>
        <v>47.240533303607087</v>
      </c>
      <c r="Y85" s="330">
        <f t="shared" si="37"/>
        <v>48.410098535795242</v>
      </c>
      <c r="Z85" s="330">
        <f t="shared" si="37"/>
        <v>49.638212828381661</v>
      </c>
      <c r="AA85" s="330">
        <f t="shared" si="37"/>
        <v>50.80024323427223</v>
      </c>
      <c r="AB85" s="330">
        <f t="shared" si="37"/>
        <v>50.509406660179529</v>
      </c>
      <c r="AC85" s="330">
        <f t="shared" si="37"/>
        <v>50.2178745110051</v>
      </c>
      <c r="AD85" s="330">
        <f t="shared" si="37"/>
        <v>49.927546048664425</v>
      </c>
      <c r="AE85" s="330">
        <f t="shared" si="37"/>
        <v>49.636488368901652</v>
      </c>
      <c r="AF85" s="330">
        <f t="shared" si="37"/>
        <v>49.345522550780437</v>
      </c>
      <c r="AG85" s="330">
        <f t="shared" si="37"/>
        <v>49.05367714791646</v>
      </c>
      <c r="AH85" s="330">
        <f t="shared" si="37"/>
        <v>48.762860195214053</v>
      </c>
      <c r="AI85" s="330">
        <f t="shared" si="37"/>
        <v>48.47134929011164</v>
      </c>
      <c r="AJ85" s="330">
        <f t="shared" si="37"/>
        <v>48.180720780761035</v>
      </c>
      <c r="AK85" s="330">
        <f t="shared" si="37"/>
        <v>47.88980548844318</v>
      </c>
      <c r="AL85" s="330">
        <f t="shared" si="37"/>
        <v>47.598890675233669</v>
      </c>
      <c r="AM85" s="330">
        <f t="shared" si="37"/>
        <v>47.310978165240549</v>
      </c>
      <c r="AN85" s="330">
        <f t="shared" si="37"/>
        <v>47.023071110579053</v>
      </c>
      <c r="AO85" s="330">
        <f t="shared" si="37"/>
        <v>46.735169518224204</v>
      </c>
      <c r="AP85" s="330">
        <f t="shared" si="37"/>
        <v>46.447273395159883</v>
      </c>
      <c r="AQ85" s="330">
        <f t="shared" si="37"/>
        <v>46.15938274837896</v>
      </c>
      <c r="AR85" s="330">
        <f t="shared" si="37"/>
        <v>45.871497584883187</v>
      </c>
      <c r="AS85" s="330">
        <f t="shared" si="37"/>
        <v>45.583617911683326</v>
      </c>
      <c r="AT85" s="330">
        <f t="shared" si="37"/>
        <v>45.295743735799064</v>
      </c>
      <c r="AU85" s="330">
        <f t="shared" si="37"/>
        <v>45.007875064259089</v>
      </c>
      <c r="AV85" s="331">
        <v>5</v>
      </c>
    </row>
    <row r="86" spans="2:65" ht="14.4">
      <c r="B86" s="8" t="str">
        <f>Processes!D85</f>
        <v>EXPAGSL</v>
      </c>
      <c r="C86" s="8" t="str">
        <f>Processes!E85</f>
        <v>Export technology - Aviation gasoline</v>
      </c>
      <c r="D86" s="67" t="str">
        <f t="shared" si="36"/>
        <v>AGSL</v>
      </c>
      <c r="E86" s="332"/>
      <c r="F86" s="387" t="str">
        <f t="shared" si="35"/>
        <v>MKr19</v>
      </c>
      <c r="G86" s="330">
        <f>G$82</f>
        <v>72.674999999999997</v>
      </c>
      <c r="H86" s="330">
        <f t="shared" ref="H86:AU86" si="38">H$82</f>
        <v>106.78</v>
      </c>
      <c r="I86" s="330">
        <f t="shared" si="38"/>
        <v>110.48499999999999</v>
      </c>
      <c r="J86" s="330">
        <f t="shared" si="38"/>
        <v>112.66999999999999</v>
      </c>
      <c r="K86" s="330">
        <f t="shared" si="38"/>
        <v>104.59499999999998</v>
      </c>
      <c r="L86" s="330">
        <f t="shared" si="38"/>
        <v>69.825000000000003</v>
      </c>
      <c r="M86" s="330">
        <f t="shared" si="38"/>
        <v>67.069999999999993</v>
      </c>
      <c r="N86" s="330">
        <f t="shared" si="38"/>
        <v>70.965000000000003</v>
      </c>
      <c r="O86" s="330">
        <f t="shared" si="38"/>
        <v>94.52602200498734</v>
      </c>
      <c r="P86" s="330">
        <f t="shared" si="38"/>
        <v>88.34711543469875</v>
      </c>
      <c r="Q86" s="330">
        <f t="shared" si="38"/>
        <v>86.941173832219462</v>
      </c>
      <c r="R86" s="330">
        <f t="shared" si="38"/>
        <v>66.056292691424247</v>
      </c>
      <c r="S86" s="330">
        <f t="shared" si="38"/>
        <v>69.294366618593074</v>
      </c>
      <c r="T86" s="330">
        <f t="shared" si="38"/>
        <v>71.50129631899064</v>
      </c>
      <c r="U86" s="330">
        <f t="shared" si="38"/>
        <v>73.114595006707532</v>
      </c>
      <c r="V86" s="330">
        <f t="shared" si="38"/>
        <v>74.289248941909307</v>
      </c>
      <c r="W86" s="330">
        <f t="shared" si="38"/>
        <v>75.586439113303001</v>
      </c>
      <c r="X86" s="330">
        <f t="shared" si="38"/>
        <v>76.857670941805381</v>
      </c>
      <c r="Y86" s="330">
        <f t="shared" si="38"/>
        <v>78.027236173993543</v>
      </c>
      <c r="Z86" s="330">
        <f t="shared" si="38"/>
        <v>79.255350466579955</v>
      </c>
      <c r="AA86" s="330">
        <f t="shared" si="38"/>
        <v>80.417380872470531</v>
      </c>
      <c r="AB86" s="330">
        <f t="shared" si="38"/>
        <v>80.126544298377823</v>
      </c>
      <c r="AC86" s="330">
        <f t="shared" si="38"/>
        <v>79.835012149203408</v>
      </c>
      <c r="AD86" s="330">
        <f t="shared" si="38"/>
        <v>79.544683686862726</v>
      </c>
      <c r="AE86" s="330">
        <f t="shared" si="38"/>
        <v>79.253626007099939</v>
      </c>
      <c r="AF86" s="330">
        <f t="shared" si="38"/>
        <v>78.962660188978745</v>
      </c>
      <c r="AG86" s="330">
        <f t="shared" si="38"/>
        <v>78.670814786114747</v>
      </c>
      <c r="AH86" s="330">
        <f t="shared" si="38"/>
        <v>78.379997833412347</v>
      </c>
      <c r="AI86" s="330">
        <f t="shared" si="38"/>
        <v>78.088486928309948</v>
      </c>
      <c r="AJ86" s="330">
        <f t="shared" si="38"/>
        <v>77.797858418959336</v>
      </c>
      <c r="AK86" s="330">
        <f t="shared" si="38"/>
        <v>77.506943126641474</v>
      </c>
      <c r="AL86" s="330">
        <f t="shared" si="38"/>
        <v>77.216028313431977</v>
      </c>
      <c r="AM86" s="330">
        <f t="shared" si="38"/>
        <v>76.928115803438857</v>
      </c>
      <c r="AN86" s="330">
        <f t="shared" si="38"/>
        <v>76.640208748777354</v>
      </c>
      <c r="AO86" s="330">
        <f t="shared" si="38"/>
        <v>76.352307156422498</v>
      </c>
      <c r="AP86" s="330">
        <f t="shared" si="38"/>
        <v>76.064411033358184</v>
      </c>
      <c r="AQ86" s="330">
        <f t="shared" si="38"/>
        <v>75.776520386577246</v>
      </c>
      <c r="AR86" s="330">
        <f t="shared" si="38"/>
        <v>75.488635223081488</v>
      </c>
      <c r="AS86" s="330">
        <f t="shared" si="38"/>
        <v>75.200755549881634</v>
      </c>
      <c r="AT86" s="330">
        <f t="shared" si="38"/>
        <v>74.912881373997365</v>
      </c>
      <c r="AU86" s="330">
        <f t="shared" si="38"/>
        <v>74.625012702457397</v>
      </c>
      <c r="AV86" s="331">
        <v>5</v>
      </c>
    </row>
    <row r="87" spans="2:65" ht="14.4">
      <c r="B87" s="8" t="str">
        <f>Processes!D86</f>
        <v>EXPBGA</v>
      </c>
      <c r="C87" s="8" t="str">
        <f>Processes!E86</f>
        <v>Export technology - Biogas</v>
      </c>
      <c r="D87" s="67" t="str">
        <f t="shared" si="36"/>
        <v>BGA</v>
      </c>
      <c r="E87" s="332"/>
      <c r="F87" s="387" t="str">
        <f t="shared" si="35"/>
        <v>MKr19</v>
      </c>
      <c r="G87" s="330">
        <f>G$77</f>
        <v>42.18</v>
      </c>
      <c r="H87" s="330">
        <f t="shared" ref="H87:AU87" si="39">H$77</f>
        <v>43.795000000000002</v>
      </c>
      <c r="I87" s="330">
        <f t="shared" si="39"/>
        <v>52.344999999999999</v>
      </c>
      <c r="J87" s="330">
        <f t="shared" si="39"/>
        <v>51.49</v>
      </c>
      <c r="K87" s="330">
        <f t="shared" si="39"/>
        <v>43.414999999999999</v>
      </c>
      <c r="L87" s="330">
        <f t="shared" si="39"/>
        <v>41.8</v>
      </c>
      <c r="M87" s="330">
        <f t="shared" si="39"/>
        <v>34.959999999999994</v>
      </c>
      <c r="N87" s="330">
        <f t="shared" si="39"/>
        <v>35.055</v>
      </c>
      <c r="O87" s="330">
        <f t="shared" si="39"/>
        <v>50.751074212757736</v>
      </c>
      <c r="P87" s="330">
        <f t="shared" si="39"/>
        <v>32.54796067858944</v>
      </c>
      <c r="Q87" s="330">
        <f t="shared" si="39"/>
        <v>31.727957487158143</v>
      </c>
      <c r="R87" s="330">
        <f t="shared" si="39"/>
        <v>29.949025524166288</v>
      </c>
      <c r="S87" s="330">
        <f t="shared" si="39"/>
        <v>31.124421190464801</v>
      </c>
      <c r="T87" s="330">
        <f t="shared" si="39"/>
        <v>31.69930389723169</v>
      </c>
      <c r="U87" s="330">
        <f t="shared" si="39"/>
        <v>31.888767724343968</v>
      </c>
      <c r="V87" s="330">
        <f t="shared" si="39"/>
        <v>31.830779289767982</v>
      </c>
      <c r="W87" s="330">
        <f t="shared" si="39"/>
        <v>31.794257244088858</v>
      </c>
      <c r="X87" s="330">
        <f t="shared" si="39"/>
        <v>31.770799731920086</v>
      </c>
      <c r="Y87" s="330">
        <f t="shared" si="39"/>
        <v>31.750709610930787</v>
      </c>
      <c r="Z87" s="330">
        <f t="shared" si="39"/>
        <v>31.743509235621186</v>
      </c>
      <c r="AA87" s="330">
        <f t="shared" si="39"/>
        <v>31.741544979889387</v>
      </c>
      <c r="AB87" s="330">
        <f t="shared" si="39"/>
        <v>31.785326421240963</v>
      </c>
      <c r="AC87" s="330">
        <f t="shared" si="39"/>
        <v>31.829107862592537</v>
      </c>
      <c r="AD87" s="330">
        <f t="shared" si="39"/>
        <v>31.872889303944106</v>
      </c>
      <c r="AE87" s="330">
        <f t="shared" si="39"/>
        <v>31.916670745295676</v>
      </c>
      <c r="AF87" s="330">
        <f t="shared" si="39"/>
        <v>31.960452186647256</v>
      </c>
      <c r="AG87" s="330">
        <f t="shared" si="39"/>
        <v>32.004233627998829</v>
      </c>
      <c r="AH87" s="330">
        <f t="shared" si="39"/>
        <v>32.048015069350392</v>
      </c>
      <c r="AI87" s="330">
        <f t="shared" si="39"/>
        <v>32.091796510701968</v>
      </c>
      <c r="AJ87" s="330">
        <f t="shared" si="39"/>
        <v>32.135577952053531</v>
      </c>
      <c r="AK87" s="330">
        <f t="shared" si="39"/>
        <v>32.179359393405107</v>
      </c>
      <c r="AL87" s="330">
        <f t="shared" si="39"/>
        <v>32.223140834756684</v>
      </c>
      <c r="AM87" s="330">
        <f t="shared" si="39"/>
        <v>32.266922276108254</v>
      </c>
      <c r="AN87" s="330">
        <f t="shared" si="39"/>
        <v>32.310703717459816</v>
      </c>
      <c r="AO87" s="330">
        <f t="shared" si="39"/>
        <v>32.354485158811393</v>
      </c>
      <c r="AP87" s="330">
        <f t="shared" si="39"/>
        <v>32.39826660016297</v>
      </c>
      <c r="AQ87" s="330">
        <f t="shared" si="39"/>
        <v>32.442048041514546</v>
      </c>
      <c r="AR87" s="330">
        <f t="shared" si="39"/>
        <v>32.485829482866109</v>
      </c>
      <c r="AS87" s="330">
        <f t="shared" si="39"/>
        <v>32.529610924217685</v>
      </c>
      <c r="AT87" s="330">
        <f t="shared" si="39"/>
        <v>32.573392365569248</v>
      </c>
      <c r="AU87" s="330">
        <f t="shared" si="39"/>
        <v>32.617173806920832</v>
      </c>
      <c r="AV87" s="331">
        <v>5</v>
      </c>
      <c r="AW87" s="467" cm="1">
        <f t="array" ref="AW87">INDEX('Energy Balance'!$D$7:$W$154,MATCH('MIN-IMP-EXP'!$B87,'Energy Balance'!$A$7:$A$154,0),MATCH('MIN-IMP-EXP'!AW$1&amp;'MIN-IMP-EXP'!AW$3,'Energy Balance'!$D$4:$W$4&amp;'Energy Balance'!$D$6:$W$6,0))/1000*INDEX('Energy Balance'!$Z$7:$AJ$155,MATCH($B87,'Energy Balance'!$A$7:$A$155,0),MATCH(AW$2,'Energy Balance'!$Z$5:$AJ$5,0))</f>
        <v>0</v>
      </c>
      <c r="AX87" s="467" cm="1">
        <f t="array" ref="AX87">INDEX('Energy Balance'!$D$7:$W$154,MATCH('MIN-IMP-EXP'!$B87,'Energy Balance'!$A$7:$A$154,0),MATCH('MIN-IMP-EXP'!AX$1&amp;'MIN-IMP-EXP'!AX$3,'Energy Balance'!$D$4:$W$4&amp;'Energy Balance'!$D$6:$W$6,0))/1000*INDEX('Energy Balance'!$Z$7:$AJ$155,MATCH($B87,'Energy Balance'!$A$7:$A$155,0),MATCH(AX$2,'Energy Balance'!$Z$5:$AJ$5,0))</f>
        <v>0</v>
      </c>
      <c r="AY87" s="467" cm="1">
        <f t="array" ref="AY87">INDEX('Energy Balance'!$D$7:$W$154,MATCH('MIN-IMP-EXP'!$B87,'Energy Balance'!$A$7:$A$154,0),MATCH('MIN-IMP-EXP'!AY$1&amp;'MIN-IMP-EXP'!AY$3,'Energy Balance'!$D$4:$W$4&amp;'Energy Balance'!$D$6:$W$6,0))/1000*INDEX('Energy Balance'!$Z$7:$AJ$155,MATCH($B87,'Energy Balance'!$A$7:$A$155,0),MATCH(AY$2,'Energy Balance'!$Z$5:$AJ$5,0))</f>
        <v>0</v>
      </c>
      <c r="AZ87" s="467" cm="1">
        <f t="array" ref="AZ87">INDEX('Energy Balance'!$D$7:$W$154,MATCH('MIN-IMP-EXP'!$B87,'Energy Balance'!$A$7:$A$154,0),MATCH('MIN-IMP-EXP'!AZ$1&amp;'MIN-IMP-EXP'!AZ$3,'Energy Balance'!$D$4:$W$4&amp;'Energy Balance'!$D$6:$W$6,0))/1000*INDEX('Energy Balance'!$Z$7:$AJ$155,MATCH($B87,'Energy Balance'!$A$7:$A$155,0),MATCH(AZ$2,'Energy Balance'!$Z$5:$AJ$5,0))</f>
        <v>0</v>
      </c>
      <c r="BA87" s="467" cm="1">
        <f t="array" ref="BA87">INDEX('Energy Balance'!$D$7:$W$154,MATCH('MIN-IMP-EXP'!$B87,'Energy Balance'!$A$7:$A$154,0),MATCH('MIN-IMP-EXP'!BA$1&amp;'MIN-IMP-EXP'!BA$3,'Energy Balance'!$D$4:$W$4&amp;'Energy Balance'!$D$6:$W$6,0))/1000*INDEX('Energy Balance'!$Z$7:$AJ$155,MATCH($B87,'Energy Balance'!$A$7:$A$155,0),MATCH(BA$2,'Energy Balance'!$Z$5:$AJ$5,0))</f>
        <v>0</v>
      </c>
      <c r="BB87" s="467" cm="1">
        <f t="array" ref="BB87">INDEX('Energy Balance'!$D$7:$W$154,MATCH('MIN-IMP-EXP'!$B87,'Energy Balance'!$A$7:$A$154,0),MATCH('MIN-IMP-EXP'!BB$1&amp;'MIN-IMP-EXP'!BB$3,'Energy Balance'!$D$4:$W$4&amp;'Energy Balance'!$D$6:$W$6,0))/1000*INDEX('Energy Balance'!$Z$7:$AJ$155,MATCH($B87,'Energy Balance'!$A$7:$A$155,0),MATCH(BB$2,'Energy Balance'!$Z$5:$AJ$5,0))</f>
        <v>0</v>
      </c>
      <c r="BC87" s="467" cm="1">
        <f t="array" ref="BC87">INDEX('Energy Balance'!$D$7:$W$154,MATCH('MIN-IMP-EXP'!$B87,'Energy Balance'!$A$7:$A$154,0),MATCH('MIN-IMP-EXP'!BC$1&amp;'MIN-IMP-EXP'!BC$3,'Energy Balance'!$D$4:$W$4&amp;'Energy Balance'!$D$6:$W$6,0))/1000*INDEX('Energy Balance'!$Z$7:$AJ$155,MATCH($B87,'Energy Balance'!$A$7:$A$155,0),MATCH(BC$2,'Energy Balance'!$Z$5:$AJ$5,0))</f>
        <v>0</v>
      </c>
      <c r="BD87" s="467" cm="1">
        <f t="array" ref="BD87">INDEX('Energy Balance'!$D$7:$W$154,MATCH('MIN-IMP-EXP'!$B87,'Energy Balance'!$A$7:$A$154,0),MATCH('MIN-IMP-EXP'!BD$1&amp;'MIN-IMP-EXP'!BD$3,'Energy Balance'!$D$4:$W$4&amp;'Energy Balance'!$D$6:$W$6,0))/1000*INDEX('Energy Balance'!$Z$7:$AJ$155,MATCH($B87,'Energy Balance'!$A$7:$A$155,0),MATCH(BD$2,'Energy Balance'!$Z$5:$AJ$5,0))</f>
        <v>0</v>
      </c>
      <c r="BE87" s="467" cm="1">
        <f t="array" ref="BE87">INDEX('Energy Balance'!$D$7:$W$154,MATCH('MIN-IMP-EXP'!$B87,'Energy Balance'!$A$7:$A$154,0),MATCH('MIN-IMP-EXP'!BE$1&amp;'MIN-IMP-EXP'!BE$3,'Energy Balance'!$D$4:$W$4&amp;'Energy Balance'!$D$6:$W$6,0))/1000*INDEX('Energy Balance'!$Z$7:$AJ$155,MATCH($B87,'Energy Balance'!$A$7:$A$155,0),MATCH(BE$2,'Energy Balance'!$Z$5:$AJ$5,0))</f>
        <v>0</v>
      </c>
      <c r="BF87" s="467" cm="1">
        <f t="array" ref="BF87">INDEX('Energy Balance'!$D$7:$W$154,MATCH('MIN-IMP-EXP'!$B87,'Energy Balance'!$A$7:$A$154,0),MATCH('MIN-IMP-EXP'!BF$1&amp;'MIN-IMP-EXP'!BF$3,'Energy Balance'!$D$4:$W$4&amp;'Energy Balance'!$D$6:$W$6,0))/1000*INDEX('Energy Balance'!$Z$7:$AJ$155,MATCH($B87,'Energy Balance'!$A$7:$A$155,0),MATCH(BF$2,'Energy Balance'!$Z$5:$AJ$5,0))</f>
        <v>0</v>
      </c>
      <c r="BG87" s="467" cm="1">
        <f t="array" ref="BG87">INDEX('Energy Balance'!$D$7:$W$154,MATCH('MIN-IMP-EXP'!$B87,'Energy Balance'!$A$7:$A$154,0),MATCH('MIN-IMP-EXP'!BG$1&amp;'MIN-IMP-EXP'!BG$3,'Energy Balance'!$D$4:$W$4&amp;'Energy Balance'!$D$6:$W$6,0))/1000*INDEX('Energy Balance'!$Z$7:$AJ$155,MATCH($B87,'Energy Balance'!$A$7:$A$155,0),MATCH(BG$2,'Energy Balance'!$Z$5:$AJ$5,0))</f>
        <v>0</v>
      </c>
      <c r="BH87" s="467" cm="1">
        <f t="array" ref="BH87">INDEX('Energy Balance'!$D$7:$W$154,MATCH('MIN-IMP-EXP'!$B87,'Energy Balance'!$A$7:$A$154,0),MATCH('MIN-IMP-EXP'!BH$1&amp;'MIN-IMP-EXP'!BH$3,'Energy Balance'!$D$4:$W$4&amp;'Energy Balance'!$D$6:$W$6,0))/1000*INDEX('Energy Balance'!$Z$7:$AJ$155,MATCH($B87,'Energy Balance'!$A$7:$A$155,0),MATCH(BH$2,'Energy Balance'!$Z$5:$AJ$5,0))</f>
        <v>0</v>
      </c>
      <c r="BI87" s="467" cm="1">
        <f t="array" ref="BI87">INDEX('Energy Balance'!$D$7:$W$154,MATCH('MIN-IMP-EXP'!$B87,'Energy Balance'!$A$7:$A$154,0),MATCH('MIN-IMP-EXP'!BI$1&amp;'MIN-IMP-EXP'!BI$3,'Energy Balance'!$D$4:$W$4&amp;'Energy Balance'!$D$6:$W$6,0))/1000*INDEX('Energy Balance'!$Z$7:$AJ$155,MATCH($B87,'Energy Balance'!$A$7:$A$155,0),MATCH(BI$2,'Energy Balance'!$Z$5:$AJ$5,0))</f>
        <v>0</v>
      </c>
      <c r="BJ87" s="467" cm="1">
        <f t="array" ref="BJ87">INDEX('Energy Balance'!$D$7:$W$154,MATCH('MIN-IMP-EXP'!$B87,'Energy Balance'!$A$7:$A$154,0),MATCH('MIN-IMP-EXP'!BJ$1&amp;'MIN-IMP-EXP'!BJ$3,'Energy Balance'!$D$4:$W$4&amp;'Energy Balance'!$D$6:$W$6,0))/1000*INDEX('Energy Balance'!$Z$7:$AJ$155,MATCH($B87,'Energy Balance'!$A$7:$A$155,0),MATCH(BJ$2,'Energy Balance'!$Z$5:$AJ$5,0))</f>
        <v>0</v>
      </c>
      <c r="BK87" s="467" cm="1">
        <f t="array" ref="BK87">INDEX('Energy Balance'!$D$7:$W$154,MATCH('MIN-IMP-EXP'!$B87,'Energy Balance'!$A$7:$A$154,0),MATCH('MIN-IMP-EXP'!BK$1&amp;'MIN-IMP-EXP'!BK$3,'Energy Balance'!$D$4:$W$4&amp;'Energy Balance'!$D$6:$W$6,0))/1000*INDEX('Energy Balance'!$Z$7:$AJ$155,MATCH($B87,'Energy Balance'!$A$7:$A$155,0),MATCH(BK$2,'Energy Balance'!$Z$5:$AJ$5,0))</f>
        <v>0</v>
      </c>
      <c r="BL87" s="467" cm="1">
        <f t="array" ref="BL87">INDEX('Energy Balance'!$D$7:$W$154,MATCH('MIN-IMP-EXP'!$B87,'Energy Balance'!$A$7:$A$154,0),MATCH('MIN-IMP-EXP'!BL$1&amp;'MIN-IMP-EXP'!BL$3,'Energy Balance'!$D$4:$W$4&amp;'Energy Balance'!$D$6:$W$6,0))/1000*INDEX('Energy Balance'!$Z$7:$AJ$155,MATCH($B87,'Energy Balance'!$A$7:$A$155,0),MATCH(BL$2,'Energy Balance'!$Z$5:$AJ$5,0))</f>
        <v>0</v>
      </c>
      <c r="BM87" s="466">
        <v>4</v>
      </c>
    </row>
    <row r="88" spans="2:65" ht="14.4">
      <c r="B88" s="8" t="str">
        <f>Processes!D87</f>
        <v>EXPHFB</v>
      </c>
      <c r="C88" s="8" t="str">
        <f>Processes!E87</f>
        <v>Export technology - Heavy Fuel Bio Oil</v>
      </c>
      <c r="D88" s="67" t="str">
        <f t="shared" si="36"/>
        <v>HFB</v>
      </c>
      <c r="E88" s="332"/>
      <c r="F88" s="387" t="str">
        <f t="shared" si="35"/>
        <v>MKr19</v>
      </c>
      <c r="G88" s="330">
        <f>G$84</f>
        <v>64.790000000000006</v>
      </c>
      <c r="H88" s="330">
        <f t="shared" ref="H88:AU88" si="40">H$84</f>
        <v>96.899999999999991</v>
      </c>
      <c r="I88" s="330">
        <f t="shared" si="40"/>
        <v>91.39</v>
      </c>
      <c r="J88" s="330">
        <f t="shared" si="40"/>
        <v>87.114999999999995</v>
      </c>
      <c r="K88" s="330">
        <f t="shared" si="40"/>
        <v>79.8</v>
      </c>
      <c r="L88" s="330">
        <f t="shared" si="40"/>
        <v>45.125</v>
      </c>
      <c r="M88" s="330">
        <f t="shared" si="40"/>
        <v>42.274999999999999</v>
      </c>
      <c r="N88" s="330">
        <f t="shared" si="40"/>
        <v>46.265000000000001</v>
      </c>
      <c r="O88" s="330">
        <f t="shared" si="40"/>
        <v>64.34838436678902</v>
      </c>
      <c r="P88" s="330">
        <f t="shared" si="40"/>
        <v>58.729977796500442</v>
      </c>
      <c r="Q88" s="330">
        <f t="shared" si="40"/>
        <v>57.324036194021168</v>
      </c>
      <c r="R88" s="330">
        <f t="shared" si="40"/>
        <v>36.43915505322596</v>
      </c>
      <c r="S88" s="330">
        <f t="shared" si="40"/>
        <v>39.677228980394787</v>
      </c>
      <c r="T88" s="330">
        <f t="shared" si="40"/>
        <v>41.884158680792353</v>
      </c>
      <c r="U88" s="330">
        <f t="shared" si="40"/>
        <v>43.497457368509231</v>
      </c>
      <c r="V88" s="330">
        <f t="shared" si="40"/>
        <v>44.672111303711013</v>
      </c>
      <c r="W88" s="330">
        <f t="shared" si="40"/>
        <v>45.969301475104693</v>
      </c>
      <c r="X88" s="330">
        <f t="shared" si="40"/>
        <v>47.240533303607087</v>
      </c>
      <c r="Y88" s="330">
        <f t="shared" si="40"/>
        <v>48.410098535795242</v>
      </c>
      <c r="Z88" s="330">
        <f t="shared" si="40"/>
        <v>49.638212828381661</v>
      </c>
      <c r="AA88" s="330">
        <f t="shared" si="40"/>
        <v>50.80024323427223</v>
      </c>
      <c r="AB88" s="330">
        <f t="shared" si="40"/>
        <v>50.509406660179529</v>
      </c>
      <c r="AC88" s="330">
        <f t="shared" si="40"/>
        <v>50.2178745110051</v>
      </c>
      <c r="AD88" s="330">
        <f t="shared" si="40"/>
        <v>49.927546048664425</v>
      </c>
      <c r="AE88" s="330">
        <f t="shared" si="40"/>
        <v>49.636488368901652</v>
      </c>
      <c r="AF88" s="330">
        <f t="shared" si="40"/>
        <v>49.345522550780437</v>
      </c>
      <c r="AG88" s="330">
        <f t="shared" si="40"/>
        <v>49.05367714791646</v>
      </c>
      <c r="AH88" s="330">
        <f t="shared" si="40"/>
        <v>48.762860195214053</v>
      </c>
      <c r="AI88" s="330">
        <f t="shared" si="40"/>
        <v>48.47134929011164</v>
      </c>
      <c r="AJ88" s="330">
        <f t="shared" si="40"/>
        <v>48.180720780761035</v>
      </c>
      <c r="AK88" s="330">
        <f t="shared" si="40"/>
        <v>47.88980548844318</v>
      </c>
      <c r="AL88" s="330">
        <f t="shared" si="40"/>
        <v>47.598890675233669</v>
      </c>
      <c r="AM88" s="330">
        <f t="shared" si="40"/>
        <v>47.310978165240549</v>
      </c>
      <c r="AN88" s="330">
        <f t="shared" si="40"/>
        <v>47.023071110579053</v>
      </c>
      <c r="AO88" s="330">
        <f t="shared" si="40"/>
        <v>46.735169518224204</v>
      </c>
      <c r="AP88" s="330">
        <f t="shared" si="40"/>
        <v>46.447273395159883</v>
      </c>
      <c r="AQ88" s="330">
        <f t="shared" si="40"/>
        <v>46.15938274837896</v>
      </c>
      <c r="AR88" s="330">
        <f t="shared" si="40"/>
        <v>45.871497584883187</v>
      </c>
      <c r="AS88" s="330">
        <f t="shared" si="40"/>
        <v>45.583617911683326</v>
      </c>
      <c r="AT88" s="330">
        <f t="shared" si="40"/>
        <v>45.295743735799064</v>
      </c>
      <c r="AU88" s="330">
        <f t="shared" si="40"/>
        <v>45.007875064259089</v>
      </c>
      <c r="AV88" s="331">
        <v>5</v>
      </c>
    </row>
    <row r="89" spans="2:65" ht="14.4">
      <c r="B89" s="8" t="str">
        <f>Processes!D88</f>
        <v>EXPDDGS</v>
      </c>
      <c r="C89" s="8" t="str">
        <f>Processes!E88</f>
        <v>Export technology - Ethanol</v>
      </c>
      <c r="D89" s="67" t="str">
        <f t="shared" si="36"/>
        <v>DDGS</v>
      </c>
      <c r="E89" s="332"/>
      <c r="F89" s="387" t="str">
        <f t="shared" si="35"/>
        <v>MKr14</v>
      </c>
      <c r="G89" s="330">
        <f t="shared" ref="G89:AU89" si="41">IFERROR(INDEX($G$121:$AU$176,MATCH($D89,$E$121:$E$176,0),MATCH(G$6,$G$120:$AU$120,0)),0)*$E$192</f>
        <v>9.5</v>
      </c>
      <c r="H89" s="330">
        <f t="shared" si="41"/>
        <v>9.5</v>
      </c>
      <c r="I89" s="330">
        <f t="shared" si="41"/>
        <v>9.5</v>
      </c>
      <c r="J89" s="330">
        <f t="shared" si="41"/>
        <v>9.5</v>
      </c>
      <c r="K89" s="330">
        <f t="shared" si="41"/>
        <v>9.5</v>
      </c>
      <c r="L89" s="330">
        <f t="shared" si="41"/>
        <v>9.5</v>
      </c>
      <c r="M89" s="330">
        <f t="shared" si="41"/>
        <v>9.5</v>
      </c>
      <c r="N89" s="330">
        <f t="shared" si="41"/>
        <v>9.5</v>
      </c>
      <c r="O89" s="330">
        <f t="shared" si="41"/>
        <v>9.5</v>
      </c>
      <c r="P89" s="330">
        <f t="shared" si="41"/>
        <v>9.5</v>
      </c>
      <c r="Q89" s="330">
        <f t="shared" si="41"/>
        <v>9.5</v>
      </c>
      <c r="R89" s="330">
        <f t="shared" si="41"/>
        <v>9.5</v>
      </c>
      <c r="S89" s="330">
        <f t="shared" si="41"/>
        <v>9.5</v>
      </c>
      <c r="T89" s="330">
        <f t="shared" si="41"/>
        <v>9.5</v>
      </c>
      <c r="U89" s="330">
        <f t="shared" si="41"/>
        <v>9.5</v>
      </c>
      <c r="V89" s="330">
        <f t="shared" si="41"/>
        <v>9.5</v>
      </c>
      <c r="W89" s="330">
        <f t="shared" si="41"/>
        <v>9.5</v>
      </c>
      <c r="X89" s="330">
        <f t="shared" si="41"/>
        <v>9.5</v>
      </c>
      <c r="Y89" s="330">
        <f t="shared" si="41"/>
        <v>9.5</v>
      </c>
      <c r="Z89" s="330">
        <f t="shared" si="41"/>
        <v>9.5</v>
      </c>
      <c r="AA89" s="330">
        <f t="shared" si="41"/>
        <v>9.5</v>
      </c>
      <c r="AB89" s="330">
        <f t="shared" si="41"/>
        <v>9.5</v>
      </c>
      <c r="AC89" s="330">
        <f t="shared" si="41"/>
        <v>9.5</v>
      </c>
      <c r="AD89" s="330">
        <f t="shared" si="41"/>
        <v>9.5</v>
      </c>
      <c r="AE89" s="330">
        <f t="shared" si="41"/>
        <v>9.5</v>
      </c>
      <c r="AF89" s="330">
        <f t="shared" si="41"/>
        <v>9.5</v>
      </c>
      <c r="AG89" s="330">
        <f t="shared" si="41"/>
        <v>9.5</v>
      </c>
      <c r="AH89" s="330">
        <f t="shared" si="41"/>
        <v>9.5</v>
      </c>
      <c r="AI89" s="330">
        <f t="shared" si="41"/>
        <v>9.5</v>
      </c>
      <c r="AJ89" s="330">
        <f t="shared" si="41"/>
        <v>9.5</v>
      </c>
      <c r="AK89" s="330">
        <f t="shared" si="41"/>
        <v>9.5</v>
      </c>
      <c r="AL89" s="330">
        <f t="shared" si="41"/>
        <v>9.5</v>
      </c>
      <c r="AM89" s="330">
        <f t="shared" si="41"/>
        <v>9.5</v>
      </c>
      <c r="AN89" s="330">
        <f t="shared" si="41"/>
        <v>9.5</v>
      </c>
      <c r="AO89" s="330">
        <f t="shared" si="41"/>
        <v>9.5</v>
      </c>
      <c r="AP89" s="330">
        <f t="shared" si="41"/>
        <v>9.5</v>
      </c>
      <c r="AQ89" s="330">
        <f t="shared" si="41"/>
        <v>9.5</v>
      </c>
      <c r="AR89" s="330">
        <f t="shared" si="41"/>
        <v>9.5</v>
      </c>
      <c r="AS89" s="330">
        <f t="shared" si="41"/>
        <v>9.5</v>
      </c>
      <c r="AT89" s="330">
        <f t="shared" si="41"/>
        <v>9.5</v>
      </c>
      <c r="AU89" s="330">
        <f t="shared" si="41"/>
        <v>9.5</v>
      </c>
      <c r="AV89" s="331">
        <v>5</v>
      </c>
    </row>
    <row r="90" spans="2:65" ht="14.4">
      <c r="B90" s="8" t="str">
        <f>Processes!D89</f>
        <v>EXPH2</v>
      </c>
      <c r="C90" s="8" t="str">
        <f>Processes!E89</f>
        <v>Export technology - Hydrogen</v>
      </c>
      <c r="D90" s="67" t="str">
        <f>IF(LEN(B90)=6,RIGHT(B90,2),RIGHT(B90,2))</f>
        <v>H2</v>
      </c>
      <c r="E90" s="332"/>
      <c r="F90" s="387" t="str">
        <f t="shared" si="35"/>
        <v>MKr14</v>
      </c>
      <c r="G90" s="330">
        <f>G$77</f>
        <v>42.18</v>
      </c>
      <c r="H90" s="330">
        <f t="shared" ref="H90:AU91" si="42">H$77</f>
        <v>43.795000000000002</v>
      </c>
      <c r="I90" s="330">
        <f t="shared" si="42"/>
        <v>52.344999999999999</v>
      </c>
      <c r="J90" s="330">
        <f t="shared" si="42"/>
        <v>51.49</v>
      </c>
      <c r="K90" s="330">
        <f t="shared" si="42"/>
        <v>43.414999999999999</v>
      </c>
      <c r="L90" s="330">
        <f t="shared" si="42"/>
        <v>41.8</v>
      </c>
      <c r="M90" s="330">
        <f t="shared" si="42"/>
        <v>34.959999999999994</v>
      </c>
      <c r="N90" s="330">
        <f t="shared" si="42"/>
        <v>35.055</v>
      </c>
      <c r="O90" s="330">
        <f t="shared" si="42"/>
        <v>50.751074212757736</v>
      </c>
      <c r="P90" s="330">
        <f t="shared" si="42"/>
        <v>32.54796067858944</v>
      </c>
      <c r="Q90" s="330">
        <f t="shared" si="42"/>
        <v>31.727957487158143</v>
      </c>
      <c r="R90" s="330">
        <f t="shared" si="42"/>
        <v>29.949025524166288</v>
      </c>
      <c r="S90" s="330">
        <f t="shared" si="42"/>
        <v>31.124421190464801</v>
      </c>
      <c r="T90" s="330">
        <f t="shared" si="42"/>
        <v>31.69930389723169</v>
      </c>
      <c r="U90" s="330">
        <f t="shared" si="42"/>
        <v>31.888767724343968</v>
      </c>
      <c r="V90" s="330">
        <f t="shared" si="42"/>
        <v>31.830779289767982</v>
      </c>
      <c r="W90" s="330">
        <f t="shared" si="42"/>
        <v>31.794257244088858</v>
      </c>
      <c r="X90" s="330">
        <f t="shared" si="42"/>
        <v>31.770799731920086</v>
      </c>
      <c r="Y90" s="330">
        <f t="shared" si="42"/>
        <v>31.750709610930787</v>
      </c>
      <c r="Z90" s="330">
        <f t="shared" si="42"/>
        <v>31.743509235621186</v>
      </c>
      <c r="AA90" s="330">
        <f t="shared" si="42"/>
        <v>31.741544979889387</v>
      </c>
      <c r="AB90" s="330">
        <f t="shared" si="42"/>
        <v>31.785326421240963</v>
      </c>
      <c r="AC90" s="330">
        <f t="shared" si="42"/>
        <v>31.829107862592537</v>
      </c>
      <c r="AD90" s="330">
        <f t="shared" si="42"/>
        <v>31.872889303944106</v>
      </c>
      <c r="AE90" s="330">
        <f t="shared" si="42"/>
        <v>31.916670745295676</v>
      </c>
      <c r="AF90" s="330">
        <f t="shared" si="42"/>
        <v>31.960452186647256</v>
      </c>
      <c r="AG90" s="330">
        <f t="shared" si="42"/>
        <v>32.004233627998829</v>
      </c>
      <c r="AH90" s="330">
        <f t="shared" si="42"/>
        <v>32.048015069350392</v>
      </c>
      <c r="AI90" s="330">
        <f t="shared" si="42"/>
        <v>32.091796510701968</v>
      </c>
      <c r="AJ90" s="330">
        <f t="shared" si="42"/>
        <v>32.135577952053531</v>
      </c>
      <c r="AK90" s="330">
        <f t="shared" si="42"/>
        <v>32.179359393405107</v>
      </c>
      <c r="AL90" s="330">
        <f t="shared" si="42"/>
        <v>32.223140834756684</v>
      </c>
      <c r="AM90" s="330">
        <f t="shared" si="42"/>
        <v>32.266922276108254</v>
      </c>
      <c r="AN90" s="330">
        <f t="shared" si="42"/>
        <v>32.310703717459816</v>
      </c>
      <c r="AO90" s="330">
        <f t="shared" si="42"/>
        <v>32.354485158811393</v>
      </c>
      <c r="AP90" s="330">
        <f t="shared" si="42"/>
        <v>32.39826660016297</v>
      </c>
      <c r="AQ90" s="330">
        <f t="shared" si="42"/>
        <v>32.442048041514546</v>
      </c>
      <c r="AR90" s="330">
        <f t="shared" si="42"/>
        <v>32.485829482866109</v>
      </c>
      <c r="AS90" s="330">
        <f t="shared" si="42"/>
        <v>32.529610924217685</v>
      </c>
      <c r="AT90" s="330">
        <f t="shared" si="42"/>
        <v>32.573392365569248</v>
      </c>
      <c r="AU90" s="330">
        <f t="shared" si="42"/>
        <v>32.617173806920832</v>
      </c>
      <c r="AV90" s="331">
        <v>5</v>
      </c>
    </row>
    <row r="91" spans="2:65" ht="14.4">
      <c r="B91" s="8" t="str">
        <f>Processes!D90</f>
        <v>EXPH2G</v>
      </c>
      <c r="C91" s="8" t="str">
        <f>Processes!E90</f>
        <v>Export technology - Hydrogen Gas</v>
      </c>
      <c r="D91" s="67" t="str">
        <f t="shared" si="36"/>
        <v>H2G</v>
      </c>
      <c r="E91" s="332"/>
      <c r="F91" s="387" t="str">
        <f t="shared" si="35"/>
        <v>MKr14</v>
      </c>
      <c r="G91" s="330">
        <f>G$77</f>
        <v>42.18</v>
      </c>
      <c r="H91" s="330">
        <f t="shared" si="42"/>
        <v>43.795000000000002</v>
      </c>
      <c r="I91" s="330">
        <f t="shared" si="42"/>
        <v>52.344999999999999</v>
      </c>
      <c r="J91" s="330">
        <f t="shared" si="42"/>
        <v>51.49</v>
      </c>
      <c r="K91" s="330">
        <f t="shared" si="42"/>
        <v>43.414999999999999</v>
      </c>
      <c r="L91" s="330">
        <f t="shared" si="42"/>
        <v>41.8</v>
      </c>
      <c r="M91" s="330">
        <f t="shared" si="42"/>
        <v>34.959999999999994</v>
      </c>
      <c r="N91" s="330">
        <f t="shared" si="42"/>
        <v>35.055</v>
      </c>
      <c r="O91" s="330">
        <f t="shared" si="42"/>
        <v>50.751074212757736</v>
      </c>
      <c r="P91" s="330">
        <f t="shared" si="42"/>
        <v>32.54796067858944</v>
      </c>
      <c r="Q91" s="330">
        <f t="shared" si="42"/>
        <v>31.727957487158143</v>
      </c>
      <c r="R91" s="330">
        <f t="shared" si="42"/>
        <v>29.949025524166288</v>
      </c>
      <c r="S91" s="330">
        <f t="shared" si="42"/>
        <v>31.124421190464801</v>
      </c>
      <c r="T91" s="330">
        <f t="shared" si="42"/>
        <v>31.69930389723169</v>
      </c>
      <c r="U91" s="330">
        <f t="shared" si="42"/>
        <v>31.888767724343968</v>
      </c>
      <c r="V91" s="330">
        <f t="shared" si="42"/>
        <v>31.830779289767982</v>
      </c>
      <c r="W91" s="330">
        <f t="shared" si="42"/>
        <v>31.794257244088858</v>
      </c>
      <c r="X91" s="330">
        <f t="shared" si="42"/>
        <v>31.770799731920086</v>
      </c>
      <c r="Y91" s="330">
        <f t="shared" si="42"/>
        <v>31.750709610930787</v>
      </c>
      <c r="Z91" s="330">
        <f t="shared" si="42"/>
        <v>31.743509235621186</v>
      </c>
      <c r="AA91" s="330">
        <f t="shared" si="42"/>
        <v>31.741544979889387</v>
      </c>
      <c r="AB91" s="330">
        <f t="shared" si="42"/>
        <v>31.785326421240963</v>
      </c>
      <c r="AC91" s="330">
        <f t="shared" si="42"/>
        <v>31.829107862592537</v>
      </c>
      <c r="AD91" s="330">
        <f t="shared" si="42"/>
        <v>31.872889303944106</v>
      </c>
      <c r="AE91" s="330">
        <f t="shared" si="42"/>
        <v>31.916670745295676</v>
      </c>
      <c r="AF91" s="330">
        <f t="shared" si="42"/>
        <v>31.960452186647256</v>
      </c>
      <c r="AG91" s="330">
        <f t="shared" si="42"/>
        <v>32.004233627998829</v>
      </c>
      <c r="AH91" s="330">
        <f t="shared" si="42"/>
        <v>32.048015069350392</v>
      </c>
      <c r="AI91" s="330">
        <f t="shared" si="42"/>
        <v>32.091796510701968</v>
      </c>
      <c r="AJ91" s="330">
        <f t="shared" si="42"/>
        <v>32.135577952053531</v>
      </c>
      <c r="AK91" s="330">
        <f t="shared" si="42"/>
        <v>32.179359393405107</v>
      </c>
      <c r="AL91" s="330">
        <f t="shared" si="42"/>
        <v>32.223140834756684</v>
      </c>
      <c r="AM91" s="330">
        <f t="shared" si="42"/>
        <v>32.266922276108254</v>
      </c>
      <c r="AN91" s="330">
        <f t="shared" si="42"/>
        <v>32.310703717459816</v>
      </c>
      <c r="AO91" s="330">
        <f t="shared" si="42"/>
        <v>32.354485158811393</v>
      </c>
      <c r="AP91" s="330">
        <f t="shared" si="42"/>
        <v>32.39826660016297</v>
      </c>
      <c r="AQ91" s="330">
        <f t="shared" si="42"/>
        <v>32.442048041514546</v>
      </c>
      <c r="AR91" s="330">
        <f t="shared" si="42"/>
        <v>32.485829482866109</v>
      </c>
      <c r="AS91" s="330">
        <f t="shared" si="42"/>
        <v>32.529610924217685</v>
      </c>
      <c r="AT91" s="330">
        <f t="shared" si="42"/>
        <v>32.573392365569248</v>
      </c>
      <c r="AU91" s="330">
        <f t="shared" si="42"/>
        <v>32.617173806920832</v>
      </c>
      <c r="AV91" s="331">
        <v>5</v>
      </c>
    </row>
    <row r="92" spans="2:65" ht="14.4">
      <c r="B92" s="8" t="str">
        <f>Processes!D91</f>
        <v>EXPAMM</v>
      </c>
      <c r="C92" s="8" t="str">
        <f>Processes!E91</f>
        <v>Export technology - Ammonia (Liquid)</v>
      </c>
      <c r="D92" s="67" t="str">
        <f t="shared" si="36"/>
        <v>AMM</v>
      </c>
      <c r="E92" s="332"/>
      <c r="F92" s="387" t="str">
        <f t="shared" si="35"/>
        <v>MKr19</v>
      </c>
      <c r="G92" s="330">
        <f>G$83</f>
        <v>100.13</v>
      </c>
      <c r="H92" s="330">
        <f t="shared" ref="H92:AU93" si="43">H$83</f>
        <v>111.53</v>
      </c>
      <c r="I92" s="330">
        <f t="shared" si="43"/>
        <v>127.48999999999998</v>
      </c>
      <c r="J92" s="330">
        <f t="shared" si="43"/>
        <v>117.03999999999999</v>
      </c>
      <c r="K92" s="330">
        <f t="shared" si="43"/>
        <v>107.82499999999999</v>
      </c>
      <c r="L92" s="330">
        <f t="shared" si="43"/>
        <v>73.149999999999991</v>
      </c>
      <c r="M92" s="330">
        <f t="shared" si="43"/>
        <v>70.3</v>
      </c>
      <c r="N92" s="330">
        <f t="shared" si="43"/>
        <v>74.290000000000006</v>
      </c>
      <c r="O92" s="330">
        <f t="shared" si="43"/>
        <v>96.426022004987345</v>
      </c>
      <c r="P92" s="330">
        <f t="shared" si="43"/>
        <v>90.807615434698747</v>
      </c>
      <c r="Q92" s="330">
        <f t="shared" si="43"/>
        <v>89.401673832219473</v>
      </c>
      <c r="R92" s="330">
        <f t="shared" si="43"/>
        <v>68.516792691424257</v>
      </c>
      <c r="S92" s="330">
        <f t="shared" si="43"/>
        <v>71.754866618593084</v>
      </c>
      <c r="T92" s="330">
        <f t="shared" si="43"/>
        <v>73.96179631899065</v>
      </c>
      <c r="U92" s="330">
        <f t="shared" si="43"/>
        <v>75.575095006707542</v>
      </c>
      <c r="V92" s="330">
        <f t="shared" si="43"/>
        <v>76.749748941909317</v>
      </c>
      <c r="W92" s="330">
        <f t="shared" si="43"/>
        <v>78.046939113302997</v>
      </c>
      <c r="X92" s="330">
        <f t="shared" si="43"/>
        <v>79.318170941805391</v>
      </c>
      <c r="Y92" s="330">
        <f t="shared" si="43"/>
        <v>80.48773617399354</v>
      </c>
      <c r="Z92" s="330">
        <f t="shared" si="43"/>
        <v>81.715850466579965</v>
      </c>
      <c r="AA92" s="330">
        <f t="shared" si="43"/>
        <v>82.877880872470527</v>
      </c>
      <c r="AB92" s="330">
        <f t="shared" si="43"/>
        <v>82.587044298377819</v>
      </c>
      <c r="AC92" s="330">
        <f t="shared" si="43"/>
        <v>82.295512149203404</v>
      </c>
      <c r="AD92" s="330">
        <f t="shared" si="43"/>
        <v>82.005183686862722</v>
      </c>
      <c r="AE92" s="330">
        <f t="shared" si="43"/>
        <v>81.714126007099949</v>
      </c>
      <c r="AF92" s="330">
        <f t="shared" si="43"/>
        <v>81.423160188978741</v>
      </c>
      <c r="AG92" s="330">
        <f t="shared" si="43"/>
        <v>81.131314786114757</v>
      </c>
      <c r="AH92" s="330">
        <f t="shared" si="43"/>
        <v>80.840497833412343</v>
      </c>
      <c r="AI92" s="330">
        <f t="shared" si="43"/>
        <v>80.548986928309944</v>
      </c>
      <c r="AJ92" s="330">
        <f t="shared" si="43"/>
        <v>80.258358418959332</v>
      </c>
      <c r="AK92" s="330">
        <f t="shared" si="43"/>
        <v>79.967443126641484</v>
      </c>
      <c r="AL92" s="330">
        <f t="shared" si="43"/>
        <v>79.676528313431973</v>
      </c>
      <c r="AM92" s="330">
        <f t="shared" si="43"/>
        <v>79.388615803438867</v>
      </c>
      <c r="AN92" s="330">
        <f t="shared" si="43"/>
        <v>79.10070874877735</v>
      </c>
      <c r="AO92" s="330">
        <f t="shared" si="43"/>
        <v>78.812807156422508</v>
      </c>
      <c r="AP92" s="330">
        <f t="shared" si="43"/>
        <v>78.524911033358194</v>
      </c>
      <c r="AQ92" s="330">
        <f t="shared" si="43"/>
        <v>78.237020386577257</v>
      </c>
      <c r="AR92" s="330">
        <f t="shared" si="43"/>
        <v>77.949135223081484</v>
      </c>
      <c r="AS92" s="330">
        <f t="shared" si="43"/>
        <v>77.661255549881631</v>
      </c>
      <c r="AT92" s="330">
        <f t="shared" si="43"/>
        <v>77.373381373997375</v>
      </c>
      <c r="AU92" s="330">
        <f t="shared" si="43"/>
        <v>77.085512702457393</v>
      </c>
      <c r="AV92" s="331">
        <v>5</v>
      </c>
    </row>
    <row r="93" spans="2:65" ht="14.4">
      <c r="B93" s="8" t="str">
        <f>Processes!D92</f>
        <v>EXPDME</v>
      </c>
      <c r="C93" s="8" t="str">
        <f>Processes!E92</f>
        <v>Export technology - Dimethyl ether</v>
      </c>
      <c r="D93" s="67" t="str">
        <f t="shared" si="36"/>
        <v>DME</v>
      </c>
      <c r="E93" s="332"/>
      <c r="F93" s="387" t="str">
        <f t="shared" si="35"/>
        <v>MKr19</v>
      </c>
      <c r="G93" s="330">
        <f>G$83</f>
        <v>100.13</v>
      </c>
      <c r="H93" s="330">
        <f t="shared" si="43"/>
        <v>111.53</v>
      </c>
      <c r="I93" s="330">
        <f t="shared" si="43"/>
        <v>127.48999999999998</v>
      </c>
      <c r="J93" s="330">
        <f t="shared" si="43"/>
        <v>117.03999999999999</v>
      </c>
      <c r="K93" s="330">
        <f t="shared" si="43"/>
        <v>107.82499999999999</v>
      </c>
      <c r="L93" s="330">
        <f t="shared" si="43"/>
        <v>73.149999999999991</v>
      </c>
      <c r="M93" s="330">
        <f t="shared" si="43"/>
        <v>70.3</v>
      </c>
      <c r="N93" s="330">
        <f t="shared" si="43"/>
        <v>74.290000000000006</v>
      </c>
      <c r="O93" s="330">
        <f t="shared" si="43"/>
        <v>96.426022004987345</v>
      </c>
      <c r="P93" s="330">
        <f t="shared" si="43"/>
        <v>90.807615434698747</v>
      </c>
      <c r="Q93" s="330">
        <f t="shared" si="43"/>
        <v>89.401673832219473</v>
      </c>
      <c r="R93" s="330">
        <f t="shared" si="43"/>
        <v>68.516792691424257</v>
      </c>
      <c r="S93" s="330">
        <f t="shared" si="43"/>
        <v>71.754866618593084</v>
      </c>
      <c r="T93" s="330">
        <f t="shared" si="43"/>
        <v>73.96179631899065</v>
      </c>
      <c r="U93" s="330">
        <f t="shared" si="43"/>
        <v>75.575095006707542</v>
      </c>
      <c r="V93" s="330">
        <f t="shared" si="43"/>
        <v>76.749748941909317</v>
      </c>
      <c r="W93" s="330">
        <f t="shared" si="43"/>
        <v>78.046939113302997</v>
      </c>
      <c r="X93" s="330">
        <f t="shared" si="43"/>
        <v>79.318170941805391</v>
      </c>
      <c r="Y93" s="330">
        <f t="shared" si="43"/>
        <v>80.48773617399354</v>
      </c>
      <c r="Z93" s="330">
        <f t="shared" si="43"/>
        <v>81.715850466579965</v>
      </c>
      <c r="AA93" s="330">
        <f t="shared" si="43"/>
        <v>82.877880872470527</v>
      </c>
      <c r="AB93" s="330">
        <f t="shared" si="43"/>
        <v>82.587044298377819</v>
      </c>
      <c r="AC93" s="330">
        <f t="shared" si="43"/>
        <v>82.295512149203404</v>
      </c>
      <c r="AD93" s="330">
        <f t="shared" si="43"/>
        <v>82.005183686862722</v>
      </c>
      <c r="AE93" s="330">
        <f t="shared" si="43"/>
        <v>81.714126007099949</v>
      </c>
      <c r="AF93" s="330">
        <f t="shared" si="43"/>
        <v>81.423160188978741</v>
      </c>
      <c r="AG93" s="330">
        <f t="shared" si="43"/>
        <v>81.131314786114757</v>
      </c>
      <c r="AH93" s="330">
        <f t="shared" si="43"/>
        <v>80.840497833412343</v>
      </c>
      <c r="AI93" s="330">
        <f t="shared" si="43"/>
        <v>80.548986928309944</v>
      </c>
      <c r="AJ93" s="330">
        <f t="shared" si="43"/>
        <v>80.258358418959332</v>
      </c>
      <c r="AK93" s="330">
        <f t="shared" si="43"/>
        <v>79.967443126641484</v>
      </c>
      <c r="AL93" s="330">
        <f t="shared" si="43"/>
        <v>79.676528313431973</v>
      </c>
      <c r="AM93" s="330">
        <f t="shared" si="43"/>
        <v>79.388615803438867</v>
      </c>
      <c r="AN93" s="330">
        <f t="shared" si="43"/>
        <v>79.10070874877735</v>
      </c>
      <c r="AO93" s="330">
        <f t="shared" si="43"/>
        <v>78.812807156422508</v>
      </c>
      <c r="AP93" s="330">
        <f t="shared" si="43"/>
        <v>78.524911033358194</v>
      </c>
      <c r="AQ93" s="330">
        <f t="shared" si="43"/>
        <v>78.237020386577257</v>
      </c>
      <c r="AR93" s="330">
        <f t="shared" si="43"/>
        <v>77.949135223081484</v>
      </c>
      <c r="AS93" s="330">
        <f t="shared" si="43"/>
        <v>77.661255549881631</v>
      </c>
      <c r="AT93" s="330">
        <f t="shared" si="43"/>
        <v>77.373381373997375</v>
      </c>
      <c r="AU93" s="330">
        <f t="shared" si="43"/>
        <v>77.085512702457393</v>
      </c>
      <c r="AV93" s="331">
        <v>5</v>
      </c>
    </row>
    <row r="94" spans="2:65" ht="14.4">
      <c r="B94" s="8" t="str">
        <f>Processes!D93</f>
        <v>EXPKRB1</v>
      </c>
      <c r="C94" s="8" t="str">
        <f>Processes!E93</f>
        <v>Export technology - Bio Kerosene G1</v>
      </c>
      <c r="D94" s="67" t="str">
        <f t="shared" si="36"/>
        <v>KRB1</v>
      </c>
      <c r="E94" s="332"/>
      <c r="F94" s="387" t="str">
        <f t="shared" si="35"/>
        <v>MKr19</v>
      </c>
      <c r="G94" s="330">
        <f>G$82</f>
        <v>72.674999999999997</v>
      </c>
      <c r="H94" s="330">
        <f t="shared" ref="H94:AU96" si="44">H$82</f>
        <v>106.78</v>
      </c>
      <c r="I94" s="330">
        <f t="shared" si="44"/>
        <v>110.48499999999999</v>
      </c>
      <c r="J94" s="330">
        <f t="shared" si="44"/>
        <v>112.66999999999999</v>
      </c>
      <c r="K94" s="330">
        <f t="shared" si="44"/>
        <v>104.59499999999998</v>
      </c>
      <c r="L94" s="330">
        <f t="shared" si="44"/>
        <v>69.825000000000003</v>
      </c>
      <c r="M94" s="330">
        <f t="shared" si="44"/>
        <v>67.069999999999993</v>
      </c>
      <c r="N94" s="330">
        <f t="shared" si="44"/>
        <v>70.965000000000003</v>
      </c>
      <c r="O94" s="330">
        <f t="shared" si="44"/>
        <v>94.52602200498734</v>
      </c>
      <c r="P94" s="330">
        <f t="shared" si="44"/>
        <v>88.34711543469875</v>
      </c>
      <c r="Q94" s="330">
        <f t="shared" si="44"/>
        <v>86.941173832219462</v>
      </c>
      <c r="R94" s="330">
        <f t="shared" si="44"/>
        <v>66.056292691424247</v>
      </c>
      <c r="S94" s="330">
        <f t="shared" si="44"/>
        <v>69.294366618593074</v>
      </c>
      <c r="T94" s="330">
        <f t="shared" si="44"/>
        <v>71.50129631899064</v>
      </c>
      <c r="U94" s="330">
        <f t="shared" si="44"/>
        <v>73.114595006707532</v>
      </c>
      <c r="V94" s="330">
        <f t="shared" si="44"/>
        <v>74.289248941909307</v>
      </c>
      <c r="W94" s="330">
        <f t="shared" si="44"/>
        <v>75.586439113303001</v>
      </c>
      <c r="X94" s="330">
        <f t="shared" si="44"/>
        <v>76.857670941805381</v>
      </c>
      <c r="Y94" s="330">
        <f t="shared" si="44"/>
        <v>78.027236173993543</v>
      </c>
      <c r="Z94" s="330">
        <f t="shared" si="44"/>
        <v>79.255350466579955</v>
      </c>
      <c r="AA94" s="330">
        <f t="shared" si="44"/>
        <v>80.417380872470531</v>
      </c>
      <c r="AB94" s="330">
        <f t="shared" si="44"/>
        <v>80.126544298377823</v>
      </c>
      <c r="AC94" s="330">
        <f t="shared" si="44"/>
        <v>79.835012149203408</v>
      </c>
      <c r="AD94" s="330">
        <f t="shared" si="44"/>
        <v>79.544683686862726</v>
      </c>
      <c r="AE94" s="330">
        <f t="shared" si="44"/>
        <v>79.253626007099939</v>
      </c>
      <c r="AF94" s="330">
        <f t="shared" si="44"/>
        <v>78.962660188978745</v>
      </c>
      <c r="AG94" s="330">
        <f t="shared" si="44"/>
        <v>78.670814786114747</v>
      </c>
      <c r="AH94" s="330">
        <f t="shared" si="44"/>
        <v>78.379997833412347</v>
      </c>
      <c r="AI94" s="330">
        <f t="shared" si="44"/>
        <v>78.088486928309948</v>
      </c>
      <c r="AJ94" s="330">
        <f t="shared" si="44"/>
        <v>77.797858418959336</v>
      </c>
      <c r="AK94" s="330">
        <f t="shared" si="44"/>
        <v>77.506943126641474</v>
      </c>
      <c r="AL94" s="330">
        <f t="shared" si="44"/>
        <v>77.216028313431977</v>
      </c>
      <c r="AM94" s="330">
        <f t="shared" si="44"/>
        <v>76.928115803438857</v>
      </c>
      <c r="AN94" s="330">
        <f t="shared" si="44"/>
        <v>76.640208748777354</v>
      </c>
      <c r="AO94" s="330">
        <f t="shared" si="44"/>
        <v>76.352307156422498</v>
      </c>
      <c r="AP94" s="330">
        <f t="shared" si="44"/>
        <v>76.064411033358184</v>
      </c>
      <c r="AQ94" s="330">
        <f t="shared" si="44"/>
        <v>75.776520386577246</v>
      </c>
      <c r="AR94" s="330">
        <f t="shared" si="44"/>
        <v>75.488635223081488</v>
      </c>
      <c r="AS94" s="330">
        <f t="shared" si="44"/>
        <v>75.200755549881634</v>
      </c>
      <c r="AT94" s="330">
        <f t="shared" si="44"/>
        <v>74.912881373997365</v>
      </c>
      <c r="AU94" s="330">
        <f t="shared" si="44"/>
        <v>74.625012702457397</v>
      </c>
      <c r="AV94" s="331">
        <v>5</v>
      </c>
    </row>
    <row r="95" spans="2:65" ht="14.4">
      <c r="B95" s="8" t="str">
        <f>Processes!D94</f>
        <v>EXPKRB2</v>
      </c>
      <c r="C95" s="8" t="str">
        <f>Processes!E94</f>
        <v>Export technology - Bio Kerosene G2</v>
      </c>
      <c r="D95" s="67" t="str">
        <f t="shared" si="36"/>
        <v>KRB2</v>
      </c>
      <c r="E95" s="332"/>
      <c r="F95" s="387" t="str">
        <f t="shared" si="35"/>
        <v>MKr19</v>
      </c>
      <c r="G95" s="330">
        <f>G$82</f>
        <v>72.674999999999997</v>
      </c>
      <c r="H95" s="330">
        <f t="shared" si="44"/>
        <v>106.78</v>
      </c>
      <c r="I95" s="330">
        <f t="shared" si="44"/>
        <v>110.48499999999999</v>
      </c>
      <c r="J95" s="330">
        <f t="shared" si="44"/>
        <v>112.66999999999999</v>
      </c>
      <c r="K95" s="330">
        <f t="shared" si="44"/>
        <v>104.59499999999998</v>
      </c>
      <c r="L95" s="330">
        <f t="shared" si="44"/>
        <v>69.825000000000003</v>
      </c>
      <c r="M95" s="330">
        <f t="shared" si="44"/>
        <v>67.069999999999993</v>
      </c>
      <c r="N95" s="330">
        <f t="shared" si="44"/>
        <v>70.965000000000003</v>
      </c>
      <c r="O95" s="330">
        <f t="shared" si="44"/>
        <v>94.52602200498734</v>
      </c>
      <c r="P95" s="330">
        <f t="shared" si="44"/>
        <v>88.34711543469875</v>
      </c>
      <c r="Q95" s="330">
        <f t="shared" si="44"/>
        <v>86.941173832219462</v>
      </c>
      <c r="R95" s="330">
        <f t="shared" si="44"/>
        <v>66.056292691424247</v>
      </c>
      <c r="S95" s="330">
        <f t="shared" si="44"/>
        <v>69.294366618593074</v>
      </c>
      <c r="T95" s="330">
        <f t="shared" si="44"/>
        <v>71.50129631899064</v>
      </c>
      <c r="U95" s="330">
        <f t="shared" si="44"/>
        <v>73.114595006707532</v>
      </c>
      <c r="V95" s="330">
        <f t="shared" si="44"/>
        <v>74.289248941909307</v>
      </c>
      <c r="W95" s="330">
        <f t="shared" si="44"/>
        <v>75.586439113303001</v>
      </c>
      <c r="X95" s="330">
        <f t="shared" si="44"/>
        <v>76.857670941805381</v>
      </c>
      <c r="Y95" s="330">
        <f t="shared" si="44"/>
        <v>78.027236173993543</v>
      </c>
      <c r="Z95" s="330">
        <f t="shared" si="44"/>
        <v>79.255350466579955</v>
      </c>
      <c r="AA95" s="330">
        <f t="shared" si="44"/>
        <v>80.417380872470531</v>
      </c>
      <c r="AB95" s="330">
        <f t="shared" si="44"/>
        <v>80.126544298377823</v>
      </c>
      <c r="AC95" s="330">
        <f t="shared" si="44"/>
        <v>79.835012149203408</v>
      </c>
      <c r="AD95" s="330">
        <f t="shared" si="44"/>
        <v>79.544683686862726</v>
      </c>
      <c r="AE95" s="330">
        <f t="shared" si="44"/>
        <v>79.253626007099939</v>
      </c>
      <c r="AF95" s="330">
        <f t="shared" si="44"/>
        <v>78.962660188978745</v>
      </c>
      <c r="AG95" s="330">
        <f t="shared" si="44"/>
        <v>78.670814786114747</v>
      </c>
      <c r="AH95" s="330">
        <f t="shared" si="44"/>
        <v>78.379997833412347</v>
      </c>
      <c r="AI95" s="330">
        <f t="shared" si="44"/>
        <v>78.088486928309948</v>
      </c>
      <c r="AJ95" s="330">
        <f t="shared" si="44"/>
        <v>77.797858418959336</v>
      </c>
      <c r="AK95" s="330">
        <f t="shared" si="44"/>
        <v>77.506943126641474</v>
      </c>
      <c r="AL95" s="330">
        <f t="shared" si="44"/>
        <v>77.216028313431977</v>
      </c>
      <c r="AM95" s="330">
        <f t="shared" si="44"/>
        <v>76.928115803438857</v>
      </c>
      <c r="AN95" s="330">
        <f t="shared" si="44"/>
        <v>76.640208748777354</v>
      </c>
      <c r="AO95" s="330">
        <f t="shared" si="44"/>
        <v>76.352307156422498</v>
      </c>
      <c r="AP95" s="330">
        <f t="shared" si="44"/>
        <v>76.064411033358184</v>
      </c>
      <c r="AQ95" s="330">
        <f t="shared" si="44"/>
        <v>75.776520386577246</v>
      </c>
      <c r="AR95" s="330">
        <f t="shared" si="44"/>
        <v>75.488635223081488</v>
      </c>
      <c r="AS95" s="330">
        <f t="shared" si="44"/>
        <v>75.200755549881634</v>
      </c>
      <c r="AT95" s="330">
        <f t="shared" si="44"/>
        <v>74.912881373997365</v>
      </c>
      <c r="AU95" s="330">
        <f t="shared" si="44"/>
        <v>74.625012702457397</v>
      </c>
      <c r="AV95" s="331">
        <v>5</v>
      </c>
    </row>
    <row r="96" spans="2:65" ht="14.4">
      <c r="B96" s="8" t="str">
        <f>Processes!D95</f>
        <v>EXPKRE</v>
      </c>
      <c r="C96" s="8" t="str">
        <f>Processes!E95</f>
        <v>Export technology - Electro Kerosene</v>
      </c>
      <c r="D96" s="67" t="str">
        <f t="shared" si="36"/>
        <v>KRE</v>
      </c>
      <c r="E96" s="332"/>
      <c r="F96" s="387" t="str">
        <f t="shared" si="35"/>
        <v>MKr19</v>
      </c>
      <c r="G96" s="330">
        <f>G$82</f>
        <v>72.674999999999997</v>
      </c>
      <c r="H96" s="330">
        <f t="shared" si="44"/>
        <v>106.78</v>
      </c>
      <c r="I96" s="330">
        <f t="shared" si="44"/>
        <v>110.48499999999999</v>
      </c>
      <c r="J96" s="330">
        <f t="shared" si="44"/>
        <v>112.66999999999999</v>
      </c>
      <c r="K96" s="330">
        <f t="shared" si="44"/>
        <v>104.59499999999998</v>
      </c>
      <c r="L96" s="330">
        <f t="shared" si="44"/>
        <v>69.825000000000003</v>
      </c>
      <c r="M96" s="330">
        <f t="shared" si="44"/>
        <v>67.069999999999993</v>
      </c>
      <c r="N96" s="330">
        <f t="shared" si="44"/>
        <v>70.965000000000003</v>
      </c>
      <c r="O96" s="330">
        <f t="shared" si="44"/>
        <v>94.52602200498734</v>
      </c>
      <c r="P96" s="330">
        <f t="shared" si="44"/>
        <v>88.34711543469875</v>
      </c>
      <c r="Q96" s="330">
        <f t="shared" si="44"/>
        <v>86.941173832219462</v>
      </c>
      <c r="R96" s="330">
        <f t="shared" si="44"/>
        <v>66.056292691424247</v>
      </c>
      <c r="S96" s="330">
        <f t="shared" si="44"/>
        <v>69.294366618593074</v>
      </c>
      <c r="T96" s="330">
        <f t="shared" si="44"/>
        <v>71.50129631899064</v>
      </c>
      <c r="U96" s="330">
        <f t="shared" si="44"/>
        <v>73.114595006707532</v>
      </c>
      <c r="V96" s="330">
        <f t="shared" si="44"/>
        <v>74.289248941909307</v>
      </c>
      <c r="W96" s="330">
        <f t="shared" si="44"/>
        <v>75.586439113303001</v>
      </c>
      <c r="X96" s="330">
        <f t="shared" si="44"/>
        <v>76.857670941805381</v>
      </c>
      <c r="Y96" s="330">
        <f t="shared" si="44"/>
        <v>78.027236173993543</v>
      </c>
      <c r="Z96" s="330">
        <f t="shared" si="44"/>
        <v>79.255350466579955</v>
      </c>
      <c r="AA96" s="330">
        <f t="shared" si="44"/>
        <v>80.417380872470531</v>
      </c>
      <c r="AB96" s="330">
        <f t="shared" si="44"/>
        <v>80.126544298377823</v>
      </c>
      <c r="AC96" s="330">
        <f t="shared" si="44"/>
        <v>79.835012149203408</v>
      </c>
      <c r="AD96" s="330">
        <f t="shared" si="44"/>
        <v>79.544683686862726</v>
      </c>
      <c r="AE96" s="330">
        <f t="shared" si="44"/>
        <v>79.253626007099939</v>
      </c>
      <c r="AF96" s="330">
        <f t="shared" si="44"/>
        <v>78.962660188978745</v>
      </c>
      <c r="AG96" s="330">
        <f t="shared" si="44"/>
        <v>78.670814786114747</v>
      </c>
      <c r="AH96" s="330">
        <f t="shared" si="44"/>
        <v>78.379997833412347</v>
      </c>
      <c r="AI96" s="330">
        <f t="shared" si="44"/>
        <v>78.088486928309948</v>
      </c>
      <c r="AJ96" s="330">
        <f t="shared" si="44"/>
        <v>77.797858418959336</v>
      </c>
      <c r="AK96" s="330">
        <f t="shared" si="44"/>
        <v>77.506943126641474</v>
      </c>
      <c r="AL96" s="330">
        <f t="shared" si="44"/>
        <v>77.216028313431977</v>
      </c>
      <c r="AM96" s="330">
        <f t="shared" si="44"/>
        <v>76.928115803438857</v>
      </c>
      <c r="AN96" s="330">
        <f t="shared" si="44"/>
        <v>76.640208748777354</v>
      </c>
      <c r="AO96" s="330">
        <f t="shared" si="44"/>
        <v>76.352307156422498</v>
      </c>
      <c r="AP96" s="330">
        <f t="shared" si="44"/>
        <v>76.064411033358184</v>
      </c>
      <c r="AQ96" s="330">
        <f t="shared" si="44"/>
        <v>75.776520386577246</v>
      </c>
      <c r="AR96" s="330">
        <f t="shared" si="44"/>
        <v>75.488635223081488</v>
      </c>
      <c r="AS96" s="330">
        <f t="shared" si="44"/>
        <v>75.200755549881634</v>
      </c>
      <c r="AT96" s="330">
        <f t="shared" si="44"/>
        <v>74.912881373997365</v>
      </c>
      <c r="AU96" s="330">
        <f t="shared" si="44"/>
        <v>74.625012702457397</v>
      </c>
      <c r="AV96" s="331">
        <v>5</v>
      </c>
    </row>
    <row r="97" spans="2:48" ht="14.4">
      <c r="B97" s="8" t="str">
        <f>Processes!D96</f>
        <v>EXPSNG1</v>
      </c>
      <c r="C97" s="8" t="str">
        <f>Processes!E96</f>
        <v>Export technology - Bio Synt. Nat. Gas G1</v>
      </c>
      <c r="D97" s="67" t="str">
        <f t="shared" si="36"/>
        <v>SNG1</v>
      </c>
      <c r="F97" s="387" t="str">
        <f t="shared" si="35"/>
        <v>MKr19</v>
      </c>
      <c r="G97" s="330">
        <f>G$77</f>
        <v>42.18</v>
      </c>
      <c r="H97" s="330">
        <f t="shared" ref="H97:AU99" si="45">H$77</f>
        <v>43.795000000000002</v>
      </c>
      <c r="I97" s="330">
        <f t="shared" si="45"/>
        <v>52.344999999999999</v>
      </c>
      <c r="J97" s="330">
        <f t="shared" si="45"/>
        <v>51.49</v>
      </c>
      <c r="K97" s="330">
        <f t="shared" si="45"/>
        <v>43.414999999999999</v>
      </c>
      <c r="L97" s="330">
        <f t="shared" si="45"/>
        <v>41.8</v>
      </c>
      <c r="M97" s="330">
        <f t="shared" si="45"/>
        <v>34.959999999999994</v>
      </c>
      <c r="N97" s="330">
        <f t="shared" si="45"/>
        <v>35.055</v>
      </c>
      <c r="O97" s="330">
        <f t="shared" si="45"/>
        <v>50.751074212757736</v>
      </c>
      <c r="P97" s="330">
        <f t="shared" si="45"/>
        <v>32.54796067858944</v>
      </c>
      <c r="Q97" s="330">
        <f t="shared" si="45"/>
        <v>31.727957487158143</v>
      </c>
      <c r="R97" s="330">
        <f t="shared" si="45"/>
        <v>29.949025524166288</v>
      </c>
      <c r="S97" s="330">
        <f t="shared" si="45"/>
        <v>31.124421190464801</v>
      </c>
      <c r="T97" s="330">
        <f t="shared" si="45"/>
        <v>31.69930389723169</v>
      </c>
      <c r="U97" s="330">
        <f t="shared" si="45"/>
        <v>31.888767724343968</v>
      </c>
      <c r="V97" s="330">
        <f t="shared" si="45"/>
        <v>31.830779289767982</v>
      </c>
      <c r="W97" s="330">
        <f t="shared" si="45"/>
        <v>31.794257244088858</v>
      </c>
      <c r="X97" s="330">
        <f t="shared" si="45"/>
        <v>31.770799731920086</v>
      </c>
      <c r="Y97" s="330">
        <f t="shared" si="45"/>
        <v>31.750709610930787</v>
      </c>
      <c r="Z97" s="330">
        <f t="shared" si="45"/>
        <v>31.743509235621186</v>
      </c>
      <c r="AA97" s="330">
        <f t="shared" si="45"/>
        <v>31.741544979889387</v>
      </c>
      <c r="AB97" s="330">
        <f t="shared" si="45"/>
        <v>31.785326421240963</v>
      </c>
      <c r="AC97" s="330">
        <f t="shared" si="45"/>
        <v>31.829107862592537</v>
      </c>
      <c r="AD97" s="330">
        <f t="shared" si="45"/>
        <v>31.872889303944106</v>
      </c>
      <c r="AE97" s="330">
        <f t="shared" si="45"/>
        <v>31.916670745295676</v>
      </c>
      <c r="AF97" s="330">
        <f t="shared" si="45"/>
        <v>31.960452186647256</v>
      </c>
      <c r="AG97" s="330">
        <f t="shared" si="45"/>
        <v>32.004233627998829</v>
      </c>
      <c r="AH97" s="330">
        <f t="shared" si="45"/>
        <v>32.048015069350392</v>
      </c>
      <c r="AI97" s="330">
        <f t="shared" si="45"/>
        <v>32.091796510701968</v>
      </c>
      <c r="AJ97" s="330">
        <f t="shared" si="45"/>
        <v>32.135577952053531</v>
      </c>
      <c r="AK97" s="330">
        <f t="shared" si="45"/>
        <v>32.179359393405107</v>
      </c>
      <c r="AL97" s="330">
        <f t="shared" si="45"/>
        <v>32.223140834756684</v>
      </c>
      <c r="AM97" s="330">
        <f t="shared" si="45"/>
        <v>32.266922276108254</v>
      </c>
      <c r="AN97" s="330">
        <f t="shared" si="45"/>
        <v>32.310703717459816</v>
      </c>
      <c r="AO97" s="330">
        <f t="shared" si="45"/>
        <v>32.354485158811393</v>
      </c>
      <c r="AP97" s="330">
        <f t="shared" si="45"/>
        <v>32.39826660016297</v>
      </c>
      <c r="AQ97" s="330">
        <f t="shared" si="45"/>
        <v>32.442048041514546</v>
      </c>
      <c r="AR97" s="330">
        <f t="shared" si="45"/>
        <v>32.485829482866109</v>
      </c>
      <c r="AS97" s="330">
        <f t="shared" si="45"/>
        <v>32.529610924217685</v>
      </c>
      <c r="AT97" s="330">
        <f t="shared" si="45"/>
        <v>32.573392365569248</v>
      </c>
      <c r="AU97" s="330">
        <f t="shared" si="45"/>
        <v>32.617173806920832</v>
      </c>
      <c r="AV97" s="331">
        <v>5</v>
      </c>
    </row>
    <row r="98" spans="2:48" ht="14.4">
      <c r="B98" s="8" t="str">
        <f>Processes!D97</f>
        <v>EXPSNG2</v>
      </c>
      <c r="C98" s="8" t="str">
        <f>Processes!E97</f>
        <v>Export technology - Bio Synt. Nat. Gas G2</v>
      </c>
      <c r="D98" s="67" t="str">
        <f t="shared" si="36"/>
        <v>SNG2</v>
      </c>
      <c r="F98" s="387" t="str">
        <f t="shared" si="35"/>
        <v>MKr19</v>
      </c>
      <c r="G98" s="330">
        <f>G$77</f>
        <v>42.18</v>
      </c>
      <c r="H98" s="330">
        <f t="shared" si="45"/>
        <v>43.795000000000002</v>
      </c>
      <c r="I98" s="330">
        <f t="shared" si="45"/>
        <v>52.344999999999999</v>
      </c>
      <c r="J98" s="330">
        <f t="shared" si="45"/>
        <v>51.49</v>
      </c>
      <c r="K98" s="330">
        <f t="shared" si="45"/>
        <v>43.414999999999999</v>
      </c>
      <c r="L98" s="330">
        <f t="shared" si="45"/>
        <v>41.8</v>
      </c>
      <c r="M98" s="330">
        <f t="shared" si="45"/>
        <v>34.959999999999994</v>
      </c>
      <c r="N98" s="330">
        <f t="shared" si="45"/>
        <v>35.055</v>
      </c>
      <c r="O98" s="330">
        <f t="shared" si="45"/>
        <v>50.751074212757736</v>
      </c>
      <c r="P98" s="330">
        <f t="shared" si="45"/>
        <v>32.54796067858944</v>
      </c>
      <c r="Q98" s="330">
        <f t="shared" si="45"/>
        <v>31.727957487158143</v>
      </c>
      <c r="R98" s="330">
        <f t="shared" si="45"/>
        <v>29.949025524166288</v>
      </c>
      <c r="S98" s="330">
        <f t="shared" si="45"/>
        <v>31.124421190464801</v>
      </c>
      <c r="T98" s="330">
        <f t="shared" si="45"/>
        <v>31.69930389723169</v>
      </c>
      <c r="U98" s="330">
        <f t="shared" si="45"/>
        <v>31.888767724343968</v>
      </c>
      <c r="V98" s="330">
        <f t="shared" si="45"/>
        <v>31.830779289767982</v>
      </c>
      <c r="W98" s="330">
        <f t="shared" si="45"/>
        <v>31.794257244088858</v>
      </c>
      <c r="X98" s="330">
        <f t="shared" si="45"/>
        <v>31.770799731920086</v>
      </c>
      <c r="Y98" s="330">
        <f t="shared" si="45"/>
        <v>31.750709610930787</v>
      </c>
      <c r="Z98" s="330">
        <f t="shared" si="45"/>
        <v>31.743509235621186</v>
      </c>
      <c r="AA98" s="330">
        <f t="shared" si="45"/>
        <v>31.741544979889387</v>
      </c>
      <c r="AB98" s="330">
        <f t="shared" si="45"/>
        <v>31.785326421240963</v>
      </c>
      <c r="AC98" s="330">
        <f t="shared" si="45"/>
        <v>31.829107862592537</v>
      </c>
      <c r="AD98" s="330">
        <f t="shared" si="45"/>
        <v>31.872889303944106</v>
      </c>
      <c r="AE98" s="330">
        <f t="shared" si="45"/>
        <v>31.916670745295676</v>
      </c>
      <c r="AF98" s="330">
        <f t="shared" si="45"/>
        <v>31.960452186647256</v>
      </c>
      <c r="AG98" s="330">
        <f t="shared" si="45"/>
        <v>32.004233627998829</v>
      </c>
      <c r="AH98" s="330">
        <f t="shared" si="45"/>
        <v>32.048015069350392</v>
      </c>
      <c r="AI98" s="330">
        <f t="shared" si="45"/>
        <v>32.091796510701968</v>
      </c>
      <c r="AJ98" s="330">
        <f t="shared" si="45"/>
        <v>32.135577952053531</v>
      </c>
      <c r="AK98" s="330">
        <f t="shared" si="45"/>
        <v>32.179359393405107</v>
      </c>
      <c r="AL98" s="330">
        <f t="shared" si="45"/>
        <v>32.223140834756684</v>
      </c>
      <c r="AM98" s="330">
        <f t="shared" si="45"/>
        <v>32.266922276108254</v>
      </c>
      <c r="AN98" s="330">
        <f t="shared" si="45"/>
        <v>32.310703717459816</v>
      </c>
      <c r="AO98" s="330">
        <f t="shared" si="45"/>
        <v>32.354485158811393</v>
      </c>
      <c r="AP98" s="330">
        <f t="shared" si="45"/>
        <v>32.39826660016297</v>
      </c>
      <c r="AQ98" s="330">
        <f t="shared" si="45"/>
        <v>32.442048041514546</v>
      </c>
      <c r="AR98" s="330">
        <f t="shared" si="45"/>
        <v>32.485829482866109</v>
      </c>
      <c r="AS98" s="330">
        <f t="shared" si="45"/>
        <v>32.529610924217685</v>
      </c>
      <c r="AT98" s="330">
        <f t="shared" si="45"/>
        <v>32.573392365569248</v>
      </c>
      <c r="AU98" s="330">
        <f t="shared" si="45"/>
        <v>32.617173806920832</v>
      </c>
      <c r="AV98" s="331">
        <v>5</v>
      </c>
    </row>
    <row r="99" spans="2:48" ht="14.4">
      <c r="B99" s="8" t="str">
        <f>Processes!D98</f>
        <v>EXPSNE</v>
      </c>
      <c r="C99" s="8" t="str">
        <f>Processes!E98</f>
        <v>Export technology - Electro Synt. Nat. Gas</v>
      </c>
      <c r="D99" s="67" t="str">
        <f t="shared" si="36"/>
        <v>SNE</v>
      </c>
      <c r="F99" s="387" t="str">
        <f t="shared" si="35"/>
        <v>MKr19</v>
      </c>
      <c r="G99" s="330">
        <f>G$77</f>
        <v>42.18</v>
      </c>
      <c r="H99" s="330">
        <f t="shared" si="45"/>
        <v>43.795000000000002</v>
      </c>
      <c r="I99" s="330">
        <f t="shared" si="45"/>
        <v>52.344999999999999</v>
      </c>
      <c r="J99" s="330">
        <f t="shared" si="45"/>
        <v>51.49</v>
      </c>
      <c r="K99" s="330">
        <f t="shared" si="45"/>
        <v>43.414999999999999</v>
      </c>
      <c r="L99" s="330">
        <f t="shared" si="45"/>
        <v>41.8</v>
      </c>
      <c r="M99" s="330">
        <f t="shared" si="45"/>
        <v>34.959999999999994</v>
      </c>
      <c r="N99" s="330">
        <f t="shared" si="45"/>
        <v>35.055</v>
      </c>
      <c r="O99" s="330">
        <f t="shared" si="45"/>
        <v>50.751074212757736</v>
      </c>
      <c r="P99" s="330">
        <f t="shared" si="45"/>
        <v>32.54796067858944</v>
      </c>
      <c r="Q99" s="330">
        <f t="shared" si="45"/>
        <v>31.727957487158143</v>
      </c>
      <c r="R99" s="330">
        <f t="shared" si="45"/>
        <v>29.949025524166288</v>
      </c>
      <c r="S99" s="330">
        <f t="shared" si="45"/>
        <v>31.124421190464801</v>
      </c>
      <c r="T99" s="330">
        <f t="shared" si="45"/>
        <v>31.69930389723169</v>
      </c>
      <c r="U99" s="330">
        <f t="shared" si="45"/>
        <v>31.888767724343968</v>
      </c>
      <c r="V99" s="330">
        <f t="shared" si="45"/>
        <v>31.830779289767982</v>
      </c>
      <c r="W99" s="330">
        <f t="shared" si="45"/>
        <v>31.794257244088858</v>
      </c>
      <c r="X99" s="330">
        <f t="shared" si="45"/>
        <v>31.770799731920086</v>
      </c>
      <c r="Y99" s="330">
        <f t="shared" si="45"/>
        <v>31.750709610930787</v>
      </c>
      <c r="Z99" s="330">
        <f t="shared" si="45"/>
        <v>31.743509235621186</v>
      </c>
      <c r="AA99" s="330">
        <f t="shared" si="45"/>
        <v>31.741544979889387</v>
      </c>
      <c r="AB99" s="330">
        <f t="shared" si="45"/>
        <v>31.785326421240963</v>
      </c>
      <c r="AC99" s="330">
        <f t="shared" si="45"/>
        <v>31.829107862592537</v>
      </c>
      <c r="AD99" s="330">
        <f t="shared" si="45"/>
        <v>31.872889303944106</v>
      </c>
      <c r="AE99" s="330">
        <f t="shared" si="45"/>
        <v>31.916670745295676</v>
      </c>
      <c r="AF99" s="330">
        <f t="shared" si="45"/>
        <v>31.960452186647256</v>
      </c>
      <c r="AG99" s="330">
        <f t="shared" si="45"/>
        <v>32.004233627998829</v>
      </c>
      <c r="AH99" s="330">
        <f t="shared" si="45"/>
        <v>32.048015069350392</v>
      </c>
      <c r="AI99" s="330">
        <f t="shared" si="45"/>
        <v>32.091796510701968</v>
      </c>
      <c r="AJ99" s="330">
        <f t="shared" si="45"/>
        <v>32.135577952053531</v>
      </c>
      <c r="AK99" s="330">
        <f t="shared" si="45"/>
        <v>32.179359393405107</v>
      </c>
      <c r="AL99" s="330">
        <f t="shared" si="45"/>
        <v>32.223140834756684</v>
      </c>
      <c r="AM99" s="330">
        <f t="shared" si="45"/>
        <v>32.266922276108254</v>
      </c>
      <c r="AN99" s="330">
        <f t="shared" si="45"/>
        <v>32.310703717459816</v>
      </c>
      <c r="AO99" s="330">
        <f t="shared" si="45"/>
        <v>32.354485158811393</v>
      </c>
      <c r="AP99" s="330">
        <f t="shared" si="45"/>
        <v>32.39826660016297</v>
      </c>
      <c r="AQ99" s="330">
        <f t="shared" si="45"/>
        <v>32.442048041514546</v>
      </c>
      <c r="AR99" s="330">
        <f t="shared" si="45"/>
        <v>32.485829482866109</v>
      </c>
      <c r="AS99" s="330">
        <f t="shared" si="45"/>
        <v>32.529610924217685</v>
      </c>
      <c r="AT99" s="330">
        <f t="shared" si="45"/>
        <v>32.573392365569248</v>
      </c>
      <c r="AU99" s="330">
        <f t="shared" si="45"/>
        <v>32.617173806920832</v>
      </c>
      <c r="AV99" s="331">
        <v>5</v>
      </c>
    </row>
    <row r="100" spans="2:48" ht="14.4">
      <c r="B100" s="8" t="str">
        <f>Processes!D99</f>
        <v>EXPDSB1</v>
      </c>
      <c r="C100" s="8" t="str">
        <f>Processes!E99</f>
        <v>Export technology - Biodiesel G1</v>
      </c>
      <c r="D100" s="67" t="str">
        <f t="shared" si="36"/>
        <v>DSB1</v>
      </c>
      <c r="F100" s="387" t="str">
        <f t="shared" si="35"/>
        <v>MKr19</v>
      </c>
      <c r="G100" s="330">
        <f>G$83</f>
        <v>100.13</v>
      </c>
      <c r="H100" s="330">
        <f t="shared" ref="H100:AU102" si="46">H$83</f>
        <v>111.53</v>
      </c>
      <c r="I100" s="330">
        <f t="shared" si="46"/>
        <v>127.48999999999998</v>
      </c>
      <c r="J100" s="330">
        <f t="shared" si="46"/>
        <v>117.03999999999999</v>
      </c>
      <c r="K100" s="330">
        <f t="shared" si="46"/>
        <v>107.82499999999999</v>
      </c>
      <c r="L100" s="330">
        <f t="shared" si="46"/>
        <v>73.149999999999991</v>
      </c>
      <c r="M100" s="330">
        <f t="shared" si="46"/>
        <v>70.3</v>
      </c>
      <c r="N100" s="330">
        <f t="shared" si="46"/>
        <v>74.290000000000006</v>
      </c>
      <c r="O100" s="330">
        <f t="shared" si="46"/>
        <v>96.426022004987345</v>
      </c>
      <c r="P100" s="330">
        <f t="shared" si="46"/>
        <v>90.807615434698747</v>
      </c>
      <c r="Q100" s="330">
        <f t="shared" si="46"/>
        <v>89.401673832219473</v>
      </c>
      <c r="R100" s="330">
        <f t="shared" si="46"/>
        <v>68.516792691424257</v>
      </c>
      <c r="S100" s="330">
        <f t="shared" si="46"/>
        <v>71.754866618593084</v>
      </c>
      <c r="T100" s="330">
        <f t="shared" si="46"/>
        <v>73.96179631899065</v>
      </c>
      <c r="U100" s="330">
        <f t="shared" si="46"/>
        <v>75.575095006707542</v>
      </c>
      <c r="V100" s="330">
        <f t="shared" si="46"/>
        <v>76.749748941909317</v>
      </c>
      <c r="W100" s="330">
        <f t="shared" si="46"/>
        <v>78.046939113302997</v>
      </c>
      <c r="X100" s="330">
        <f t="shared" si="46"/>
        <v>79.318170941805391</v>
      </c>
      <c r="Y100" s="330">
        <f t="shared" si="46"/>
        <v>80.48773617399354</v>
      </c>
      <c r="Z100" s="330">
        <f t="shared" si="46"/>
        <v>81.715850466579965</v>
      </c>
      <c r="AA100" s="330">
        <f t="shared" si="46"/>
        <v>82.877880872470527</v>
      </c>
      <c r="AB100" s="330">
        <f t="shared" si="46"/>
        <v>82.587044298377819</v>
      </c>
      <c r="AC100" s="330">
        <f t="shared" si="46"/>
        <v>82.295512149203404</v>
      </c>
      <c r="AD100" s="330">
        <f t="shared" si="46"/>
        <v>82.005183686862722</v>
      </c>
      <c r="AE100" s="330">
        <f t="shared" si="46"/>
        <v>81.714126007099949</v>
      </c>
      <c r="AF100" s="330">
        <f t="shared" si="46"/>
        <v>81.423160188978741</v>
      </c>
      <c r="AG100" s="330">
        <f t="shared" si="46"/>
        <v>81.131314786114757</v>
      </c>
      <c r="AH100" s="330">
        <f t="shared" si="46"/>
        <v>80.840497833412343</v>
      </c>
      <c r="AI100" s="330">
        <f t="shared" si="46"/>
        <v>80.548986928309944</v>
      </c>
      <c r="AJ100" s="330">
        <f t="shared" si="46"/>
        <v>80.258358418959332</v>
      </c>
      <c r="AK100" s="330">
        <f t="shared" si="46"/>
        <v>79.967443126641484</v>
      </c>
      <c r="AL100" s="330">
        <f t="shared" si="46"/>
        <v>79.676528313431973</v>
      </c>
      <c r="AM100" s="330">
        <f t="shared" si="46"/>
        <v>79.388615803438867</v>
      </c>
      <c r="AN100" s="330">
        <f t="shared" si="46"/>
        <v>79.10070874877735</v>
      </c>
      <c r="AO100" s="330">
        <f t="shared" si="46"/>
        <v>78.812807156422508</v>
      </c>
      <c r="AP100" s="330">
        <f t="shared" si="46"/>
        <v>78.524911033358194</v>
      </c>
      <c r="AQ100" s="330">
        <f t="shared" si="46"/>
        <v>78.237020386577257</v>
      </c>
      <c r="AR100" s="330">
        <f t="shared" si="46"/>
        <v>77.949135223081484</v>
      </c>
      <c r="AS100" s="330">
        <f t="shared" si="46"/>
        <v>77.661255549881631</v>
      </c>
      <c r="AT100" s="330">
        <f t="shared" si="46"/>
        <v>77.373381373997375</v>
      </c>
      <c r="AU100" s="330">
        <f t="shared" si="46"/>
        <v>77.085512702457393</v>
      </c>
      <c r="AV100" s="331">
        <v>5</v>
      </c>
    </row>
    <row r="101" spans="2:48" ht="14.4">
      <c r="B101" s="8" t="str">
        <f>Processes!D100</f>
        <v>EXPDSB2</v>
      </c>
      <c r="C101" s="8" t="str">
        <f>Processes!E100</f>
        <v>Export technology - Biodiesel G2</v>
      </c>
      <c r="D101" s="67" t="str">
        <f t="shared" si="36"/>
        <v>DSB2</v>
      </c>
      <c r="F101" s="387" t="str">
        <f t="shared" si="35"/>
        <v>MKr19</v>
      </c>
      <c r="G101" s="330">
        <f>G$83</f>
        <v>100.13</v>
      </c>
      <c r="H101" s="330">
        <f t="shared" si="46"/>
        <v>111.53</v>
      </c>
      <c r="I101" s="330">
        <f t="shared" si="46"/>
        <v>127.48999999999998</v>
      </c>
      <c r="J101" s="330">
        <f t="shared" si="46"/>
        <v>117.03999999999999</v>
      </c>
      <c r="K101" s="330">
        <f t="shared" si="46"/>
        <v>107.82499999999999</v>
      </c>
      <c r="L101" s="330">
        <f t="shared" si="46"/>
        <v>73.149999999999991</v>
      </c>
      <c r="M101" s="330">
        <f t="shared" si="46"/>
        <v>70.3</v>
      </c>
      <c r="N101" s="330">
        <f t="shared" si="46"/>
        <v>74.290000000000006</v>
      </c>
      <c r="O101" s="330">
        <f t="shared" si="46"/>
        <v>96.426022004987345</v>
      </c>
      <c r="P101" s="330">
        <f t="shared" si="46"/>
        <v>90.807615434698747</v>
      </c>
      <c r="Q101" s="330">
        <f t="shared" si="46"/>
        <v>89.401673832219473</v>
      </c>
      <c r="R101" s="330">
        <f t="shared" si="46"/>
        <v>68.516792691424257</v>
      </c>
      <c r="S101" s="330">
        <f t="shared" si="46"/>
        <v>71.754866618593084</v>
      </c>
      <c r="T101" s="330">
        <f t="shared" si="46"/>
        <v>73.96179631899065</v>
      </c>
      <c r="U101" s="330">
        <f t="shared" si="46"/>
        <v>75.575095006707542</v>
      </c>
      <c r="V101" s="330">
        <f t="shared" si="46"/>
        <v>76.749748941909317</v>
      </c>
      <c r="W101" s="330">
        <f t="shared" si="46"/>
        <v>78.046939113302997</v>
      </c>
      <c r="X101" s="330">
        <f t="shared" si="46"/>
        <v>79.318170941805391</v>
      </c>
      <c r="Y101" s="330">
        <f t="shared" si="46"/>
        <v>80.48773617399354</v>
      </c>
      <c r="Z101" s="330">
        <f t="shared" si="46"/>
        <v>81.715850466579965</v>
      </c>
      <c r="AA101" s="330">
        <f t="shared" si="46"/>
        <v>82.877880872470527</v>
      </c>
      <c r="AB101" s="330">
        <f t="shared" si="46"/>
        <v>82.587044298377819</v>
      </c>
      <c r="AC101" s="330">
        <f t="shared" si="46"/>
        <v>82.295512149203404</v>
      </c>
      <c r="AD101" s="330">
        <f t="shared" si="46"/>
        <v>82.005183686862722</v>
      </c>
      <c r="AE101" s="330">
        <f t="shared" si="46"/>
        <v>81.714126007099949</v>
      </c>
      <c r="AF101" s="330">
        <f t="shared" si="46"/>
        <v>81.423160188978741</v>
      </c>
      <c r="AG101" s="330">
        <f t="shared" si="46"/>
        <v>81.131314786114757</v>
      </c>
      <c r="AH101" s="330">
        <f t="shared" si="46"/>
        <v>80.840497833412343</v>
      </c>
      <c r="AI101" s="330">
        <f t="shared" si="46"/>
        <v>80.548986928309944</v>
      </c>
      <c r="AJ101" s="330">
        <f t="shared" si="46"/>
        <v>80.258358418959332</v>
      </c>
      <c r="AK101" s="330">
        <f t="shared" si="46"/>
        <v>79.967443126641484</v>
      </c>
      <c r="AL101" s="330">
        <f t="shared" si="46"/>
        <v>79.676528313431973</v>
      </c>
      <c r="AM101" s="330">
        <f t="shared" si="46"/>
        <v>79.388615803438867</v>
      </c>
      <c r="AN101" s="330">
        <f t="shared" si="46"/>
        <v>79.10070874877735</v>
      </c>
      <c r="AO101" s="330">
        <f t="shared" si="46"/>
        <v>78.812807156422508</v>
      </c>
      <c r="AP101" s="330">
        <f t="shared" si="46"/>
        <v>78.524911033358194</v>
      </c>
      <c r="AQ101" s="330">
        <f t="shared" si="46"/>
        <v>78.237020386577257</v>
      </c>
      <c r="AR101" s="330">
        <f t="shared" si="46"/>
        <v>77.949135223081484</v>
      </c>
      <c r="AS101" s="330">
        <f t="shared" si="46"/>
        <v>77.661255549881631</v>
      </c>
      <c r="AT101" s="330">
        <f t="shared" si="46"/>
        <v>77.373381373997375</v>
      </c>
      <c r="AU101" s="330">
        <f t="shared" si="46"/>
        <v>77.085512702457393</v>
      </c>
      <c r="AV101" s="331">
        <v>5</v>
      </c>
    </row>
    <row r="102" spans="2:48" ht="14.4">
      <c r="B102" s="8" t="str">
        <f>Processes!D101</f>
        <v>EXPDSE</v>
      </c>
      <c r="C102" s="8" t="str">
        <f>Processes!E101</f>
        <v>Export technology - Electro Diesel</v>
      </c>
      <c r="D102" s="67" t="str">
        <f t="shared" si="36"/>
        <v>DSE</v>
      </c>
      <c r="F102" s="387" t="str">
        <f t="shared" si="35"/>
        <v>MKr19</v>
      </c>
      <c r="G102" s="330">
        <f>G$83</f>
        <v>100.13</v>
      </c>
      <c r="H102" s="330">
        <f t="shared" si="46"/>
        <v>111.53</v>
      </c>
      <c r="I102" s="330">
        <f t="shared" si="46"/>
        <v>127.48999999999998</v>
      </c>
      <c r="J102" s="330">
        <f t="shared" si="46"/>
        <v>117.03999999999999</v>
      </c>
      <c r="K102" s="330">
        <f t="shared" si="46"/>
        <v>107.82499999999999</v>
      </c>
      <c r="L102" s="330">
        <f t="shared" si="46"/>
        <v>73.149999999999991</v>
      </c>
      <c r="M102" s="330">
        <f t="shared" si="46"/>
        <v>70.3</v>
      </c>
      <c r="N102" s="330">
        <f t="shared" si="46"/>
        <v>74.290000000000006</v>
      </c>
      <c r="O102" s="330">
        <f t="shared" si="46"/>
        <v>96.426022004987345</v>
      </c>
      <c r="P102" s="330">
        <f t="shared" si="46"/>
        <v>90.807615434698747</v>
      </c>
      <c r="Q102" s="330">
        <f t="shared" si="46"/>
        <v>89.401673832219473</v>
      </c>
      <c r="R102" s="330">
        <f t="shared" si="46"/>
        <v>68.516792691424257</v>
      </c>
      <c r="S102" s="330">
        <f t="shared" si="46"/>
        <v>71.754866618593084</v>
      </c>
      <c r="T102" s="330">
        <f t="shared" si="46"/>
        <v>73.96179631899065</v>
      </c>
      <c r="U102" s="330">
        <f t="shared" si="46"/>
        <v>75.575095006707542</v>
      </c>
      <c r="V102" s="330">
        <f t="shared" si="46"/>
        <v>76.749748941909317</v>
      </c>
      <c r="W102" s="330">
        <f t="shared" si="46"/>
        <v>78.046939113302997</v>
      </c>
      <c r="X102" s="330">
        <f t="shared" si="46"/>
        <v>79.318170941805391</v>
      </c>
      <c r="Y102" s="330">
        <f t="shared" si="46"/>
        <v>80.48773617399354</v>
      </c>
      <c r="Z102" s="330">
        <f t="shared" si="46"/>
        <v>81.715850466579965</v>
      </c>
      <c r="AA102" s="330">
        <f t="shared" si="46"/>
        <v>82.877880872470527</v>
      </c>
      <c r="AB102" s="330">
        <f t="shared" si="46"/>
        <v>82.587044298377819</v>
      </c>
      <c r="AC102" s="330">
        <f t="shared" si="46"/>
        <v>82.295512149203404</v>
      </c>
      <c r="AD102" s="330">
        <f t="shared" si="46"/>
        <v>82.005183686862722</v>
      </c>
      <c r="AE102" s="330">
        <f t="shared" si="46"/>
        <v>81.714126007099949</v>
      </c>
      <c r="AF102" s="330">
        <f t="shared" si="46"/>
        <v>81.423160188978741</v>
      </c>
      <c r="AG102" s="330">
        <f t="shared" si="46"/>
        <v>81.131314786114757</v>
      </c>
      <c r="AH102" s="330">
        <f t="shared" si="46"/>
        <v>80.840497833412343</v>
      </c>
      <c r="AI102" s="330">
        <f t="shared" si="46"/>
        <v>80.548986928309944</v>
      </c>
      <c r="AJ102" s="330">
        <f t="shared" si="46"/>
        <v>80.258358418959332</v>
      </c>
      <c r="AK102" s="330">
        <f t="shared" si="46"/>
        <v>79.967443126641484</v>
      </c>
      <c r="AL102" s="330">
        <f t="shared" si="46"/>
        <v>79.676528313431973</v>
      </c>
      <c r="AM102" s="330">
        <f t="shared" si="46"/>
        <v>79.388615803438867</v>
      </c>
      <c r="AN102" s="330">
        <f t="shared" si="46"/>
        <v>79.10070874877735</v>
      </c>
      <c r="AO102" s="330">
        <f t="shared" si="46"/>
        <v>78.812807156422508</v>
      </c>
      <c r="AP102" s="330">
        <f t="shared" si="46"/>
        <v>78.524911033358194</v>
      </c>
      <c r="AQ102" s="330">
        <f t="shared" si="46"/>
        <v>78.237020386577257</v>
      </c>
      <c r="AR102" s="330">
        <f t="shared" si="46"/>
        <v>77.949135223081484</v>
      </c>
      <c r="AS102" s="330">
        <f t="shared" si="46"/>
        <v>77.661255549881631</v>
      </c>
      <c r="AT102" s="330">
        <f t="shared" si="46"/>
        <v>77.373381373997375</v>
      </c>
      <c r="AU102" s="330">
        <f t="shared" si="46"/>
        <v>77.085512702457393</v>
      </c>
      <c r="AV102" s="331">
        <v>5</v>
      </c>
    </row>
    <row r="103" spans="2:48" ht="14.4">
      <c r="B103" s="8" t="str">
        <f>Processes!D102</f>
        <v>EXPGSB1</v>
      </c>
      <c r="C103" s="8" t="str">
        <f>Processes!E102</f>
        <v>Export technology - Bioethanol G1</v>
      </c>
      <c r="D103" s="67" t="str">
        <f t="shared" si="36"/>
        <v>GSB1</v>
      </c>
      <c r="F103" s="387" t="str">
        <f t="shared" si="35"/>
        <v>MKr19</v>
      </c>
      <c r="G103" s="330">
        <f>G$81</f>
        <v>88.16</v>
      </c>
      <c r="H103" s="330">
        <f t="shared" ref="H103:AU105" si="47">H$81</f>
        <v>116.755</v>
      </c>
      <c r="I103" s="330">
        <f t="shared" si="47"/>
        <v>129.86499999999998</v>
      </c>
      <c r="J103" s="330">
        <f t="shared" si="47"/>
        <v>115.89999999999999</v>
      </c>
      <c r="K103" s="330">
        <f t="shared" si="47"/>
        <v>109.05999999999999</v>
      </c>
      <c r="L103" s="330">
        <f t="shared" si="47"/>
        <v>74.290000000000006</v>
      </c>
      <c r="M103" s="330">
        <f t="shared" si="47"/>
        <v>71.534999999999997</v>
      </c>
      <c r="N103" s="330">
        <f t="shared" si="47"/>
        <v>75.430000000000007</v>
      </c>
      <c r="O103" s="330">
        <f t="shared" si="47"/>
        <v>97.281022004987349</v>
      </c>
      <c r="P103" s="330">
        <f t="shared" si="47"/>
        <v>92.859615434698739</v>
      </c>
      <c r="Q103" s="330">
        <f t="shared" si="47"/>
        <v>91.453673832219465</v>
      </c>
      <c r="R103" s="330">
        <f t="shared" si="47"/>
        <v>70.56879269142425</v>
      </c>
      <c r="S103" s="330">
        <f t="shared" si="47"/>
        <v>73.806866618593077</v>
      </c>
      <c r="T103" s="330">
        <f t="shared" si="47"/>
        <v>76.013796318990643</v>
      </c>
      <c r="U103" s="330">
        <f t="shared" si="47"/>
        <v>77.627095006707535</v>
      </c>
      <c r="V103" s="330">
        <f t="shared" si="47"/>
        <v>78.80174894190931</v>
      </c>
      <c r="W103" s="330">
        <f t="shared" si="47"/>
        <v>80.09893911330299</v>
      </c>
      <c r="X103" s="330">
        <f t="shared" si="47"/>
        <v>81.370170941805384</v>
      </c>
      <c r="Y103" s="330">
        <f t="shared" si="47"/>
        <v>82.539736173993532</v>
      </c>
      <c r="Z103" s="330">
        <f t="shared" si="47"/>
        <v>83.767850466579958</v>
      </c>
      <c r="AA103" s="330">
        <f t="shared" si="47"/>
        <v>84.929880872470534</v>
      </c>
      <c r="AB103" s="330">
        <f t="shared" si="47"/>
        <v>84.639044298377826</v>
      </c>
      <c r="AC103" s="330">
        <f t="shared" si="47"/>
        <v>84.347512149203396</v>
      </c>
      <c r="AD103" s="330">
        <f t="shared" si="47"/>
        <v>84.057183686862714</v>
      </c>
      <c r="AE103" s="330">
        <f t="shared" si="47"/>
        <v>83.766126007099942</v>
      </c>
      <c r="AF103" s="330">
        <f t="shared" si="47"/>
        <v>83.475160188978734</v>
      </c>
      <c r="AG103" s="330">
        <f t="shared" si="47"/>
        <v>83.183314786114749</v>
      </c>
      <c r="AH103" s="330">
        <f t="shared" si="47"/>
        <v>82.892497833412349</v>
      </c>
      <c r="AI103" s="330">
        <f t="shared" si="47"/>
        <v>82.600986928309936</v>
      </c>
      <c r="AJ103" s="330">
        <f t="shared" si="47"/>
        <v>82.310358418959339</v>
      </c>
      <c r="AK103" s="330">
        <f t="shared" si="47"/>
        <v>82.019443126641477</v>
      </c>
      <c r="AL103" s="330">
        <f t="shared" si="47"/>
        <v>81.728528313431966</v>
      </c>
      <c r="AM103" s="330">
        <f t="shared" si="47"/>
        <v>81.44061580343886</v>
      </c>
      <c r="AN103" s="330">
        <f t="shared" si="47"/>
        <v>81.152708748777343</v>
      </c>
      <c r="AO103" s="330">
        <f t="shared" si="47"/>
        <v>80.864807156422501</v>
      </c>
      <c r="AP103" s="330">
        <f t="shared" si="47"/>
        <v>80.576911033358186</v>
      </c>
      <c r="AQ103" s="330">
        <f t="shared" si="47"/>
        <v>80.289020386577249</v>
      </c>
      <c r="AR103" s="330">
        <f t="shared" si="47"/>
        <v>80.001135223081477</v>
      </c>
      <c r="AS103" s="330">
        <f t="shared" si="47"/>
        <v>79.713255549881637</v>
      </c>
      <c r="AT103" s="330">
        <f t="shared" si="47"/>
        <v>79.425381373997368</v>
      </c>
      <c r="AU103" s="330">
        <f t="shared" si="47"/>
        <v>79.137512702457386</v>
      </c>
      <c r="AV103" s="331">
        <v>5</v>
      </c>
    </row>
    <row r="104" spans="2:48" ht="14.4">
      <c r="B104" s="8" t="str">
        <f>Processes!D103</f>
        <v>EXPGSB2</v>
      </c>
      <c r="C104" s="8" t="str">
        <f>Processes!E103</f>
        <v>Export technology - Bioethanol G2</v>
      </c>
      <c r="D104" s="67" t="str">
        <f t="shared" si="36"/>
        <v>GSB2</v>
      </c>
      <c r="F104" s="387" t="str">
        <f t="shared" si="35"/>
        <v>MKr19</v>
      </c>
      <c r="G104" s="330">
        <f>G$81</f>
        <v>88.16</v>
      </c>
      <c r="H104" s="330">
        <f t="shared" si="47"/>
        <v>116.755</v>
      </c>
      <c r="I104" s="330">
        <f t="shared" si="47"/>
        <v>129.86499999999998</v>
      </c>
      <c r="J104" s="330">
        <f t="shared" si="47"/>
        <v>115.89999999999999</v>
      </c>
      <c r="K104" s="330">
        <f t="shared" si="47"/>
        <v>109.05999999999999</v>
      </c>
      <c r="L104" s="330">
        <f t="shared" si="47"/>
        <v>74.290000000000006</v>
      </c>
      <c r="M104" s="330">
        <f t="shared" si="47"/>
        <v>71.534999999999997</v>
      </c>
      <c r="N104" s="330">
        <f t="shared" si="47"/>
        <v>75.430000000000007</v>
      </c>
      <c r="O104" s="330">
        <f t="shared" si="47"/>
        <v>97.281022004987349</v>
      </c>
      <c r="P104" s="330">
        <f t="shared" si="47"/>
        <v>92.859615434698739</v>
      </c>
      <c r="Q104" s="330">
        <f t="shared" si="47"/>
        <v>91.453673832219465</v>
      </c>
      <c r="R104" s="330">
        <f t="shared" si="47"/>
        <v>70.56879269142425</v>
      </c>
      <c r="S104" s="330">
        <f t="shared" si="47"/>
        <v>73.806866618593077</v>
      </c>
      <c r="T104" s="330">
        <f t="shared" si="47"/>
        <v>76.013796318990643</v>
      </c>
      <c r="U104" s="330">
        <f t="shared" si="47"/>
        <v>77.627095006707535</v>
      </c>
      <c r="V104" s="330">
        <f t="shared" si="47"/>
        <v>78.80174894190931</v>
      </c>
      <c r="W104" s="330">
        <f t="shared" si="47"/>
        <v>80.09893911330299</v>
      </c>
      <c r="X104" s="330">
        <f t="shared" si="47"/>
        <v>81.370170941805384</v>
      </c>
      <c r="Y104" s="330">
        <f t="shared" si="47"/>
        <v>82.539736173993532</v>
      </c>
      <c r="Z104" s="330">
        <f t="shared" si="47"/>
        <v>83.767850466579958</v>
      </c>
      <c r="AA104" s="330">
        <f t="shared" si="47"/>
        <v>84.929880872470534</v>
      </c>
      <c r="AB104" s="330">
        <f t="shared" si="47"/>
        <v>84.639044298377826</v>
      </c>
      <c r="AC104" s="330">
        <f t="shared" si="47"/>
        <v>84.347512149203396</v>
      </c>
      <c r="AD104" s="330">
        <f t="shared" si="47"/>
        <v>84.057183686862714</v>
      </c>
      <c r="AE104" s="330">
        <f t="shared" si="47"/>
        <v>83.766126007099942</v>
      </c>
      <c r="AF104" s="330">
        <f t="shared" si="47"/>
        <v>83.475160188978734</v>
      </c>
      <c r="AG104" s="330">
        <f t="shared" si="47"/>
        <v>83.183314786114749</v>
      </c>
      <c r="AH104" s="330">
        <f t="shared" si="47"/>
        <v>82.892497833412349</v>
      </c>
      <c r="AI104" s="330">
        <f t="shared" si="47"/>
        <v>82.600986928309936</v>
      </c>
      <c r="AJ104" s="330">
        <f t="shared" si="47"/>
        <v>82.310358418959339</v>
      </c>
      <c r="AK104" s="330">
        <f t="shared" si="47"/>
        <v>82.019443126641477</v>
      </c>
      <c r="AL104" s="330">
        <f t="shared" si="47"/>
        <v>81.728528313431966</v>
      </c>
      <c r="AM104" s="330">
        <f t="shared" si="47"/>
        <v>81.44061580343886</v>
      </c>
      <c r="AN104" s="330">
        <f t="shared" si="47"/>
        <v>81.152708748777343</v>
      </c>
      <c r="AO104" s="330">
        <f t="shared" si="47"/>
        <v>80.864807156422501</v>
      </c>
      <c r="AP104" s="330">
        <f t="shared" si="47"/>
        <v>80.576911033358186</v>
      </c>
      <c r="AQ104" s="330">
        <f t="shared" si="47"/>
        <v>80.289020386577249</v>
      </c>
      <c r="AR104" s="330">
        <f t="shared" si="47"/>
        <v>80.001135223081477</v>
      </c>
      <c r="AS104" s="330">
        <f t="shared" si="47"/>
        <v>79.713255549881637</v>
      </c>
      <c r="AT104" s="330">
        <f t="shared" si="47"/>
        <v>79.425381373997368</v>
      </c>
      <c r="AU104" s="330">
        <f t="shared" si="47"/>
        <v>79.137512702457386</v>
      </c>
      <c r="AV104" s="331">
        <v>5</v>
      </c>
    </row>
    <row r="105" spans="2:48" ht="14.4">
      <c r="B105" s="8" t="str">
        <f>Processes!D104</f>
        <v>EXPGSE</v>
      </c>
      <c r="C105" s="8" t="str">
        <f>Processes!E104</f>
        <v>Export technology - Electro Gasoline</v>
      </c>
      <c r="D105" s="67" t="str">
        <f t="shared" si="36"/>
        <v>GSE</v>
      </c>
      <c r="F105" s="387" t="str">
        <f t="shared" si="35"/>
        <v>MKr19</v>
      </c>
      <c r="G105" s="330">
        <f>G$81</f>
        <v>88.16</v>
      </c>
      <c r="H105" s="330">
        <f t="shared" si="47"/>
        <v>116.755</v>
      </c>
      <c r="I105" s="330">
        <f t="shared" si="47"/>
        <v>129.86499999999998</v>
      </c>
      <c r="J105" s="330">
        <f t="shared" si="47"/>
        <v>115.89999999999999</v>
      </c>
      <c r="K105" s="330">
        <f t="shared" si="47"/>
        <v>109.05999999999999</v>
      </c>
      <c r="L105" s="330">
        <f t="shared" si="47"/>
        <v>74.290000000000006</v>
      </c>
      <c r="M105" s="330">
        <f t="shared" si="47"/>
        <v>71.534999999999997</v>
      </c>
      <c r="N105" s="330">
        <f t="shared" si="47"/>
        <v>75.430000000000007</v>
      </c>
      <c r="O105" s="330">
        <f t="shared" si="47"/>
        <v>97.281022004987349</v>
      </c>
      <c r="P105" s="330">
        <f t="shared" si="47"/>
        <v>92.859615434698739</v>
      </c>
      <c r="Q105" s="330">
        <f t="shared" si="47"/>
        <v>91.453673832219465</v>
      </c>
      <c r="R105" s="330">
        <f t="shared" si="47"/>
        <v>70.56879269142425</v>
      </c>
      <c r="S105" s="330">
        <f t="shared" si="47"/>
        <v>73.806866618593077</v>
      </c>
      <c r="T105" s="330">
        <f t="shared" si="47"/>
        <v>76.013796318990643</v>
      </c>
      <c r="U105" s="330">
        <f t="shared" si="47"/>
        <v>77.627095006707535</v>
      </c>
      <c r="V105" s="330">
        <f t="shared" si="47"/>
        <v>78.80174894190931</v>
      </c>
      <c r="W105" s="330">
        <f t="shared" si="47"/>
        <v>80.09893911330299</v>
      </c>
      <c r="X105" s="330">
        <f t="shared" si="47"/>
        <v>81.370170941805384</v>
      </c>
      <c r="Y105" s="330">
        <f t="shared" si="47"/>
        <v>82.539736173993532</v>
      </c>
      <c r="Z105" s="330">
        <f t="shared" si="47"/>
        <v>83.767850466579958</v>
      </c>
      <c r="AA105" s="330">
        <f t="shared" si="47"/>
        <v>84.929880872470534</v>
      </c>
      <c r="AB105" s="330">
        <f t="shared" si="47"/>
        <v>84.639044298377826</v>
      </c>
      <c r="AC105" s="330">
        <f t="shared" si="47"/>
        <v>84.347512149203396</v>
      </c>
      <c r="AD105" s="330">
        <f t="shared" si="47"/>
        <v>84.057183686862714</v>
      </c>
      <c r="AE105" s="330">
        <f t="shared" si="47"/>
        <v>83.766126007099942</v>
      </c>
      <c r="AF105" s="330">
        <f t="shared" si="47"/>
        <v>83.475160188978734</v>
      </c>
      <c r="AG105" s="330">
        <f t="shared" si="47"/>
        <v>83.183314786114749</v>
      </c>
      <c r="AH105" s="330">
        <f t="shared" si="47"/>
        <v>82.892497833412349</v>
      </c>
      <c r="AI105" s="330">
        <f t="shared" si="47"/>
        <v>82.600986928309936</v>
      </c>
      <c r="AJ105" s="330">
        <f t="shared" si="47"/>
        <v>82.310358418959339</v>
      </c>
      <c r="AK105" s="330">
        <f t="shared" si="47"/>
        <v>82.019443126641477</v>
      </c>
      <c r="AL105" s="330">
        <f t="shared" si="47"/>
        <v>81.728528313431966</v>
      </c>
      <c r="AM105" s="330">
        <f t="shared" si="47"/>
        <v>81.44061580343886</v>
      </c>
      <c r="AN105" s="330">
        <f t="shared" si="47"/>
        <v>81.152708748777343</v>
      </c>
      <c r="AO105" s="330">
        <f t="shared" si="47"/>
        <v>80.864807156422501</v>
      </c>
      <c r="AP105" s="330">
        <f t="shared" si="47"/>
        <v>80.576911033358186</v>
      </c>
      <c r="AQ105" s="330">
        <f t="shared" si="47"/>
        <v>80.289020386577249</v>
      </c>
      <c r="AR105" s="330">
        <f t="shared" si="47"/>
        <v>80.001135223081477</v>
      </c>
      <c r="AS105" s="330">
        <f t="shared" si="47"/>
        <v>79.713255549881637</v>
      </c>
      <c r="AT105" s="330">
        <f t="shared" si="47"/>
        <v>79.425381373997368</v>
      </c>
      <c r="AU105" s="330">
        <f t="shared" si="47"/>
        <v>79.137512702457386</v>
      </c>
      <c r="AV105" s="331">
        <v>5</v>
      </c>
    </row>
    <row r="106" spans="2:48" ht="14.4">
      <c r="B106" s="8" t="str">
        <f>Processes!D105</f>
        <v>EXPMOB1</v>
      </c>
      <c r="C106" s="8" t="str">
        <f>Processes!E105</f>
        <v>Export technology - Bio Methanol G1</v>
      </c>
      <c r="D106" s="67" t="str">
        <f t="shared" si="36"/>
        <v>MOB1</v>
      </c>
      <c r="F106" s="387" t="str">
        <f t="shared" si="35"/>
        <v>MKr14</v>
      </c>
      <c r="G106" s="330">
        <f>G103</f>
        <v>88.16</v>
      </c>
      <c r="H106" s="330">
        <f t="shared" ref="H106:AU106" si="48">H103</f>
        <v>116.755</v>
      </c>
      <c r="I106" s="330">
        <f t="shared" si="48"/>
        <v>129.86499999999998</v>
      </c>
      <c r="J106" s="330">
        <f t="shared" si="48"/>
        <v>115.89999999999999</v>
      </c>
      <c r="K106" s="330">
        <f t="shared" si="48"/>
        <v>109.05999999999999</v>
      </c>
      <c r="L106" s="330">
        <f t="shared" si="48"/>
        <v>74.290000000000006</v>
      </c>
      <c r="M106" s="330">
        <f t="shared" si="48"/>
        <v>71.534999999999997</v>
      </c>
      <c r="N106" s="330">
        <f t="shared" si="48"/>
        <v>75.430000000000007</v>
      </c>
      <c r="O106" s="330">
        <f t="shared" si="48"/>
        <v>97.281022004987349</v>
      </c>
      <c r="P106" s="330">
        <f t="shared" si="48"/>
        <v>92.859615434698739</v>
      </c>
      <c r="Q106" s="330">
        <f t="shared" si="48"/>
        <v>91.453673832219465</v>
      </c>
      <c r="R106" s="330">
        <f t="shared" si="48"/>
        <v>70.56879269142425</v>
      </c>
      <c r="S106" s="330">
        <f t="shared" si="48"/>
        <v>73.806866618593077</v>
      </c>
      <c r="T106" s="330">
        <f t="shared" si="48"/>
        <v>76.013796318990643</v>
      </c>
      <c r="U106" s="330">
        <f t="shared" si="48"/>
        <v>77.627095006707535</v>
      </c>
      <c r="V106" s="330">
        <f t="shared" si="48"/>
        <v>78.80174894190931</v>
      </c>
      <c r="W106" s="330">
        <f t="shared" si="48"/>
        <v>80.09893911330299</v>
      </c>
      <c r="X106" s="330">
        <f t="shared" si="48"/>
        <v>81.370170941805384</v>
      </c>
      <c r="Y106" s="330">
        <f t="shared" si="48"/>
        <v>82.539736173993532</v>
      </c>
      <c r="Z106" s="330">
        <f t="shared" si="48"/>
        <v>83.767850466579958</v>
      </c>
      <c r="AA106" s="330">
        <f t="shared" si="48"/>
        <v>84.929880872470534</v>
      </c>
      <c r="AB106" s="330">
        <f t="shared" si="48"/>
        <v>84.639044298377826</v>
      </c>
      <c r="AC106" s="330">
        <f t="shared" si="48"/>
        <v>84.347512149203396</v>
      </c>
      <c r="AD106" s="330">
        <f t="shared" si="48"/>
        <v>84.057183686862714</v>
      </c>
      <c r="AE106" s="330">
        <f t="shared" si="48"/>
        <v>83.766126007099942</v>
      </c>
      <c r="AF106" s="330">
        <f t="shared" si="48"/>
        <v>83.475160188978734</v>
      </c>
      <c r="AG106" s="330">
        <f t="shared" si="48"/>
        <v>83.183314786114749</v>
      </c>
      <c r="AH106" s="330">
        <f t="shared" si="48"/>
        <v>82.892497833412349</v>
      </c>
      <c r="AI106" s="330">
        <f t="shared" si="48"/>
        <v>82.600986928309936</v>
      </c>
      <c r="AJ106" s="330">
        <f t="shared" si="48"/>
        <v>82.310358418959339</v>
      </c>
      <c r="AK106" s="330">
        <f t="shared" si="48"/>
        <v>82.019443126641477</v>
      </c>
      <c r="AL106" s="330">
        <f t="shared" si="48"/>
        <v>81.728528313431966</v>
      </c>
      <c r="AM106" s="330">
        <f t="shared" si="48"/>
        <v>81.44061580343886</v>
      </c>
      <c r="AN106" s="330">
        <f t="shared" si="48"/>
        <v>81.152708748777343</v>
      </c>
      <c r="AO106" s="330">
        <f t="shared" si="48"/>
        <v>80.864807156422501</v>
      </c>
      <c r="AP106" s="330">
        <f t="shared" si="48"/>
        <v>80.576911033358186</v>
      </c>
      <c r="AQ106" s="330">
        <f t="shared" si="48"/>
        <v>80.289020386577249</v>
      </c>
      <c r="AR106" s="330">
        <f t="shared" si="48"/>
        <v>80.001135223081477</v>
      </c>
      <c r="AS106" s="330">
        <f t="shared" si="48"/>
        <v>79.713255549881637</v>
      </c>
      <c r="AT106" s="330">
        <f t="shared" si="48"/>
        <v>79.425381373997368</v>
      </c>
      <c r="AU106" s="330">
        <f t="shared" si="48"/>
        <v>79.137512702457386</v>
      </c>
      <c r="AV106" s="331">
        <v>5</v>
      </c>
    </row>
    <row r="107" spans="2:48" ht="14.4">
      <c r="B107" s="8" t="str">
        <f>Processes!D106</f>
        <v>EXPMOB2</v>
      </c>
      <c r="C107" s="8" t="str">
        <f>Processes!E106</f>
        <v>Export technology - Bio Methanol G2</v>
      </c>
      <c r="D107" s="67" t="str">
        <f t="shared" si="36"/>
        <v>MOB2</v>
      </c>
      <c r="F107" s="387" t="str">
        <f t="shared" si="35"/>
        <v>MKr14</v>
      </c>
      <c r="G107" s="330">
        <f>G104</f>
        <v>88.16</v>
      </c>
      <c r="H107" s="330">
        <f t="shared" ref="H107:AU107" si="49">H104</f>
        <v>116.755</v>
      </c>
      <c r="I107" s="330">
        <f t="shared" si="49"/>
        <v>129.86499999999998</v>
      </c>
      <c r="J107" s="330">
        <f t="shared" si="49"/>
        <v>115.89999999999999</v>
      </c>
      <c r="K107" s="330">
        <f t="shared" si="49"/>
        <v>109.05999999999999</v>
      </c>
      <c r="L107" s="330">
        <f t="shared" si="49"/>
        <v>74.290000000000006</v>
      </c>
      <c r="M107" s="330">
        <f t="shared" si="49"/>
        <v>71.534999999999997</v>
      </c>
      <c r="N107" s="330">
        <f t="shared" si="49"/>
        <v>75.430000000000007</v>
      </c>
      <c r="O107" s="330">
        <f t="shared" si="49"/>
        <v>97.281022004987349</v>
      </c>
      <c r="P107" s="330">
        <f t="shared" si="49"/>
        <v>92.859615434698739</v>
      </c>
      <c r="Q107" s="330">
        <f t="shared" si="49"/>
        <v>91.453673832219465</v>
      </c>
      <c r="R107" s="330">
        <f t="shared" si="49"/>
        <v>70.56879269142425</v>
      </c>
      <c r="S107" s="330">
        <f t="shared" si="49"/>
        <v>73.806866618593077</v>
      </c>
      <c r="T107" s="330">
        <f t="shared" si="49"/>
        <v>76.013796318990643</v>
      </c>
      <c r="U107" s="330">
        <f t="shared" si="49"/>
        <v>77.627095006707535</v>
      </c>
      <c r="V107" s="330">
        <f t="shared" si="49"/>
        <v>78.80174894190931</v>
      </c>
      <c r="W107" s="330">
        <f t="shared" si="49"/>
        <v>80.09893911330299</v>
      </c>
      <c r="X107" s="330">
        <f t="shared" si="49"/>
        <v>81.370170941805384</v>
      </c>
      <c r="Y107" s="330">
        <f t="shared" si="49"/>
        <v>82.539736173993532</v>
      </c>
      <c r="Z107" s="330">
        <f t="shared" si="49"/>
        <v>83.767850466579958</v>
      </c>
      <c r="AA107" s="330">
        <f t="shared" si="49"/>
        <v>84.929880872470534</v>
      </c>
      <c r="AB107" s="330">
        <f t="shared" si="49"/>
        <v>84.639044298377826</v>
      </c>
      <c r="AC107" s="330">
        <f t="shared" si="49"/>
        <v>84.347512149203396</v>
      </c>
      <c r="AD107" s="330">
        <f t="shared" si="49"/>
        <v>84.057183686862714</v>
      </c>
      <c r="AE107" s="330">
        <f t="shared" si="49"/>
        <v>83.766126007099942</v>
      </c>
      <c r="AF107" s="330">
        <f t="shared" si="49"/>
        <v>83.475160188978734</v>
      </c>
      <c r="AG107" s="330">
        <f t="shared" si="49"/>
        <v>83.183314786114749</v>
      </c>
      <c r="AH107" s="330">
        <f t="shared" si="49"/>
        <v>82.892497833412349</v>
      </c>
      <c r="AI107" s="330">
        <f t="shared" si="49"/>
        <v>82.600986928309936</v>
      </c>
      <c r="AJ107" s="330">
        <f t="shared" si="49"/>
        <v>82.310358418959339</v>
      </c>
      <c r="AK107" s="330">
        <f t="shared" si="49"/>
        <v>82.019443126641477</v>
      </c>
      <c r="AL107" s="330">
        <f t="shared" si="49"/>
        <v>81.728528313431966</v>
      </c>
      <c r="AM107" s="330">
        <f t="shared" si="49"/>
        <v>81.44061580343886</v>
      </c>
      <c r="AN107" s="330">
        <f t="shared" si="49"/>
        <v>81.152708748777343</v>
      </c>
      <c r="AO107" s="330">
        <f t="shared" si="49"/>
        <v>80.864807156422501</v>
      </c>
      <c r="AP107" s="330">
        <f t="shared" si="49"/>
        <v>80.576911033358186</v>
      </c>
      <c r="AQ107" s="330">
        <f t="shared" si="49"/>
        <v>80.289020386577249</v>
      </c>
      <c r="AR107" s="330">
        <f t="shared" si="49"/>
        <v>80.001135223081477</v>
      </c>
      <c r="AS107" s="330">
        <f t="shared" si="49"/>
        <v>79.713255549881637</v>
      </c>
      <c r="AT107" s="330">
        <f t="shared" si="49"/>
        <v>79.425381373997368</v>
      </c>
      <c r="AU107" s="330">
        <f t="shared" si="49"/>
        <v>79.137512702457386</v>
      </c>
      <c r="AV107" s="331">
        <v>5</v>
      </c>
    </row>
    <row r="108" spans="2:48" ht="14.4">
      <c r="B108" s="8" t="str">
        <f>Processes!D107</f>
        <v>EXPMOE</v>
      </c>
      <c r="C108" s="8" t="str">
        <f>Processes!E107</f>
        <v>Export technology - Electro Methanol</v>
      </c>
      <c r="D108" s="67" t="str">
        <f t="shared" si="36"/>
        <v>MOE</v>
      </c>
      <c r="F108" s="387" t="str">
        <f t="shared" si="35"/>
        <v>MKr14</v>
      </c>
      <c r="G108" s="330">
        <f>G105</f>
        <v>88.16</v>
      </c>
      <c r="H108" s="330">
        <f t="shared" ref="H108:AU108" si="50">H105</f>
        <v>116.755</v>
      </c>
      <c r="I108" s="330">
        <f t="shared" si="50"/>
        <v>129.86499999999998</v>
      </c>
      <c r="J108" s="330">
        <f t="shared" si="50"/>
        <v>115.89999999999999</v>
      </c>
      <c r="K108" s="330">
        <f t="shared" si="50"/>
        <v>109.05999999999999</v>
      </c>
      <c r="L108" s="330">
        <f t="shared" si="50"/>
        <v>74.290000000000006</v>
      </c>
      <c r="M108" s="330">
        <f t="shared" si="50"/>
        <v>71.534999999999997</v>
      </c>
      <c r="N108" s="330">
        <f t="shared" si="50"/>
        <v>75.430000000000007</v>
      </c>
      <c r="O108" s="330">
        <f t="shared" si="50"/>
        <v>97.281022004987349</v>
      </c>
      <c r="P108" s="330">
        <f t="shared" si="50"/>
        <v>92.859615434698739</v>
      </c>
      <c r="Q108" s="330">
        <f t="shared" si="50"/>
        <v>91.453673832219465</v>
      </c>
      <c r="R108" s="330">
        <f t="shared" si="50"/>
        <v>70.56879269142425</v>
      </c>
      <c r="S108" s="330">
        <f t="shared" si="50"/>
        <v>73.806866618593077</v>
      </c>
      <c r="T108" s="330">
        <f t="shared" si="50"/>
        <v>76.013796318990643</v>
      </c>
      <c r="U108" s="330">
        <f t="shared" si="50"/>
        <v>77.627095006707535</v>
      </c>
      <c r="V108" s="330">
        <f t="shared" si="50"/>
        <v>78.80174894190931</v>
      </c>
      <c r="W108" s="330">
        <f t="shared" si="50"/>
        <v>80.09893911330299</v>
      </c>
      <c r="X108" s="330">
        <f t="shared" si="50"/>
        <v>81.370170941805384</v>
      </c>
      <c r="Y108" s="330">
        <f t="shared" si="50"/>
        <v>82.539736173993532</v>
      </c>
      <c r="Z108" s="330">
        <f t="shared" si="50"/>
        <v>83.767850466579958</v>
      </c>
      <c r="AA108" s="330">
        <f t="shared" si="50"/>
        <v>84.929880872470534</v>
      </c>
      <c r="AB108" s="330">
        <f t="shared" si="50"/>
        <v>84.639044298377826</v>
      </c>
      <c r="AC108" s="330">
        <f t="shared" si="50"/>
        <v>84.347512149203396</v>
      </c>
      <c r="AD108" s="330">
        <f t="shared" si="50"/>
        <v>84.057183686862714</v>
      </c>
      <c r="AE108" s="330">
        <f t="shared" si="50"/>
        <v>83.766126007099942</v>
      </c>
      <c r="AF108" s="330">
        <f t="shared" si="50"/>
        <v>83.475160188978734</v>
      </c>
      <c r="AG108" s="330">
        <f t="shared" si="50"/>
        <v>83.183314786114749</v>
      </c>
      <c r="AH108" s="330">
        <f t="shared" si="50"/>
        <v>82.892497833412349</v>
      </c>
      <c r="AI108" s="330">
        <f t="shared" si="50"/>
        <v>82.600986928309936</v>
      </c>
      <c r="AJ108" s="330">
        <f t="shared" si="50"/>
        <v>82.310358418959339</v>
      </c>
      <c r="AK108" s="330">
        <f t="shared" si="50"/>
        <v>82.019443126641477</v>
      </c>
      <c r="AL108" s="330">
        <f t="shared" si="50"/>
        <v>81.728528313431966</v>
      </c>
      <c r="AM108" s="330">
        <f t="shared" si="50"/>
        <v>81.44061580343886</v>
      </c>
      <c r="AN108" s="330">
        <f t="shared" si="50"/>
        <v>81.152708748777343</v>
      </c>
      <c r="AO108" s="330">
        <f t="shared" si="50"/>
        <v>80.864807156422501</v>
      </c>
      <c r="AP108" s="330">
        <f t="shared" si="50"/>
        <v>80.576911033358186</v>
      </c>
      <c r="AQ108" s="330">
        <f t="shared" si="50"/>
        <v>80.289020386577249</v>
      </c>
      <c r="AR108" s="330">
        <f t="shared" si="50"/>
        <v>80.001135223081477</v>
      </c>
      <c r="AS108" s="330">
        <f t="shared" si="50"/>
        <v>79.713255549881637</v>
      </c>
      <c r="AT108" s="330">
        <f t="shared" si="50"/>
        <v>79.425381373997368</v>
      </c>
      <c r="AU108" s="330">
        <f t="shared" si="50"/>
        <v>79.137512702457386</v>
      </c>
      <c r="AV108" s="331">
        <v>5</v>
      </c>
    </row>
    <row r="109" spans="2:48" ht="14.4">
      <c r="B109" s="8" t="str">
        <f>Processes!D108</f>
        <v>EXPLNB</v>
      </c>
      <c r="C109" s="8" t="str">
        <f>Processes!E108</f>
        <v>Export technology - Bio Naphtha (Petroleoum)</v>
      </c>
      <c r="D109" s="67" t="str">
        <f>IF(LEN(B109)=6,RIGHT(B109,3),RIGHT(B109,4))</f>
        <v>LNB</v>
      </c>
      <c r="F109" s="387" t="str">
        <f t="shared" si="35"/>
        <v>MKr19</v>
      </c>
      <c r="G109" s="330">
        <f>G$79</f>
        <v>84.36</v>
      </c>
      <c r="H109" s="330">
        <f t="shared" ref="H109:AU109" si="51">H$79</f>
        <v>87.59</v>
      </c>
      <c r="I109" s="330">
        <f t="shared" si="51"/>
        <v>104.69</v>
      </c>
      <c r="J109" s="330">
        <f t="shared" si="51"/>
        <v>102.98</v>
      </c>
      <c r="K109" s="330">
        <f t="shared" si="51"/>
        <v>86.83</v>
      </c>
      <c r="L109" s="330">
        <f t="shared" si="51"/>
        <v>83.6</v>
      </c>
      <c r="M109" s="330">
        <f t="shared" si="51"/>
        <v>69.919999999999987</v>
      </c>
      <c r="N109" s="330">
        <f t="shared" si="51"/>
        <v>70.11</v>
      </c>
      <c r="O109" s="330">
        <f t="shared" si="51"/>
        <v>101.50214842551547</v>
      </c>
      <c r="P109" s="330">
        <f t="shared" si="51"/>
        <v>65.095921357178881</v>
      </c>
      <c r="Q109" s="330">
        <f t="shared" si="51"/>
        <v>63.455914974316286</v>
      </c>
      <c r="R109" s="330">
        <f t="shared" si="51"/>
        <v>59.898051048332576</v>
      </c>
      <c r="S109" s="330">
        <f t="shared" si="51"/>
        <v>62.248842380929602</v>
      </c>
      <c r="T109" s="330">
        <f t="shared" si="51"/>
        <v>63.398607794463381</v>
      </c>
      <c r="U109" s="330">
        <f t="shared" si="51"/>
        <v>63.777535448687935</v>
      </c>
      <c r="V109" s="330">
        <f t="shared" si="51"/>
        <v>63.661558579535964</v>
      </c>
      <c r="W109" s="330">
        <f t="shared" si="51"/>
        <v>63.588514488177715</v>
      </c>
      <c r="X109" s="330">
        <f t="shared" si="51"/>
        <v>63.541599463840171</v>
      </c>
      <c r="Y109" s="330">
        <f t="shared" si="51"/>
        <v>63.501419221861575</v>
      </c>
      <c r="Z109" s="330">
        <f t="shared" si="51"/>
        <v>63.487018471242372</v>
      </c>
      <c r="AA109" s="330">
        <f t="shared" si="51"/>
        <v>63.483089959778773</v>
      </c>
      <c r="AB109" s="330">
        <f t="shared" si="51"/>
        <v>63.570652842481927</v>
      </c>
      <c r="AC109" s="330">
        <f t="shared" si="51"/>
        <v>63.658215725185073</v>
      </c>
      <c r="AD109" s="330">
        <f t="shared" si="51"/>
        <v>63.745778607888212</v>
      </c>
      <c r="AE109" s="330">
        <f t="shared" si="51"/>
        <v>63.833341490591351</v>
      </c>
      <c r="AF109" s="330">
        <f t="shared" si="51"/>
        <v>63.920904373294512</v>
      </c>
      <c r="AG109" s="330">
        <f t="shared" si="51"/>
        <v>64.008467255997658</v>
      </c>
      <c r="AH109" s="330">
        <f t="shared" si="51"/>
        <v>64.096030138700783</v>
      </c>
      <c r="AI109" s="330">
        <f t="shared" si="51"/>
        <v>64.183593021403937</v>
      </c>
      <c r="AJ109" s="330">
        <f t="shared" si="51"/>
        <v>64.271155904107061</v>
      </c>
      <c r="AK109" s="330">
        <f t="shared" si="51"/>
        <v>64.358718786810215</v>
      </c>
      <c r="AL109" s="330">
        <f t="shared" si="51"/>
        <v>64.446281669513368</v>
      </c>
      <c r="AM109" s="330">
        <f t="shared" si="51"/>
        <v>64.533844552216507</v>
      </c>
      <c r="AN109" s="330">
        <f t="shared" si="51"/>
        <v>64.621407434919632</v>
      </c>
      <c r="AO109" s="330">
        <f t="shared" si="51"/>
        <v>64.708970317622786</v>
      </c>
      <c r="AP109" s="330">
        <f t="shared" si="51"/>
        <v>64.796533200325939</v>
      </c>
      <c r="AQ109" s="330">
        <f t="shared" si="51"/>
        <v>64.884096083029092</v>
      </c>
      <c r="AR109" s="330">
        <f t="shared" si="51"/>
        <v>64.971658965732217</v>
      </c>
      <c r="AS109" s="330">
        <f t="shared" si="51"/>
        <v>65.059221848435371</v>
      </c>
      <c r="AT109" s="330">
        <f t="shared" si="51"/>
        <v>65.146784731138496</v>
      </c>
      <c r="AU109" s="330">
        <f t="shared" si="51"/>
        <v>65.234347613841663</v>
      </c>
      <c r="AV109" s="331">
        <v>5</v>
      </c>
    </row>
    <row r="110" spans="2:48" ht="14.4">
      <c r="B110" s="8" t="str">
        <f>Processes!D109</f>
        <v>EXPGLY</v>
      </c>
      <c r="C110" s="8" t="str">
        <f>Processes!E109</f>
        <v>Export technology - Glycerol</v>
      </c>
      <c r="D110" s="67" t="str">
        <f t="shared" si="36"/>
        <v>GLY</v>
      </c>
      <c r="F110" s="387" t="str">
        <f t="shared" si="35"/>
        <v>MKr14</v>
      </c>
      <c r="G110" s="330">
        <f>IFERROR(INDEX($G$121:$AU$176,MATCH($D110,$E$121:$E$176,0),MATCH(G$6,$G$120:$AU$120,0)),0)*$E$192</f>
        <v>9.5</v>
      </c>
      <c r="H110" s="330">
        <f t="shared" ref="G110:P112" si="52">IFERROR(INDEX($G$121:$AU$176,MATCH($D110,$E$121:$E$176,0),MATCH(H$6,$G$120:$AU$120,0)),0)*$E$192</f>
        <v>9.5</v>
      </c>
      <c r="I110" s="330">
        <f t="shared" si="52"/>
        <v>9.5</v>
      </c>
      <c r="J110" s="330">
        <f t="shared" si="52"/>
        <v>9.5</v>
      </c>
      <c r="K110" s="330">
        <f t="shared" si="52"/>
        <v>9.5</v>
      </c>
      <c r="L110" s="330">
        <f t="shared" si="52"/>
        <v>9.5</v>
      </c>
      <c r="M110" s="330">
        <f t="shared" si="52"/>
        <v>9.5</v>
      </c>
      <c r="N110" s="330">
        <f t="shared" si="52"/>
        <v>9.5</v>
      </c>
      <c r="O110" s="330">
        <f t="shared" si="52"/>
        <v>9.5</v>
      </c>
      <c r="P110" s="330">
        <f t="shared" si="52"/>
        <v>9.5</v>
      </c>
      <c r="Q110" s="330">
        <f t="shared" ref="Q110:Z112" si="53">IFERROR(INDEX($G$121:$AU$176,MATCH($D110,$E$121:$E$176,0),MATCH(Q$6,$G$120:$AU$120,0)),0)*$E$192</f>
        <v>9.5</v>
      </c>
      <c r="R110" s="330">
        <f t="shared" si="53"/>
        <v>9.5</v>
      </c>
      <c r="S110" s="330">
        <f t="shared" si="53"/>
        <v>9.5</v>
      </c>
      <c r="T110" s="330">
        <f t="shared" si="53"/>
        <v>9.5</v>
      </c>
      <c r="U110" s="330">
        <f t="shared" si="53"/>
        <v>9.5</v>
      </c>
      <c r="V110" s="330">
        <f t="shared" si="53"/>
        <v>9.5</v>
      </c>
      <c r="W110" s="330">
        <f t="shared" si="53"/>
        <v>9.5</v>
      </c>
      <c r="X110" s="330">
        <f t="shared" si="53"/>
        <v>9.5</v>
      </c>
      <c r="Y110" s="330">
        <f t="shared" si="53"/>
        <v>9.5</v>
      </c>
      <c r="Z110" s="330">
        <f t="shared" si="53"/>
        <v>9.5</v>
      </c>
      <c r="AA110" s="330">
        <f t="shared" ref="AA110:AJ112" si="54">IFERROR(INDEX($G$121:$AU$176,MATCH($D110,$E$121:$E$176,0),MATCH(AA$6,$G$120:$AU$120,0)),0)*$E$192</f>
        <v>9.5</v>
      </c>
      <c r="AB110" s="330">
        <f t="shared" si="54"/>
        <v>9.5</v>
      </c>
      <c r="AC110" s="330">
        <f t="shared" si="54"/>
        <v>9.5</v>
      </c>
      <c r="AD110" s="330">
        <f t="shared" si="54"/>
        <v>9.5</v>
      </c>
      <c r="AE110" s="330">
        <f t="shared" si="54"/>
        <v>9.5</v>
      </c>
      <c r="AF110" s="330">
        <f t="shared" si="54"/>
        <v>9.5</v>
      </c>
      <c r="AG110" s="330">
        <f t="shared" si="54"/>
        <v>9.5</v>
      </c>
      <c r="AH110" s="330">
        <f t="shared" si="54"/>
        <v>9.5</v>
      </c>
      <c r="AI110" s="330">
        <f t="shared" si="54"/>
        <v>9.5</v>
      </c>
      <c r="AJ110" s="330">
        <f t="shared" si="54"/>
        <v>9.5</v>
      </c>
      <c r="AK110" s="330">
        <f t="shared" ref="AK110:AU112" si="55">IFERROR(INDEX($G$121:$AU$176,MATCH($D110,$E$121:$E$176,0),MATCH(AK$6,$G$120:$AU$120,0)),0)*$E$192</f>
        <v>9.5</v>
      </c>
      <c r="AL110" s="330">
        <f t="shared" si="55"/>
        <v>9.5</v>
      </c>
      <c r="AM110" s="330">
        <f t="shared" si="55"/>
        <v>9.5</v>
      </c>
      <c r="AN110" s="330">
        <f t="shared" si="55"/>
        <v>9.5</v>
      </c>
      <c r="AO110" s="330">
        <f t="shared" si="55"/>
        <v>9.5</v>
      </c>
      <c r="AP110" s="330">
        <f t="shared" si="55"/>
        <v>9.5</v>
      </c>
      <c r="AQ110" s="330">
        <f t="shared" si="55"/>
        <v>9.5</v>
      </c>
      <c r="AR110" s="330">
        <f t="shared" si="55"/>
        <v>9.5</v>
      </c>
      <c r="AS110" s="330">
        <f t="shared" si="55"/>
        <v>9.5</v>
      </c>
      <c r="AT110" s="330">
        <f t="shared" si="55"/>
        <v>9.5</v>
      </c>
      <c r="AU110" s="330">
        <f t="shared" si="55"/>
        <v>9.5</v>
      </c>
      <c r="AV110" s="331">
        <v>5</v>
      </c>
    </row>
    <row r="111" spans="2:48" ht="14.4">
      <c r="B111" s="8" t="str">
        <f>Processes!D110</f>
        <v>EXPRPC</v>
      </c>
      <c r="C111" s="8" t="str">
        <f>Processes!E110</f>
        <v>Export technology - Rape Cake</v>
      </c>
      <c r="D111" s="67" t="str">
        <f t="shared" si="36"/>
        <v>RPC</v>
      </c>
      <c r="F111" s="387" t="str">
        <f t="shared" si="35"/>
        <v>MKr14</v>
      </c>
      <c r="G111" s="330">
        <f t="shared" si="52"/>
        <v>9.5</v>
      </c>
      <c r="H111" s="330">
        <f t="shared" si="52"/>
        <v>9.5</v>
      </c>
      <c r="I111" s="330">
        <f t="shared" si="52"/>
        <v>9.5</v>
      </c>
      <c r="J111" s="330">
        <f t="shared" si="52"/>
        <v>9.5</v>
      </c>
      <c r="K111" s="330">
        <f t="shared" si="52"/>
        <v>9.5</v>
      </c>
      <c r="L111" s="330">
        <f t="shared" si="52"/>
        <v>9.5</v>
      </c>
      <c r="M111" s="330">
        <f t="shared" si="52"/>
        <v>9.5</v>
      </c>
      <c r="N111" s="330">
        <f t="shared" si="52"/>
        <v>9.5</v>
      </c>
      <c r="O111" s="330">
        <f t="shared" si="52"/>
        <v>9.5</v>
      </c>
      <c r="P111" s="330">
        <f t="shared" si="52"/>
        <v>9.5</v>
      </c>
      <c r="Q111" s="330">
        <f t="shared" si="53"/>
        <v>9.5</v>
      </c>
      <c r="R111" s="330">
        <f t="shared" si="53"/>
        <v>9.5</v>
      </c>
      <c r="S111" s="330">
        <f t="shared" si="53"/>
        <v>9.5</v>
      </c>
      <c r="T111" s="330">
        <f t="shared" si="53"/>
        <v>9.5</v>
      </c>
      <c r="U111" s="330">
        <f t="shared" si="53"/>
        <v>9.5</v>
      </c>
      <c r="V111" s="330">
        <f t="shared" si="53"/>
        <v>9.5</v>
      </c>
      <c r="W111" s="330">
        <f t="shared" si="53"/>
        <v>9.5</v>
      </c>
      <c r="X111" s="330">
        <f t="shared" si="53"/>
        <v>9.5</v>
      </c>
      <c r="Y111" s="330">
        <f t="shared" si="53"/>
        <v>9.5</v>
      </c>
      <c r="Z111" s="330">
        <f t="shared" si="53"/>
        <v>9.5</v>
      </c>
      <c r="AA111" s="330">
        <f t="shared" si="54"/>
        <v>9.5</v>
      </c>
      <c r="AB111" s="330">
        <f t="shared" si="54"/>
        <v>9.5</v>
      </c>
      <c r="AC111" s="330">
        <f t="shared" si="54"/>
        <v>9.5</v>
      </c>
      <c r="AD111" s="330">
        <f t="shared" si="54"/>
        <v>9.5</v>
      </c>
      <c r="AE111" s="330">
        <f t="shared" si="54"/>
        <v>9.5</v>
      </c>
      <c r="AF111" s="330">
        <f t="shared" si="54"/>
        <v>9.5</v>
      </c>
      <c r="AG111" s="330">
        <f t="shared" si="54"/>
        <v>9.5</v>
      </c>
      <c r="AH111" s="330">
        <f t="shared" si="54"/>
        <v>9.5</v>
      </c>
      <c r="AI111" s="330">
        <f t="shared" si="54"/>
        <v>9.5</v>
      </c>
      <c r="AJ111" s="330">
        <f t="shared" si="54"/>
        <v>9.5</v>
      </c>
      <c r="AK111" s="330">
        <f t="shared" si="55"/>
        <v>9.5</v>
      </c>
      <c r="AL111" s="330">
        <f t="shared" si="55"/>
        <v>9.5</v>
      </c>
      <c r="AM111" s="330">
        <f t="shared" si="55"/>
        <v>9.5</v>
      </c>
      <c r="AN111" s="330">
        <f t="shared" si="55"/>
        <v>9.5</v>
      </c>
      <c r="AO111" s="330">
        <f t="shared" si="55"/>
        <v>9.5</v>
      </c>
      <c r="AP111" s="330">
        <f t="shared" si="55"/>
        <v>9.5</v>
      </c>
      <c r="AQ111" s="330">
        <f t="shared" si="55"/>
        <v>9.5</v>
      </c>
      <c r="AR111" s="330">
        <f t="shared" si="55"/>
        <v>9.5</v>
      </c>
      <c r="AS111" s="330">
        <f t="shared" si="55"/>
        <v>9.5</v>
      </c>
      <c r="AT111" s="330">
        <f t="shared" si="55"/>
        <v>9.5</v>
      </c>
      <c r="AU111" s="330">
        <f t="shared" si="55"/>
        <v>9.5</v>
      </c>
      <c r="AV111" s="331">
        <v>5</v>
      </c>
    </row>
    <row r="112" spans="2:48" ht="14.4">
      <c r="B112" s="8" t="str">
        <f>Processes!D111</f>
        <v>EXPSGP</v>
      </c>
      <c r="C112" s="8" t="str">
        <f>Processes!E111</f>
        <v>Export technology - Sugar Beet Pulp</v>
      </c>
      <c r="D112" s="67" t="str">
        <f t="shared" si="36"/>
        <v>SGP</v>
      </c>
      <c r="F112" s="387" t="str">
        <f t="shared" si="35"/>
        <v>MKr14</v>
      </c>
      <c r="G112" s="330">
        <f t="shared" si="52"/>
        <v>9.5</v>
      </c>
      <c r="H112" s="330">
        <f t="shared" si="52"/>
        <v>9.5</v>
      </c>
      <c r="I112" s="330">
        <f t="shared" si="52"/>
        <v>9.5</v>
      </c>
      <c r="J112" s="330">
        <f t="shared" si="52"/>
        <v>9.5</v>
      </c>
      <c r="K112" s="330">
        <f t="shared" si="52"/>
        <v>9.5</v>
      </c>
      <c r="L112" s="330">
        <f t="shared" si="52"/>
        <v>9.5</v>
      </c>
      <c r="M112" s="330">
        <f t="shared" si="52"/>
        <v>9.5</v>
      </c>
      <c r="N112" s="330">
        <f t="shared" si="52"/>
        <v>9.5</v>
      </c>
      <c r="O112" s="330">
        <f t="shared" si="52"/>
        <v>9.5</v>
      </c>
      <c r="P112" s="330">
        <f t="shared" si="52"/>
        <v>9.5</v>
      </c>
      <c r="Q112" s="330">
        <f t="shared" si="53"/>
        <v>9.5</v>
      </c>
      <c r="R112" s="330">
        <f t="shared" si="53"/>
        <v>9.5</v>
      </c>
      <c r="S112" s="330">
        <f t="shared" si="53"/>
        <v>9.5</v>
      </c>
      <c r="T112" s="330">
        <f t="shared" si="53"/>
        <v>9.5</v>
      </c>
      <c r="U112" s="330">
        <f t="shared" si="53"/>
        <v>9.5</v>
      </c>
      <c r="V112" s="330">
        <f t="shared" si="53"/>
        <v>9.5</v>
      </c>
      <c r="W112" s="330">
        <f t="shared" si="53"/>
        <v>9.5</v>
      </c>
      <c r="X112" s="330">
        <f t="shared" si="53"/>
        <v>9.5</v>
      </c>
      <c r="Y112" s="330">
        <f t="shared" si="53"/>
        <v>9.5</v>
      </c>
      <c r="Z112" s="330">
        <f t="shared" si="53"/>
        <v>9.5</v>
      </c>
      <c r="AA112" s="330">
        <f t="shared" si="54"/>
        <v>9.5</v>
      </c>
      <c r="AB112" s="330">
        <f t="shared" si="54"/>
        <v>9.5</v>
      </c>
      <c r="AC112" s="330">
        <f t="shared" si="54"/>
        <v>9.5</v>
      </c>
      <c r="AD112" s="330">
        <f t="shared" si="54"/>
        <v>9.5</v>
      </c>
      <c r="AE112" s="330">
        <f t="shared" si="54"/>
        <v>9.5</v>
      </c>
      <c r="AF112" s="330">
        <f t="shared" si="54"/>
        <v>9.5</v>
      </c>
      <c r="AG112" s="330">
        <f t="shared" si="54"/>
        <v>9.5</v>
      </c>
      <c r="AH112" s="330">
        <f t="shared" si="54"/>
        <v>9.5</v>
      </c>
      <c r="AI112" s="330">
        <f t="shared" si="54"/>
        <v>9.5</v>
      </c>
      <c r="AJ112" s="330">
        <f t="shared" si="54"/>
        <v>9.5</v>
      </c>
      <c r="AK112" s="330">
        <f t="shared" si="55"/>
        <v>9.5</v>
      </c>
      <c r="AL112" s="330">
        <f t="shared" si="55"/>
        <v>9.5</v>
      </c>
      <c r="AM112" s="330">
        <f t="shared" si="55"/>
        <v>9.5</v>
      </c>
      <c r="AN112" s="330">
        <f t="shared" si="55"/>
        <v>9.5</v>
      </c>
      <c r="AO112" s="330">
        <f t="shared" si="55"/>
        <v>9.5</v>
      </c>
      <c r="AP112" s="330">
        <f t="shared" si="55"/>
        <v>9.5</v>
      </c>
      <c r="AQ112" s="330">
        <f t="shared" si="55"/>
        <v>9.5</v>
      </c>
      <c r="AR112" s="330">
        <f t="shared" si="55"/>
        <v>9.5</v>
      </c>
      <c r="AS112" s="330">
        <f t="shared" si="55"/>
        <v>9.5</v>
      </c>
      <c r="AT112" s="330">
        <f t="shared" si="55"/>
        <v>9.5</v>
      </c>
      <c r="AU112" s="330">
        <f t="shared" si="55"/>
        <v>9.5</v>
      </c>
      <c r="AV112" s="331">
        <v>5</v>
      </c>
    </row>
    <row r="113" spans="2:52" ht="14.4">
      <c r="B113" s="8"/>
      <c r="C113" s="8"/>
      <c r="D113" s="67"/>
      <c r="F113" s="39"/>
      <c r="G113" s="330"/>
      <c r="H113" s="330"/>
      <c r="I113" s="330"/>
      <c r="J113" s="330"/>
      <c r="K113" s="330"/>
      <c r="L113" s="330"/>
      <c r="M113" s="330"/>
      <c r="N113" s="330"/>
      <c r="O113" s="330"/>
      <c r="P113" s="330"/>
      <c r="Q113" s="330"/>
      <c r="R113" s="330"/>
      <c r="S113" s="330"/>
      <c r="T113" s="330"/>
      <c r="U113" s="330"/>
    </row>
    <row r="114" spans="2:52" ht="14.4">
      <c r="B114" s="8"/>
      <c r="C114" s="8"/>
      <c r="D114" s="67"/>
      <c r="F114" s="39"/>
      <c r="G114" s="330"/>
      <c r="H114" s="330"/>
      <c r="I114" s="330"/>
      <c r="J114" s="330"/>
      <c r="K114" s="330"/>
      <c r="L114" s="330"/>
      <c r="M114" s="330"/>
      <c r="N114" s="330"/>
      <c r="O114" s="330"/>
      <c r="P114" s="330"/>
      <c r="Q114" s="330"/>
      <c r="R114" s="330"/>
      <c r="S114" s="330"/>
      <c r="T114" s="330"/>
      <c r="U114" s="330"/>
    </row>
    <row r="115" spans="2:52" ht="14.4">
      <c r="B115" s="8"/>
      <c r="C115" s="8"/>
      <c r="D115" s="67"/>
      <c r="F115" s="39"/>
      <c r="G115" s="330"/>
      <c r="H115" s="330"/>
      <c r="I115" s="330"/>
      <c r="J115" s="330"/>
      <c r="K115" s="330"/>
      <c r="L115" s="330"/>
      <c r="M115" s="330"/>
      <c r="N115" s="330"/>
      <c r="O115" s="330"/>
      <c r="P115" s="330"/>
      <c r="Q115" s="330"/>
      <c r="R115" s="330"/>
      <c r="S115" s="330"/>
      <c r="T115" s="330"/>
      <c r="U115" s="330"/>
    </row>
    <row r="116" spans="2:52" ht="14.4">
      <c r="B116" s="8"/>
      <c r="C116" s="8"/>
      <c r="D116" s="67"/>
      <c r="F116" s="39"/>
      <c r="G116" s="330"/>
      <c r="H116" s="330"/>
      <c r="I116" s="330"/>
      <c r="J116" s="330"/>
      <c r="K116" s="330"/>
      <c r="L116" s="330"/>
      <c r="M116" s="330"/>
      <c r="N116" s="330"/>
      <c r="O116" s="330"/>
      <c r="P116" s="330"/>
      <c r="Q116" s="330"/>
      <c r="R116" s="330"/>
      <c r="S116" s="330"/>
      <c r="T116" s="330"/>
      <c r="U116" s="330"/>
    </row>
    <row r="117" spans="2:52">
      <c r="B117" s="8"/>
      <c r="C117" s="571" t="s">
        <v>734</v>
      </c>
      <c r="D117" s="571"/>
      <c r="E117" s="571"/>
      <c r="F117" s="571"/>
      <c r="G117" s="571"/>
      <c r="H117" s="571"/>
      <c r="I117" s="571"/>
      <c r="J117" s="571"/>
      <c r="K117" s="571"/>
      <c r="L117" s="571"/>
    </row>
    <row r="118" spans="2:52">
      <c r="B118" s="8"/>
      <c r="C118" s="571"/>
      <c r="D118" s="571"/>
      <c r="E118" s="571"/>
      <c r="F118" s="571"/>
      <c r="G118" s="571"/>
      <c r="H118" s="571"/>
      <c r="I118" s="571"/>
      <c r="J118" s="571"/>
      <c r="K118" s="571"/>
      <c r="L118" s="571"/>
    </row>
    <row r="119" spans="2:52">
      <c r="B119" s="8"/>
      <c r="C119" s="8"/>
      <c r="D119" s="67"/>
      <c r="E119" s="248"/>
      <c r="F119" s="39"/>
      <c r="G119" s="437"/>
      <c r="H119" s="437"/>
      <c r="I119" s="437"/>
      <c r="J119" s="437"/>
      <c r="K119" s="437"/>
      <c r="L119" s="437"/>
      <c r="M119" s="437"/>
      <c r="N119" s="437"/>
      <c r="O119" s="437"/>
      <c r="P119" s="437"/>
      <c r="Q119" s="437"/>
      <c r="R119" s="437"/>
      <c r="S119" s="437"/>
      <c r="T119" s="437"/>
      <c r="U119" s="437"/>
      <c r="V119" s="437"/>
      <c r="W119" s="437"/>
      <c r="X119" s="437"/>
      <c r="Y119" s="437"/>
      <c r="Z119" s="437"/>
      <c r="AA119" s="437"/>
      <c r="AB119" s="437"/>
      <c r="AC119" s="437"/>
      <c r="AD119" s="437"/>
      <c r="AE119" s="437"/>
      <c r="AF119" s="437"/>
      <c r="AG119" s="437"/>
      <c r="AH119" s="437"/>
      <c r="AI119" s="437"/>
      <c r="AJ119" s="437"/>
      <c r="AK119" s="437"/>
      <c r="AL119" s="437"/>
      <c r="AM119" s="437"/>
      <c r="AN119" s="437"/>
      <c r="AO119" s="437"/>
      <c r="AP119" s="437"/>
      <c r="AQ119" s="437"/>
      <c r="AR119" s="437"/>
      <c r="AS119" s="437"/>
      <c r="AT119" s="437"/>
      <c r="AU119" s="437"/>
    </row>
    <row r="120" spans="2:52" ht="13.8">
      <c r="B120" s="437"/>
      <c r="C120" s="437"/>
      <c r="D120" s="516"/>
      <c r="E120" s="516" t="s">
        <v>688</v>
      </c>
      <c r="F120" s="517" t="s">
        <v>689</v>
      </c>
      <c r="G120" s="518">
        <v>2010</v>
      </c>
      <c r="H120" s="518">
        <v>2011</v>
      </c>
      <c r="I120" s="518">
        <v>2012</v>
      </c>
      <c r="J120" s="518">
        <v>2013</v>
      </c>
      <c r="K120" s="518">
        <v>2014</v>
      </c>
      <c r="L120" s="518">
        <v>2015</v>
      </c>
      <c r="M120" s="518">
        <v>2016</v>
      </c>
      <c r="N120" s="518">
        <v>2017</v>
      </c>
      <c r="O120" s="518">
        <v>2018</v>
      </c>
      <c r="P120" s="518">
        <v>2019</v>
      </c>
      <c r="Q120" s="518">
        <v>2020</v>
      </c>
      <c r="R120" s="518">
        <v>2021</v>
      </c>
      <c r="S120" s="518">
        <v>2022</v>
      </c>
      <c r="T120" s="518">
        <v>2023</v>
      </c>
      <c r="U120" s="518">
        <v>2024</v>
      </c>
      <c r="V120" s="518">
        <v>2025</v>
      </c>
      <c r="W120" s="518">
        <v>2026</v>
      </c>
      <c r="X120" s="518">
        <v>2027</v>
      </c>
      <c r="Y120" s="518">
        <v>2028</v>
      </c>
      <c r="Z120" s="518">
        <v>2029</v>
      </c>
      <c r="AA120" s="518">
        <v>2030</v>
      </c>
      <c r="AB120" s="518">
        <v>2031</v>
      </c>
      <c r="AC120" s="518">
        <v>2032</v>
      </c>
      <c r="AD120" s="518">
        <v>2033</v>
      </c>
      <c r="AE120" s="518">
        <v>2034</v>
      </c>
      <c r="AF120" s="518">
        <v>2035</v>
      </c>
      <c r="AG120" s="518">
        <v>2036</v>
      </c>
      <c r="AH120" s="518">
        <v>2037</v>
      </c>
      <c r="AI120" s="518">
        <v>2038</v>
      </c>
      <c r="AJ120" s="518">
        <v>2039</v>
      </c>
      <c r="AK120" s="518">
        <v>2040</v>
      </c>
      <c r="AL120" s="518">
        <v>2041</v>
      </c>
      <c r="AM120" s="518">
        <v>2042</v>
      </c>
      <c r="AN120" s="518">
        <v>2043</v>
      </c>
      <c r="AO120" s="518">
        <v>2044</v>
      </c>
      <c r="AP120" s="518">
        <v>2045</v>
      </c>
      <c r="AQ120" s="518">
        <v>2046</v>
      </c>
      <c r="AR120" s="518">
        <v>2047</v>
      </c>
      <c r="AS120" s="518">
        <v>2048</v>
      </c>
      <c r="AT120" s="518">
        <v>2049</v>
      </c>
      <c r="AU120" s="518">
        <v>2050</v>
      </c>
      <c r="AV120" s="437"/>
      <c r="AW120" s="437"/>
      <c r="AX120" s="437"/>
      <c r="AY120" s="437"/>
      <c r="AZ120" s="437"/>
    </row>
    <row r="121" spans="2:52">
      <c r="B121" s="437"/>
      <c r="C121" s="437"/>
      <c r="D121" s="516"/>
      <c r="E121" s="516" t="s">
        <v>40</v>
      </c>
      <c r="F121" s="519" t="s">
        <v>853</v>
      </c>
      <c r="G121" s="520">
        <f>G215</f>
        <v>23.1</v>
      </c>
      <c r="H121" s="520">
        <f t="shared" ref="H121:N122" si="56">H215</f>
        <v>27.7</v>
      </c>
      <c r="I121" s="520">
        <f t="shared" si="56"/>
        <v>23.9</v>
      </c>
      <c r="J121" s="520">
        <f t="shared" si="56"/>
        <v>20.3</v>
      </c>
      <c r="K121" s="520">
        <f t="shared" si="56"/>
        <v>17.2</v>
      </c>
      <c r="L121" s="520">
        <f t="shared" si="56"/>
        <v>15.7</v>
      </c>
      <c r="M121" s="520">
        <f t="shared" si="56"/>
        <v>12.2</v>
      </c>
      <c r="N121" s="520">
        <f t="shared" si="56"/>
        <v>11.7</v>
      </c>
      <c r="O121" s="521">
        <f>VLOOKUP(O$120,$C$284:$O$316,4)</f>
        <v>22.935796128023767</v>
      </c>
      <c r="P121" s="521">
        <f t="shared" ref="P121:AU121" si="57">VLOOKUP(P$120,$C$284:$O$316,4)</f>
        <v>15.532766006190153</v>
      </c>
      <c r="Q121" s="521">
        <f t="shared" si="57"/>
        <v>12.929551889587877</v>
      </c>
      <c r="R121" s="521">
        <f t="shared" si="57"/>
        <v>13.166058954324894</v>
      </c>
      <c r="S121" s="521">
        <f t="shared" si="57"/>
        <v>13.673473481430243</v>
      </c>
      <c r="T121" s="521">
        <f t="shared" si="57"/>
        <v>14.173926683886389</v>
      </c>
      <c r="U121" s="521">
        <f t="shared" si="57"/>
        <v>14.64740072098045</v>
      </c>
      <c r="V121" s="521">
        <f t="shared" si="57"/>
        <v>14.580898828103843</v>
      </c>
      <c r="W121" s="521">
        <f t="shared" si="57"/>
        <v>14.5316584938834</v>
      </c>
      <c r="X121" s="521">
        <f t="shared" si="57"/>
        <v>14.477230593088336</v>
      </c>
      <c r="Y121" s="521">
        <f t="shared" si="57"/>
        <v>14.413190648189367</v>
      </c>
      <c r="Z121" s="521">
        <f t="shared" si="57"/>
        <v>14.343963605486476</v>
      </c>
      <c r="AA121" s="521">
        <f t="shared" si="57"/>
        <v>14.266503152082981</v>
      </c>
      <c r="AB121" s="521">
        <f t="shared" si="57"/>
        <v>14.23069306413351</v>
      </c>
      <c r="AC121" s="521">
        <f t="shared" si="57"/>
        <v>14.195037264254136</v>
      </c>
      <c r="AD121" s="521">
        <f t="shared" si="57"/>
        <v>14.159114470166005</v>
      </c>
      <c r="AE121" s="521">
        <f t="shared" si="57"/>
        <v>14.123353426479357</v>
      </c>
      <c r="AF121" s="521">
        <f t="shared" si="57"/>
        <v>14.087572006623748</v>
      </c>
      <c r="AG121" s="521">
        <f t="shared" si="57"/>
        <v>14.051985690698709</v>
      </c>
      <c r="AH121" s="521">
        <f t="shared" si="57"/>
        <v>14.016171250456402</v>
      </c>
      <c r="AI121" s="521">
        <f t="shared" si="57"/>
        <v>13.980510738351196</v>
      </c>
      <c r="AJ121" s="521">
        <f t="shared" si="57"/>
        <v>13.944654498795146</v>
      </c>
      <c r="AK121" s="521">
        <f t="shared" si="57"/>
        <v>13.908861871625055</v>
      </c>
      <c r="AL121" s="521">
        <f t="shared" si="57"/>
        <v>13.873069138182171</v>
      </c>
      <c r="AM121" s="521">
        <f t="shared" si="57"/>
        <v>13.836610452807903</v>
      </c>
      <c r="AN121" s="521">
        <f t="shared" si="57"/>
        <v>13.800150557366436</v>
      </c>
      <c r="AO121" s="521">
        <f t="shared" si="57"/>
        <v>13.763689450310618</v>
      </c>
      <c r="AP121" s="521">
        <f t="shared" si="57"/>
        <v>13.727227130091334</v>
      </c>
      <c r="AQ121" s="521">
        <f t="shared" si="57"/>
        <v>13.690763595157463</v>
      </c>
      <c r="AR121" s="521">
        <f t="shared" si="57"/>
        <v>13.654298843955917</v>
      </c>
      <c r="AS121" s="521">
        <f t="shared" si="57"/>
        <v>13.617832874931624</v>
      </c>
      <c r="AT121" s="521">
        <f t="shared" si="57"/>
        <v>13.581365686527514</v>
      </c>
      <c r="AU121" s="521">
        <f t="shared" si="57"/>
        <v>13.544897277184536</v>
      </c>
      <c r="AV121" s="520"/>
      <c r="AW121" s="437"/>
      <c r="AX121" s="437"/>
      <c r="AY121" s="437"/>
      <c r="AZ121" s="437"/>
    </row>
    <row r="122" spans="2:52">
      <c r="B122" s="437"/>
      <c r="C122" s="437"/>
      <c r="D122" s="516"/>
      <c r="E122" s="516" t="s">
        <v>90</v>
      </c>
      <c r="F122" s="519" t="s">
        <v>853</v>
      </c>
      <c r="G122" s="520">
        <f>G216</f>
        <v>76.2</v>
      </c>
      <c r="H122" s="520">
        <f t="shared" si="56"/>
        <v>106.1</v>
      </c>
      <c r="I122" s="520">
        <f t="shared" si="56"/>
        <v>112.9</v>
      </c>
      <c r="J122" s="520">
        <f t="shared" si="56"/>
        <v>100.3</v>
      </c>
      <c r="K122" s="520">
        <f t="shared" si="56"/>
        <v>97.3</v>
      </c>
      <c r="L122" s="520">
        <f t="shared" si="56"/>
        <v>62.7</v>
      </c>
      <c r="M122" s="520">
        <f t="shared" si="56"/>
        <v>59.9</v>
      </c>
      <c r="N122" s="520">
        <f t="shared" si="56"/>
        <v>63.9</v>
      </c>
      <c r="O122" s="521">
        <f>VLOOKUP(O$120,$C$284:$O$316,2)</f>
        <v>78.592912119302227</v>
      </c>
      <c r="P122" s="521">
        <f t="shared" ref="P122:AU122" si="58">VLOOKUP(P$120,$C$284:$O$316,2)</f>
        <v>72.66780821917807</v>
      </c>
      <c r="Q122" s="521">
        <f t="shared" si="58"/>
        <v>71.191547947610658</v>
      </c>
      <c r="R122" s="521">
        <f t="shared" si="58"/>
        <v>49.181117057429148</v>
      </c>
      <c r="S122" s="521">
        <f t="shared" si="58"/>
        <v>52.581323432074825</v>
      </c>
      <c r="T122" s="521">
        <f t="shared" si="58"/>
        <v>54.889966476332738</v>
      </c>
      <c r="U122" s="521">
        <f t="shared" si="58"/>
        <v>56.568388062461416</v>
      </c>
      <c r="V122" s="521">
        <f t="shared" si="58"/>
        <v>57.786429057350325</v>
      </c>
      <c r="W122" s="521">
        <f t="shared" si="58"/>
        <v>59.146270171698553</v>
      </c>
      <c r="X122" s="521">
        <f t="shared" si="58"/>
        <v>60.478046986869018</v>
      </c>
      <c r="Y122" s="521">
        <f t="shared" si="58"/>
        <v>61.703174257304624</v>
      </c>
      <c r="Z122" s="521">
        <f t="shared" si="58"/>
        <v>62.989602327697277</v>
      </c>
      <c r="AA122" s="521">
        <f t="shared" si="58"/>
        <v>64.209121548162642</v>
      </c>
      <c r="AB122" s="521">
        <f t="shared" si="58"/>
        <v>63.901532941943884</v>
      </c>
      <c r="AC122" s="521">
        <f t="shared" si="58"/>
        <v>63.593944335725141</v>
      </c>
      <c r="AD122" s="521">
        <f t="shared" si="58"/>
        <v>63.286355729506404</v>
      </c>
      <c r="AE122" s="521">
        <f t="shared" si="58"/>
        <v>62.978767123287653</v>
      </c>
      <c r="AF122" s="521">
        <f t="shared" si="58"/>
        <v>62.671178517068917</v>
      </c>
      <c r="AG122" s="521">
        <f t="shared" si="58"/>
        <v>62.363589910850173</v>
      </c>
      <c r="AH122" s="521">
        <f t="shared" si="58"/>
        <v>62.056001304631437</v>
      </c>
      <c r="AI122" s="521">
        <f t="shared" si="58"/>
        <v>61.7484126984127</v>
      </c>
      <c r="AJ122" s="521">
        <f t="shared" si="58"/>
        <v>61.440824092193949</v>
      </c>
      <c r="AK122" s="521">
        <f t="shared" si="58"/>
        <v>61.133235485975206</v>
      </c>
      <c r="AL122" s="521">
        <f t="shared" si="58"/>
        <v>60.825646879756469</v>
      </c>
      <c r="AM122" s="521">
        <f t="shared" si="58"/>
        <v>60.518058273537719</v>
      </c>
      <c r="AN122" s="521">
        <f t="shared" si="58"/>
        <v>60.210469667318975</v>
      </c>
      <c r="AO122" s="521">
        <f t="shared" si="58"/>
        <v>59.902881061100238</v>
      </c>
      <c r="AP122" s="521">
        <f t="shared" si="58"/>
        <v>59.595292454881495</v>
      </c>
      <c r="AQ122" s="521">
        <f t="shared" si="58"/>
        <v>59.287703848662751</v>
      </c>
      <c r="AR122" s="521">
        <f t="shared" si="58"/>
        <v>58.980115242444008</v>
      </c>
      <c r="AS122" s="521">
        <f t="shared" si="58"/>
        <v>58.672526636225271</v>
      </c>
      <c r="AT122" s="521">
        <f t="shared" si="58"/>
        <v>58.364938030006527</v>
      </c>
      <c r="AU122" s="521">
        <f t="shared" si="58"/>
        <v>58.057349423787784</v>
      </c>
      <c r="AV122" s="437"/>
      <c r="AW122" s="437"/>
      <c r="AX122" s="437"/>
      <c r="AY122" s="437"/>
      <c r="AZ122" s="437"/>
    </row>
    <row r="123" spans="2:52">
      <c r="B123" s="437"/>
      <c r="C123" s="437"/>
      <c r="D123" s="516"/>
      <c r="E123" s="516" t="s">
        <v>631</v>
      </c>
      <c r="F123" s="519" t="s">
        <v>853</v>
      </c>
      <c r="G123" s="520">
        <f>G122</f>
        <v>76.2</v>
      </c>
      <c r="H123" s="520">
        <f t="shared" ref="H123:AU123" si="59">H122</f>
        <v>106.1</v>
      </c>
      <c r="I123" s="520">
        <f t="shared" si="59"/>
        <v>112.9</v>
      </c>
      <c r="J123" s="520">
        <f t="shared" si="59"/>
        <v>100.3</v>
      </c>
      <c r="K123" s="520">
        <f t="shared" si="59"/>
        <v>97.3</v>
      </c>
      <c r="L123" s="520">
        <f t="shared" si="59"/>
        <v>62.7</v>
      </c>
      <c r="M123" s="520">
        <f t="shared" si="59"/>
        <v>59.9</v>
      </c>
      <c r="N123" s="520">
        <f t="shared" si="59"/>
        <v>63.9</v>
      </c>
      <c r="O123" s="521">
        <f t="shared" si="59"/>
        <v>78.592912119302227</v>
      </c>
      <c r="P123" s="521">
        <f t="shared" si="59"/>
        <v>72.66780821917807</v>
      </c>
      <c r="Q123" s="521">
        <f t="shared" si="59"/>
        <v>71.191547947610658</v>
      </c>
      <c r="R123" s="521">
        <f t="shared" si="59"/>
        <v>49.181117057429148</v>
      </c>
      <c r="S123" s="521">
        <f t="shared" si="59"/>
        <v>52.581323432074825</v>
      </c>
      <c r="T123" s="521">
        <f t="shared" si="59"/>
        <v>54.889966476332738</v>
      </c>
      <c r="U123" s="521">
        <f t="shared" si="59"/>
        <v>56.568388062461416</v>
      </c>
      <c r="V123" s="521">
        <f t="shared" si="59"/>
        <v>57.786429057350325</v>
      </c>
      <c r="W123" s="521">
        <f t="shared" si="59"/>
        <v>59.146270171698553</v>
      </c>
      <c r="X123" s="521">
        <f t="shared" si="59"/>
        <v>60.478046986869018</v>
      </c>
      <c r="Y123" s="521">
        <f t="shared" si="59"/>
        <v>61.703174257304624</v>
      </c>
      <c r="Z123" s="521">
        <f t="shared" si="59"/>
        <v>62.989602327697277</v>
      </c>
      <c r="AA123" s="521">
        <f t="shared" si="59"/>
        <v>64.209121548162642</v>
      </c>
      <c r="AB123" s="521">
        <f t="shared" si="59"/>
        <v>63.901532941943884</v>
      </c>
      <c r="AC123" s="521">
        <f t="shared" si="59"/>
        <v>63.593944335725141</v>
      </c>
      <c r="AD123" s="521">
        <f t="shared" si="59"/>
        <v>63.286355729506404</v>
      </c>
      <c r="AE123" s="521">
        <f t="shared" si="59"/>
        <v>62.978767123287653</v>
      </c>
      <c r="AF123" s="521">
        <f t="shared" si="59"/>
        <v>62.671178517068917</v>
      </c>
      <c r="AG123" s="521">
        <f t="shared" si="59"/>
        <v>62.363589910850173</v>
      </c>
      <c r="AH123" s="521">
        <f t="shared" si="59"/>
        <v>62.056001304631437</v>
      </c>
      <c r="AI123" s="521">
        <f t="shared" si="59"/>
        <v>61.7484126984127</v>
      </c>
      <c r="AJ123" s="521">
        <f t="shared" si="59"/>
        <v>61.440824092193949</v>
      </c>
      <c r="AK123" s="521">
        <f t="shared" si="59"/>
        <v>61.133235485975206</v>
      </c>
      <c r="AL123" s="521">
        <f t="shared" si="59"/>
        <v>60.825646879756469</v>
      </c>
      <c r="AM123" s="521">
        <f t="shared" si="59"/>
        <v>60.518058273537719</v>
      </c>
      <c r="AN123" s="521">
        <f t="shared" si="59"/>
        <v>60.210469667318975</v>
      </c>
      <c r="AO123" s="521">
        <f t="shared" si="59"/>
        <v>59.902881061100238</v>
      </c>
      <c r="AP123" s="521">
        <f t="shared" si="59"/>
        <v>59.595292454881495</v>
      </c>
      <c r="AQ123" s="521">
        <f t="shared" si="59"/>
        <v>59.287703848662751</v>
      </c>
      <c r="AR123" s="521">
        <f t="shared" si="59"/>
        <v>58.980115242444008</v>
      </c>
      <c r="AS123" s="521">
        <f t="shared" si="59"/>
        <v>58.672526636225271</v>
      </c>
      <c r="AT123" s="521">
        <f t="shared" si="59"/>
        <v>58.364938030006527</v>
      </c>
      <c r="AU123" s="521">
        <f t="shared" si="59"/>
        <v>58.057349423787784</v>
      </c>
      <c r="AV123" s="437"/>
      <c r="AW123" s="437"/>
      <c r="AX123" s="437"/>
      <c r="AY123" s="437"/>
      <c r="AZ123" s="437"/>
    </row>
    <row r="124" spans="2:52">
      <c r="B124" s="437"/>
      <c r="C124" s="437"/>
      <c r="D124" s="516"/>
      <c r="E124" s="516" t="s">
        <v>74</v>
      </c>
      <c r="F124" s="519" t="s">
        <v>853</v>
      </c>
      <c r="G124" s="520">
        <f>G217</f>
        <v>92.8</v>
      </c>
      <c r="H124" s="520">
        <f t="shared" ref="H124:N124" si="60">H217</f>
        <v>122.9</v>
      </c>
      <c r="I124" s="520">
        <f t="shared" si="60"/>
        <v>136.69999999999999</v>
      </c>
      <c r="J124" s="520">
        <f t="shared" si="60"/>
        <v>122</v>
      </c>
      <c r="K124" s="520">
        <f t="shared" si="60"/>
        <v>114.8</v>
      </c>
      <c r="L124" s="520">
        <f t="shared" si="60"/>
        <v>78.2</v>
      </c>
      <c r="M124" s="520">
        <f t="shared" si="60"/>
        <v>75.3</v>
      </c>
      <c r="N124" s="520">
        <f t="shared" si="60"/>
        <v>79.400000000000006</v>
      </c>
      <c r="O124" s="521">
        <f>VLOOKUP(O$120,$C$284:$O$316,8)</f>
        <v>102.40107579472352</v>
      </c>
      <c r="P124" s="521">
        <f t="shared" ref="P124:AU124" si="61">VLOOKUP(P$120,$C$284:$O$316,8)</f>
        <v>97.746963615472367</v>
      </c>
      <c r="Q124" s="521">
        <f t="shared" si="61"/>
        <v>96.267025086546809</v>
      </c>
      <c r="R124" s="521">
        <f t="shared" si="61"/>
        <v>74.282939675183428</v>
      </c>
      <c r="S124" s="521">
        <f t="shared" si="61"/>
        <v>77.691438545887451</v>
      </c>
      <c r="T124" s="521">
        <f t="shared" si="61"/>
        <v>80.014522441042786</v>
      </c>
      <c r="U124" s="521">
        <f t="shared" si="61"/>
        <v>81.712731586007934</v>
      </c>
      <c r="V124" s="521">
        <f t="shared" si="61"/>
        <v>82.949209412536121</v>
      </c>
      <c r="W124" s="521">
        <f t="shared" si="61"/>
        <v>84.314672750845261</v>
      </c>
      <c r="X124" s="521">
        <f t="shared" si="61"/>
        <v>85.652811517689884</v>
      </c>
      <c r="Y124" s="521">
        <f t="shared" si="61"/>
        <v>86.883932814730045</v>
      </c>
      <c r="Z124" s="521">
        <f t="shared" si="61"/>
        <v>88.17668470166312</v>
      </c>
      <c r="AA124" s="521">
        <f t="shared" si="61"/>
        <v>89.399874602600562</v>
      </c>
      <c r="AB124" s="521">
        <f t="shared" si="61"/>
        <v>89.093730840397711</v>
      </c>
      <c r="AC124" s="521">
        <f t="shared" si="61"/>
        <v>88.786854893898322</v>
      </c>
      <c r="AD124" s="521">
        <f t="shared" si="61"/>
        <v>88.481245986171288</v>
      </c>
      <c r="AE124" s="521">
        <f t="shared" si="61"/>
        <v>88.174869481157842</v>
      </c>
      <c r="AF124" s="521">
        <f t="shared" si="61"/>
        <v>87.868589672609204</v>
      </c>
      <c r="AG124" s="521">
        <f t="shared" si="61"/>
        <v>87.561383985383955</v>
      </c>
      <c r="AH124" s="521">
        <f t="shared" si="61"/>
        <v>87.255260877276157</v>
      </c>
      <c r="AI124" s="521">
        <f t="shared" si="61"/>
        <v>86.948407292957839</v>
      </c>
      <c r="AJ124" s="521">
        <f t="shared" si="61"/>
        <v>86.642482546272987</v>
      </c>
      <c r="AK124" s="521">
        <f t="shared" si="61"/>
        <v>86.336255922780509</v>
      </c>
      <c r="AL124" s="521">
        <f t="shared" si="61"/>
        <v>86.030029803612607</v>
      </c>
      <c r="AM124" s="521">
        <f t="shared" si="61"/>
        <v>85.726964003619855</v>
      </c>
      <c r="AN124" s="521">
        <f t="shared" si="61"/>
        <v>85.423903946081424</v>
      </c>
      <c r="AO124" s="521">
        <f t="shared" si="61"/>
        <v>85.120849638339479</v>
      </c>
      <c r="AP124" s="521">
        <f t="shared" si="61"/>
        <v>84.817801087745465</v>
      </c>
      <c r="AQ124" s="521">
        <f t="shared" si="61"/>
        <v>84.514758301660265</v>
      </c>
      <c r="AR124" s="521">
        <f t="shared" si="61"/>
        <v>84.211721287454196</v>
      </c>
      <c r="AS124" s="521">
        <f t="shared" si="61"/>
        <v>83.908690052506984</v>
      </c>
      <c r="AT124" s="521">
        <f t="shared" si="61"/>
        <v>83.60566460420776</v>
      </c>
      <c r="AU124" s="521">
        <f t="shared" si="61"/>
        <v>83.302644949955152</v>
      </c>
      <c r="AV124" s="437"/>
      <c r="AW124" s="437"/>
      <c r="AX124" s="437"/>
      <c r="AY124" s="437"/>
      <c r="AZ124" s="437"/>
    </row>
    <row r="125" spans="2:52">
      <c r="B125" s="437"/>
      <c r="C125" s="437"/>
      <c r="D125" s="516"/>
      <c r="E125" s="516" t="s">
        <v>488</v>
      </c>
      <c r="F125" s="519" t="s">
        <v>853</v>
      </c>
      <c r="G125" s="520">
        <f t="shared" ref="G125:AU126" si="62">G124+$E$184</f>
        <v>191.9869989234187</v>
      </c>
      <c r="H125" s="520">
        <f t="shared" si="62"/>
        <v>222.08699892341872</v>
      </c>
      <c r="I125" s="520">
        <f t="shared" si="62"/>
        <v>235.88699892341867</v>
      </c>
      <c r="J125" s="520">
        <f t="shared" si="62"/>
        <v>221.18699892341868</v>
      </c>
      <c r="K125" s="520">
        <f t="shared" si="62"/>
        <v>213.9869989234187</v>
      </c>
      <c r="L125" s="520">
        <f>L124+$E$184</f>
        <v>177.3869989234187</v>
      </c>
      <c r="M125" s="520">
        <f t="shared" si="62"/>
        <v>174.4869989234187</v>
      </c>
      <c r="N125" s="520">
        <f t="shared" si="62"/>
        <v>178.58699892341872</v>
      </c>
      <c r="O125" s="521">
        <f t="shared" si="62"/>
        <v>201.58807471814222</v>
      </c>
      <c r="P125" s="521">
        <f t="shared" si="62"/>
        <v>196.93396253889108</v>
      </c>
      <c r="Q125" s="521">
        <f t="shared" si="62"/>
        <v>195.45402400996551</v>
      </c>
      <c r="R125" s="521">
        <f t="shared" si="62"/>
        <v>173.46993859860214</v>
      </c>
      <c r="S125" s="521">
        <f t="shared" si="62"/>
        <v>176.87843746930616</v>
      </c>
      <c r="T125" s="521">
        <f t="shared" si="62"/>
        <v>179.20152136446148</v>
      </c>
      <c r="U125" s="521">
        <f t="shared" si="62"/>
        <v>180.89973050942663</v>
      </c>
      <c r="V125" s="521">
        <f t="shared" si="62"/>
        <v>182.13620833595482</v>
      </c>
      <c r="W125" s="521">
        <f t="shared" si="62"/>
        <v>183.50167167426395</v>
      </c>
      <c r="X125" s="521">
        <f t="shared" si="62"/>
        <v>184.83981044110857</v>
      </c>
      <c r="Y125" s="521">
        <f t="shared" si="62"/>
        <v>186.07093173814874</v>
      </c>
      <c r="Z125" s="521">
        <f t="shared" si="62"/>
        <v>187.36368362508182</v>
      </c>
      <c r="AA125" s="521">
        <f t="shared" si="62"/>
        <v>188.58687352601925</v>
      </c>
      <c r="AB125" s="521">
        <f t="shared" si="62"/>
        <v>188.2807297638164</v>
      </c>
      <c r="AC125" s="521">
        <f t="shared" si="62"/>
        <v>187.97385381731704</v>
      </c>
      <c r="AD125" s="521">
        <f t="shared" si="62"/>
        <v>187.66824490958999</v>
      </c>
      <c r="AE125" s="521">
        <f t="shared" si="62"/>
        <v>187.36186840457654</v>
      </c>
      <c r="AF125" s="521">
        <f t="shared" si="62"/>
        <v>187.05558859602792</v>
      </c>
      <c r="AG125" s="521">
        <f t="shared" si="62"/>
        <v>186.74838290880265</v>
      </c>
      <c r="AH125" s="521">
        <f t="shared" si="62"/>
        <v>186.44225980069484</v>
      </c>
      <c r="AI125" s="521">
        <f t="shared" si="62"/>
        <v>186.13540621637654</v>
      </c>
      <c r="AJ125" s="521">
        <f t="shared" si="62"/>
        <v>185.8294814696917</v>
      </c>
      <c r="AK125" s="521">
        <f t="shared" si="62"/>
        <v>185.52325484619922</v>
      </c>
      <c r="AL125" s="521">
        <f t="shared" si="62"/>
        <v>185.21702872703131</v>
      </c>
      <c r="AM125" s="521">
        <f t="shared" si="62"/>
        <v>184.91396292703854</v>
      </c>
      <c r="AN125" s="521">
        <f t="shared" si="62"/>
        <v>184.61090286950014</v>
      </c>
      <c r="AO125" s="521">
        <f t="shared" si="62"/>
        <v>184.30784856175819</v>
      </c>
      <c r="AP125" s="521">
        <f t="shared" si="62"/>
        <v>184.00480001116415</v>
      </c>
      <c r="AQ125" s="521">
        <f t="shared" si="62"/>
        <v>183.70175722507895</v>
      </c>
      <c r="AR125" s="521">
        <f t="shared" si="62"/>
        <v>183.39872021087291</v>
      </c>
      <c r="AS125" s="521">
        <f t="shared" si="62"/>
        <v>183.09568897592567</v>
      </c>
      <c r="AT125" s="521">
        <f t="shared" si="62"/>
        <v>182.79266352762647</v>
      </c>
      <c r="AU125" s="521">
        <f t="shared" si="62"/>
        <v>182.48964387337384</v>
      </c>
      <c r="AV125" s="437"/>
      <c r="AW125" s="437"/>
      <c r="AX125" s="437"/>
      <c r="AY125" s="437"/>
      <c r="AZ125" s="437"/>
    </row>
    <row r="126" spans="2:52">
      <c r="B126" s="437"/>
      <c r="C126" s="437"/>
      <c r="D126" s="516"/>
      <c r="E126" s="516" t="s">
        <v>490</v>
      </c>
      <c r="F126" s="519" t="s">
        <v>853</v>
      </c>
      <c r="G126" s="520">
        <f>G125*1.1</f>
        <v>211.18569881576059</v>
      </c>
      <c r="H126" s="520">
        <f t="shared" si="62"/>
        <v>321.2739978468374</v>
      </c>
      <c r="I126" s="520">
        <f t="shared" si="62"/>
        <v>335.07399784683736</v>
      </c>
      <c r="J126" s="520">
        <f t="shared" si="62"/>
        <v>320.37399784683737</v>
      </c>
      <c r="K126" s="520">
        <f t="shared" si="62"/>
        <v>313.17399784683738</v>
      </c>
      <c r="L126" s="520">
        <f>L125+$E$184</f>
        <v>276.57399784683741</v>
      </c>
      <c r="M126" s="520">
        <f t="shared" si="62"/>
        <v>273.67399784683738</v>
      </c>
      <c r="N126" s="520">
        <f t="shared" si="62"/>
        <v>277.7739978468374</v>
      </c>
      <c r="O126" s="521">
        <f t="shared" si="62"/>
        <v>300.77507364156094</v>
      </c>
      <c r="P126" s="521">
        <f t="shared" si="62"/>
        <v>296.12096146230977</v>
      </c>
      <c r="Q126" s="521">
        <f t="shared" si="62"/>
        <v>294.64102293338419</v>
      </c>
      <c r="R126" s="521">
        <f t="shared" si="62"/>
        <v>272.65693752202083</v>
      </c>
      <c r="S126" s="521">
        <f t="shared" si="62"/>
        <v>276.06543639272485</v>
      </c>
      <c r="T126" s="521">
        <f t="shared" si="62"/>
        <v>278.38852028788017</v>
      </c>
      <c r="U126" s="521">
        <f t="shared" si="62"/>
        <v>280.08672943284535</v>
      </c>
      <c r="V126" s="521">
        <f t="shared" si="62"/>
        <v>281.32320725937353</v>
      </c>
      <c r="W126" s="521">
        <f t="shared" si="62"/>
        <v>282.68867059768263</v>
      </c>
      <c r="X126" s="521">
        <f t="shared" si="62"/>
        <v>284.02680936452725</v>
      </c>
      <c r="Y126" s="521">
        <f t="shared" si="62"/>
        <v>285.25793066156746</v>
      </c>
      <c r="Z126" s="521">
        <f t="shared" si="62"/>
        <v>286.5506825485005</v>
      </c>
      <c r="AA126" s="521">
        <f t="shared" si="62"/>
        <v>287.77387244943793</v>
      </c>
      <c r="AB126" s="521">
        <f t="shared" si="62"/>
        <v>287.46772868723508</v>
      </c>
      <c r="AC126" s="521">
        <f t="shared" si="62"/>
        <v>287.16085274073572</v>
      </c>
      <c r="AD126" s="521">
        <f t="shared" si="62"/>
        <v>286.85524383300867</v>
      </c>
      <c r="AE126" s="521">
        <f t="shared" si="62"/>
        <v>286.54886732799525</v>
      </c>
      <c r="AF126" s="521">
        <f t="shared" si="62"/>
        <v>286.2425875194466</v>
      </c>
      <c r="AG126" s="521">
        <f t="shared" si="62"/>
        <v>285.93538183222137</v>
      </c>
      <c r="AH126" s="521">
        <f t="shared" si="62"/>
        <v>285.62925872411353</v>
      </c>
      <c r="AI126" s="521">
        <f t="shared" si="62"/>
        <v>285.32240513979525</v>
      </c>
      <c r="AJ126" s="521">
        <f t="shared" si="62"/>
        <v>285.01648039311038</v>
      </c>
      <c r="AK126" s="521">
        <f t="shared" si="62"/>
        <v>284.71025376961791</v>
      </c>
      <c r="AL126" s="521">
        <f t="shared" si="62"/>
        <v>284.40402765045002</v>
      </c>
      <c r="AM126" s="521">
        <f t="shared" si="62"/>
        <v>284.10096185045722</v>
      </c>
      <c r="AN126" s="521">
        <f t="shared" si="62"/>
        <v>283.79790179291882</v>
      </c>
      <c r="AO126" s="521">
        <f t="shared" si="62"/>
        <v>283.49484748517688</v>
      </c>
      <c r="AP126" s="521">
        <f t="shared" si="62"/>
        <v>283.19179893458283</v>
      </c>
      <c r="AQ126" s="521">
        <f t="shared" si="62"/>
        <v>282.88875614849763</v>
      </c>
      <c r="AR126" s="521">
        <f t="shared" si="62"/>
        <v>282.58571913429159</v>
      </c>
      <c r="AS126" s="521">
        <f t="shared" si="62"/>
        <v>282.28268789934435</v>
      </c>
      <c r="AT126" s="521">
        <f t="shared" si="62"/>
        <v>281.97966245104516</v>
      </c>
      <c r="AU126" s="521">
        <f t="shared" si="62"/>
        <v>281.67664279679252</v>
      </c>
      <c r="AV126" s="437"/>
      <c r="AW126" s="437"/>
      <c r="AX126" s="437"/>
      <c r="AY126" s="437"/>
      <c r="AZ126" s="437"/>
    </row>
    <row r="127" spans="2:52">
      <c r="B127" s="437"/>
      <c r="C127" s="437"/>
      <c r="D127" s="516"/>
      <c r="E127" s="516" t="s">
        <v>665</v>
      </c>
      <c r="F127" s="519" t="s">
        <v>853</v>
      </c>
      <c r="G127" s="520">
        <f>G126*2</f>
        <v>422.37139763152118</v>
      </c>
      <c r="H127" s="520">
        <f t="shared" ref="H127:AU127" si="63">H126*2</f>
        <v>642.54799569367481</v>
      </c>
      <c r="I127" s="520">
        <f t="shared" si="63"/>
        <v>670.14799569367472</v>
      </c>
      <c r="J127" s="520">
        <f t="shared" si="63"/>
        <v>640.74799569367474</v>
      </c>
      <c r="K127" s="520">
        <f t="shared" si="63"/>
        <v>626.34799569367476</v>
      </c>
      <c r="L127" s="520">
        <f>L126*2</f>
        <v>553.14799569367483</v>
      </c>
      <c r="M127" s="520">
        <f t="shared" si="63"/>
        <v>547.34799569367476</v>
      </c>
      <c r="N127" s="520">
        <f t="shared" si="63"/>
        <v>555.54799569367481</v>
      </c>
      <c r="O127" s="521">
        <f>O126*2</f>
        <v>601.55014728312187</v>
      </c>
      <c r="P127" s="521">
        <f t="shared" si="63"/>
        <v>592.24192292461953</v>
      </c>
      <c r="Q127" s="521">
        <f t="shared" si="63"/>
        <v>589.28204586676839</v>
      </c>
      <c r="R127" s="521">
        <f t="shared" si="63"/>
        <v>545.31387504404165</v>
      </c>
      <c r="S127" s="521">
        <f t="shared" si="63"/>
        <v>552.1308727854497</v>
      </c>
      <c r="T127" s="521">
        <f t="shared" si="63"/>
        <v>556.77704057576034</v>
      </c>
      <c r="U127" s="521">
        <f t="shared" si="63"/>
        <v>560.17345886569069</v>
      </c>
      <c r="V127" s="521">
        <f t="shared" si="63"/>
        <v>562.64641451874706</v>
      </c>
      <c r="W127" s="521">
        <f t="shared" si="63"/>
        <v>565.37734119536526</v>
      </c>
      <c r="X127" s="521">
        <f t="shared" si="63"/>
        <v>568.05361872905451</v>
      </c>
      <c r="Y127" s="521">
        <f t="shared" si="63"/>
        <v>570.51586132313491</v>
      </c>
      <c r="Z127" s="521">
        <f t="shared" si="63"/>
        <v>573.10136509700101</v>
      </c>
      <c r="AA127" s="521">
        <f t="shared" si="63"/>
        <v>575.54774489887586</v>
      </c>
      <c r="AB127" s="521">
        <f t="shared" si="63"/>
        <v>574.93545737447016</v>
      </c>
      <c r="AC127" s="521">
        <f t="shared" si="63"/>
        <v>574.32170548147144</v>
      </c>
      <c r="AD127" s="521">
        <f t="shared" si="63"/>
        <v>573.71048766601734</v>
      </c>
      <c r="AE127" s="521">
        <f t="shared" si="63"/>
        <v>573.09773465599051</v>
      </c>
      <c r="AF127" s="521">
        <f t="shared" si="63"/>
        <v>572.4851750388932</v>
      </c>
      <c r="AG127" s="521">
        <f t="shared" si="63"/>
        <v>571.87076366444273</v>
      </c>
      <c r="AH127" s="521">
        <f t="shared" si="63"/>
        <v>571.25851744822705</v>
      </c>
      <c r="AI127" s="521">
        <f t="shared" si="63"/>
        <v>570.6448102795905</v>
      </c>
      <c r="AJ127" s="521">
        <f t="shared" si="63"/>
        <v>570.03296078622077</v>
      </c>
      <c r="AK127" s="521">
        <f t="shared" si="63"/>
        <v>569.42050753923581</v>
      </c>
      <c r="AL127" s="521">
        <f t="shared" si="63"/>
        <v>568.80805530090004</v>
      </c>
      <c r="AM127" s="521">
        <f t="shared" si="63"/>
        <v>568.20192370091445</v>
      </c>
      <c r="AN127" s="521">
        <f t="shared" si="63"/>
        <v>567.59580358583764</v>
      </c>
      <c r="AO127" s="521">
        <f t="shared" si="63"/>
        <v>566.98969497035375</v>
      </c>
      <c r="AP127" s="521">
        <f t="shared" si="63"/>
        <v>566.38359786916567</v>
      </c>
      <c r="AQ127" s="521">
        <f t="shared" si="63"/>
        <v>565.77751229699527</v>
      </c>
      <c r="AR127" s="521">
        <f t="shared" si="63"/>
        <v>565.17143826858319</v>
      </c>
      <c r="AS127" s="521">
        <f t="shared" si="63"/>
        <v>564.56537579868871</v>
      </c>
      <c r="AT127" s="521">
        <f t="shared" si="63"/>
        <v>563.95932490209032</v>
      </c>
      <c r="AU127" s="521">
        <f t="shared" si="63"/>
        <v>563.35328559358504</v>
      </c>
      <c r="AV127" s="437"/>
      <c r="AW127" s="437"/>
      <c r="AX127" s="437"/>
      <c r="AY127" s="437"/>
      <c r="AZ127" s="437"/>
    </row>
    <row r="128" spans="2:52">
      <c r="B128" s="437"/>
      <c r="C128" s="437"/>
      <c r="D128" s="516"/>
      <c r="E128" s="516" t="s">
        <v>45</v>
      </c>
      <c r="F128" s="519" t="s">
        <v>853</v>
      </c>
      <c r="G128" s="520">
        <f>G218</f>
        <v>105.4</v>
      </c>
      <c r="H128" s="520">
        <f t="shared" ref="H128:N128" si="64">H218</f>
        <v>117.4</v>
      </c>
      <c r="I128" s="520">
        <f t="shared" si="64"/>
        <v>134.19999999999999</v>
      </c>
      <c r="J128" s="520">
        <f t="shared" si="64"/>
        <v>123.2</v>
      </c>
      <c r="K128" s="520">
        <f t="shared" si="64"/>
        <v>113.5</v>
      </c>
      <c r="L128" s="520">
        <f>L218</f>
        <v>77</v>
      </c>
      <c r="M128" s="520">
        <f t="shared" si="64"/>
        <v>74</v>
      </c>
      <c r="N128" s="520">
        <f t="shared" si="64"/>
        <v>78.2</v>
      </c>
      <c r="O128" s="521">
        <f>VLOOKUP(O$120,$C$284:$O$316,7)</f>
        <v>101.50107579472352</v>
      </c>
      <c r="P128" s="521">
        <f t="shared" ref="P128:AU128" si="65">VLOOKUP(P$120,$C$284:$O$316,7)</f>
        <v>95.586963615472371</v>
      </c>
      <c r="Q128" s="521">
        <f t="shared" si="65"/>
        <v>94.107025086546813</v>
      </c>
      <c r="R128" s="521">
        <f t="shared" si="65"/>
        <v>72.122939675183432</v>
      </c>
      <c r="S128" s="521">
        <f t="shared" si="65"/>
        <v>75.531438545887454</v>
      </c>
      <c r="T128" s="521">
        <f t="shared" si="65"/>
        <v>77.854522441042789</v>
      </c>
      <c r="U128" s="521">
        <f t="shared" si="65"/>
        <v>79.552731586007937</v>
      </c>
      <c r="V128" s="521">
        <f t="shared" si="65"/>
        <v>80.789209412536124</v>
      </c>
      <c r="W128" s="521">
        <f t="shared" si="65"/>
        <v>82.154672750845265</v>
      </c>
      <c r="X128" s="521">
        <f t="shared" si="65"/>
        <v>83.492811517689887</v>
      </c>
      <c r="Y128" s="521">
        <f t="shared" si="65"/>
        <v>84.723932814730048</v>
      </c>
      <c r="Z128" s="521">
        <f t="shared" si="65"/>
        <v>86.016684701663124</v>
      </c>
      <c r="AA128" s="521">
        <f t="shared" si="65"/>
        <v>87.239874602600565</v>
      </c>
      <c r="AB128" s="521">
        <f t="shared" si="65"/>
        <v>86.933730840397715</v>
      </c>
      <c r="AC128" s="521">
        <f t="shared" si="65"/>
        <v>86.626854893898326</v>
      </c>
      <c r="AD128" s="521">
        <f t="shared" si="65"/>
        <v>86.321245986171292</v>
      </c>
      <c r="AE128" s="521">
        <f t="shared" si="65"/>
        <v>86.014869481157845</v>
      </c>
      <c r="AF128" s="521">
        <f t="shared" si="65"/>
        <v>85.708589672609207</v>
      </c>
      <c r="AG128" s="521">
        <f t="shared" si="65"/>
        <v>85.401383985383958</v>
      </c>
      <c r="AH128" s="521">
        <f t="shared" si="65"/>
        <v>85.095260877276161</v>
      </c>
      <c r="AI128" s="521">
        <f t="shared" si="65"/>
        <v>84.788407292957842</v>
      </c>
      <c r="AJ128" s="521">
        <f t="shared" si="65"/>
        <v>84.48248254627299</v>
      </c>
      <c r="AK128" s="521">
        <f t="shared" si="65"/>
        <v>84.176255922780513</v>
      </c>
      <c r="AL128" s="521">
        <f t="shared" si="65"/>
        <v>83.87002980361261</v>
      </c>
      <c r="AM128" s="521">
        <f t="shared" si="65"/>
        <v>83.566964003619859</v>
      </c>
      <c r="AN128" s="521">
        <f t="shared" si="65"/>
        <v>83.263903946081427</v>
      </c>
      <c r="AO128" s="521">
        <f t="shared" si="65"/>
        <v>82.960849638339482</v>
      </c>
      <c r="AP128" s="521">
        <f t="shared" si="65"/>
        <v>82.657801087745469</v>
      </c>
      <c r="AQ128" s="521">
        <f t="shared" si="65"/>
        <v>82.354758301660269</v>
      </c>
      <c r="AR128" s="521">
        <f t="shared" si="65"/>
        <v>82.0517212874542</v>
      </c>
      <c r="AS128" s="521">
        <f t="shared" si="65"/>
        <v>81.748690052506987</v>
      </c>
      <c r="AT128" s="521">
        <f t="shared" si="65"/>
        <v>81.445664604207764</v>
      </c>
      <c r="AU128" s="521">
        <f t="shared" si="65"/>
        <v>81.142644949955155</v>
      </c>
      <c r="AV128" s="437"/>
      <c r="AW128" s="437"/>
      <c r="AX128" s="437"/>
      <c r="AY128" s="437"/>
      <c r="AZ128" s="437"/>
    </row>
    <row r="129" spans="2:52">
      <c r="B129" s="437"/>
      <c r="C129" s="437"/>
      <c r="D129" s="516"/>
      <c r="E129" s="516" t="s">
        <v>484</v>
      </c>
      <c r="F129" s="519" t="s">
        <v>853</v>
      </c>
      <c r="G129" s="520">
        <f t="shared" ref="G129:AU130" si="66">G128+$E$183</f>
        <v>169.073753033598</v>
      </c>
      <c r="H129" s="520">
        <f t="shared" si="66"/>
        <v>181.073753033598</v>
      </c>
      <c r="I129" s="520">
        <f t="shared" si="66"/>
        <v>197.87375303359798</v>
      </c>
      <c r="J129" s="520">
        <f t="shared" si="66"/>
        <v>186.87375303359801</v>
      </c>
      <c r="K129" s="520">
        <f t="shared" si="66"/>
        <v>177.17375303359799</v>
      </c>
      <c r="L129" s="520">
        <f t="shared" si="66"/>
        <v>140.67375303359799</v>
      </c>
      <c r="M129" s="520">
        <f t="shared" si="66"/>
        <v>137.67375303359799</v>
      </c>
      <c r="N129" s="520">
        <f t="shared" si="66"/>
        <v>141.87375303359801</v>
      </c>
      <c r="O129" s="521">
        <f t="shared" si="66"/>
        <v>165.17482882832152</v>
      </c>
      <c r="P129" s="521">
        <f t="shared" si="66"/>
        <v>159.26071664907036</v>
      </c>
      <c r="Q129" s="521">
        <f t="shared" si="66"/>
        <v>157.78077812014482</v>
      </c>
      <c r="R129" s="521">
        <f t="shared" si="66"/>
        <v>135.79669270878142</v>
      </c>
      <c r="S129" s="521">
        <f t="shared" si="66"/>
        <v>139.20519157948544</v>
      </c>
      <c r="T129" s="521">
        <f t="shared" si="66"/>
        <v>141.52827547464079</v>
      </c>
      <c r="U129" s="521">
        <f t="shared" si="66"/>
        <v>143.22648461960594</v>
      </c>
      <c r="V129" s="521">
        <f t="shared" si="66"/>
        <v>144.46296244613413</v>
      </c>
      <c r="W129" s="521">
        <f t="shared" si="66"/>
        <v>145.82842578444325</v>
      </c>
      <c r="X129" s="521">
        <f t="shared" si="66"/>
        <v>147.16656455128788</v>
      </c>
      <c r="Y129" s="521">
        <f t="shared" si="66"/>
        <v>148.39768584832805</v>
      </c>
      <c r="Z129" s="521">
        <f t="shared" si="66"/>
        <v>149.69043773526113</v>
      </c>
      <c r="AA129" s="521">
        <f t="shared" si="66"/>
        <v>150.91362763619856</v>
      </c>
      <c r="AB129" s="521">
        <f t="shared" si="66"/>
        <v>150.6074838739957</v>
      </c>
      <c r="AC129" s="521">
        <f t="shared" si="66"/>
        <v>150.30060792749632</v>
      </c>
      <c r="AD129" s="521">
        <f t="shared" si="66"/>
        <v>149.9949990197693</v>
      </c>
      <c r="AE129" s="521">
        <f t="shared" si="66"/>
        <v>149.68862251475585</v>
      </c>
      <c r="AF129" s="521">
        <f t="shared" si="66"/>
        <v>149.3823427062072</v>
      </c>
      <c r="AG129" s="521">
        <f t="shared" si="66"/>
        <v>149.07513701898196</v>
      </c>
      <c r="AH129" s="521">
        <f t="shared" si="66"/>
        <v>148.76901391087415</v>
      </c>
      <c r="AI129" s="521">
        <f t="shared" si="66"/>
        <v>148.46216032655585</v>
      </c>
      <c r="AJ129" s="521">
        <f t="shared" si="66"/>
        <v>148.15623557987098</v>
      </c>
      <c r="AK129" s="521">
        <f t="shared" si="66"/>
        <v>147.8500089563785</v>
      </c>
      <c r="AL129" s="521">
        <f t="shared" si="66"/>
        <v>147.54378283721061</v>
      </c>
      <c r="AM129" s="521">
        <f t="shared" si="66"/>
        <v>147.24071703721785</v>
      </c>
      <c r="AN129" s="521">
        <f t="shared" si="66"/>
        <v>146.93765697967942</v>
      </c>
      <c r="AO129" s="521">
        <f t="shared" si="66"/>
        <v>146.63460267193747</v>
      </c>
      <c r="AP129" s="521">
        <f t="shared" si="66"/>
        <v>146.33155412134346</v>
      </c>
      <c r="AQ129" s="521">
        <f t="shared" si="66"/>
        <v>146.02851133525826</v>
      </c>
      <c r="AR129" s="521">
        <f t="shared" si="66"/>
        <v>145.72547432105219</v>
      </c>
      <c r="AS129" s="521">
        <f t="shared" si="66"/>
        <v>145.42244308610498</v>
      </c>
      <c r="AT129" s="521">
        <f t="shared" si="66"/>
        <v>145.11941763780575</v>
      </c>
      <c r="AU129" s="521">
        <f t="shared" si="66"/>
        <v>144.81639798355314</v>
      </c>
      <c r="AV129" s="437"/>
      <c r="AW129" s="437"/>
      <c r="AX129" s="437"/>
      <c r="AY129" s="437"/>
      <c r="AZ129" s="437"/>
    </row>
    <row r="130" spans="2:52">
      <c r="B130" s="437"/>
      <c r="C130" s="437"/>
      <c r="D130" s="516"/>
      <c r="E130" s="516" t="s">
        <v>486</v>
      </c>
      <c r="F130" s="519" t="s">
        <v>853</v>
      </c>
      <c r="G130" s="520">
        <f>G129*1.1</f>
        <v>185.98112833695782</v>
      </c>
      <c r="H130" s="520">
        <f t="shared" si="66"/>
        <v>244.74750606719599</v>
      </c>
      <c r="I130" s="520">
        <f t="shared" si="66"/>
        <v>261.54750606719597</v>
      </c>
      <c r="J130" s="520">
        <f t="shared" si="66"/>
        <v>250.547506067196</v>
      </c>
      <c r="K130" s="520">
        <f t="shared" si="66"/>
        <v>240.84750606719598</v>
      </c>
      <c r="L130" s="520">
        <f t="shared" si="66"/>
        <v>204.34750606719598</v>
      </c>
      <c r="M130" s="520">
        <f t="shared" si="66"/>
        <v>201.34750606719598</v>
      </c>
      <c r="N130" s="520">
        <f t="shared" si="66"/>
        <v>205.547506067196</v>
      </c>
      <c r="O130" s="521">
        <f t="shared" si="66"/>
        <v>228.84858186191951</v>
      </c>
      <c r="P130" s="521">
        <f t="shared" si="66"/>
        <v>222.93446968266835</v>
      </c>
      <c r="Q130" s="521">
        <f t="shared" si="66"/>
        <v>221.45453115374281</v>
      </c>
      <c r="R130" s="521">
        <f t="shared" si="66"/>
        <v>199.47044574237941</v>
      </c>
      <c r="S130" s="521">
        <f t="shared" si="66"/>
        <v>202.87894461308343</v>
      </c>
      <c r="T130" s="521">
        <f t="shared" si="66"/>
        <v>205.20202850823878</v>
      </c>
      <c r="U130" s="521">
        <f t="shared" si="66"/>
        <v>206.90023765320393</v>
      </c>
      <c r="V130" s="521">
        <f t="shared" si="66"/>
        <v>208.13671547973212</v>
      </c>
      <c r="W130" s="521">
        <f t="shared" si="66"/>
        <v>209.50217881804124</v>
      </c>
      <c r="X130" s="521">
        <f t="shared" si="66"/>
        <v>210.84031758488587</v>
      </c>
      <c r="Y130" s="521">
        <f t="shared" si="66"/>
        <v>212.07143888192604</v>
      </c>
      <c r="Z130" s="521">
        <f t="shared" si="66"/>
        <v>213.36419076885912</v>
      </c>
      <c r="AA130" s="521">
        <f t="shared" si="66"/>
        <v>214.58738066979654</v>
      </c>
      <c r="AB130" s="521">
        <f t="shared" si="66"/>
        <v>214.28123690759369</v>
      </c>
      <c r="AC130" s="521">
        <f t="shared" si="66"/>
        <v>213.97436096109431</v>
      </c>
      <c r="AD130" s="521">
        <f t="shared" si="66"/>
        <v>213.66875205336729</v>
      </c>
      <c r="AE130" s="521">
        <f t="shared" si="66"/>
        <v>213.36237554835384</v>
      </c>
      <c r="AF130" s="521">
        <f t="shared" si="66"/>
        <v>213.05609573980519</v>
      </c>
      <c r="AG130" s="521">
        <f t="shared" si="66"/>
        <v>212.74889005257995</v>
      </c>
      <c r="AH130" s="521">
        <f t="shared" si="66"/>
        <v>212.44276694447214</v>
      </c>
      <c r="AI130" s="521">
        <f t="shared" si="66"/>
        <v>212.13591336015384</v>
      </c>
      <c r="AJ130" s="521">
        <f t="shared" si="66"/>
        <v>211.82998861346897</v>
      </c>
      <c r="AK130" s="521">
        <f t="shared" si="66"/>
        <v>211.52376198997649</v>
      </c>
      <c r="AL130" s="521">
        <f t="shared" si="66"/>
        <v>211.2175358708086</v>
      </c>
      <c r="AM130" s="521">
        <f t="shared" si="66"/>
        <v>210.91447007081584</v>
      </c>
      <c r="AN130" s="521">
        <f t="shared" si="66"/>
        <v>210.61141001327741</v>
      </c>
      <c r="AO130" s="521">
        <f t="shared" si="66"/>
        <v>210.30835570553546</v>
      </c>
      <c r="AP130" s="521">
        <f t="shared" si="66"/>
        <v>210.00530715494145</v>
      </c>
      <c r="AQ130" s="521">
        <f t="shared" si="66"/>
        <v>209.70226436885625</v>
      </c>
      <c r="AR130" s="521">
        <f t="shared" si="66"/>
        <v>209.39922735465018</v>
      </c>
      <c r="AS130" s="521">
        <f t="shared" si="66"/>
        <v>209.09619611970297</v>
      </c>
      <c r="AT130" s="521">
        <f t="shared" si="66"/>
        <v>208.79317067140374</v>
      </c>
      <c r="AU130" s="521">
        <f t="shared" si="66"/>
        <v>208.49015101715113</v>
      </c>
      <c r="AV130" s="437"/>
      <c r="AW130" s="437"/>
      <c r="AX130" s="437"/>
      <c r="AY130" s="437"/>
      <c r="AZ130" s="437"/>
    </row>
    <row r="131" spans="2:52">
      <c r="B131" s="437"/>
      <c r="C131" s="437"/>
      <c r="D131" s="516"/>
      <c r="E131" s="516" t="s">
        <v>589</v>
      </c>
      <c r="F131" s="519" t="s">
        <v>853</v>
      </c>
      <c r="G131" s="520">
        <f>G130</f>
        <v>185.98112833695782</v>
      </c>
      <c r="H131" s="520">
        <f t="shared" ref="H131:AU131" si="67">H130</f>
        <v>244.74750606719599</v>
      </c>
      <c r="I131" s="520">
        <f t="shared" si="67"/>
        <v>261.54750606719597</v>
      </c>
      <c r="J131" s="520">
        <f t="shared" si="67"/>
        <v>250.547506067196</v>
      </c>
      <c r="K131" s="520">
        <f t="shared" si="67"/>
        <v>240.84750606719598</v>
      </c>
      <c r="L131" s="520">
        <f t="shared" si="67"/>
        <v>204.34750606719598</v>
      </c>
      <c r="M131" s="520">
        <f t="shared" si="67"/>
        <v>201.34750606719598</v>
      </c>
      <c r="N131" s="520">
        <f t="shared" si="67"/>
        <v>205.547506067196</v>
      </c>
      <c r="O131" s="521">
        <f t="shared" si="67"/>
        <v>228.84858186191951</v>
      </c>
      <c r="P131" s="521">
        <f t="shared" si="67"/>
        <v>222.93446968266835</v>
      </c>
      <c r="Q131" s="521">
        <f t="shared" si="67"/>
        <v>221.45453115374281</v>
      </c>
      <c r="R131" s="521">
        <f t="shared" si="67"/>
        <v>199.47044574237941</v>
      </c>
      <c r="S131" s="521">
        <f t="shared" si="67"/>
        <v>202.87894461308343</v>
      </c>
      <c r="T131" s="521">
        <f t="shared" si="67"/>
        <v>205.20202850823878</v>
      </c>
      <c r="U131" s="521">
        <f t="shared" si="67"/>
        <v>206.90023765320393</v>
      </c>
      <c r="V131" s="521">
        <f t="shared" si="67"/>
        <v>208.13671547973212</v>
      </c>
      <c r="W131" s="521">
        <f t="shared" si="67"/>
        <v>209.50217881804124</v>
      </c>
      <c r="X131" s="521">
        <f t="shared" si="67"/>
        <v>210.84031758488587</v>
      </c>
      <c r="Y131" s="521">
        <f t="shared" si="67"/>
        <v>212.07143888192604</v>
      </c>
      <c r="Z131" s="521">
        <f t="shared" si="67"/>
        <v>213.36419076885912</v>
      </c>
      <c r="AA131" s="521">
        <f t="shared" si="67"/>
        <v>214.58738066979654</v>
      </c>
      <c r="AB131" s="521">
        <f t="shared" si="67"/>
        <v>214.28123690759369</v>
      </c>
      <c r="AC131" s="521">
        <f t="shared" si="67"/>
        <v>213.97436096109431</v>
      </c>
      <c r="AD131" s="521">
        <f t="shared" si="67"/>
        <v>213.66875205336729</v>
      </c>
      <c r="AE131" s="521">
        <f t="shared" si="67"/>
        <v>213.36237554835384</v>
      </c>
      <c r="AF131" s="521">
        <f t="shared" si="67"/>
        <v>213.05609573980519</v>
      </c>
      <c r="AG131" s="521">
        <f t="shared" si="67"/>
        <v>212.74889005257995</v>
      </c>
      <c r="AH131" s="521">
        <f t="shared" si="67"/>
        <v>212.44276694447214</v>
      </c>
      <c r="AI131" s="521">
        <f t="shared" si="67"/>
        <v>212.13591336015384</v>
      </c>
      <c r="AJ131" s="521">
        <f t="shared" si="67"/>
        <v>211.82998861346897</v>
      </c>
      <c r="AK131" s="521">
        <f t="shared" si="67"/>
        <v>211.52376198997649</v>
      </c>
      <c r="AL131" s="521">
        <f t="shared" si="67"/>
        <v>211.2175358708086</v>
      </c>
      <c r="AM131" s="521">
        <f t="shared" si="67"/>
        <v>210.91447007081584</v>
      </c>
      <c r="AN131" s="521">
        <f t="shared" si="67"/>
        <v>210.61141001327741</v>
      </c>
      <c r="AO131" s="521">
        <f t="shared" si="67"/>
        <v>210.30835570553546</v>
      </c>
      <c r="AP131" s="521">
        <f t="shared" si="67"/>
        <v>210.00530715494145</v>
      </c>
      <c r="AQ131" s="521">
        <f t="shared" si="67"/>
        <v>209.70226436885625</v>
      </c>
      <c r="AR131" s="521">
        <f t="shared" si="67"/>
        <v>209.39922735465018</v>
      </c>
      <c r="AS131" s="521">
        <f t="shared" si="67"/>
        <v>209.09619611970297</v>
      </c>
      <c r="AT131" s="521">
        <f t="shared" si="67"/>
        <v>208.79317067140374</v>
      </c>
      <c r="AU131" s="521">
        <f t="shared" si="67"/>
        <v>208.49015101715113</v>
      </c>
      <c r="AV131" s="437"/>
      <c r="AW131" s="437"/>
      <c r="AX131" s="437"/>
      <c r="AY131" s="437"/>
      <c r="AZ131" s="437"/>
    </row>
    <row r="132" spans="2:52">
      <c r="B132" s="437"/>
      <c r="C132" s="437"/>
      <c r="D132" s="516"/>
      <c r="E132" s="516" t="s">
        <v>663</v>
      </c>
      <c r="F132" s="519" t="s">
        <v>853</v>
      </c>
      <c r="G132" s="520">
        <f>G130*2</f>
        <v>371.96225667391565</v>
      </c>
      <c r="H132" s="520">
        <f t="shared" ref="H132:AU132" si="68">H130*2</f>
        <v>489.49501213439197</v>
      </c>
      <c r="I132" s="520">
        <f t="shared" si="68"/>
        <v>523.09501213439194</v>
      </c>
      <c r="J132" s="520">
        <f t="shared" si="68"/>
        <v>501.09501213439199</v>
      </c>
      <c r="K132" s="520">
        <f t="shared" si="68"/>
        <v>481.69501213439196</v>
      </c>
      <c r="L132" s="520">
        <f t="shared" si="68"/>
        <v>408.69501213439196</v>
      </c>
      <c r="M132" s="520">
        <f t="shared" si="68"/>
        <v>402.69501213439196</v>
      </c>
      <c r="N132" s="520">
        <f t="shared" si="68"/>
        <v>411.09501213439199</v>
      </c>
      <c r="O132" s="521">
        <f t="shared" si="68"/>
        <v>457.69716372383903</v>
      </c>
      <c r="P132" s="521">
        <f t="shared" si="68"/>
        <v>445.8689393653367</v>
      </c>
      <c r="Q132" s="521">
        <f t="shared" si="68"/>
        <v>442.90906230748561</v>
      </c>
      <c r="R132" s="521">
        <f t="shared" si="68"/>
        <v>398.94089148475882</v>
      </c>
      <c r="S132" s="521">
        <f t="shared" si="68"/>
        <v>405.75788922616687</v>
      </c>
      <c r="T132" s="521">
        <f t="shared" si="68"/>
        <v>410.40405701647757</v>
      </c>
      <c r="U132" s="521">
        <f t="shared" si="68"/>
        <v>413.80047530640786</v>
      </c>
      <c r="V132" s="521">
        <f t="shared" si="68"/>
        <v>416.27343095946424</v>
      </c>
      <c r="W132" s="521">
        <f t="shared" si="68"/>
        <v>419.00435763608249</v>
      </c>
      <c r="X132" s="521">
        <f t="shared" si="68"/>
        <v>421.68063516977173</v>
      </c>
      <c r="Y132" s="521">
        <f t="shared" si="68"/>
        <v>424.14287776385208</v>
      </c>
      <c r="Z132" s="521">
        <f t="shared" si="68"/>
        <v>426.72838153771823</v>
      </c>
      <c r="AA132" s="521">
        <f t="shared" si="68"/>
        <v>429.17476133959309</v>
      </c>
      <c r="AB132" s="521">
        <f t="shared" si="68"/>
        <v>428.56247381518739</v>
      </c>
      <c r="AC132" s="521">
        <f t="shared" si="68"/>
        <v>427.94872192218861</v>
      </c>
      <c r="AD132" s="521">
        <f t="shared" si="68"/>
        <v>427.33750410673457</v>
      </c>
      <c r="AE132" s="521">
        <f t="shared" si="68"/>
        <v>426.72475109670768</v>
      </c>
      <c r="AF132" s="521">
        <f t="shared" si="68"/>
        <v>426.11219147961037</v>
      </c>
      <c r="AG132" s="521">
        <f t="shared" si="68"/>
        <v>425.4977801051599</v>
      </c>
      <c r="AH132" s="521">
        <f t="shared" si="68"/>
        <v>424.88553388894428</v>
      </c>
      <c r="AI132" s="521">
        <f t="shared" si="68"/>
        <v>424.27182672030767</v>
      </c>
      <c r="AJ132" s="521">
        <f t="shared" si="68"/>
        <v>423.65997722693794</v>
      </c>
      <c r="AK132" s="521">
        <f t="shared" si="68"/>
        <v>423.04752397995298</v>
      </c>
      <c r="AL132" s="521">
        <f t="shared" si="68"/>
        <v>422.43507174161721</v>
      </c>
      <c r="AM132" s="521">
        <f t="shared" si="68"/>
        <v>421.82894014163168</v>
      </c>
      <c r="AN132" s="521">
        <f t="shared" si="68"/>
        <v>421.22282002655481</v>
      </c>
      <c r="AO132" s="521">
        <f t="shared" si="68"/>
        <v>420.61671141107092</v>
      </c>
      <c r="AP132" s="521">
        <f t="shared" si="68"/>
        <v>420.0106143098829</v>
      </c>
      <c r="AQ132" s="521">
        <f t="shared" si="68"/>
        <v>419.4045287377125</v>
      </c>
      <c r="AR132" s="521">
        <f t="shared" si="68"/>
        <v>418.79845470930036</v>
      </c>
      <c r="AS132" s="521">
        <f t="shared" si="68"/>
        <v>418.19239223940593</v>
      </c>
      <c r="AT132" s="521">
        <f t="shared" si="68"/>
        <v>417.58634134280749</v>
      </c>
      <c r="AU132" s="521">
        <f t="shared" si="68"/>
        <v>416.98030203430227</v>
      </c>
      <c r="AV132" s="437"/>
      <c r="AW132" s="437"/>
      <c r="AX132" s="437"/>
      <c r="AY132" s="437"/>
      <c r="AZ132" s="437"/>
    </row>
    <row r="133" spans="2:52">
      <c r="B133" s="437"/>
      <c r="C133" s="437"/>
      <c r="D133" s="516"/>
      <c r="E133" s="516" t="s">
        <v>77</v>
      </c>
      <c r="F133" s="519" t="s">
        <v>853</v>
      </c>
      <c r="G133" s="520">
        <f>G219</f>
        <v>76.5</v>
      </c>
      <c r="H133" s="520">
        <f t="shared" ref="H133:N133" si="69">H219</f>
        <v>112.4</v>
      </c>
      <c r="I133" s="520">
        <f t="shared" si="69"/>
        <v>116.3</v>
      </c>
      <c r="J133" s="520">
        <f t="shared" si="69"/>
        <v>118.6</v>
      </c>
      <c r="K133" s="520">
        <f t="shared" si="69"/>
        <v>110.1</v>
      </c>
      <c r="L133" s="520">
        <f t="shared" si="69"/>
        <v>73.5</v>
      </c>
      <c r="M133" s="520">
        <f t="shared" si="69"/>
        <v>70.599999999999994</v>
      </c>
      <c r="N133" s="520">
        <f t="shared" si="69"/>
        <v>74.7</v>
      </c>
      <c r="O133" s="521">
        <f>VLOOKUP(O$120,$C$284:$O$316,9)</f>
        <v>99.501075794723519</v>
      </c>
      <c r="P133" s="521">
        <f t="shared" ref="P133:AU133" si="70">VLOOKUP(P$120,$C$284:$O$316,9)</f>
        <v>92.996963615472367</v>
      </c>
      <c r="Q133" s="521">
        <f t="shared" si="70"/>
        <v>91.517025086546809</v>
      </c>
      <c r="R133" s="521">
        <f t="shared" si="70"/>
        <v>69.532939675183428</v>
      </c>
      <c r="S133" s="521">
        <f t="shared" si="70"/>
        <v>72.941438545887451</v>
      </c>
      <c r="T133" s="521">
        <f t="shared" si="70"/>
        <v>75.264522441042786</v>
      </c>
      <c r="U133" s="521">
        <f t="shared" si="70"/>
        <v>76.962731586007934</v>
      </c>
      <c r="V133" s="521">
        <f t="shared" si="70"/>
        <v>78.199209412536121</v>
      </c>
      <c r="W133" s="521">
        <f t="shared" si="70"/>
        <v>79.564672750845261</v>
      </c>
      <c r="X133" s="521">
        <f t="shared" si="70"/>
        <v>80.902811517689884</v>
      </c>
      <c r="Y133" s="521">
        <f t="shared" si="70"/>
        <v>82.133932814730045</v>
      </c>
      <c r="Z133" s="521">
        <f t="shared" si="70"/>
        <v>83.42668470166312</v>
      </c>
      <c r="AA133" s="521">
        <f t="shared" si="70"/>
        <v>84.649874602600562</v>
      </c>
      <c r="AB133" s="521">
        <f t="shared" si="70"/>
        <v>84.343730840397711</v>
      </c>
      <c r="AC133" s="521">
        <f t="shared" si="70"/>
        <v>84.036854893898322</v>
      </c>
      <c r="AD133" s="521">
        <f t="shared" si="70"/>
        <v>83.731245986171288</v>
      </c>
      <c r="AE133" s="521">
        <f t="shared" si="70"/>
        <v>83.424869481157842</v>
      </c>
      <c r="AF133" s="521">
        <f t="shared" si="70"/>
        <v>83.118589672609204</v>
      </c>
      <c r="AG133" s="521">
        <f t="shared" si="70"/>
        <v>82.811383985383955</v>
      </c>
      <c r="AH133" s="521">
        <f t="shared" si="70"/>
        <v>82.505260877276157</v>
      </c>
      <c r="AI133" s="521">
        <f t="shared" si="70"/>
        <v>82.198407292957839</v>
      </c>
      <c r="AJ133" s="521">
        <f t="shared" si="70"/>
        <v>81.892482546272987</v>
      </c>
      <c r="AK133" s="521">
        <f t="shared" si="70"/>
        <v>81.586255922780509</v>
      </c>
      <c r="AL133" s="521">
        <f t="shared" si="70"/>
        <v>81.280029803612607</v>
      </c>
      <c r="AM133" s="521">
        <f t="shared" si="70"/>
        <v>80.976964003619855</v>
      </c>
      <c r="AN133" s="521">
        <f t="shared" si="70"/>
        <v>80.673903946081424</v>
      </c>
      <c r="AO133" s="521">
        <f t="shared" si="70"/>
        <v>80.370849638339479</v>
      </c>
      <c r="AP133" s="521">
        <f t="shared" si="70"/>
        <v>80.067801087745465</v>
      </c>
      <c r="AQ133" s="521">
        <f t="shared" si="70"/>
        <v>79.764758301660265</v>
      </c>
      <c r="AR133" s="521">
        <f t="shared" si="70"/>
        <v>79.461721287454196</v>
      </c>
      <c r="AS133" s="521">
        <f t="shared" si="70"/>
        <v>79.158690052506984</v>
      </c>
      <c r="AT133" s="521">
        <f t="shared" si="70"/>
        <v>78.85566460420776</v>
      </c>
      <c r="AU133" s="521">
        <f t="shared" si="70"/>
        <v>78.552644949955152</v>
      </c>
      <c r="AV133" s="437"/>
      <c r="AW133" s="437"/>
      <c r="AX133" s="437"/>
      <c r="AY133" s="437"/>
      <c r="AZ133" s="437"/>
    </row>
    <row r="134" spans="2:52">
      <c r="B134" s="437"/>
      <c r="C134" s="437"/>
      <c r="D134" s="516"/>
      <c r="E134" s="516" t="s">
        <v>476</v>
      </c>
      <c r="F134" s="519" t="s">
        <v>853</v>
      </c>
      <c r="G134" s="520">
        <f t="shared" ref="G134:AU134" si="71">G133*$E$179</f>
        <v>229.5</v>
      </c>
      <c r="H134" s="520">
        <f t="shared" si="71"/>
        <v>337.20000000000005</v>
      </c>
      <c r="I134" s="520">
        <f t="shared" si="71"/>
        <v>348.9</v>
      </c>
      <c r="J134" s="520">
        <f t="shared" si="71"/>
        <v>355.79999999999995</v>
      </c>
      <c r="K134" s="520">
        <f t="shared" si="71"/>
        <v>330.29999999999995</v>
      </c>
      <c r="L134" s="520">
        <f t="shared" si="71"/>
        <v>220.5</v>
      </c>
      <c r="M134" s="520">
        <f t="shared" si="71"/>
        <v>211.79999999999998</v>
      </c>
      <c r="N134" s="520">
        <f t="shared" si="71"/>
        <v>224.10000000000002</v>
      </c>
      <c r="O134" s="521">
        <f t="shared" si="71"/>
        <v>298.50322738417054</v>
      </c>
      <c r="P134" s="521">
        <f t="shared" si="71"/>
        <v>278.99089084641707</v>
      </c>
      <c r="Q134" s="521">
        <f t="shared" si="71"/>
        <v>274.55107525964041</v>
      </c>
      <c r="R134" s="521">
        <f t="shared" si="71"/>
        <v>208.59881902555028</v>
      </c>
      <c r="S134" s="521">
        <f t="shared" si="71"/>
        <v>218.82431563766235</v>
      </c>
      <c r="T134" s="521">
        <f t="shared" si="71"/>
        <v>225.79356732312834</v>
      </c>
      <c r="U134" s="521">
        <f t="shared" si="71"/>
        <v>230.88819475802381</v>
      </c>
      <c r="V134" s="521">
        <f t="shared" si="71"/>
        <v>234.59762823760838</v>
      </c>
      <c r="W134" s="521">
        <f t="shared" si="71"/>
        <v>238.69401825253578</v>
      </c>
      <c r="X134" s="521">
        <f t="shared" si="71"/>
        <v>242.70843455306965</v>
      </c>
      <c r="Y134" s="521">
        <f t="shared" si="71"/>
        <v>246.40179844419015</v>
      </c>
      <c r="Z134" s="521">
        <f t="shared" si="71"/>
        <v>250.28005410498935</v>
      </c>
      <c r="AA134" s="521">
        <f t="shared" si="71"/>
        <v>253.94962380780169</v>
      </c>
      <c r="AB134" s="521">
        <f t="shared" si="71"/>
        <v>253.03119252119313</v>
      </c>
      <c r="AC134" s="521">
        <f t="shared" si="71"/>
        <v>252.11056468169497</v>
      </c>
      <c r="AD134" s="521">
        <f t="shared" si="71"/>
        <v>251.19373795851385</v>
      </c>
      <c r="AE134" s="521">
        <f t="shared" si="71"/>
        <v>250.27460844347354</v>
      </c>
      <c r="AF134" s="521">
        <f t="shared" si="71"/>
        <v>249.35576901782761</v>
      </c>
      <c r="AG134" s="521">
        <f t="shared" si="71"/>
        <v>248.43415195615188</v>
      </c>
      <c r="AH134" s="521">
        <f t="shared" si="71"/>
        <v>247.51578263182847</v>
      </c>
      <c r="AI134" s="521">
        <f t="shared" si="71"/>
        <v>246.59522187887353</v>
      </c>
      <c r="AJ134" s="521">
        <f t="shared" si="71"/>
        <v>245.67744763881896</v>
      </c>
      <c r="AK134" s="521">
        <f t="shared" si="71"/>
        <v>244.75876776834153</v>
      </c>
      <c r="AL134" s="521">
        <f t="shared" si="71"/>
        <v>243.84008941083783</v>
      </c>
      <c r="AM134" s="521">
        <f t="shared" si="71"/>
        <v>242.93089201085957</v>
      </c>
      <c r="AN134" s="521">
        <f t="shared" si="71"/>
        <v>242.02171183824427</v>
      </c>
      <c r="AO134" s="521">
        <f t="shared" si="71"/>
        <v>241.11254891501844</v>
      </c>
      <c r="AP134" s="521">
        <f t="shared" si="71"/>
        <v>240.2034032632364</v>
      </c>
      <c r="AQ134" s="521">
        <f t="shared" si="71"/>
        <v>239.2942749049808</v>
      </c>
      <c r="AR134" s="521">
        <f t="shared" si="71"/>
        <v>238.38516386236259</v>
      </c>
      <c r="AS134" s="521">
        <f t="shared" si="71"/>
        <v>237.47607015752095</v>
      </c>
      <c r="AT134" s="521">
        <f t="shared" si="71"/>
        <v>236.56699381262328</v>
      </c>
      <c r="AU134" s="521">
        <f t="shared" si="71"/>
        <v>235.65793484986546</v>
      </c>
      <c r="AV134" s="437"/>
      <c r="AW134" s="437"/>
      <c r="AX134" s="437"/>
      <c r="AY134" s="437"/>
      <c r="AZ134" s="437"/>
    </row>
    <row r="135" spans="2:52">
      <c r="B135" s="437"/>
      <c r="C135" s="437"/>
      <c r="D135" s="516"/>
      <c r="E135" s="516" t="s">
        <v>478</v>
      </c>
      <c r="F135" s="519" t="s">
        <v>853</v>
      </c>
      <c r="G135" s="520">
        <f>G134*1.1</f>
        <v>252.45000000000002</v>
      </c>
      <c r="H135" s="520">
        <f t="shared" ref="H135:AU135" si="72">H134+$E$183</f>
        <v>400.87375303359806</v>
      </c>
      <c r="I135" s="520">
        <f t="shared" si="72"/>
        <v>412.573753033598</v>
      </c>
      <c r="J135" s="520">
        <f t="shared" si="72"/>
        <v>419.47375303359797</v>
      </c>
      <c r="K135" s="520">
        <f t="shared" si="72"/>
        <v>393.97375303359797</v>
      </c>
      <c r="L135" s="520">
        <f t="shared" si="72"/>
        <v>284.17375303359802</v>
      </c>
      <c r="M135" s="520">
        <f t="shared" si="72"/>
        <v>275.47375303359797</v>
      </c>
      <c r="N135" s="520">
        <f t="shared" si="72"/>
        <v>287.77375303359804</v>
      </c>
      <c r="O135" s="521">
        <f t="shared" si="72"/>
        <v>362.17698041776856</v>
      </c>
      <c r="P135" s="521">
        <f t="shared" si="72"/>
        <v>342.66464388001509</v>
      </c>
      <c r="Q135" s="521">
        <f t="shared" si="72"/>
        <v>338.22482829323843</v>
      </c>
      <c r="R135" s="521">
        <f t="shared" si="72"/>
        <v>272.27257205914827</v>
      </c>
      <c r="S135" s="521">
        <f t="shared" si="72"/>
        <v>282.49806867126034</v>
      </c>
      <c r="T135" s="521">
        <f t="shared" si="72"/>
        <v>289.46732035672636</v>
      </c>
      <c r="U135" s="521">
        <f t="shared" si="72"/>
        <v>294.56194779162183</v>
      </c>
      <c r="V135" s="521">
        <f t="shared" si="72"/>
        <v>298.27138127120639</v>
      </c>
      <c r="W135" s="521">
        <f t="shared" si="72"/>
        <v>302.3677712861338</v>
      </c>
      <c r="X135" s="521">
        <f t="shared" si="72"/>
        <v>306.38218758666767</v>
      </c>
      <c r="Y135" s="521">
        <f t="shared" si="72"/>
        <v>310.07555147778817</v>
      </c>
      <c r="Z135" s="521">
        <f t="shared" si="72"/>
        <v>313.95380713858736</v>
      </c>
      <c r="AA135" s="521">
        <f t="shared" si="72"/>
        <v>317.6233768413997</v>
      </c>
      <c r="AB135" s="521">
        <f t="shared" si="72"/>
        <v>316.70494555479115</v>
      </c>
      <c r="AC135" s="521">
        <f t="shared" si="72"/>
        <v>315.78431771529296</v>
      </c>
      <c r="AD135" s="521">
        <f t="shared" si="72"/>
        <v>314.86749099211187</v>
      </c>
      <c r="AE135" s="521">
        <f t="shared" si="72"/>
        <v>313.94836147707156</v>
      </c>
      <c r="AF135" s="521">
        <f t="shared" si="72"/>
        <v>313.0295220514256</v>
      </c>
      <c r="AG135" s="521">
        <f t="shared" si="72"/>
        <v>312.1079049897499</v>
      </c>
      <c r="AH135" s="521">
        <f t="shared" si="72"/>
        <v>311.18953566542649</v>
      </c>
      <c r="AI135" s="521">
        <f t="shared" si="72"/>
        <v>310.26897491247155</v>
      </c>
      <c r="AJ135" s="521">
        <f t="shared" si="72"/>
        <v>309.35120067241695</v>
      </c>
      <c r="AK135" s="521">
        <f t="shared" si="72"/>
        <v>308.43252080193952</v>
      </c>
      <c r="AL135" s="521">
        <f t="shared" si="72"/>
        <v>307.51384244443585</v>
      </c>
      <c r="AM135" s="521">
        <f t="shared" si="72"/>
        <v>306.60464504445758</v>
      </c>
      <c r="AN135" s="521">
        <f t="shared" si="72"/>
        <v>305.69546487184226</v>
      </c>
      <c r="AO135" s="521">
        <f t="shared" si="72"/>
        <v>304.78630194861643</v>
      </c>
      <c r="AP135" s="521">
        <f t="shared" si="72"/>
        <v>303.87715629683441</v>
      </c>
      <c r="AQ135" s="521">
        <f t="shared" si="72"/>
        <v>302.96802793857881</v>
      </c>
      <c r="AR135" s="521">
        <f t="shared" si="72"/>
        <v>302.05891689596058</v>
      </c>
      <c r="AS135" s="521">
        <f t="shared" si="72"/>
        <v>301.14982319111897</v>
      </c>
      <c r="AT135" s="521">
        <f t="shared" si="72"/>
        <v>300.24074684622127</v>
      </c>
      <c r="AU135" s="521">
        <f t="shared" si="72"/>
        <v>299.33168788346347</v>
      </c>
      <c r="AV135" s="437"/>
      <c r="AW135" s="437"/>
      <c r="AX135" s="437"/>
      <c r="AY135" s="437"/>
      <c r="AZ135" s="437"/>
    </row>
    <row r="136" spans="2:52">
      <c r="B136" s="437"/>
      <c r="C136" s="437"/>
      <c r="D136" s="516"/>
      <c r="E136" s="516" t="s">
        <v>660</v>
      </c>
      <c r="F136" s="519" t="s">
        <v>853</v>
      </c>
      <c r="G136" s="520">
        <f>G135*2</f>
        <v>504.90000000000003</v>
      </c>
      <c r="H136" s="520">
        <f t="shared" ref="H136:AU136" si="73">H135*2</f>
        <v>801.74750606719613</v>
      </c>
      <c r="I136" s="520">
        <f t="shared" si="73"/>
        <v>825.14750606719599</v>
      </c>
      <c r="J136" s="520">
        <f t="shared" si="73"/>
        <v>838.94750606719595</v>
      </c>
      <c r="K136" s="520">
        <f t="shared" si="73"/>
        <v>787.94750606719595</v>
      </c>
      <c r="L136" s="520">
        <f t="shared" si="73"/>
        <v>568.34750606719604</v>
      </c>
      <c r="M136" s="520">
        <f t="shared" si="73"/>
        <v>550.94750606719595</v>
      </c>
      <c r="N136" s="520">
        <f t="shared" si="73"/>
        <v>575.54750606719608</v>
      </c>
      <c r="O136" s="521">
        <f t="shared" si="73"/>
        <v>724.35396083553712</v>
      </c>
      <c r="P136" s="521">
        <f t="shared" si="73"/>
        <v>685.32928776003018</v>
      </c>
      <c r="Q136" s="521">
        <f t="shared" si="73"/>
        <v>676.44965658647686</v>
      </c>
      <c r="R136" s="521">
        <f t="shared" si="73"/>
        <v>544.54514411829655</v>
      </c>
      <c r="S136" s="521">
        <f t="shared" si="73"/>
        <v>564.99613734252068</v>
      </c>
      <c r="T136" s="521">
        <f t="shared" si="73"/>
        <v>578.93464071345272</v>
      </c>
      <c r="U136" s="521">
        <f t="shared" si="73"/>
        <v>589.12389558324367</v>
      </c>
      <c r="V136" s="521">
        <f t="shared" si="73"/>
        <v>596.54276254241279</v>
      </c>
      <c r="W136" s="521">
        <f t="shared" si="73"/>
        <v>604.7355425722676</v>
      </c>
      <c r="X136" s="521">
        <f t="shared" si="73"/>
        <v>612.76437517333534</v>
      </c>
      <c r="Y136" s="521">
        <f t="shared" si="73"/>
        <v>620.15110295557633</v>
      </c>
      <c r="Z136" s="521">
        <f t="shared" si="73"/>
        <v>627.90761427717473</v>
      </c>
      <c r="AA136" s="521">
        <f t="shared" si="73"/>
        <v>635.24675368279941</v>
      </c>
      <c r="AB136" s="521">
        <f t="shared" si="73"/>
        <v>633.4098911095823</v>
      </c>
      <c r="AC136" s="521">
        <f t="shared" si="73"/>
        <v>631.56863543058591</v>
      </c>
      <c r="AD136" s="521">
        <f t="shared" si="73"/>
        <v>629.73498198422374</v>
      </c>
      <c r="AE136" s="521">
        <f t="shared" si="73"/>
        <v>627.89672295414312</v>
      </c>
      <c r="AF136" s="521">
        <f t="shared" si="73"/>
        <v>626.0590441028512</v>
      </c>
      <c r="AG136" s="521">
        <f t="shared" si="73"/>
        <v>624.2158099794998</v>
      </c>
      <c r="AH136" s="521">
        <f t="shared" si="73"/>
        <v>622.37907133085298</v>
      </c>
      <c r="AI136" s="521">
        <f t="shared" si="73"/>
        <v>620.5379498249431</v>
      </c>
      <c r="AJ136" s="521">
        <f t="shared" si="73"/>
        <v>618.7024013448339</v>
      </c>
      <c r="AK136" s="521">
        <f t="shared" si="73"/>
        <v>616.86504160387904</v>
      </c>
      <c r="AL136" s="521">
        <f t="shared" si="73"/>
        <v>615.0276848888717</v>
      </c>
      <c r="AM136" s="521">
        <f t="shared" si="73"/>
        <v>613.20929008891517</v>
      </c>
      <c r="AN136" s="521">
        <f t="shared" si="73"/>
        <v>611.39092974368452</v>
      </c>
      <c r="AO136" s="521">
        <f t="shared" si="73"/>
        <v>609.57260389723285</v>
      </c>
      <c r="AP136" s="521">
        <f t="shared" si="73"/>
        <v>607.75431259366883</v>
      </c>
      <c r="AQ136" s="521">
        <f t="shared" si="73"/>
        <v>605.93605587715763</v>
      </c>
      <c r="AR136" s="521">
        <f t="shared" si="73"/>
        <v>604.11783379192116</v>
      </c>
      <c r="AS136" s="521">
        <f t="shared" si="73"/>
        <v>602.29964638223794</v>
      </c>
      <c r="AT136" s="521">
        <f t="shared" si="73"/>
        <v>600.48149369244254</v>
      </c>
      <c r="AU136" s="521">
        <f t="shared" si="73"/>
        <v>598.66337576692695</v>
      </c>
      <c r="AV136" s="437"/>
      <c r="AW136" s="437"/>
      <c r="AX136" s="437"/>
      <c r="AY136" s="437"/>
      <c r="AZ136" s="437"/>
    </row>
    <row r="137" spans="2:52">
      <c r="B137" s="437"/>
      <c r="C137" s="437"/>
      <c r="D137" s="516" t="s">
        <v>737</v>
      </c>
      <c r="E137" s="516" t="s">
        <v>599</v>
      </c>
      <c r="F137" s="517" t="str">
        <f>F133</f>
        <v>MKr19</v>
      </c>
      <c r="G137" s="520">
        <f>G133</f>
        <v>76.5</v>
      </c>
      <c r="H137" s="520">
        <f t="shared" ref="H137:AU137" si="74">H133</f>
        <v>112.4</v>
      </c>
      <c r="I137" s="520">
        <f t="shared" si="74"/>
        <v>116.3</v>
      </c>
      <c r="J137" s="520">
        <f t="shared" si="74"/>
        <v>118.6</v>
      </c>
      <c r="K137" s="520">
        <f t="shared" si="74"/>
        <v>110.1</v>
      </c>
      <c r="L137" s="520">
        <f t="shared" si="74"/>
        <v>73.5</v>
      </c>
      <c r="M137" s="520">
        <f t="shared" si="74"/>
        <v>70.599999999999994</v>
      </c>
      <c r="N137" s="520">
        <f t="shared" si="74"/>
        <v>74.7</v>
      </c>
      <c r="O137" s="520">
        <f t="shared" si="74"/>
        <v>99.501075794723519</v>
      </c>
      <c r="P137" s="520">
        <f t="shared" si="74"/>
        <v>92.996963615472367</v>
      </c>
      <c r="Q137" s="520">
        <f t="shared" si="74"/>
        <v>91.517025086546809</v>
      </c>
      <c r="R137" s="520">
        <f t="shared" si="74"/>
        <v>69.532939675183428</v>
      </c>
      <c r="S137" s="520">
        <f t="shared" si="74"/>
        <v>72.941438545887451</v>
      </c>
      <c r="T137" s="520">
        <f t="shared" si="74"/>
        <v>75.264522441042786</v>
      </c>
      <c r="U137" s="520">
        <f t="shared" si="74"/>
        <v>76.962731586007934</v>
      </c>
      <c r="V137" s="520">
        <f t="shared" si="74"/>
        <v>78.199209412536121</v>
      </c>
      <c r="W137" s="520">
        <f t="shared" si="74"/>
        <v>79.564672750845261</v>
      </c>
      <c r="X137" s="520">
        <f t="shared" si="74"/>
        <v>80.902811517689884</v>
      </c>
      <c r="Y137" s="520">
        <f t="shared" si="74"/>
        <v>82.133932814730045</v>
      </c>
      <c r="Z137" s="520">
        <f t="shared" si="74"/>
        <v>83.42668470166312</v>
      </c>
      <c r="AA137" s="520">
        <f t="shared" si="74"/>
        <v>84.649874602600562</v>
      </c>
      <c r="AB137" s="520">
        <f t="shared" si="74"/>
        <v>84.343730840397711</v>
      </c>
      <c r="AC137" s="520">
        <f t="shared" si="74"/>
        <v>84.036854893898322</v>
      </c>
      <c r="AD137" s="520">
        <f t="shared" si="74"/>
        <v>83.731245986171288</v>
      </c>
      <c r="AE137" s="520">
        <f t="shared" si="74"/>
        <v>83.424869481157842</v>
      </c>
      <c r="AF137" s="520">
        <f t="shared" si="74"/>
        <v>83.118589672609204</v>
      </c>
      <c r="AG137" s="520">
        <f t="shared" si="74"/>
        <v>82.811383985383955</v>
      </c>
      <c r="AH137" s="520">
        <f t="shared" si="74"/>
        <v>82.505260877276157</v>
      </c>
      <c r="AI137" s="520">
        <f t="shared" si="74"/>
        <v>82.198407292957839</v>
      </c>
      <c r="AJ137" s="520">
        <f t="shared" si="74"/>
        <v>81.892482546272987</v>
      </c>
      <c r="AK137" s="520">
        <f t="shared" si="74"/>
        <v>81.586255922780509</v>
      </c>
      <c r="AL137" s="520">
        <f t="shared" si="74"/>
        <v>81.280029803612607</v>
      </c>
      <c r="AM137" s="520">
        <f t="shared" si="74"/>
        <v>80.976964003619855</v>
      </c>
      <c r="AN137" s="520">
        <f t="shared" si="74"/>
        <v>80.673903946081424</v>
      </c>
      <c r="AO137" s="520">
        <f t="shared" si="74"/>
        <v>80.370849638339479</v>
      </c>
      <c r="AP137" s="520">
        <f t="shared" si="74"/>
        <v>80.067801087745465</v>
      </c>
      <c r="AQ137" s="520">
        <f t="shared" si="74"/>
        <v>79.764758301660265</v>
      </c>
      <c r="AR137" s="520">
        <f t="shared" si="74"/>
        <v>79.461721287454196</v>
      </c>
      <c r="AS137" s="520">
        <f t="shared" si="74"/>
        <v>79.158690052506984</v>
      </c>
      <c r="AT137" s="520">
        <f t="shared" si="74"/>
        <v>78.85566460420776</v>
      </c>
      <c r="AU137" s="520">
        <f t="shared" si="74"/>
        <v>78.552644949955152</v>
      </c>
      <c r="AV137" s="437"/>
      <c r="AW137" s="437"/>
      <c r="AX137" s="437"/>
      <c r="AY137" s="437"/>
      <c r="AZ137" s="437"/>
    </row>
    <row r="138" spans="2:52">
      <c r="B138" s="437"/>
      <c r="C138" s="437"/>
      <c r="D138" s="516"/>
      <c r="E138" s="516" t="s">
        <v>44</v>
      </c>
      <c r="F138" s="519" t="s">
        <v>853</v>
      </c>
      <c r="G138" s="520">
        <f t="shared" ref="G138:N138" si="75">G222</f>
        <v>68.2</v>
      </c>
      <c r="H138" s="520">
        <f t="shared" si="75"/>
        <v>102</v>
      </c>
      <c r="I138" s="520">
        <f t="shared" si="75"/>
        <v>96.2</v>
      </c>
      <c r="J138" s="520">
        <f t="shared" si="75"/>
        <v>91.7</v>
      </c>
      <c r="K138" s="520">
        <f t="shared" si="75"/>
        <v>84</v>
      </c>
      <c r="L138" s="520">
        <f t="shared" si="75"/>
        <v>47.5</v>
      </c>
      <c r="M138" s="520">
        <f t="shared" si="75"/>
        <v>44.5</v>
      </c>
      <c r="N138" s="520">
        <f t="shared" si="75"/>
        <v>48.7</v>
      </c>
      <c r="O138" s="521">
        <f>VLOOKUP(O$120,$C$284:$O$316,5)</f>
        <v>67.735141438725293</v>
      </c>
      <c r="P138" s="521">
        <f t="shared" ref="P138:AU138" si="76">VLOOKUP(P$120,$C$284:$O$316,5)</f>
        <v>61.821029259474152</v>
      </c>
      <c r="Q138" s="521">
        <f t="shared" si="76"/>
        <v>60.341090730548601</v>
      </c>
      <c r="R138" s="521">
        <f t="shared" si="76"/>
        <v>38.35700531918522</v>
      </c>
      <c r="S138" s="521">
        <f t="shared" si="76"/>
        <v>41.765504189889249</v>
      </c>
      <c r="T138" s="521">
        <f t="shared" si="76"/>
        <v>44.088588085044584</v>
      </c>
      <c r="U138" s="521">
        <f t="shared" si="76"/>
        <v>45.786797230009718</v>
      </c>
      <c r="V138" s="521">
        <f t="shared" si="76"/>
        <v>47.023275056537912</v>
      </c>
      <c r="W138" s="521">
        <f t="shared" si="76"/>
        <v>48.388738394847046</v>
      </c>
      <c r="X138" s="521">
        <f t="shared" si="76"/>
        <v>49.726877161691675</v>
      </c>
      <c r="Y138" s="521">
        <f t="shared" si="76"/>
        <v>50.957998458731836</v>
      </c>
      <c r="Z138" s="521">
        <f t="shared" si="76"/>
        <v>52.250750345664912</v>
      </c>
      <c r="AA138" s="521">
        <f t="shared" si="76"/>
        <v>53.473940246602353</v>
      </c>
      <c r="AB138" s="521">
        <f t="shared" si="76"/>
        <v>53.16779648439951</v>
      </c>
      <c r="AC138" s="521">
        <f t="shared" si="76"/>
        <v>52.860920537900107</v>
      </c>
      <c r="AD138" s="521">
        <f t="shared" si="76"/>
        <v>52.55531163017308</v>
      </c>
      <c r="AE138" s="521">
        <f t="shared" si="76"/>
        <v>52.248935125159633</v>
      </c>
      <c r="AF138" s="521">
        <f t="shared" si="76"/>
        <v>51.942655316610988</v>
      </c>
      <c r="AG138" s="521">
        <f t="shared" si="76"/>
        <v>51.635449629385747</v>
      </c>
      <c r="AH138" s="521">
        <f t="shared" si="76"/>
        <v>51.329326521277956</v>
      </c>
      <c r="AI138" s="521">
        <f t="shared" si="76"/>
        <v>51.022472936959623</v>
      </c>
      <c r="AJ138" s="521">
        <f t="shared" si="76"/>
        <v>50.716548190274779</v>
      </c>
      <c r="AK138" s="521">
        <f t="shared" si="76"/>
        <v>50.410321566782294</v>
      </c>
      <c r="AL138" s="521">
        <f t="shared" si="76"/>
        <v>50.104095447614391</v>
      </c>
      <c r="AM138" s="521">
        <f t="shared" si="76"/>
        <v>49.801029647621633</v>
      </c>
      <c r="AN138" s="521">
        <f t="shared" si="76"/>
        <v>49.497969590083216</v>
      </c>
      <c r="AO138" s="521">
        <f t="shared" si="76"/>
        <v>49.19491528234127</v>
      </c>
      <c r="AP138" s="521">
        <f t="shared" si="76"/>
        <v>48.89186673174725</v>
      </c>
      <c r="AQ138" s="521">
        <f t="shared" si="76"/>
        <v>48.588823945662064</v>
      </c>
      <c r="AR138" s="521">
        <f t="shared" si="76"/>
        <v>48.285786931455988</v>
      </c>
      <c r="AS138" s="521">
        <f t="shared" si="76"/>
        <v>47.982755696508768</v>
      </c>
      <c r="AT138" s="521">
        <f t="shared" si="76"/>
        <v>47.679730248209545</v>
      </c>
      <c r="AU138" s="521">
        <f t="shared" si="76"/>
        <v>47.376710593956936</v>
      </c>
      <c r="AV138" s="437"/>
      <c r="AW138" s="437"/>
      <c r="AX138" s="437"/>
      <c r="AY138" s="437"/>
      <c r="AZ138" s="437"/>
    </row>
    <row r="139" spans="2:52">
      <c r="B139" s="437"/>
      <c r="C139" s="437"/>
      <c r="D139" s="516" t="s">
        <v>746</v>
      </c>
      <c r="E139" s="516" t="s">
        <v>643</v>
      </c>
      <c r="F139" s="517" t="str">
        <f>F138</f>
        <v>MKr19</v>
      </c>
      <c r="G139" s="520">
        <f>G138+$E$183</f>
        <v>131.87375303359801</v>
      </c>
      <c r="H139" s="520">
        <f t="shared" ref="H139:AU139" si="77">H138+$E$183</f>
        <v>165.67375303359799</v>
      </c>
      <c r="I139" s="520">
        <f t="shared" si="77"/>
        <v>159.87375303359801</v>
      </c>
      <c r="J139" s="520">
        <f t="shared" si="77"/>
        <v>155.37375303359801</v>
      </c>
      <c r="K139" s="520">
        <f t="shared" si="77"/>
        <v>147.67375303359799</v>
      </c>
      <c r="L139" s="520">
        <f t="shared" si="77"/>
        <v>111.17375303359799</v>
      </c>
      <c r="M139" s="520">
        <f t="shared" si="77"/>
        <v>108.17375303359799</v>
      </c>
      <c r="N139" s="520">
        <f t="shared" si="77"/>
        <v>112.37375303359801</v>
      </c>
      <c r="O139" s="520">
        <f t="shared" si="77"/>
        <v>131.40889447232328</v>
      </c>
      <c r="P139" s="520">
        <f t="shared" si="77"/>
        <v>125.49478229307215</v>
      </c>
      <c r="Q139" s="520">
        <f t="shared" si="77"/>
        <v>124.0148437641466</v>
      </c>
      <c r="R139" s="520">
        <f t="shared" si="77"/>
        <v>102.03075835278321</v>
      </c>
      <c r="S139" s="520">
        <f t="shared" si="77"/>
        <v>105.43925722348725</v>
      </c>
      <c r="T139" s="520">
        <f t="shared" si="77"/>
        <v>107.76234111864258</v>
      </c>
      <c r="U139" s="520">
        <f t="shared" si="77"/>
        <v>109.46055026360771</v>
      </c>
      <c r="V139" s="520">
        <f t="shared" si="77"/>
        <v>110.69702809013592</v>
      </c>
      <c r="W139" s="520">
        <f t="shared" si="77"/>
        <v>112.06249142844504</v>
      </c>
      <c r="X139" s="520">
        <f t="shared" si="77"/>
        <v>113.40063019528966</v>
      </c>
      <c r="Y139" s="520">
        <f t="shared" si="77"/>
        <v>114.63175149232984</v>
      </c>
      <c r="Z139" s="520">
        <f t="shared" si="77"/>
        <v>115.92450337926292</v>
      </c>
      <c r="AA139" s="520">
        <f t="shared" si="77"/>
        <v>117.14769328020034</v>
      </c>
      <c r="AB139" s="520">
        <f t="shared" si="77"/>
        <v>116.84154951799751</v>
      </c>
      <c r="AC139" s="520">
        <f t="shared" si="77"/>
        <v>116.5346735714981</v>
      </c>
      <c r="AD139" s="520">
        <f t="shared" si="77"/>
        <v>116.22906466377108</v>
      </c>
      <c r="AE139" s="520">
        <f t="shared" si="77"/>
        <v>115.92268815875764</v>
      </c>
      <c r="AF139" s="520">
        <f t="shared" si="77"/>
        <v>115.61640835020899</v>
      </c>
      <c r="AG139" s="520">
        <f t="shared" si="77"/>
        <v>115.30920266298375</v>
      </c>
      <c r="AH139" s="520">
        <f t="shared" si="77"/>
        <v>115.00307955487595</v>
      </c>
      <c r="AI139" s="520">
        <f t="shared" si="77"/>
        <v>114.69622597055762</v>
      </c>
      <c r="AJ139" s="520">
        <f t="shared" si="77"/>
        <v>114.39030122387277</v>
      </c>
      <c r="AK139" s="520">
        <f t="shared" si="77"/>
        <v>114.08407460038029</v>
      </c>
      <c r="AL139" s="520">
        <f t="shared" si="77"/>
        <v>113.77784848121239</v>
      </c>
      <c r="AM139" s="520">
        <f t="shared" si="77"/>
        <v>113.47478268121964</v>
      </c>
      <c r="AN139" s="520">
        <f t="shared" si="77"/>
        <v>113.17172262368121</v>
      </c>
      <c r="AO139" s="520">
        <f t="shared" si="77"/>
        <v>112.86866831593926</v>
      </c>
      <c r="AP139" s="520">
        <f t="shared" si="77"/>
        <v>112.56561976534525</v>
      </c>
      <c r="AQ139" s="520">
        <f t="shared" si="77"/>
        <v>112.26257697926006</v>
      </c>
      <c r="AR139" s="520">
        <f t="shared" si="77"/>
        <v>111.95953996505398</v>
      </c>
      <c r="AS139" s="520">
        <f t="shared" si="77"/>
        <v>111.65650873010676</v>
      </c>
      <c r="AT139" s="520">
        <f t="shared" si="77"/>
        <v>111.35348328180754</v>
      </c>
      <c r="AU139" s="520">
        <f t="shared" si="77"/>
        <v>111.05046362755493</v>
      </c>
      <c r="AV139" s="437"/>
      <c r="AW139" s="437"/>
      <c r="AX139" s="437"/>
      <c r="AY139" s="437"/>
      <c r="AZ139" s="437"/>
    </row>
    <row r="140" spans="2:52">
      <c r="B140" s="437"/>
      <c r="C140" s="437"/>
      <c r="D140" s="516"/>
      <c r="E140" s="516" t="s">
        <v>657</v>
      </c>
      <c r="F140" s="517" t="str">
        <f>F139</f>
        <v>MKr19</v>
      </c>
      <c r="G140" s="520">
        <f>G139*2</f>
        <v>263.74750606719601</v>
      </c>
      <c r="H140" s="520">
        <f t="shared" ref="H140:AU140" si="78">H139*2</f>
        <v>331.34750606719598</v>
      </c>
      <c r="I140" s="520">
        <f t="shared" si="78"/>
        <v>319.74750606719601</v>
      </c>
      <c r="J140" s="520">
        <f t="shared" si="78"/>
        <v>310.74750606719601</v>
      </c>
      <c r="K140" s="520">
        <f t="shared" si="78"/>
        <v>295.34750606719598</v>
      </c>
      <c r="L140" s="520">
        <f t="shared" si="78"/>
        <v>222.34750606719598</v>
      </c>
      <c r="M140" s="520">
        <f t="shared" si="78"/>
        <v>216.34750606719598</v>
      </c>
      <c r="N140" s="520">
        <f t="shared" si="78"/>
        <v>224.74750606719601</v>
      </c>
      <c r="O140" s="520">
        <f t="shared" si="78"/>
        <v>262.81778894464657</v>
      </c>
      <c r="P140" s="520">
        <f t="shared" si="78"/>
        <v>250.9895645861443</v>
      </c>
      <c r="Q140" s="520">
        <f t="shared" si="78"/>
        <v>248.02968752829321</v>
      </c>
      <c r="R140" s="520">
        <f t="shared" si="78"/>
        <v>204.06151670556642</v>
      </c>
      <c r="S140" s="520">
        <f t="shared" si="78"/>
        <v>210.87851444697449</v>
      </c>
      <c r="T140" s="520">
        <f t="shared" si="78"/>
        <v>215.52468223728516</v>
      </c>
      <c r="U140" s="520">
        <f t="shared" si="78"/>
        <v>218.92110052721543</v>
      </c>
      <c r="V140" s="520">
        <f t="shared" si="78"/>
        <v>221.39405618027183</v>
      </c>
      <c r="W140" s="520">
        <f t="shared" si="78"/>
        <v>224.12498285689009</v>
      </c>
      <c r="X140" s="520">
        <f t="shared" si="78"/>
        <v>226.80126039057933</v>
      </c>
      <c r="Y140" s="520">
        <f t="shared" si="78"/>
        <v>229.26350298465968</v>
      </c>
      <c r="Z140" s="520">
        <f t="shared" si="78"/>
        <v>231.84900675852583</v>
      </c>
      <c r="AA140" s="520">
        <f t="shared" si="78"/>
        <v>234.29538656040069</v>
      </c>
      <c r="AB140" s="520">
        <f t="shared" si="78"/>
        <v>233.68309903599501</v>
      </c>
      <c r="AC140" s="520">
        <f t="shared" si="78"/>
        <v>233.06934714299621</v>
      </c>
      <c r="AD140" s="520">
        <f t="shared" si="78"/>
        <v>232.45812932754217</v>
      </c>
      <c r="AE140" s="520">
        <f t="shared" si="78"/>
        <v>231.84537631751527</v>
      </c>
      <c r="AF140" s="520">
        <f t="shared" si="78"/>
        <v>231.23281670041797</v>
      </c>
      <c r="AG140" s="520">
        <f t="shared" si="78"/>
        <v>230.6184053259675</v>
      </c>
      <c r="AH140" s="520">
        <f t="shared" si="78"/>
        <v>230.00615910975191</v>
      </c>
      <c r="AI140" s="520">
        <f t="shared" si="78"/>
        <v>229.39245194111524</v>
      </c>
      <c r="AJ140" s="520">
        <f t="shared" si="78"/>
        <v>228.78060244774554</v>
      </c>
      <c r="AK140" s="520">
        <f t="shared" si="78"/>
        <v>228.16814920076058</v>
      </c>
      <c r="AL140" s="520">
        <f t="shared" si="78"/>
        <v>227.55569696242478</v>
      </c>
      <c r="AM140" s="520">
        <f t="shared" si="78"/>
        <v>226.94956536243927</v>
      </c>
      <c r="AN140" s="520">
        <f t="shared" si="78"/>
        <v>226.34344524736241</v>
      </c>
      <c r="AO140" s="520">
        <f t="shared" si="78"/>
        <v>225.73733663187852</v>
      </c>
      <c r="AP140" s="520">
        <f t="shared" si="78"/>
        <v>225.13123953069049</v>
      </c>
      <c r="AQ140" s="520">
        <f t="shared" si="78"/>
        <v>224.52515395852012</v>
      </c>
      <c r="AR140" s="520">
        <f t="shared" si="78"/>
        <v>223.91907993010796</v>
      </c>
      <c r="AS140" s="520">
        <f t="shared" si="78"/>
        <v>223.31301746021353</v>
      </c>
      <c r="AT140" s="520">
        <f t="shared" si="78"/>
        <v>222.70696656361508</v>
      </c>
      <c r="AU140" s="520">
        <f t="shared" si="78"/>
        <v>222.10092725510987</v>
      </c>
      <c r="AV140" s="437"/>
      <c r="AW140" s="437"/>
      <c r="AX140" s="437"/>
      <c r="AY140" s="437"/>
      <c r="AZ140" s="437"/>
    </row>
    <row r="141" spans="2:52">
      <c r="B141" s="437"/>
      <c r="C141" s="437"/>
      <c r="D141" s="516"/>
      <c r="E141" s="516" t="s">
        <v>655</v>
      </c>
      <c r="F141" s="517" t="str">
        <f>F139</f>
        <v>MKr19</v>
      </c>
      <c r="G141" s="520">
        <f t="shared" ref="G141:N141" si="79">G138</f>
        <v>68.2</v>
      </c>
      <c r="H141" s="520">
        <f t="shared" si="79"/>
        <v>102</v>
      </c>
      <c r="I141" s="520">
        <f t="shared" si="79"/>
        <v>96.2</v>
      </c>
      <c r="J141" s="520">
        <f t="shared" si="79"/>
        <v>91.7</v>
      </c>
      <c r="K141" s="520">
        <f t="shared" si="79"/>
        <v>84</v>
      </c>
      <c r="L141" s="520">
        <f t="shared" si="79"/>
        <v>47.5</v>
      </c>
      <c r="M141" s="520">
        <f t="shared" si="79"/>
        <v>44.5</v>
      </c>
      <c r="N141" s="520">
        <f t="shared" si="79"/>
        <v>48.7</v>
      </c>
      <c r="O141" s="520">
        <f>O138</f>
        <v>67.735141438725293</v>
      </c>
      <c r="P141" s="520">
        <f t="shared" ref="P141:AU141" si="80">P138</f>
        <v>61.821029259474152</v>
      </c>
      <c r="Q141" s="520">
        <f t="shared" si="80"/>
        <v>60.341090730548601</v>
      </c>
      <c r="R141" s="520">
        <f t="shared" si="80"/>
        <v>38.35700531918522</v>
      </c>
      <c r="S141" s="520">
        <f t="shared" si="80"/>
        <v>41.765504189889249</v>
      </c>
      <c r="T141" s="520">
        <f t="shared" si="80"/>
        <v>44.088588085044584</v>
      </c>
      <c r="U141" s="520">
        <f t="shared" si="80"/>
        <v>45.786797230009718</v>
      </c>
      <c r="V141" s="520">
        <f t="shared" si="80"/>
        <v>47.023275056537912</v>
      </c>
      <c r="W141" s="520">
        <f t="shared" si="80"/>
        <v>48.388738394847046</v>
      </c>
      <c r="X141" s="520">
        <f t="shared" si="80"/>
        <v>49.726877161691675</v>
      </c>
      <c r="Y141" s="520">
        <f t="shared" si="80"/>
        <v>50.957998458731836</v>
      </c>
      <c r="Z141" s="520">
        <f t="shared" si="80"/>
        <v>52.250750345664912</v>
      </c>
      <c r="AA141" s="520">
        <f t="shared" si="80"/>
        <v>53.473940246602353</v>
      </c>
      <c r="AB141" s="520">
        <f t="shared" si="80"/>
        <v>53.16779648439951</v>
      </c>
      <c r="AC141" s="520">
        <f t="shared" si="80"/>
        <v>52.860920537900107</v>
      </c>
      <c r="AD141" s="520">
        <f t="shared" si="80"/>
        <v>52.55531163017308</v>
      </c>
      <c r="AE141" s="520">
        <f t="shared" si="80"/>
        <v>52.248935125159633</v>
      </c>
      <c r="AF141" s="520">
        <f t="shared" si="80"/>
        <v>51.942655316610988</v>
      </c>
      <c r="AG141" s="520">
        <f t="shared" si="80"/>
        <v>51.635449629385747</v>
      </c>
      <c r="AH141" s="520">
        <f t="shared" si="80"/>
        <v>51.329326521277956</v>
      </c>
      <c r="AI141" s="520">
        <f t="shared" si="80"/>
        <v>51.022472936959623</v>
      </c>
      <c r="AJ141" s="520">
        <f t="shared" si="80"/>
        <v>50.716548190274779</v>
      </c>
      <c r="AK141" s="520">
        <f t="shared" si="80"/>
        <v>50.410321566782294</v>
      </c>
      <c r="AL141" s="520">
        <f t="shared" si="80"/>
        <v>50.104095447614391</v>
      </c>
      <c r="AM141" s="520">
        <f t="shared" si="80"/>
        <v>49.801029647621633</v>
      </c>
      <c r="AN141" s="520">
        <f t="shared" si="80"/>
        <v>49.497969590083216</v>
      </c>
      <c r="AO141" s="520">
        <f t="shared" si="80"/>
        <v>49.19491528234127</v>
      </c>
      <c r="AP141" s="520">
        <f t="shared" si="80"/>
        <v>48.89186673174725</v>
      </c>
      <c r="AQ141" s="520">
        <f t="shared" si="80"/>
        <v>48.588823945662064</v>
      </c>
      <c r="AR141" s="520">
        <f t="shared" si="80"/>
        <v>48.285786931455988</v>
      </c>
      <c r="AS141" s="520">
        <f t="shared" si="80"/>
        <v>47.982755696508768</v>
      </c>
      <c r="AT141" s="520">
        <f t="shared" si="80"/>
        <v>47.679730248209545</v>
      </c>
      <c r="AU141" s="520">
        <f t="shared" si="80"/>
        <v>47.376710593956936</v>
      </c>
      <c r="AV141" s="437"/>
      <c r="AW141" s="437"/>
      <c r="AX141" s="437"/>
      <c r="AY141" s="437"/>
      <c r="AZ141" s="437"/>
    </row>
    <row r="142" spans="2:52">
      <c r="B142" s="437"/>
      <c r="C142" s="437"/>
      <c r="D142" s="516"/>
      <c r="E142" s="516" t="s">
        <v>41</v>
      </c>
      <c r="F142" s="519" t="s">
        <v>853</v>
      </c>
      <c r="G142" s="520">
        <f>G223</f>
        <v>44.4</v>
      </c>
      <c r="H142" s="520">
        <f t="shared" ref="H142:N142" si="81">H223</f>
        <v>46.1</v>
      </c>
      <c r="I142" s="520">
        <f t="shared" si="81"/>
        <v>55.1</v>
      </c>
      <c r="J142" s="520">
        <f t="shared" si="81"/>
        <v>54.2</v>
      </c>
      <c r="K142" s="520">
        <f t="shared" si="81"/>
        <v>45.7</v>
      </c>
      <c r="L142" s="520">
        <f t="shared" si="81"/>
        <v>44</v>
      </c>
      <c r="M142" s="520">
        <f t="shared" si="81"/>
        <v>36.799999999999997</v>
      </c>
      <c r="N142" s="520">
        <f t="shared" si="81"/>
        <v>36.9</v>
      </c>
      <c r="O142" s="521">
        <f>VLOOKUP(O$120,$C$284:$O$316,3)</f>
        <v>53.422183381850253</v>
      </c>
      <c r="P142" s="521">
        <f t="shared" ref="P142:AU142" si="82">VLOOKUP(P$120,$C$284:$O$316,3)</f>
        <v>34.261011240620462</v>
      </c>
      <c r="Q142" s="521">
        <f t="shared" si="82"/>
        <v>33.397849986482257</v>
      </c>
      <c r="R142" s="521">
        <f t="shared" si="82"/>
        <v>31.525290025438199</v>
      </c>
      <c r="S142" s="521">
        <f t="shared" si="82"/>
        <v>32.762548621541896</v>
      </c>
      <c r="T142" s="521">
        <f t="shared" si="82"/>
        <v>33.367688312875465</v>
      </c>
      <c r="U142" s="521">
        <f t="shared" si="82"/>
        <v>33.567123920362071</v>
      </c>
      <c r="V142" s="521">
        <f t="shared" si="82"/>
        <v>33.506083462913665</v>
      </c>
      <c r="W142" s="521">
        <f t="shared" si="82"/>
        <v>33.467639204304064</v>
      </c>
      <c r="X142" s="521">
        <f t="shared" si="82"/>
        <v>33.442947086231669</v>
      </c>
      <c r="Y142" s="521">
        <f t="shared" si="82"/>
        <v>33.42179959045346</v>
      </c>
      <c r="Z142" s="521">
        <f t="shared" si="82"/>
        <v>33.414220248022303</v>
      </c>
      <c r="AA142" s="521">
        <f t="shared" si="82"/>
        <v>33.412152610409883</v>
      </c>
      <c r="AB142" s="521">
        <f t="shared" si="82"/>
        <v>33.458238338148384</v>
      </c>
      <c r="AC142" s="521">
        <f t="shared" si="82"/>
        <v>33.504324065886884</v>
      </c>
      <c r="AD142" s="521">
        <f t="shared" si="82"/>
        <v>33.550409793625377</v>
      </c>
      <c r="AE142" s="521">
        <f t="shared" si="82"/>
        <v>33.59649552136387</v>
      </c>
      <c r="AF142" s="521">
        <f t="shared" si="82"/>
        <v>33.642581249102378</v>
      </c>
      <c r="AG142" s="521">
        <f t="shared" si="82"/>
        <v>33.688666976840878</v>
      </c>
      <c r="AH142" s="521">
        <f t="shared" si="82"/>
        <v>33.734752704579364</v>
      </c>
      <c r="AI142" s="521">
        <f t="shared" si="82"/>
        <v>33.780838432317864</v>
      </c>
      <c r="AJ142" s="521">
        <f t="shared" si="82"/>
        <v>33.82692416005635</v>
      </c>
      <c r="AK142" s="521">
        <f t="shared" si="82"/>
        <v>33.873009887794851</v>
      </c>
      <c r="AL142" s="521">
        <f t="shared" si="82"/>
        <v>33.919095615533351</v>
      </c>
      <c r="AM142" s="521">
        <f t="shared" si="82"/>
        <v>33.965181343271844</v>
      </c>
      <c r="AN142" s="521">
        <f t="shared" si="82"/>
        <v>34.011267071010337</v>
      </c>
      <c r="AO142" s="521">
        <f t="shared" si="82"/>
        <v>34.057352798748838</v>
      </c>
      <c r="AP142" s="521">
        <f t="shared" si="82"/>
        <v>34.103438526487338</v>
      </c>
      <c r="AQ142" s="521">
        <f t="shared" si="82"/>
        <v>34.149524254225838</v>
      </c>
      <c r="AR142" s="521">
        <f t="shared" si="82"/>
        <v>34.195609981964324</v>
      </c>
      <c r="AS142" s="521">
        <f t="shared" si="82"/>
        <v>34.241695709702832</v>
      </c>
      <c r="AT142" s="521">
        <f t="shared" si="82"/>
        <v>34.287781437441318</v>
      </c>
      <c r="AU142" s="521">
        <f t="shared" si="82"/>
        <v>34.333867165179825</v>
      </c>
      <c r="AV142" s="437"/>
      <c r="AW142" s="437"/>
      <c r="AX142" s="437"/>
      <c r="AY142" s="437"/>
      <c r="AZ142" s="437"/>
    </row>
    <row r="143" spans="2:52">
      <c r="B143" s="437"/>
      <c r="C143" s="437"/>
      <c r="D143" s="516"/>
      <c r="E143" s="516" t="s">
        <v>480</v>
      </c>
      <c r="F143" s="517" t="str">
        <f>F142</f>
        <v>MKr19</v>
      </c>
      <c r="G143" s="520">
        <f>G142*$E$180</f>
        <v>133.19999999999999</v>
      </c>
      <c r="H143" s="520">
        <f t="shared" ref="H143:AU143" si="83">H142*$E$180</f>
        <v>138.30000000000001</v>
      </c>
      <c r="I143" s="520">
        <f t="shared" si="83"/>
        <v>165.3</v>
      </c>
      <c r="J143" s="520">
        <f t="shared" si="83"/>
        <v>162.60000000000002</v>
      </c>
      <c r="K143" s="520">
        <f t="shared" si="83"/>
        <v>137.10000000000002</v>
      </c>
      <c r="L143" s="520">
        <f t="shared" si="83"/>
        <v>132</v>
      </c>
      <c r="M143" s="520">
        <f t="shared" si="83"/>
        <v>110.39999999999999</v>
      </c>
      <c r="N143" s="520">
        <f t="shared" si="83"/>
        <v>110.69999999999999</v>
      </c>
      <c r="O143" s="520">
        <f>O142*$E$180</f>
        <v>160.26655014555075</v>
      </c>
      <c r="P143" s="520">
        <f t="shared" si="83"/>
        <v>102.78303372186139</v>
      </c>
      <c r="Q143" s="520">
        <f t="shared" si="83"/>
        <v>100.19354995944677</v>
      </c>
      <c r="R143" s="520">
        <f t="shared" si="83"/>
        <v>94.575870076314601</v>
      </c>
      <c r="S143" s="520">
        <f t="shared" si="83"/>
        <v>98.287645864625688</v>
      </c>
      <c r="T143" s="520">
        <f t="shared" si="83"/>
        <v>100.1030649386264</v>
      </c>
      <c r="U143" s="520">
        <f t="shared" si="83"/>
        <v>100.70137176108622</v>
      </c>
      <c r="V143" s="520">
        <f t="shared" si="83"/>
        <v>100.518250388741</v>
      </c>
      <c r="W143" s="520">
        <f t="shared" si="83"/>
        <v>100.40291761291219</v>
      </c>
      <c r="X143" s="520">
        <f t="shared" si="83"/>
        <v>100.32884125869501</v>
      </c>
      <c r="Y143" s="520">
        <f t="shared" si="83"/>
        <v>100.26539877136038</v>
      </c>
      <c r="Z143" s="520">
        <f t="shared" si="83"/>
        <v>100.24266074406691</v>
      </c>
      <c r="AA143" s="520">
        <f t="shared" si="83"/>
        <v>100.23645783122964</v>
      </c>
      <c r="AB143" s="520">
        <f t="shared" si="83"/>
        <v>100.37471501444514</v>
      </c>
      <c r="AC143" s="520">
        <f t="shared" si="83"/>
        <v>100.51297219766064</v>
      </c>
      <c r="AD143" s="520">
        <f t="shared" si="83"/>
        <v>100.65122938087613</v>
      </c>
      <c r="AE143" s="520">
        <f t="shared" si="83"/>
        <v>100.78948656409162</v>
      </c>
      <c r="AF143" s="520">
        <f t="shared" si="83"/>
        <v>100.92774374730713</v>
      </c>
      <c r="AG143" s="520">
        <f t="shared" si="83"/>
        <v>101.06600093052263</v>
      </c>
      <c r="AH143" s="520">
        <f t="shared" si="83"/>
        <v>101.20425811373809</v>
      </c>
      <c r="AI143" s="520">
        <f t="shared" si="83"/>
        <v>101.34251529695359</v>
      </c>
      <c r="AJ143" s="520">
        <f t="shared" si="83"/>
        <v>101.48077248016905</v>
      </c>
      <c r="AK143" s="520">
        <f t="shared" si="83"/>
        <v>101.61902966338455</v>
      </c>
      <c r="AL143" s="520">
        <f t="shared" si="83"/>
        <v>101.75728684660005</v>
      </c>
      <c r="AM143" s="520">
        <f t="shared" si="83"/>
        <v>101.89554402981554</v>
      </c>
      <c r="AN143" s="520">
        <f t="shared" si="83"/>
        <v>102.03380121303101</v>
      </c>
      <c r="AO143" s="520">
        <f t="shared" si="83"/>
        <v>102.17205839624651</v>
      </c>
      <c r="AP143" s="520">
        <f t="shared" si="83"/>
        <v>102.31031557946201</v>
      </c>
      <c r="AQ143" s="520">
        <f t="shared" si="83"/>
        <v>102.44857276267751</v>
      </c>
      <c r="AR143" s="520">
        <f t="shared" si="83"/>
        <v>102.58682994589297</v>
      </c>
      <c r="AS143" s="520">
        <f t="shared" si="83"/>
        <v>102.72508712910849</v>
      </c>
      <c r="AT143" s="520">
        <f t="shared" si="83"/>
        <v>102.86334431232396</v>
      </c>
      <c r="AU143" s="520">
        <f t="shared" si="83"/>
        <v>103.00160149553948</v>
      </c>
      <c r="AV143" s="437"/>
      <c r="AW143" s="437"/>
      <c r="AX143" s="437"/>
      <c r="AY143" s="437"/>
      <c r="AZ143" s="437"/>
    </row>
    <row r="144" spans="2:52">
      <c r="B144" s="437"/>
      <c r="C144" s="437"/>
      <c r="D144" s="516"/>
      <c r="E144" s="516" t="s">
        <v>482</v>
      </c>
      <c r="F144" s="517" t="str">
        <f>F143</f>
        <v>MKr19</v>
      </c>
      <c r="G144" s="520">
        <f>G143*1.1</f>
        <v>146.52000000000001</v>
      </c>
      <c r="H144" s="520">
        <f t="shared" ref="H144:AU144" si="84">H143+$E$183</f>
        <v>201.973753033598</v>
      </c>
      <c r="I144" s="520">
        <f t="shared" si="84"/>
        <v>228.973753033598</v>
      </c>
      <c r="J144" s="520">
        <f t="shared" si="84"/>
        <v>226.27375303359801</v>
      </c>
      <c r="K144" s="520">
        <f t="shared" si="84"/>
        <v>200.77375303359801</v>
      </c>
      <c r="L144" s="520">
        <f t="shared" si="84"/>
        <v>195.67375303359799</v>
      </c>
      <c r="M144" s="520">
        <f t="shared" si="84"/>
        <v>174.073753033598</v>
      </c>
      <c r="N144" s="520">
        <f t="shared" si="84"/>
        <v>174.37375303359798</v>
      </c>
      <c r="O144" s="520">
        <f>O143+$E$183</f>
        <v>223.94030317914874</v>
      </c>
      <c r="P144" s="520">
        <f t="shared" si="84"/>
        <v>166.45678675545938</v>
      </c>
      <c r="Q144" s="520">
        <f t="shared" si="84"/>
        <v>163.86730299304477</v>
      </c>
      <c r="R144" s="520">
        <f t="shared" si="84"/>
        <v>158.24962310991259</v>
      </c>
      <c r="S144" s="520">
        <f t="shared" si="84"/>
        <v>161.96139889822368</v>
      </c>
      <c r="T144" s="520">
        <f t="shared" si="84"/>
        <v>163.77681797222439</v>
      </c>
      <c r="U144" s="520">
        <f t="shared" si="84"/>
        <v>164.37512479468421</v>
      </c>
      <c r="V144" s="520">
        <f t="shared" si="84"/>
        <v>164.19200342233898</v>
      </c>
      <c r="W144" s="520">
        <f t="shared" si="84"/>
        <v>164.07667064651019</v>
      </c>
      <c r="X144" s="520">
        <f t="shared" si="84"/>
        <v>164.002594292293</v>
      </c>
      <c r="Y144" s="520">
        <f t="shared" si="84"/>
        <v>163.93915180495839</v>
      </c>
      <c r="Z144" s="520">
        <f t="shared" si="84"/>
        <v>163.9164137776649</v>
      </c>
      <c r="AA144" s="520">
        <f t="shared" si="84"/>
        <v>163.91021086482763</v>
      </c>
      <c r="AB144" s="520">
        <f t="shared" si="84"/>
        <v>164.04846804804313</v>
      </c>
      <c r="AC144" s="520">
        <f t="shared" si="84"/>
        <v>164.18672523125863</v>
      </c>
      <c r="AD144" s="520">
        <f t="shared" si="84"/>
        <v>164.32498241447414</v>
      </c>
      <c r="AE144" s="520">
        <f t="shared" si="84"/>
        <v>164.46323959768961</v>
      </c>
      <c r="AF144" s="520">
        <f t="shared" si="84"/>
        <v>164.60149678090514</v>
      </c>
      <c r="AG144" s="520">
        <f t="shared" si="84"/>
        <v>164.73975396412064</v>
      </c>
      <c r="AH144" s="520">
        <f t="shared" si="84"/>
        <v>164.87801114733608</v>
      </c>
      <c r="AI144" s="520">
        <f t="shared" si="84"/>
        <v>165.01626833055158</v>
      </c>
      <c r="AJ144" s="520">
        <f t="shared" si="84"/>
        <v>165.15452551376706</v>
      </c>
      <c r="AK144" s="520">
        <f t="shared" si="84"/>
        <v>165.29278269698256</v>
      </c>
      <c r="AL144" s="520">
        <f t="shared" si="84"/>
        <v>165.43103988019806</v>
      </c>
      <c r="AM144" s="520">
        <f t="shared" si="84"/>
        <v>165.56929706341353</v>
      </c>
      <c r="AN144" s="520">
        <f t="shared" si="84"/>
        <v>165.707554246629</v>
      </c>
      <c r="AO144" s="520">
        <f t="shared" si="84"/>
        <v>165.8458114298445</v>
      </c>
      <c r="AP144" s="520">
        <f t="shared" si="84"/>
        <v>165.98406861306</v>
      </c>
      <c r="AQ144" s="520">
        <f t="shared" si="84"/>
        <v>166.1223257962755</v>
      </c>
      <c r="AR144" s="520">
        <f t="shared" si="84"/>
        <v>166.26058297949098</v>
      </c>
      <c r="AS144" s="520">
        <f t="shared" si="84"/>
        <v>166.39884016270648</v>
      </c>
      <c r="AT144" s="520">
        <f t="shared" si="84"/>
        <v>166.53709734592195</v>
      </c>
      <c r="AU144" s="520">
        <f t="shared" si="84"/>
        <v>166.67535452913748</v>
      </c>
      <c r="AV144" s="437"/>
      <c r="AW144" s="437"/>
      <c r="AX144" s="437"/>
      <c r="AY144" s="437"/>
      <c r="AZ144" s="437"/>
    </row>
    <row r="145" spans="2:52">
      <c r="B145" s="437"/>
      <c r="C145" s="437"/>
      <c r="D145" s="516"/>
      <c r="E145" s="516" t="s">
        <v>661</v>
      </c>
      <c r="F145" s="517" t="str">
        <f>F144</f>
        <v>MKr19</v>
      </c>
      <c r="G145" s="520">
        <f>G144*2</f>
        <v>293.04000000000002</v>
      </c>
      <c r="H145" s="520">
        <f t="shared" ref="H145:AU146" si="85">H144*2</f>
        <v>403.947506067196</v>
      </c>
      <c r="I145" s="520">
        <f t="shared" si="85"/>
        <v>457.947506067196</v>
      </c>
      <c r="J145" s="520">
        <f t="shared" si="85"/>
        <v>452.54750606719603</v>
      </c>
      <c r="K145" s="520">
        <f t="shared" si="85"/>
        <v>401.54750606719603</v>
      </c>
      <c r="L145" s="520">
        <f t="shared" si="85"/>
        <v>391.34750606719598</v>
      </c>
      <c r="M145" s="520">
        <f t="shared" si="85"/>
        <v>348.14750606719599</v>
      </c>
      <c r="N145" s="520">
        <f t="shared" si="85"/>
        <v>348.74750606719596</v>
      </c>
      <c r="O145" s="520">
        <f t="shared" si="85"/>
        <v>447.88060635829748</v>
      </c>
      <c r="P145" s="520">
        <f t="shared" si="85"/>
        <v>332.91357351091875</v>
      </c>
      <c r="Q145" s="520">
        <f t="shared" si="85"/>
        <v>327.73460598608955</v>
      </c>
      <c r="R145" s="520">
        <f t="shared" si="85"/>
        <v>316.49924621982518</v>
      </c>
      <c r="S145" s="520">
        <f t="shared" si="85"/>
        <v>323.92279779644736</v>
      </c>
      <c r="T145" s="520">
        <f t="shared" si="85"/>
        <v>327.55363594444879</v>
      </c>
      <c r="U145" s="520">
        <f t="shared" si="85"/>
        <v>328.75024958936842</v>
      </c>
      <c r="V145" s="520">
        <f t="shared" si="85"/>
        <v>328.38400684467797</v>
      </c>
      <c r="W145" s="520">
        <f t="shared" si="85"/>
        <v>328.15334129302039</v>
      </c>
      <c r="X145" s="520">
        <f t="shared" si="85"/>
        <v>328.00518858458599</v>
      </c>
      <c r="Y145" s="520">
        <f t="shared" si="85"/>
        <v>327.87830360991677</v>
      </c>
      <c r="Z145" s="520">
        <f t="shared" si="85"/>
        <v>327.8328275553298</v>
      </c>
      <c r="AA145" s="520">
        <f t="shared" si="85"/>
        <v>327.82042172965527</v>
      </c>
      <c r="AB145" s="520">
        <f t="shared" si="85"/>
        <v>328.09693609608627</v>
      </c>
      <c r="AC145" s="520">
        <f t="shared" si="85"/>
        <v>328.37345046251727</v>
      </c>
      <c r="AD145" s="520">
        <f t="shared" si="85"/>
        <v>328.64996482894827</v>
      </c>
      <c r="AE145" s="520">
        <f t="shared" si="85"/>
        <v>328.92647919537922</v>
      </c>
      <c r="AF145" s="520">
        <f t="shared" si="85"/>
        <v>329.20299356181027</v>
      </c>
      <c r="AG145" s="520">
        <f t="shared" si="85"/>
        <v>329.47950792824128</v>
      </c>
      <c r="AH145" s="520">
        <f t="shared" si="85"/>
        <v>329.75602229467216</v>
      </c>
      <c r="AI145" s="520">
        <f t="shared" si="85"/>
        <v>330.03253666110317</v>
      </c>
      <c r="AJ145" s="520">
        <f t="shared" si="85"/>
        <v>330.30905102753411</v>
      </c>
      <c r="AK145" s="520">
        <f t="shared" si="85"/>
        <v>330.58556539396511</v>
      </c>
      <c r="AL145" s="520">
        <f t="shared" si="85"/>
        <v>330.86207976039611</v>
      </c>
      <c r="AM145" s="520">
        <f t="shared" si="85"/>
        <v>331.13859412682706</v>
      </c>
      <c r="AN145" s="520">
        <f t="shared" si="85"/>
        <v>331.415108493258</v>
      </c>
      <c r="AO145" s="520">
        <f t="shared" si="85"/>
        <v>331.69162285968901</v>
      </c>
      <c r="AP145" s="520">
        <f t="shared" si="85"/>
        <v>331.96813722612001</v>
      </c>
      <c r="AQ145" s="520">
        <f t="shared" si="85"/>
        <v>332.24465159255101</v>
      </c>
      <c r="AR145" s="520">
        <f t="shared" si="85"/>
        <v>332.52116595898195</v>
      </c>
      <c r="AS145" s="520">
        <f t="shared" si="85"/>
        <v>332.79768032541295</v>
      </c>
      <c r="AT145" s="520">
        <f t="shared" si="85"/>
        <v>333.0741946918439</v>
      </c>
      <c r="AU145" s="520">
        <f t="shared" si="85"/>
        <v>333.35070905827496</v>
      </c>
      <c r="AV145" s="437"/>
      <c r="AW145" s="437"/>
      <c r="AX145" s="437"/>
      <c r="AY145" s="437"/>
      <c r="AZ145" s="437"/>
    </row>
    <row r="146" spans="2:52">
      <c r="B146" s="437"/>
      <c r="C146" s="437"/>
      <c r="D146" s="516"/>
      <c r="E146" s="516" t="s">
        <v>651</v>
      </c>
      <c r="F146" s="517" t="s">
        <v>140</v>
      </c>
      <c r="G146" s="520">
        <f>G145*2</f>
        <v>586.08000000000004</v>
      </c>
      <c r="H146" s="520">
        <f>H145*2</f>
        <v>807.895012134392</v>
      </c>
      <c r="I146" s="520">
        <f t="shared" si="85"/>
        <v>915.895012134392</v>
      </c>
      <c r="J146" s="520">
        <f t="shared" si="85"/>
        <v>905.09501213439205</v>
      </c>
      <c r="K146" s="520">
        <f t="shared" si="85"/>
        <v>803.09501213439205</v>
      </c>
      <c r="L146" s="520">
        <f t="shared" si="85"/>
        <v>782.69501213439196</v>
      </c>
      <c r="M146" s="520">
        <f t="shared" si="85"/>
        <v>696.29501213439198</v>
      </c>
      <c r="N146" s="520">
        <f t="shared" si="85"/>
        <v>697.49501213439191</v>
      </c>
      <c r="O146" s="520">
        <f t="shared" si="85"/>
        <v>895.76121271659497</v>
      </c>
      <c r="P146" s="520">
        <f t="shared" si="85"/>
        <v>665.8271470218375</v>
      </c>
      <c r="Q146" s="520">
        <f t="shared" si="85"/>
        <v>655.4692119721791</v>
      </c>
      <c r="R146" s="520">
        <f t="shared" si="85"/>
        <v>632.99849243965036</v>
      </c>
      <c r="S146" s="520">
        <f t="shared" si="85"/>
        <v>647.84559559289471</v>
      </c>
      <c r="T146" s="520">
        <f t="shared" si="85"/>
        <v>655.10727188889757</v>
      </c>
      <c r="U146" s="520">
        <f t="shared" si="85"/>
        <v>657.50049917873685</v>
      </c>
      <c r="V146" s="520">
        <f t="shared" si="85"/>
        <v>656.76801368935594</v>
      </c>
      <c r="W146" s="520">
        <f t="shared" si="85"/>
        <v>656.30668258604078</v>
      </c>
      <c r="X146" s="520">
        <f t="shared" si="85"/>
        <v>656.01037716917199</v>
      </c>
      <c r="Y146" s="520">
        <f t="shared" si="85"/>
        <v>655.75660721983354</v>
      </c>
      <c r="Z146" s="520">
        <f t="shared" si="85"/>
        <v>655.6656551106596</v>
      </c>
      <c r="AA146" s="520">
        <f t="shared" si="85"/>
        <v>655.64084345931053</v>
      </c>
      <c r="AB146" s="520">
        <f t="shared" si="85"/>
        <v>656.19387219217253</v>
      </c>
      <c r="AC146" s="520">
        <f t="shared" si="85"/>
        <v>656.74690092503454</v>
      </c>
      <c r="AD146" s="520">
        <f t="shared" si="85"/>
        <v>657.29992965789654</v>
      </c>
      <c r="AE146" s="520">
        <f t="shared" si="85"/>
        <v>657.85295839075843</v>
      </c>
      <c r="AF146" s="520">
        <f t="shared" si="85"/>
        <v>658.40598712362055</v>
      </c>
      <c r="AG146" s="520">
        <f t="shared" si="85"/>
        <v>658.95901585648255</v>
      </c>
      <c r="AH146" s="520">
        <f t="shared" si="85"/>
        <v>659.51204458934433</v>
      </c>
      <c r="AI146" s="520">
        <f t="shared" si="85"/>
        <v>660.06507332220633</v>
      </c>
      <c r="AJ146" s="520">
        <f t="shared" si="85"/>
        <v>660.61810205506822</v>
      </c>
      <c r="AK146" s="520">
        <f t="shared" si="85"/>
        <v>661.17113078793022</v>
      </c>
      <c r="AL146" s="520">
        <f t="shared" si="85"/>
        <v>661.72415952079223</v>
      </c>
      <c r="AM146" s="520">
        <f t="shared" si="85"/>
        <v>662.27718825365412</v>
      </c>
      <c r="AN146" s="520">
        <f t="shared" si="85"/>
        <v>662.83021698651601</v>
      </c>
      <c r="AO146" s="520">
        <f t="shared" si="85"/>
        <v>663.38324571937801</v>
      </c>
      <c r="AP146" s="520">
        <f t="shared" si="85"/>
        <v>663.93627445224001</v>
      </c>
      <c r="AQ146" s="520">
        <f t="shared" si="85"/>
        <v>664.48930318510202</v>
      </c>
      <c r="AR146" s="520">
        <f t="shared" si="85"/>
        <v>665.04233191796391</v>
      </c>
      <c r="AS146" s="520">
        <f t="shared" si="85"/>
        <v>665.59536065082591</v>
      </c>
      <c r="AT146" s="520">
        <f t="shared" si="85"/>
        <v>666.1483893836878</v>
      </c>
      <c r="AU146" s="520">
        <f t="shared" si="85"/>
        <v>666.70141811654992</v>
      </c>
      <c r="AV146" s="437"/>
      <c r="AW146" s="437"/>
      <c r="AX146" s="437"/>
      <c r="AY146" s="437"/>
      <c r="AZ146" s="437"/>
    </row>
    <row r="147" spans="2:52">
      <c r="B147" s="437"/>
      <c r="C147" s="437"/>
      <c r="D147" s="516"/>
      <c r="E147" s="516" t="s">
        <v>653</v>
      </c>
      <c r="F147" s="517" t="s">
        <v>140</v>
      </c>
      <c r="G147" s="520">
        <f>G146</f>
        <v>586.08000000000004</v>
      </c>
      <c r="H147" s="520">
        <f t="shared" ref="H147:AU147" si="86">H146</f>
        <v>807.895012134392</v>
      </c>
      <c r="I147" s="520">
        <f t="shared" si="86"/>
        <v>915.895012134392</v>
      </c>
      <c r="J147" s="520">
        <f t="shared" si="86"/>
        <v>905.09501213439205</v>
      </c>
      <c r="K147" s="520">
        <f t="shared" si="86"/>
        <v>803.09501213439205</v>
      </c>
      <c r="L147" s="520">
        <f t="shared" si="86"/>
        <v>782.69501213439196</v>
      </c>
      <c r="M147" s="520">
        <f t="shared" si="86"/>
        <v>696.29501213439198</v>
      </c>
      <c r="N147" s="520">
        <f t="shared" si="86"/>
        <v>697.49501213439191</v>
      </c>
      <c r="O147" s="520">
        <f t="shared" si="86"/>
        <v>895.76121271659497</v>
      </c>
      <c r="P147" s="520">
        <f t="shared" si="86"/>
        <v>665.8271470218375</v>
      </c>
      <c r="Q147" s="520">
        <f t="shared" si="86"/>
        <v>655.4692119721791</v>
      </c>
      <c r="R147" s="520">
        <f t="shared" si="86"/>
        <v>632.99849243965036</v>
      </c>
      <c r="S147" s="520">
        <f t="shared" si="86"/>
        <v>647.84559559289471</v>
      </c>
      <c r="T147" s="520">
        <f t="shared" si="86"/>
        <v>655.10727188889757</v>
      </c>
      <c r="U147" s="520">
        <f t="shared" si="86"/>
        <v>657.50049917873685</v>
      </c>
      <c r="V147" s="520">
        <f t="shared" si="86"/>
        <v>656.76801368935594</v>
      </c>
      <c r="W147" s="520">
        <f t="shared" si="86"/>
        <v>656.30668258604078</v>
      </c>
      <c r="X147" s="520">
        <f t="shared" si="86"/>
        <v>656.01037716917199</v>
      </c>
      <c r="Y147" s="520">
        <f t="shared" si="86"/>
        <v>655.75660721983354</v>
      </c>
      <c r="Z147" s="520">
        <f t="shared" si="86"/>
        <v>655.6656551106596</v>
      </c>
      <c r="AA147" s="520">
        <f t="shared" si="86"/>
        <v>655.64084345931053</v>
      </c>
      <c r="AB147" s="520">
        <f t="shared" si="86"/>
        <v>656.19387219217253</v>
      </c>
      <c r="AC147" s="520">
        <f t="shared" si="86"/>
        <v>656.74690092503454</v>
      </c>
      <c r="AD147" s="520">
        <f t="shared" si="86"/>
        <v>657.29992965789654</v>
      </c>
      <c r="AE147" s="520">
        <f t="shared" si="86"/>
        <v>657.85295839075843</v>
      </c>
      <c r="AF147" s="520">
        <f t="shared" si="86"/>
        <v>658.40598712362055</v>
      </c>
      <c r="AG147" s="520">
        <f t="shared" si="86"/>
        <v>658.95901585648255</v>
      </c>
      <c r="AH147" s="520">
        <f t="shared" si="86"/>
        <v>659.51204458934433</v>
      </c>
      <c r="AI147" s="520">
        <f t="shared" si="86"/>
        <v>660.06507332220633</v>
      </c>
      <c r="AJ147" s="520">
        <f t="shared" si="86"/>
        <v>660.61810205506822</v>
      </c>
      <c r="AK147" s="520">
        <f t="shared" si="86"/>
        <v>661.17113078793022</v>
      </c>
      <c r="AL147" s="520">
        <f t="shared" si="86"/>
        <v>661.72415952079223</v>
      </c>
      <c r="AM147" s="520">
        <f t="shared" si="86"/>
        <v>662.27718825365412</v>
      </c>
      <c r="AN147" s="520">
        <f t="shared" si="86"/>
        <v>662.83021698651601</v>
      </c>
      <c r="AO147" s="520">
        <f t="shared" si="86"/>
        <v>663.38324571937801</v>
      </c>
      <c r="AP147" s="520">
        <f t="shared" si="86"/>
        <v>663.93627445224001</v>
      </c>
      <c r="AQ147" s="520">
        <f t="shared" si="86"/>
        <v>664.48930318510202</v>
      </c>
      <c r="AR147" s="520">
        <f t="shared" si="86"/>
        <v>665.04233191796391</v>
      </c>
      <c r="AS147" s="520">
        <f t="shared" si="86"/>
        <v>665.59536065082591</v>
      </c>
      <c r="AT147" s="520">
        <f t="shared" si="86"/>
        <v>666.1483893836878</v>
      </c>
      <c r="AU147" s="520">
        <f t="shared" si="86"/>
        <v>666.70141811654992</v>
      </c>
      <c r="AV147" s="437"/>
      <c r="AW147" s="437"/>
      <c r="AX147" s="437"/>
      <c r="AY147" s="437"/>
      <c r="AZ147" s="437"/>
    </row>
    <row r="148" spans="2:52">
      <c r="B148" s="437"/>
      <c r="C148" s="437"/>
      <c r="D148" s="516"/>
      <c r="E148" s="516" t="s">
        <v>126</v>
      </c>
      <c r="F148" s="517" t="str">
        <f>F143</f>
        <v>MKr19</v>
      </c>
      <c r="G148" s="520">
        <f>G143</f>
        <v>133.19999999999999</v>
      </c>
      <c r="H148" s="520">
        <f t="shared" ref="H148:AU148" si="87">H143</f>
        <v>138.30000000000001</v>
      </c>
      <c r="I148" s="520">
        <f t="shared" si="87"/>
        <v>165.3</v>
      </c>
      <c r="J148" s="520">
        <f t="shared" si="87"/>
        <v>162.60000000000002</v>
      </c>
      <c r="K148" s="520">
        <f t="shared" si="87"/>
        <v>137.10000000000002</v>
      </c>
      <c r="L148" s="520">
        <f t="shared" si="87"/>
        <v>132</v>
      </c>
      <c r="M148" s="520">
        <f t="shared" si="87"/>
        <v>110.39999999999999</v>
      </c>
      <c r="N148" s="520">
        <f t="shared" si="87"/>
        <v>110.69999999999999</v>
      </c>
      <c r="O148" s="520">
        <f t="shared" si="87"/>
        <v>160.26655014555075</v>
      </c>
      <c r="P148" s="520">
        <f t="shared" si="87"/>
        <v>102.78303372186139</v>
      </c>
      <c r="Q148" s="520">
        <f t="shared" si="87"/>
        <v>100.19354995944677</v>
      </c>
      <c r="R148" s="520">
        <f t="shared" si="87"/>
        <v>94.575870076314601</v>
      </c>
      <c r="S148" s="520">
        <f t="shared" si="87"/>
        <v>98.287645864625688</v>
      </c>
      <c r="T148" s="520">
        <f t="shared" si="87"/>
        <v>100.1030649386264</v>
      </c>
      <c r="U148" s="520">
        <f t="shared" si="87"/>
        <v>100.70137176108622</v>
      </c>
      <c r="V148" s="520">
        <f t="shared" si="87"/>
        <v>100.518250388741</v>
      </c>
      <c r="W148" s="520">
        <f t="shared" si="87"/>
        <v>100.40291761291219</v>
      </c>
      <c r="X148" s="520">
        <f t="shared" si="87"/>
        <v>100.32884125869501</v>
      </c>
      <c r="Y148" s="520">
        <f t="shared" si="87"/>
        <v>100.26539877136038</v>
      </c>
      <c r="Z148" s="520">
        <f t="shared" si="87"/>
        <v>100.24266074406691</v>
      </c>
      <c r="AA148" s="520">
        <f t="shared" si="87"/>
        <v>100.23645783122964</v>
      </c>
      <c r="AB148" s="520">
        <f t="shared" si="87"/>
        <v>100.37471501444514</v>
      </c>
      <c r="AC148" s="520">
        <f t="shared" si="87"/>
        <v>100.51297219766064</v>
      </c>
      <c r="AD148" s="520">
        <f t="shared" si="87"/>
        <v>100.65122938087613</v>
      </c>
      <c r="AE148" s="520">
        <f t="shared" si="87"/>
        <v>100.78948656409162</v>
      </c>
      <c r="AF148" s="520">
        <f t="shared" si="87"/>
        <v>100.92774374730713</v>
      </c>
      <c r="AG148" s="520">
        <f t="shared" si="87"/>
        <v>101.06600093052263</v>
      </c>
      <c r="AH148" s="520">
        <f t="shared" si="87"/>
        <v>101.20425811373809</v>
      </c>
      <c r="AI148" s="520">
        <f t="shared" si="87"/>
        <v>101.34251529695359</v>
      </c>
      <c r="AJ148" s="520">
        <f t="shared" si="87"/>
        <v>101.48077248016905</v>
      </c>
      <c r="AK148" s="520">
        <f t="shared" si="87"/>
        <v>101.61902966338455</v>
      </c>
      <c r="AL148" s="520">
        <f t="shared" si="87"/>
        <v>101.75728684660005</v>
      </c>
      <c r="AM148" s="520">
        <f t="shared" si="87"/>
        <v>101.89554402981554</v>
      </c>
      <c r="AN148" s="520">
        <f t="shared" si="87"/>
        <v>102.03380121303101</v>
      </c>
      <c r="AO148" s="520">
        <f t="shared" si="87"/>
        <v>102.17205839624651</v>
      </c>
      <c r="AP148" s="520">
        <f t="shared" si="87"/>
        <v>102.31031557946201</v>
      </c>
      <c r="AQ148" s="520">
        <f t="shared" si="87"/>
        <v>102.44857276267751</v>
      </c>
      <c r="AR148" s="520">
        <f t="shared" si="87"/>
        <v>102.58682994589297</v>
      </c>
      <c r="AS148" s="520">
        <f t="shared" si="87"/>
        <v>102.72508712910849</v>
      </c>
      <c r="AT148" s="520">
        <f t="shared" si="87"/>
        <v>102.86334431232396</v>
      </c>
      <c r="AU148" s="520">
        <f t="shared" si="87"/>
        <v>103.00160149553948</v>
      </c>
      <c r="AV148" s="437"/>
      <c r="AW148" s="437"/>
      <c r="AX148" s="437"/>
      <c r="AY148" s="437"/>
      <c r="AZ148" s="437"/>
    </row>
    <row r="149" spans="2:52">
      <c r="B149" s="437"/>
      <c r="C149" s="437"/>
      <c r="D149" s="516"/>
      <c r="E149" s="516" t="s">
        <v>632</v>
      </c>
      <c r="F149" s="517" t="str">
        <f>F144</f>
        <v>MKr19</v>
      </c>
      <c r="G149" s="520">
        <f t="shared" ref="G149:AU149" si="88">G142</f>
        <v>44.4</v>
      </c>
      <c r="H149" s="520">
        <f t="shared" si="88"/>
        <v>46.1</v>
      </c>
      <c r="I149" s="520">
        <f t="shared" si="88"/>
        <v>55.1</v>
      </c>
      <c r="J149" s="520">
        <f t="shared" si="88"/>
        <v>54.2</v>
      </c>
      <c r="K149" s="520">
        <f t="shared" si="88"/>
        <v>45.7</v>
      </c>
      <c r="L149" s="520">
        <f t="shared" si="88"/>
        <v>44</v>
      </c>
      <c r="M149" s="520">
        <f t="shared" si="88"/>
        <v>36.799999999999997</v>
      </c>
      <c r="N149" s="520">
        <f t="shared" si="88"/>
        <v>36.9</v>
      </c>
      <c r="O149" s="520">
        <f>O142</f>
        <v>53.422183381850253</v>
      </c>
      <c r="P149" s="520">
        <f t="shared" si="88"/>
        <v>34.261011240620462</v>
      </c>
      <c r="Q149" s="520">
        <f t="shared" si="88"/>
        <v>33.397849986482257</v>
      </c>
      <c r="R149" s="520">
        <f t="shared" si="88"/>
        <v>31.525290025438199</v>
      </c>
      <c r="S149" s="520">
        <f t="shared" si="88"/>
        <v>32.762548621541896</v>
      </c>
      <c r="T149" s="520">
        <f t="shared" si="88"/>
        <v>33.367688312875465</v>
      </c>
      <c r="U149" s="520">
        <f t="shared" si="88"/>
        <v>33.567123920362071</v>
      </c>
      <c r="V149" s="520">
        <f t="shared" si="88"/>
        <v>33.506083462913665</v>
      </c>
      <c r="W149" s="520">
        <f t="shared" si="88"/>
        <v>33.467639204304064</v>
      </c>
      <c r="X149" s="520">
        <f t="shared" si="88"/>
        <v>33.442947086231669</v>
      </c>
      <c r="Y149" s="520">
        <f t="shared" si="88"/>
        <v>33.42179959045346</v>
      </c>
      <c r="Z149" s="520">
        <f t="shared" si="88"/>
        <v>33.414220248022303</v>
      </c>
      <c r="AA149" s="520">
        <f t="shared" si="88"/>
        <v>33.412152610409883</v>
      </c>
      <c r="AB149" s="520">
        <f t="shared" si="88"/>
        <v>33.458238338148384</v>
      </c>
      <c r="AC149" s="520">
        <f t="shared" si="88"/>
        <v>33.504324065886884</v>
      </c>
      <c r="AD149" s="520">
        <f t="shared" si="88"/>
        <v>33.550409793625377</v>
      </c>
      <c r="AE149" s="520">
        <f t="shared" si="88"/>
        <v>33.59649552136387</v>
      </c>
      <c r="AF149" s="520">
        <f t="shared" si="88"/>
        <v>33.642581249102378</v>
      </c>
      <c r="AG149" s="520">
        <f t="shared" si="88"/>
        <v>33.688666976840878</v>
      </c>
      <c r="AH149" s="520">
        <f t="shared" si="88"/>
        <v>33.734752704579364</v>
      </c>
      <c r="AI149" s="520">
        <f t="shared" si="88"/>
        <v>33.780838432317864</v>
      </c>
      <c r="AJ149" s="520">
        <f t="shared" si="88"/>
        <v>33.82692416005635</v>
      </c>
      <c r="AK149" s="520">
        <f t="shared" si="88"/>
        <v>33.873009887794851</v>
      </c>
      <c r="AL149" s="520">
        <f t="shared" si="88"/>
        <v>33.919095615533351</v>
      </c>
      <c r="AM149" s="520">
        <f t="shared" si="88"/>
        <v>33.965181343271844</v>
      </c>
      <c r="AN149" s="520">
        <f t="shared" si="88"/>
        <v>34.011267071010337</v>
      </c>
      <c r="AO149" s="520">
        <f t="shared" si="88"/>
        <v>34.057352798748838</v>
      </c>
      <c r="AP149" s="520">
        <f t="shared" si="88"/>
        <v>34.103438526487338</v>
      </c>
      <c r="AQ149" s="520">
        <f t="shared" si="88"/>
        <v>34.149524254225838</v>
      </c>
      <c r="AR149" s="520">
        <f t="shared" si="88"/>
        <v>34.195609981964324</v>
      </c>
      <c r="AS149" s="520">
        <f t="shared" si="88"/>
        <v>34.241695709702832</v>
      </c>
      <c r="AT149" s="520">
        <f t="shared" si="88"/>
        <v>34.287781437441318</v>
      </c>
      <c r="AU149" s="520">
        <f t="shared" si="88"/>
        <v>34.333867165179825</v>
      </c>
      <c r="AV149" s="437"/>
      <c r="AW149" s="437"/>
      <c r="AX149" s="437"/>
      <c r="AY149" s="437"/>
      <c r="AZ149" s="437"/>
    </row>
    <row r="150" spans="2:52">
      <c r="B150" s="437"/>
      <c r="C150" s="437"/>
      <c r="D150" s="516"/>
      <c r="E150" s="516" t="s">
        <v>71</v>
      </c>
      <c r="F150" s="519" t="s">
        <v>853</v>
      </c>
      <c r="G150" s="412">
        <f>G231</f>
        <v>46</v>
      </c>
      <c r="H150" s="412">
        <f t="shared" ref="H150:N150" si="89">H231</f>
        <v>46</v>
      </c>
      <c r="I150" s="412">
        <f t="shared" si="89"/>
        <v>46</v>
      </c>
      <c r="J150" s="412">
        <f t="shared" si="89"/>
        <v>45.7</v>
      </c>
      <c r="K150" s="412">
        <f t="shared" si="89"/>
        <v>45.3</v>
      </c>
      <c r="L150" s="412">
        <f t="shared" si="89"/>
        <v>44.9</v>
      </c>
      <c r="M150" s="412">
        <f t="shared" si="89"/>
        <v>45.4</v>
      </c>
      <c r="N150" s="412">
        <f t="shared" si="89"/>
        <v>45.9</v>
      </c>
      <c r="O150" s="521">
        <f>VLOOKUP(O$120,$C$284:$O$316,12)</f>
        <v>45.179472202489855</v>
      </c>
      <c r="P150" s="521">
        <f t="shared" ref="P150:AU150" si="90">VLOOKUP(P$120,$C$284:$O$316,12)</f>
        <v>45.117600562980392</v>
      </c>
      <c r="Q150" s="521">
        <f t="shared" si="90"/>
        <v>45.248389703133633</v>
      </c>
      <c r="R150" s="521">
        <f t="shared" si="90"/>
        <v>45.190250127598674</v>
      </c>
      <c r="S150" s="521">
        <f t="shared" si="90"/>
        <v>45.392121473736516</v>
      </c>
      <c r="T150" s="521">
        <f t="shared" si="90"/>
        <v>45.644433925671841</v>
      </c>
      <c r="U150" s="521">
        <f t="shared" si="90"/>
        <v>45.923015098100862</v>
      </c>
      <c r="V150" s="521">
        <f t="shared" si="90"/>
        <v>46.207001444406053</v>
      </c>
      <c r="W150" s="521">
        <f t="shared" si="90"/>
        <v>46.419730980267232</v>
      </c>
      <c r="X150" s="521">
        <f t="shared" si="90"/>
        <v>46.631059323825987</v>
      </c>
      <c r="Y150" s="521">
        <f t="shared" si="90"/>
        <v>46.839924523073165</v>
      </c>
      <c r="Z150" s="521">
        <f t="shared" si="90"/>
        <v>47.054043906757286</v>
      </c>
      <c r="AA150" s="521">
        <f t="shared" si="90"/>
        <v>47.263106384197172</v>
      </c>
      <c r="AB150" s="521">
        <f t="shared" si="90"/>
        <v>47.363169268373781</v>
      </c>
      <c r="AC150" s="521">
        <f t="shared" si="90"/>
        <v>47.463048827686151</v>
      </c>
      <c r="AD150" s="521">
        <f t="shared" si="90"/>
        <v>47.562746231205452</v>
      </c>
      <c r="AE150" s="521">
        <f t="shared" si="90"/>
        <v>47.662262629564232</v>
      </c>
      <c r="AF150" s="521">
        <f t="shared" si="90"/>
        <v>47.761599155151828</v>
      </c>
      <c r="AG150" s="521">
        <f t="shared" si="90"/>
        <v>47.861557709026719</v>
      </c>
      <c r="AH150" s="521">
        <f t="shared" si="90"/>
        <v>47.961224086497161</v>
      </c>
      <c r="AI150" s="521">
        <f t="shared" si="90"/>
        <v>48.06060022028862</v>
      </c>
      <c r="AJ150" s="521">
        <f t="shared" si="90"/>
        <v>48.159688016832391</v>
      </c>
      <c r="AK150" s="521">
        <f t="shared" si="90"/>
        <v>48.258489356547372</v>
      </c>
      <c r="AL150" s="521">
        <f t="shared" si="90"/>
        <v>48.37762671431922</v>
      </c>
      <c r="AM150" s="521">
        <f t="shared" si="90"/>
        <v>48.496315696545963</v>
      </c>
      <c r="AN150" s="521">
        <f t="shared" si="90"/>
        <v>48.614559135690349</v>
      </c>
      <c r="AO150" s="521">
        <f t="shared" si="90"/>
        <v>48.73235982855357</v>
      </c>
      <c r="AP150" s="521">
        <f t="shared" si="90"/>
        <v>48.849720536660548</v>
      </c>
      <c r="AQ150" s="521">
        <f t="shared" si="90"/>
        <v>49.024574818868821</v>
      </c>
      <c r="AR150" s="521">
        <f t="shared" si="90"/>
        <v>49.198719487894593</v>
      </c>
      <c r="AS150" s="521">
        <f t="shared" si="90"/>
        <v>49.372158440659689</v>
      </c>
      <c r="AT150" s="521">
        <f t="shared" si="90"/>
        <v>49.544895527221009</v>
      </c>
      <c r="AU150" s="521">
        <f t="shared" si="90"/>
        <v>49.716934551280723</v>
      </c>
      <c r="AV150" s="437"/>
      <c r="AW150" s="437"/>
      <c r="AX150" s="437"/>
      <c r="AY150" s="437"/>
      <c r="AZ150" s="437"/>
    </row>
    <row r="151" spans="2:52">
      <c r="B151" s="437"/>
      <c r="C151" s="437"/>
      <c r="D151" s="516"/>
      <c r="E151" s="516" t="s">
        <v>70</v>
      </c>
      <c r="F151" s="519" t="s">
        <v>853</v>
      </c>
      <c r="G151" s="412">
        <f>G240</f>
        <v>73.7</v>
      </c>
      <c r="H151" s="412">
        <f t="shared" ref="H151:N151" si="91">H240</f>
        <v>73.7</v>
      </c>
      <c r="I151" s="412">
        <f t="shared" si="91"/>
        <v>73.7</v>
      </c>
      <c r="J151" s="412">
        <f t="shared" si="91"/>
        <v>72.7</v>
      </c>
      <c r="K151" s="412">
        <f t="shared" si="91"/>
        <v>71.8</v>
      </c>
      <c r="L151" s="412">
        <f t="shared" si="91"/>
        <v>70.8</v>
      </c>
      <c r="M151" s="412">
        <f t="shared" si="91"/>
        <v>71.2</v>
      </c>
      <c r="N151" s="412">
        <f t="shared" si="91"/>
        <v>71.599999999999994</v>
      </c>
      <c r="O151" s="521">
        <f>VLOOKUP(O$120,$C$284:$O$316,10)</f>
        <v>69.494890781791952</v>
      </c>
      <c r="P151" s="521">
        <f t="shared" ref="P151:AU151" si="92">VLOOKUP(P$120,$C$284:$O$316,10)</f>
        <v>69.433019142282461</v>
      </c>
      <c r="Q151" s="521">
        <f t="shared" si="92"/>
        <v>59.910194122791161</v>
      </c>
      <c r="R151" s="521">
        <f t="shared" si="92"/>
        <v>62.854344413402906</v>
      </c>
      <c r="S151" s="521">
        <f t="shared" si="92"/>
        <v>63.172513966646889</v>
      </c>
      <c r="T151" s="521">
        <f t="shared" si="92"/>
        <v>62.478874618815077</v>
      </c>
      <c r="U151" s="521">
        <f t="shared" si="92"/>
        <v>62.142339464339834</v>
      </c>
      <c r="V151" s="521">
        <f t="shared" si="92"/>
        <v>61.840436911371611</v>
      </c>
      <c r="W151" s="521">
        <f t="shared" si="92"/>
        <v>61.559038676176264</v>
      </c>
      <c r="X151" s="521">
        <f t="shared" si="92"/>
        <v>61.304552221855602</v>
      </c>
      <c r="Y151" s="521">
        <f t="shared" si="92"/>
        <v>61.075127920444082</v>
      </c>
      <c r="Z151" s="521">
        <f t="shared" si="92"/>
        <v>60.879811326662022</v>
      </c>
      <c r="AA151" s="521">
        <f t="shared" si="92"/>
        <v>60.705878120268423</v>
      </c>
      <c r="AB151" s="521">
        <f t="shared" si="92"/>
        <v>60.70433047636952</v>
      </c>
      <c r="AC151" s="521">
        <f t="shared" si="92"/>
        <v>60.702548817291905</v>
      </c>
      <c r="AD151" s="521">
        <f t="shared" si="92"/>
        <v>60.700536499539886</v>
      </c>
      <c r="AE151" s="521">
        <f t="shared" si="92"/>
        <v>60.698296822060883</v>
      </c>
      <c r="AF151" s="521">
        <f t="shared" si="92"/>
        <v>60.695833026853684</v>
      </c>
      <c r="AG151" s="521">
        <f t="shared" si="92"/>
        <v>60.689945389690699</v>
      </c>
      <c r="AH151" s="521">
        <f t="shared" si="92"/>
        <v>60.683892039969457</v>
      </c>
      <c r="AI151" s="521">
        <f t="shared" si="92"/>
        <v>60.677675969854107</v>
      </c>
      <c r="AJ151" s="521">
        <f t="shared" si="92"/>
        <v>60.671300113152753</v>
      </c>
      <c r="AK151" s="521">
        <f t="shared" si="92"/>
        <v>60.664767346129707</v>
      </c>
      <c r="AL151" s="521">
        <f t="shared" si="92"/>
        <v>60.675957923099851</v>
      </c>
      <c r="AM151" s="521">
        <f t="shared" si="92"/>
        <v>60.68702193291076</v>
      </c>
      <c r="AN151" s="521">
        <f t="shared" si="92"/>
        <v>60.697960969252613</v>
      </c>
      <c r="AO151" s="521">
        <f t="shared" si="92"/>
        <v>60.70877659234629</v>
      </c>
      <c r="AP151" s="521">
        <f t="shared" si="92"/>
        <v>60.719470329291362</v>
      </c>
      <c r="AQ151" s="521">
        <f t="shared" si="92"/>
        <v>60.774302670903623</v>
      </c>
      <c r="AR151" s="521">
        <f t="shared" si="92"/>
        <v>60.828784329157571</v>
      </c>
      <c r="AS151" s="521">
        <f t="shared" si="92"/>
        <v>60.882916997101603</v>
      </c>
      <c r="AT151" s="521">
        <f t="shared" si="92"/>
        <v>60.936702331670006</v>
      </c>
      <c r="AU151" s="521">
        <f t="shared" si="92"/>
        <v>60.990141954059872</v>
      </c>
      <c r="AV151" s="437"/>
      <c r="AW151" s="437"/>
      <c r="AX151" s="437"/>
      <c r="AY151" s="437"/>
      <c r="AZ151" s="437"/>
    </row>
    <row r="152" spans="2:52">
      <c r="B152" s="437"/>
      <c r="C152" s="437"/>
      <c r="D152" s="516"/>
      <c r="E152" s="516" t="s">
        <v>43</v>
      </c>
      <c r="F152" s="519" t="s">
        <v>853</v>
      </c>
      <c r="G152" s="520">
        <f>G243</f>
        <v>41.5</v>
      </c>
      <c r="H152" s="520">
        <f t="shared" ref="H152:N152" si="93">H243</f>
        <v>41.5</v>
      </c>
      <c r="I152" s="520">
        <f t="shared" si="93"/>
        <v>41.5</v>
      </c>
      <c r="J152" s="520">
        <f t="shared" si="93"/>
        <v>41.2</v>
      </c>
      <c r="K152" s="520">
        <f t="shared" si="93"/>
        <v>40.799999999999997</v>
      </c>
      <c r="L152" s="520">
        <f t="shared" si="93"/>
        <v>40.5</v>
      </c>
      <c r="M152" s="520">
        <f t="shared" si="93"/>
        <v>40.9</v>
      </c>
      <c r="N152" s="520">
        <f t="shared" si="93"/>
        <v>41.4</v>
      </c>
      <c r="O152" s="521">
        <f>VLOOKUP(O$120,$C$284:$O$316,13)</f>
        <v>41.634898055339931</v>
      </c>
      <c r="P152" s="521">
        <f t="shared" ref="P152:AU152" si="94">VLOOKUP(P$120,$C$284:$O$316,13)</f>
        <v>41.634898055339931</v>
      </c>
      <c r="Q152" s="521">
        <f t="shared" si="94"/>
        <v>41.962449107096752</v>
      </c>
      <c r="R152" s="521">
        <f t="shared" si="94"/>
        <v>42.37591413450582</v>
      </c>
      <c r="S152" s="521">
        <f t="shared" si="94"/>
        <v>42.791201303703261</v>
      </c>
      <c r="T152" s="521">
        <f t="shared" si="94"/>
        <v>43.208184541451871</v>
      </c>
      <c r="U152" s="521">
        <f t="shared" si="94"/>
        <v>43.626739530646304</v>
      </c>
      <c r="V152" s="521">
        <f t="shared" si="94"/>
        <v>44.046743692103149</v>
      </c>
      <c r="W152" s="521">
        <f t="shared" si="94"/>
        <v>44.303492323512977</v>
      </c>
      <c r="X152" s="521">
        <f t="shared" si="94"/>
        <v>44.56044844066794</v>
      </c>
      <c r="Y152" s="521">
        <f t="shared" si="94"/>
        <v>44.817607952103295</v>
      </c>
      <c r="Z152" s="521">
        <f t="shared" si="94"/>
        <v>45.074966809344929</v>
      </c>
      <c r="AA152" s="521">
        <f t="shared" si="94"/>
        <v>45.332521006394593</v>
      </c>
      <c r="AB152" s="521">
        <f t="shared" si="94"/>
        <v>45.549544275390517</v>
      </c>
      <c r="AC152" s="521">
        <f t="shared" si="94"/>
        <v>45.766845997017583</v>
      </c>
      <c r="AD152" s="521">
        <f t="shared" si="94"/>
        <v>45.93621057509371</v>
      </c>
      <c r="AE152" s="521">
        <f t="shared" si="94"/>
        <v>46.091987325464736</v>
      </c>
      <c r="AF152" s="521">
        <f t="shared" si="94"/>
        <v>46.247727566987081</v>
      </c>
      <c r="AG152" s="521">
        <f t="shared" si="94"/>
        <v>46.390503884981669</v>
      </c>
      <c r="AH152" s="521">
        <f t="shared" si="94"/>
        <v>46.533237561648519</v>
      </c>
      <c r="AI152" s="521">
        <f t="shared" si="94"/>
        <v>46.675927978934773</v>
      </c>
      <c r="AJ152" s="521">
        <f t="shared" si="94"/>
        <v>46.818574524689666</v>
      </c>
      <c r="AK152" s="521">
        <f t="shared" si="94"/>
        <v>46.961176592602918</v>
      </c>
      <c r="AL152" s="521">
        <f t="shared" si="94"/>
        <v>46.961176592602918</v>
      </c>
      <c r="AM152" s="521">
        <f t="shared" si="94"/>
        <v>46.961176592602918</v>
      </c>
      <c r="AN152" s="521">
        <f t="shared" si="94"/>
        <v>46.961176592602918</v>
      </c>
      <c r="AO152" s="521">
        <f t="shared" si="94"/>
        <v>46.961176592602918</v>
      </c>
      <c r="AP152" s="521">
        <f t="shared" si="94"/>
        <v>46.961176592602918</v>
      </c>
      <c r="AQ152" s="521">
        <f t="shared" si="94"/>
        <v>46.961176592602918</v>
      </c>
      <c r="AR152" s="521">
        <f t="shared" si="94"/>
        <v>46.961176592602918</v>
      </c>
      <c r="AS152" s="521">
        <f t="shared" si="94"/>
        <v>46.961176592602918</v>
      </c>
      <c r="AT152" s="521">
        <f t="shared" si="94"/>
        <v>46.961176592602918</v>
      </c>
      <c r="AU152" s="521">
        <f t="shared" si="94"/>
        <v>46.961176592602918</v>
      </c>
      <c r="AV152" s="437"/>
      <c r="AW152" s="437"/>
      <c r="AX152" s="437"/>
      <c r="AY152" s="437"/>
      <c r="AZ152" s="437"/>
    </row>
    <row r="153" spans="2:52">
      <c r="B153" s="437"/>
      <c r="C153" s="437"/>
      <c r="D153" s="516" t="s">
        <v>740</v>
      </c>
      <c r="E153" s="516" t="s">
        <v>622</v>
      </c>
      <c r="F153" s="517" t="s">
        <v>140</v>
      </c>
      <c r="G153" s="520">
        <f>G152</f>
        <v>41.5</v>
      </c>
      <c r="H153" s="520">
        <f t="shared" ref="H153:AU153" si="95">H152</f>
        <v>41.5</v>
      </c>
      <c r="I153" s="520">
        <f t="shared" si="95"/>
        <v>41.5</v>
      </c>
      <c r="J153" s="520">
        <f t="shared" si="95"/>
        <v>41.2</v>
      </c>
      <c r="K153" s="520">
        <f t="shared" si="95"/>
        <v>40.799999999999997</v>
      </c>
      <c r="L153" s="520">
        <f t="shared" si="95"/>
        <v>40.5</v>
      </c>
      <c r="M153" s="520">
        <f t="shared" si="95"/>
        <v>40.9</v>
      </c>
      <c r="N153" s="520">
        <f t="shared" si="95"/>
        <v>41.4</v>
      </c>
      <c r="O153" s="520">
        <f t="shared" si="95"/>
        <v>41.634898055339931</v>
      </c>
      <c r="P153" s="520">
        <f t="shared" si="95"/>
        <v>41.634898055339931</v>
      </c>
      <c r="Q153" s="520">
        <f t="shared" si="95"/>
        <v>41.962449107096752</v>
      </c>
      <c r="R153" s="520">
        <f t="shared" si="95"/>
        <v>42.37591413450582</v>
      </c>
      <c r="S153" s="520">
        <f t="shared" si="95"/>
        <v>42.791201303703261</v>
      </c>
      <c r="T153" s="520">
        <f t="shared" si="95"/>
        <v>43.208184541451871</v>
      </c>
      <c r="U153" s="520">
        <f t="shared" si="95"/>
        <v>43.626739530646304</v>
      </c>
      <c r="V153" s="520">
        <f t="shared" si="95"/>
        <v>44.046743692103149</v>
      </c>
      <c r="W153" s="520">
        <f t="shared" si="95"/>
        <v>44.303492323512977</v>
      </c>
      <c r="X153" s="520">
        <f t="shared" si="95"/>
        <v>44.56044844066794</v>
      </c>
      <c r="Y153" s="520">
        <f t="shared" si="95"/>
        <v>44.817607952103295</v>
      </c>
      <c r="Z153" s="520">
        <f t="shared" si="95"/>
        <v>45.074966809344929</v>
      </c>
      <c r="AA153" s="520">
        <f t="shared" si="95"/>
        <v>45.332521006394593</v>
      </c>
      <c r="AB153" s="520">
        <f t="shared" si="95"/>
        <v>45.549544275390517</v>
      </c>
      <c r="AC153" s="520">
        <f t="shared" si="95"/>
        <v>45.766845997017583</v>
      </c>
      <c r="AD153" s="520">
        <f t="shared" si="95"/>
        <v>45.93621057509371</v>
      </c>
      <c r="AE153" s="520">
        <f t="shared" si="95"/>
        <v>46.091987325464736</v>
      </c>
      <c r="AF153" s="520">
        <f t="shared" si="95"/>
        <v>46.247727566987081</v>
      </c>
      <c r="AG153" s="520">
        <f t="shared" si="95"/>
        <v>46.390503884981669</v>
      </c>
      <c r="AH153" s="520">
        <f t="shared" si="95"/>
        <v>46.533237561648519</v>
      </c>
      <c r="AI153" s="520">
        <f t="shared" si="95"/>
        <v>46.675927978934773</v>
      </c>
      <c r="AJ153" s="520">
        <f t="shared" si="95"/>
        <v>46.818574524689666</v>
      </c>
      <c r="AK153" s="520">
        <f t="shared" si="95"/>
        <v>46.961176592602918</v>
      </c>
      <c r="AL153" s="520">
        <f t="shared" si="95"/>
        <v>46.961176592602918</v>
      </c>
      <c r="AM153" s="520">
        <f t="shared" si="95"/>
        <v>46.961176592602918</v>
      </c>
      <c r="AN153" s="520">
        <f t="shared" si="95"/>
        <v>46.961176592602918</v>
      </c>
      <c r="AO153" s="520">
        <f t="shared" si="95"/>
        <v>46.961176592602918</v>
      </c>
      <c r="AP153" s="520">
        <f t="shared" si="95"/>
        <v>46.961176592602918</v>
      </c>
      <c r="AQ153" s="520">
        <f t="shared" si="95"/>
        <v>46.961176592602918</v>
      </c>
      <c r="AR153" s="520">
        <f t="shared" si="95"/>
        <v>46.961176592602918</v>
      </c>
      <c r="AS153" s="520">
        <f t="shared" si="95"/>
        <v>46.961176592602918</v>
      </c>
      <c r="AT153" s="520">
        <f t="shared" si="95"/>
        <v>46.961176592602918</v>
      </c>
      <c r="AU153" s="520">
        <f t="shared" si="95"/>
        <v>46.961176592602918</v>
      </c>
      <c r="AV153" s="437"/>
      <c r="AW153" s="437"/>
      <c r="AX153" s="437"/>
      <c r="AY153" s="437"/>
      <c r="AZ153" s="437"/>
    </row>
    <row r="154" spans="2:52">
      <c r="B154" s="437"/>
      <c r="C154" s="437"/>
      <c r="D154" s="516"/>
      <c r="E154" s="516" t="s">
        <v>245</v>
      </c>
      <c r="F154" s="517" t="s">
        <v>140</v>
      </c>
      <c r="G154" s="520">
        <f t="shared" ref="G154:AU158" si="96">$E202</f>
        <v>72.400000000000006</v>
      </c>
      <c r="H154" s="520">
        <f t="shared" si="96"/>
        <v>72.400000000000006</v>
      </c>
      <c r="I154" s="520">
        <f t="shared" si="96"/>
        <v>72.400000000000006</v>
      </c>
      <c r="J154" s="520">
        <f t="shared" si="96"/>
        <v>72.400000000000006</v>
      </c>
      <c r="K154" s="520">
        <f t="shared" si="96"/>
        <v>72.400000000000006</v>
      </c>
      <c r="L154" s="520">
        <f t="shared" si="96"/>
        <v>72.400000000000006</v>
      </c>
      <c r="M154" s="520">
        <f t="shared" si="96"/>
        <v>72.400000000000006</v>
      </c>
      <c r="N154" s="520">
        <f t="shared" si="96"/>
        <v>72.400000000000006</v>
      </c>
      <c r="O154" s="520">
        <f t="shared" si="96"/>
        <v>72.400000000000006</v>
      </c>
      <c r="P154" s="520">
        <f t="shared" si="96"/>
        <v>72.400000000000006</v>
      </c>
      <c r="Q154" s="520">
        <f t="shared" si="96"/>
        <v>72.400000000000006</v>
      </c>
      <c r="R154" s="520">
        <f t="shared" si="96"/>
        <v>72.400000000000006</v>
      </c>
      <c r="S154" s="520">
        <f t="shared" si="96"/>
        <v>72.400000000000006</v>
      </c>
      <c r="T154" s="520">
        <f t="shared" si="96"/>
        <v>72.400000000000006</v>
      </c>
      <c r="U154" s="520">
        <f t="shared" si="96"/>
        <v>72.400000000000006</v>
      </c>
      <c r="V154" s="520">
        <f t="shared" si="96"/>
        <v>72.400000000000006</v>
      </c>
      <c r="W154" s="520">
        <f t="shared" si="96"/>
        <v>72.400000000000006</v>
      </c>
      <c r="X154" s="520">
        <f t="shared" si="96"/>
        <v>72.400000000000006</v>
      </c>
      <c r="Y154" s="520">
        <f t="shared" si="96"/>
        <v>72.400000000000006</v>
      </c>
      <c r="Z154" s="520">
        <f t="shared" si="96"/>
        <v>72.400000000000006</v>
      </c>
      <c r="AA154" s="520">
        <f t="shared" si="96"/>
        <v>72.400000000000006</v>
      </c>
      <c r="AB154" s="520">
        <f t="shared" si="96"/>
        <v>72.400000000000006</v>
      </c>
      <c r="AC154" s="520">
        <f t="shared" si="96"/>
        <v>72.400000000000006</v>
      </c>
      <c r="AD154" s="520">
        <f t="shared" si="96"/>
        <v>72.400000000000006</v>
      </c>
      <c r="AE154" s="520">
        <f t="shared" si="96"/>
        <v>72.400000000000006</v>
      </c>
      <c r="AF154" s="520">
        <f t="shared" si="96"/>
        <v>72.400000000000006</v>
      </c>
      <c r="AG154" s="520">
        <f t="shared" si="96"/>
        <v>72.400000000000006</v>
      </c>
      <c r="AH154" s="520">
        <f t="shared" si="96"/>
        <v>72.400000000000006</v>
      </c>
      <c r="AI154" s="520">
        <f t="shared" si="96"/>
        <v>72.400000000000006</v>
      </c>
      <c r="AJ154" s="520">
        <f t="shared" si="96"/>
        <v>72.400000000000006</v>
      </c>
      <c r="AK154" s="520">
        <f t="shared" si="96"/>
        <v>72.400000000000006</v>
      </c>
      <c r="AL154" s="520">
        <f t="shared" si="96"/>
        <v>72.400000000000006</v>
      </c>
      <c r="AM154" s="520">
        <f t="shared" si="96"/>
        <v>72.400000000000006</v>
      </c>
      <c r="AN154" s="520">
        <f t="shared" si="96"/>
        <v>72.400000000000006</v>
      </c>
      <c r="AO154" s="520">
        <f t="shared" si="96"/>
        <v>72.400000000000006</v>
      </c>
      <c r="AP154" s="520">
        <f t="shared" si="96"/>
        <v>72.400000000000006</v>
      </c>
      <c r="AQ154" s="520">
        <f t="shared" si="96"/>
        <v>72.400000000000006</v>
      </c>
      <c r="AR154" s="520">
        <f t="shared" si="96"/>
        <v>72.400000000000006</v>
      </c>
      <c r="AS154" s="520">
        <f t="shared" si="96"/>
        <v>72.400000000000006</v>
      </c>
      <c r="AT154" s="520">
        <f t="shared" si="96"/>
        <v>72.400000000000006</v>
      </c>
      <c r="AU154" s="520">
        <f t="shared" si="96"/>
        <v>72.400000000000006</v>
      </c>
      <c r="AV154" s="437"/>
      <c r="AW154" s="437"/>
      <c r="AX154" s="437"/>
      <c r="AY154" s="437"/>
      <c r="AZ154" s="437"/>
    </row>
    <row r="155" spans="2:52">
      <c r="B155" s="437"/>
      <c r="C155" s="437"/>
      <c r="D155" s="516"/>
      <c r="E155" s="516" t="s">
        <v>247</v>
      </c>
      <c r="F155" s="517" t="s">
        <v>140</v>
      </c>
      <c r="G155" s="520">
        <f t="shared" si="96"/>
        <v>101.7</v>
      </c>
      <c r="H155" s="520">
        <f t="shared" si="96"/>
        <v>101.7</v>
      </c>
      <c r="I155" s="520">
        <f t="shared" si="96"/>
        <v>101.7</v>
      </c>
      <c r="J155" s="520">
        <f t="shared" si="96"/>
        <v>101.7</v>
      </c>
      <c r="K155" s="520">
        <f t="shared" si="96"/>
        <v>101.7</v>
      </c>
      <c r="L155" s="520">
        <f t="shared" si="96"/>
        <v>101.7</v>
      </c>
      <c r="M155" s="520">
        <f t="shared" si="96"/>
        <v>101.7</v>
      </c>
      <c r="N155" s="520">
        <f t="shared" si="96"/>
        <v>101.7</v>
      </c>
      <c r="O155" s="520">
        <f t="shared" si="96"/>
        <v>101.7</v>
      </c>
      <c r="P155" s="520">
        <f t="shared" si="96"/>
        <v>101.7</v>
      </c>
      <c r="Q155" s="520">
        <f t="shared" si="96"/>
        <v>101.7</v>
      </c>
      <c r="R155" s="520">
        <f t="shared" si="96"/>
        <v>101.7</v>
      </c>
      <c r="S155" s="520">
        <f t="shared" si="96"/>
        <v>101.7</v>
      </c>
      <c r="T155" s="520">
        <f t="shared" si="96"/>
        <v>101.7</v>
      </c>
      <c r="U155" s="520">
        <f t="shared" si="96"/>
        <v>101.7</v>
      </c>
      <c r="V155" s="520">
        <f t="shared" si="96"/>
        <v>101.7</v>
      </c>
      <c r="W155" s="520">
        <f t="shared" si="96"/>
        <v>101.7</v>
      </c>
      <c r="X155" s="520">
        <f t="shared" si="96"/>
        <v>101.7</v>
      </c>
      <c r="Y155" s="520">
        <f t="shared" si="96"/>
        <v>101.7</v>
      </c>
      <c r="Z155" s="520">
        <f t="shared" si="96"/>
        <v>101.7</v>
      </c>
      <c r="AA155" s="520">
        <f t="shared" si="96"/>
        <v>101.7</v>
      </c>
      <c r="AB155" s="520">
        <f t="shared" si="96"/>
        <v>101.7</v>
      </c>
      <c r="AC155" s="520">
        <f t="shared" si="96"/>
        <v>101.7</v>
      </c>
      <c r="AD155" s="520">
        <f t="shared" si="96"/>
        <v>101.7</v>
      </c>
      <c r="AE155" s="520">
        <f t="shared" si="96"/>
        <v>101.7</v>
      </c>
      <c r="AF155" s="520">
        <f t="shared" si="96"/>
        <v>101.7</v>
      </c>
      <c r="AG155" s="520">
        <f t="shared" si="96"/>
        <v>101.7</v>
      </c>
      <c r="AH155" s="520">
        <f t="shared" si="96"/>
        <v>101.7</v>
      </c>
      <c r="AI155" s="520">
        <f t="shared" si="96"/>
        <v>101.7</v>
      </c>
      <c r="AJ155" s="520">
        <f t="shared" si="96"/>
        <v>101.7</v>
      </c>
      <c r="AK155" s="520">
        <f t="shared" si="96"/>
        <v>101.7</v>
      </c>
      <c r="AL155" s="520">
        <f t="shared" si="96"/>
        <v>101.7</v>
      </c>
      <c r="AM155" s="520">
        <f t="shared" si="96"/>
        <v>101.7</v>
      </c>
      <c r="AN155" s="520">
        <f t="shared" si="96"/>
        <v>101.7</v>
      </c>
      <c r="AO155" s="520">
        <f t="shared" si="96"/>
        <v>101.7</v>
      </c>
      <c r="AP155" s="520">
        <f t="shared" si="96"/>
        <v>101.7</v>
      </c>
      <c r="AQ155" s="520">
        <f t="shared" si="96"/>
        <v>101.7</v>
      </c>
      <c r="AR155" s="520">
        <f t="shared" si="96"/>
        <v>101.7</v>
      </c>
      <c r="AS155" s="520">
        <f t="shared" si="96"/>
        <v>101.7</v>
      </c>
      <c r="AT155" s="520">
        <f t="shared" si="96"/>
        <v>101.7</v>
      </c>
      <c r="AU155" s="520">
        <f t="shared" si="96"/>
        <v>101.7</v>
      </c>
      <c r="AV155" s="437"/>
      <c r="AW155" s="437"/>
      <c r="AX155" s="437"/>
      <c r="AY155" s="437"/>
      <c r="AZ155" s="437"/>
    </row>
    <row r="156" spans="2:52">
      <c r="B156" s="437"/>
      <c r="C156" s="437"/>
      <c r="D156" s="516"/>
      <c r="E156" s="516" t="s">
        <v>257</v>
      </c>
      <c r="F156" s="517" t="s">
        <v>140</v>
      </c>
      <c r="G156" s="520">
        <f t="shared" si="96"/>
        <v>10.6</v>
      </c>
      <c r="H156" s="520">
        <f t="shared" si="96"/>
        <v>10.6</v>
      </c>
      <c r="I156" s="520">
        <f t="shared" si="96"/>
        <v>10.6</v>
      </c>
      <c r="J156" s="520">
        <f t="shared" si="96"/>
        <v>10.6</v>
      </c>
      <c r="K156" s="520">
        <f t="shared" si="96"/>
        <v>10.6</v>
      </c>
      <c r="L156" s="520">
        <f t="shared" si="96"/>
        <v>10.6</v>
      </c>
      <c r="M156" s="520">
        <f t="shared" si="96"/>
        <v>10.6</v>
      </c>
      <c r="N156" s="520">
        <f t="shared" si="96"/>
        <v>10.6</v>
      </c>
      <c r="O156" s="520">
        <f t="shared" si="96"/>
        <v>10.6</v>
      </c>
      <c r="P156" s="520">
        <f t="shared" si="96"/>
        <v>10.6</v>
      </c>
      <c r="Q156" s="520">
        <f t="shared" si="96"/>
        <v>10.6</v>
      </c>
      <c r="R156" s="520">
        <f t="shared" si="96"/>
        <v>10.6</v>
      </c>
      <c r="S156" s="520">
        <f t="shared" si="96"/>
        <v>10.6</v>
      </c>
      <c r="T156" s="520">
        <f t="shared" si="96"/>
        <v>10.6</v>
      </c>
      <c r="U156" s="520">
        <f t="shared" si="96"/>
        <v>10.6</v>
      </c>
      <c r="V156" s="520">
        <f t="shared" si="96"/>
        <v>10.6</v>
      </c>
      <c r="W156" s="520">
        <f t="shared" si="96"/>
        <v>10.6</v>
      </c>
      <c r="X156" s="520">
        <f t="shared" si="96"/>
        <v>10.6</v>
      </c>
      <c r="Y156" s="520">
        <f t="shared" si="96"/>
        <v>10.6</v>
      </c>
      <c r="Z156" s="520">
        <f t="shared" si="96"/>
        <v>10.6</v>
      </c>
      <c r="AA156" s="520">
        <f t="shared" si="96"/>
        <v>10.6</v>
      </c>
      <c r="AB156" s="520">
        <f t="shared" si="96"/>
        <v>10.6</v>
      </c>
      <c r="AC156" s="520">
        <f t="shared" si="96"/>
        <v>10.6</v>
      </c>
      <c r="AD156" s="520">
        <f t="shared" si="96"/>
        <v>10.6</v>
      </c>
      <c r="AE156" s="520">
        <f t="shared" si="96"/>
        <v>10.6</v>
      </c>
      <c r="AF156" s="520">
        <f t="shared" si="96"/>
        <v>10.6</v>
      </c>
      <c r="AG156" s="520">
        <f t="shared" si="96"/>
        <v>10.6</v>
      </c>
      <c r="AH156" s="520">
        <f t="shared" si="96"/>
        <v>10.6</v>
      </c>
      <c r="AI156" s="520">
        <f t="shared" si="96"/>
        <v>10.6</v>
      </c>
      <c r="AJ156" s="520">
        <f t="shared" si="96"/>
        <v>10.6</v>
      </c>
      <c r="AK156" s="520">
        <f t="shared" si="96"/>
        <v>10.6</v>
      </c>
      <c r="AL156" s="520">
        <f t="shared" si="96"/>
        <v>10.6</v>
      </c>
      <c r="AM156" s="520">
        <f t="shared" si="96"/>
        <v>10.6</v>
      </c>
      <c r="AN156" s="520">
        <f t="shared" si="96"/>
        <v>10.6</v>
      </c>
      <c r="AO156" s="520">
        <f t="shared" si="96"/>
        <v>10.6</v>
      </c>
      <c r="AP156" s="520">
        <f t="shared" si="96"/>
        <v>10.6</v>
      </c>
      <c r="AQ156" s="520">
        <f t="shared" si="96"/>
        <v>10.6</v>
      </c>
      <c r="AR156" s="520">
        <f t="shared" si="96"/>
        <v>10.6</v>
      </c>
      <c r="AS156" s="520">
        <f t="shared" si="96"/>
        <v>10.6</v>
      </c>
      <c r="AT156" s="520">
        <f t="shared" si="96"/>
        <v>10.6</v>
      </c>
      <c r="AU156" s="520">
        <f t="shared" si="96"/>
        <v>10.6</v>
      </c>
      <c r="AV156" s="437"/>
      <c r="AW156" s="437"/>
      <c r="AX156" s="437"/>
      <c r="AY156" s="437"/>
      <c r="AZ156" s="437"/>
    </row>
    <row r="157" spans="2:52">
      <c r="B157" s="437"/>
      <c r="C157" s="437"/>
      <c r="D157" s="516"/>
      <c r="E157" s="516" t="s">
        <v>249</v>
      </c>
      <c r="F157" s="517" t="s">
        <v>140</v>
      </c>
      <c r="G157" s="520">
        <f>$E205</f>
        <v>207.6</v>
      </c>
      <c r="H157" s="520">
        <f t="shared" si="96"/>
        <v>207.6</v>
      </c>
      <c r="I157" s="520">
        <f t="shared" si="96"/>
        <v>207.6</v>
      </c>
      <c r="J157" s="520">
        <f t="shared" si="96"/>
        <v>207.6</v>
      </c>
      <c r="K157" s="520">
        <f t="shared" si="96"/>
        <v>207.6</v>
      </c>
      <c r="L157" s="520">
        <f t="shared" si="96"/>
        <v>207.6</v>
      </c>
      <c r="M157" s="520">
        <f t="shared" si="96"/>
        <v>207.6</v>
      </c>
      <c r="N157" s="520">
        <f t="shared" si="96"/>
        <v>207.6</v>
      </c>
      <c r="O157" s="520">
        <f t="shared" si="96"/>
        <v>207.6</v>
      </c>
      <c r="P157" s="520">
        <f t="shared" si="96"/>
        <v>207.6</v>
      </c>
      <c r="Q157" s="520">
        <f t="shared" si="96"/>
        <v>207.6</v>
      </c>
      <c r="R157" s="520">
        <f t="shared" si="96"/>
        <v>207.6</v>
      </c>
      <c r="S157" s="520">
        <f t="shared" si="96"/>
        <v>207.6</v>
      </c>
      <c r="T157" s="520">
        <f t="shared" si="96"/>
        <v>207.6</v>
      </c>
      <c r="U157" s="520">
        <f t="shared" si="96"/>
        <v>207.6</v>
      </c>
      <c r="V157" s="520">
        <f t="shared" si="96"/>
        <v>207.6</v>
      </c>
      <c r="W157" s="520">
        <f t="shared" si="96"/>
        <v>207.6</v>
      </c>
      <c r="X157" s="520">
        <f t="shared" si="96"/>
        <v>207.6</v>
      </c>
      <c r="Y157" s="520">
        <f t="shared" si="96"/>
        <v>207.6</v>
      </c>
      <c r="Z157" s="520">
        <f t="shared" si="96"/>
        <v>207.6</v>
      </c>
      <c r="AA157" s="520">
        <f t="shared" si="96"/>
        <v>207.6</v>
      </c>
      <c r="AB157" s="520">
        <f t="shared" si="96"/>
        <v>207.6</v>
      </c>
      <c r="AC157" s="520">
        <f t="shared" si="96"/>
        <v>207.6</v>
      </c>
      <c r="AD157" s="520">
        <f t="shared" si="96"/>
        <v>207.6</v>
      </c>
      <c r="AE157" s="520">
        <f t="shared" si="96"/>
        <v>207.6</v>
      </c>
      <c r="AF157" s="520">
        <f t="shared" si="96"/>
        <v>207.6</v>
      </c>
      <c r="AG157" s="520">
        <f t="shared" si="96"/>
        <v>207.6</v>
      </c>
      <c r="AH157" s="520">
        <f t="shared" si="96"/>
        <v>207.6</v>
      </c>
      <c r="AI157" s="520">
        <f t="shared" si="96"/>
        <v>207.6</v>
      </c>
      <c r="AJ157" s="520">
        <f t="shared" si="96"/>
        <v>207.6</v>
      </c>
      <c r="AK157" s="520">
        <f t="shared" si="96"/>
        <v>207.6</v>
      </c>
      <c r="AL157" s="520">
        <f t="shared" si="96"/>
        <v>207.6</v>
      </c>
      <c r="AM157" s="520">
        <f t="shared" si="96"/>
        <v>207.6</v>
      </c>
      <c r="AN157" s="520">
        <f t="shared" si="96"/>
        <v>207.6</v>
      </c>
      <c r="AO157" s="520">
        <f t="shared" si="96"/>
        <v>207.6</v>
      </c>
      <c r="AP157" s="520">
        <f t="shared" si="96"/>
        <v>207.6</v>
      </c>
      <c r="AQ157" s="520">
        <f t="shared" si="96"/>
        <v>207.6</v>
      </c>
      <c r="AR157" s="520">
        <f t="shared" si="96"/>
        <v>207.6</v>
      </c>
      <c r="AS157" s="520">
        <f t="shared" si="96"/>
        <v>207.6</v>
      </c>
      <c r="AT157" s="520">
        <f t="shared" si="96"/>
        <v>207.6</v>
      </c>
      <c r="AU157" s="520">
        <f t="shared" si="96"/>
        <v>207.6</v>
      </c>
      <c r="AV157" s="437"/>
      <c r="AW157" s="437"/>
      <c r="AX157" s="437"/>
      <c r="AY157" s="437"/>
      <c r="AZ157" s="437"/>
    </row>
    <row r="158" spans="2:52">
      <c r="B158" s="437"/>
      <c r="C158" s="437"/>
      <c r="D158" s="516"/>
      <c r="E158" s="516" t="s">
        <v>250</v>
      </c>
      <c r="F158" s="517" t="s">
        <v>140</v>
      </c>
      <c r="G158" s="520">
        <f>$E206</f>
        <v>207.6</v>
      </c>
      <c r="H158" s="520">
        <f t="shared" si="96"/>
        <v>207.6</v>
      </c>
      <c r="I158" s="520">
        <f t="shared" si="96"/>
        <v>207.6</v>
      </c>
      <c r="J158" s="520">
        <f t="shared" si="96"/>
        <v>207.6</v>
      </c>
      <c r="K158" s="520">
        <f t="shared" si="96"/>
        <v>207.6</v>
      </c>
      <c r="L158" s="520">
        <f t="shared" si="96"/>
        <v>207.6</v>
      </c>
      <c r="M158" s="520">
        <f t="shared" si="96"/>
        <v>207.6</v>
      </c>
      <c r="N158" s="520">
        <f t="shared" si="96"/>
        <v>207.6</v>
      </c>
      <c r="O158" s="520">
        <f t="shared" si="96"/>
        <v>207.6</v>
      </c>
      <c r="P158" s="520">
        <f t="shared" si="96"/>
        <v>207.6</v>
      </c>
      <c r="Q158" s="520">
        <f t="shared" si="96"/>
        <v>207.6</v>
      </c>
      <c r="R158" s="520">
        <f t="shared" si="96"/>
        <v>207.6</v>
      </c>
      <c r="S158" s="520">
        <f t="shared" si="96"/>
        <v>207.6</v>
      </c>
      <c r="T158" s="520">
        <f t="shared" si="96"/>
        <v>207.6</v>
      </c>
      <c r="U158" s="520">
        <f t="shared" si="96"/>
        <v>207.6</v>
      </c>
      <c r="V158" s="520">
        <f t="shared" si="96"/>
        <v>207.6</v>
      </c>
      <c r="W158" s="520">
        <f t="shared" si="96"/>
        <v>207.6</v>
      </c>
      <c r="X158" s="520">
        <f t="shared" si="96"/>
        <v>207.6</v>
      </c>
      <c r="Y158" s="520">
        <f t="shared" si="96"/>
        <v>207.6</v>
      </c>
      <c r="Z158" s="520">
        <f t="shared" si="96"/>
        <v>207.6</v>
      </c>
      <c r="AA158" s="520">
        <f t="shared" si="96"/>
        <v>207.6</v>
      </c>
      <c r="AB158" s="520">
        <f t="shared" si="96"/>
        <v>207.6</v>
      </c>
      <c r="AC158" s="520">
        <f t="shared" si="96"/>
        <v>207.6</v>
      </c>
      <c r="AD158" s="520">
        <f t="shared" si="96"/>
        <v>207.6</v>
      </c>
      <c r="AE158" s="520">
        <f t="shared" si="96"/>
        <v>207.6</v>
      </c>
      <c r="AF158" s="520">
        <f t="shared" si="96"/>
        <v>207.6</v>
      </c>
      <c r="AG158" s="520">
        <f t="shared" si="96"/>
        <v>207.6</v>
      </c>
      <c r="AH158" s="520">
        <f t="shared" si="96"/>
        <v>207.6</v>
      </c>
      <c r="AI158" s="520">
        <f t="shared" si="96"/>
        <v>207.6</v>
      </c>
      <c r="AJ158" s="520">
        <f t="shared" si="96"/>
        <v>207.6</v>
      </c>
      <c r="AK158" s="520">
        <f t="shared" si="96"/>
        <v>207.6</v>
      </c>
      <c r="AL158" s="520">
        <f t="shared" si="96"/>
        <v>207.6</v>
      </c>
      <c r="AM158" s="520">
        <f t="shared" si="96"/>
        <v>207.6</v>
      </c>
      <c r="AN158" s="520">
        <f t="shared" si="96"/>
        <v>207.6</v>
      </c>
      <c r="AO158" s="520">
        <f t="shared" si="96"/>
        <v>207.6</v>
      </c>
      <c r="AP158" s="520">
        <f t="shared" si="96"/>
        <v>207.6</v>
      </c>
      <c r="AQ158" s="520">
        <f t="shared" si="96"/>
        <v>207.6</v>
      </c>
      <c r="AR158" s="520">
        <f t="shared" si="96"/>
        <v>207.6</v>
      </c>
      <c r="AS158" s="520">
        <f t="shared" si="96"/>
        <v>207.6</v>
      </c>
      <c r="AT158" s="520">
        <f t="shared" si="96"/>
        <v>207.6</v>
      </c>
      <c r="AU158" s="520">
        <f t="shared" si="96"/>
        <v>207.6</v>
      </c>
      <c r="AV158" s="437"/>
      <c r="AW158" s="437"/>
      <c r="AX158" s="437"/>
      <c r="AY158" s="437"/>
      <c r="AZ158" s="437"/>
    </row>
    <row r="159" spans="2:52">
      <c r="B159" s="437"/>
      <c r="C159" s="437"/>
      <c r="D159" s="516"/>
      <c r="E159" s="516" t="s">
        <v>667</v>
      </c>
      <c r="F159" s="517" t="s">
        <v>140</v>
      </c>
      <c r="G159" s="520">
        <f>G158*2</f>
        <v>415.2</v>
      </c>
      <c r="H159" s="520">
        <f t="shared" ref="H159:AU159" si="97">H158*2</f>
        <v>415.2</v>
      </c>
      <c r="I159" s="520">
        <f t="shared" si="97"/>
        <v>415.2</v>
      </c>
      <c r="J159" s="520">
        <f t="shared" si="97"/>
        <v>415.2</v>
      </c>
      <c r="K159" s="520">
        <f t="shared" si="97"/>
        <v>415.2</v>
      </c>
      <c r="L159" s="520">
        <f t="shared" si="97"/>
        <v>415.2</v>
      </c>
      <c r="M159" s="520">
        <f t="shared" si="97"/>
        <v>415.2</v>
      </c>
      <c r="N159" s="520">
        <f t="shared" si="97"/>
        <v>415.2</v>
      </c>
      <c r="O159" s="520">
        <f t="shared" si="97"/>
        <v>415.2</v>
      </c>
      <c r="P159" s="520">
        <f t="shared" si="97"/>
        <v>415.2</v>
      </c>
      <c r="Q159" s="520">
        <f t="shared" si="97"/>
        <v>415.2</v>
      </c>
      <c r="R159" s="520">
        <f t="shared" si="97"/>
        <v>415.2</v>
      </c>
      <c r="S159" s="520">
        <f t="shared" si="97"/>
        <v>415.2</v>
      </c>
      <c r="T159" s="520">
        <f t="shared" si="97"/>
        <v>415.2</v>
      </c>
      <c r="U159" s="520">
        <f t="shared" si="97"/>
        <v>415.2</v>
      </c>
      <c r="V159" s="520">
        <f t="shared" si="97"/>
        <v>415.2</v>
      </c>
      <c r="W159" s="520">
        <f t="shared" si="97"/>
        <v>415.2</v>
      </c>
      <c r="X159" s="520">
        <f t="shared" si="97"/>
        <v>415.2</v>
      </c>
      <c r="Y159" s="520">
        <f t="shared" si="97"/>
        <v>415.2</v>
      </c>
      <c r="Z159" s="520">
        <f t="shared" si="97"/>
        <v>415.2</v>
      </c>
      <c r="AA159" s="520">
        <f t="shared" si="97"/>
        <v>415.2</v>
      </c>
      <c r="AB159" s="520">
        <f t="shared" si="97"/>
        <v>415.2</v>
      </c>
      <c r="AC159" s="520">
        <f t="shared" si="97"/>
        <v>415.2</v>
      </c>
      <c r="AD159" s="520">
        <f t="shared" si="97"/>
        <v>415.2</v>
      </c>
      <c r="AE159" s="520">
        <f t="shared" si="97"/>
        <v>415.2</v>
      </c>
      <c r="AF159" s="520">
        <f t="shared" si="97"/>
        <v>415.2</v>
      </c>
      <c r="AG159" s="520">
        <f t="shared" si="97"/>
        <v>415.2</v>
      </c>
      <c r="AH159" s="520">
        <f t="shared" si="97"/>
        <v>415.2</v>
      </c>
      <c r="AI159" s="520">
        <f t="shared" si="97"/>
        <v>415.2</v>
      </c>
      <c r="AJ159" s="520">
        <f t="shared" si="97"/>
        <v>415.2</v>
      </c>
      <c r="AK159" s="520">
        <f t="shared" si="97"/>
        <v>415.2</v>
      </c>
      <c r="AL159" s="520">
        <f t="shared" si="97"/>
        <v>415.2</v>
      </c>
      <c r="AM159" s="520">
        <f t="shared" si="97"/>
        <v>415.2</v>
      </c>
      <c r="AN159" s="520">
        <f t="shared" si="97"/>
        <v>415.2</v>
      </c>
      <c r="AO159" s="520">
        <f t="shared" si="97"/>
        <v>415.2</v>
      </c>
      <c r="AP159" s="520">
        <f t="shared" si="97"/>
        <v>415.2</v>
      </c>
      <c r="AQ159" s="520">
        <f t="shared" si="97"/>
        <v>415.2</v>
      </c>
      <c r="AR159" s="520">
        <f t="shared" si="97"/>
        <v>415.2</v>
      </c>
      <c r="AS159" s="520">
        <f t="shared" si="97"/>
        <v>415.2</v>
      </c>
      <c r="AT159" s="520">
        <f t="shared" si="97"/>
        <v>415.2</v>
      </c>
      <c r="AU159" s="520">
        <f t="shared" si="97"/>
        <v>415.2</v>
      </c>
      <c r="AV159" s="437"/>
      <c r="AW159" s="437"/>
      <c r="AX159" s="437"/>
      <c r="AY159" s="437"/>
      <c r="AZ159" s="437"/>
    </row>
    <row r="160" spans="2:52">
      <c r="B160" s="437"/>
      <c r="C160" s="437"/>
      <c r="D160" s="516"/>
      <c r="E160" s="516" t="s">
        <v>255</v>
      </c>
      <c r="F160" s="517" t="s">
        <v>140</v>
      </c>
      <c r="G160" s="520">
        <f>$E207</f>
        <v>10</v>
      </c>
      <c r="H160" s="520">
        <f t="shared" ref="H160:AU163" si="98">$E207</f>
        <v>10</v>
      </c>
      <c r="I160" s="520">
        <f t="shared" si="98"/>
        <v>10</v>
      </c>
      <c r="J160" s="520">
        <f t="shared" si="98"/>
        <v>10</v>
      </c>
      <c r="K160" s="520">
        <f t="shared" si="98"/>
        <v>10</v>
      </c>
      <c r="L160" s="520">
        <f t="shared" si="98"/>
        <v>10</v>
      </c>
      <c r="M160" s="520">
        <f t="shared" si="98"/>
        <v>10</v>
      </c>
      <c r="N160" s="520">
        <f t="shared" si="98"/>
        <v>10</v>
      </c>
      <c r="O160" s="520">
        <f t="shared" si="98"/>
        <v>10</v>
      </c>
      <c r="P160" s="520">
        <f t="shared" si="98"/>
        <v>10</v>
      </c>
      <c r="Q160" s="520">
        <f t="shared" si="98"/>
        <v>10</v>
      </c>
      <c r="R160" s="520">
        <f t="shared" si="98"/>
        <v>10</v>
      </c>
      <c r="S160" s="520">
        <f t="shared" si="98"/>
        <v>10</v>
      </c>
      <c r="T160" s="520">
        <f t="shared" si="98"/>
        <v>10</v>
      </c>
      <c r="U160" s="520">
        <f t="shared" si="98"/>
        <v>10</v>
      </c>
      <c r="V160" s="520">
        <f t="shared" si="98"/>
        <v>10</v>
      </c>
      <c r="W160" s="520">
        <f t="shared" si="98"/>
        <v>10</v>
      </c>
      <c r="X160" s="520">
        <f t="shared" si="98"/>
        <v>10</v>
      </c>
      <c r="Y160" s="520">
        <f t="shared" si="98"/>
        <v>10</v>
      </c>
      <c r="Z160" s="520">
        <f t="shared" si="98"/>
        <v>10</v>
      </c>
      <c r="AA160" s="520">
        <f t="shared" si="98"/>
        <v>10</v>
      </c>
      <c r="AB160" s="520">
        <f t="shared" si="98"/>
        <v>10</v>
      </c>
      <c r="AC160" s="520">
        <f t="shared" si="98"/>
        <v>10</v>
      </c>
      <c r="AD160" s="520">
        <f t="shared" si="98"/>
        <v>10</v>
      </c>
      <c r="AE160" s="520">
        <f t="shared" si="98"/>
        <v>10</v>
      </c>
      <c r="AF160" s="520">
        <f t="shared" si="98"/>
        <v>10</v>
      </c>
      <c r="AG160" s="520">
        <f t="shared" si="98"/>
        <v>10</v>
      </c>
      <c r="AH160" s="520">
        <f t="shared" si="98"/>
        <v>10</v>
      </c>
      <c r="AI160" s="520">
        <f t="shared" si="98"/>
        <v>10</v>
      </c>
      <c r="AJ160" s="520">
        <f t="shared" si="98"/>
        <v>10</v>
      </c>
      <c r="AK160" s="520">
        <f t="shared" si="98"/>
        <v>10</v>
      </c>
      <c r="AL160" s="520">
        <f t="shared" si="98"/>
        <v>10</v>
      </c>
      <c r="AM160" s="520">
        <f t="shared" si="98"/>
        <v>10</v>
      </c>
      <c r="AN160" s="520">
        <f t="shared" si="98"/>
        <v>10</v>
      </c>
      <c r="AO160" s="520">
        <f t="shared" si="98"/>
        <v>10</v>
      </c>
      <c r="AP160" s="520">
        <f t="shared" si="98"/>
        <v>10</v>
      </c>
      <c r="AQ160" s="520">
        <f t="shared" si="98"/>
        <v>10</v>
      </c>
      <c r="AR160" s="520">
        <f t="shared" si="98"/>
        <v>10</v>
      </c>
      <c r="AS160" s="520">
        <f t="shared" si="98"/>
        <v>10</v>
      </c>
      <c r="AT160" s="520">
        <f t="shared" si="98"/>
        <v>10</v>
      </c>
      <c r="AU160" s="520">
        <f t="shared" si="98"/>
        <v>10</v>
      </c>
      <c r="AV160" s="437"/>
      <c r="AW160" s="437"/>
      <c r="AX160" s="437"/>
      <c r="AY160" s="437"/>
      <c r="AZ160" s="437"/>
    </row>
    <row r="161" spans="2:52">
      <c r="B161" s="437"/>
      <c r="C161" s="437"/>
      <c r="D161" s="516"/>
      <c r="E161" s="516" t="s">
        <v>261</v>
      </c>
      <c r="F161" s="517" t="s">
        <v>140</v>
      </c>
      <c r="G161" s="520">
        <f>$E208</f>
        <v>10</v>
      </c>
      <c r="H161" s="520">
        <f t="shared" si="98"/>
        <v>10</v>
      </c>
      <c r="I161" s="520">
        <f t="shared" si="98"/>
        <v>10</v>
      </c>
      <c r="J161" s="520">
        <f t="shared" si="98"/>
        <v>10</v>
      </c>
      <c r="K161" s="520">
        <f t="shared" si="98"/>
        <v>10</v>
      </c>
      <c r="L161" s="520">
        <f t="shared" si="98"/>
        <v>10</v>
      </c>
      <c r="M161" s="520">
        <f t="shared" si="98"/>
        <v>10</v>
      </c>
      <c r="N161" s="520">
        <f t="shared" si="98"/>
        <v>10</v>
      </c>
      <c r="O161" s="520">
        <f t="shared" si="98"/>
        <v>10</v>
      </c>
      <c r="P161" s="520">
        <f t="shared" si="98"/>
        <v>10</v>
      </c>
      <c r="Q161" s="520">
        <f t="shared" si="98"/>
        <v>10</v>
      </c>
      <c r="R161" s="520">
        <f t="shared" si="98"/>
        <v>10</v>
      </c>
      <c r="S161" s="520">
        <f t="shared" si="98"/>
        <v>10</v>
      </c>
      <c r="T161" s="520">
        <f t="shared" si="98"/>
        <v>10</v>
      </c>
      <c r="U161" s="520">
        <f t="shared" si="98"/>
        <v>10</v>
      </c>
      <c r="V161" s="520">
        <f t="shared" si="98"/>
        <v>10</v>
      </c>
      <c r="W161" s="520">
        <f t="shared" si="98"/>
        <v>10</v>
      </c>
      <c r="X161" s="520">
        <f t="shared" si="98"/>
        <v>10</v>
      </c>
      <c r="Y161" s="520">
        <f t="shared" si="98"/>
        <v>10</v>
      </c>
      <c r="Z161" s="520">
        <f t="shared" si="98"/>
        <v>10</v>
      </c>
      <c r="AA161" s="520">
        <f t="shared" si="98"/>
        <v>10</v>
      </c>
      <c r="AB161" s="520">
        <f t="shared" si="98"/>
        <v>10</v>
      </c>
      <c r="AC161" s="520">
        <f t="shared" si="98"/>
        <v>10</v>
      </c>
      <c r="AD161" s="520">
        <f t="shared" si="98"/>
        <v>10</v>
      </c>
      <c r="AE161" s="520">
        <f t="shared" si="98"/>
        <v>10</v>
      </c>
      <c r="AF161" s="520">
        <f t="shared" si="98"/>
        <v>10</v>
      </c>
      <c r="AG161" s="520">
        <f t="shared" si="98"/>
        <v>10</v>
      </c>
      <c r="AH161" s="520">
        <f t="shared" si="98"/>
        <v>10</v>
      </c>
      <c r="AI161" s="520">
        <f t="shared" si="98"/>
        <v>10</v>
      </c>
      <c r="AJ161" s="520">
        <f t="shared" si="98"/>
        <v>10</v>
      </c>
      <c r="AK161" s="520">
        <f t="shared" si="98"/>
        <v>10</v>
      </c>
      <c r="AL161" s="520">
        <f t="shared" si="98"/>
        <v>10</v>
      </c>
      <c r="AM161" s="520">
        <f t="shared" si="98"/>
        <v>10</v>
      </c>
      <c r="AN161" s="520">
        <f t="shared" si="98"/>
        <v>10</v>
      </c>
      <c r="AO161" s="520">
        <f t="shared" si="98"/>
        <v>10</v>
      </c>
      <c r="AP161" s="520">
        <f t="shared" si="98"/>
        <v>10</v>
      </c>
      <c r="AQ161" s="520">
        <f t="shared" si="98"/>
        <v>10</v>
      </c>
      <c r="AR161" s="520">
        <f t="shared" si="98"/>
        <v>10</v>
      </c>
      <c r="AS161" s="520">
        <f t="shared" si="98"/>
        <v>10</v>
      </c>
      <c r="AT161" s="520">
        <f t="shared" si="98"/>
        <v>10</v>
      </c>
      <c r="AU161" s="520">
        <f t="shared" si="98"/>
        <v>10</v>
      </c>
      <c r="AV161" s="437"/>
      <c r="AW161" s="437"/>
      <c r="AX161" s="437"/>
      <c r="AY161" s="437"/>
      <c r="AZ161" s="437"/>
    </row>
    <row r="162" spans="2:52">
      <c r="B162" s="437"/>
      <c r="C162" s="437"/>
      <c r="D162" s="516"/>
      <c r="E162" s="516" t="s">
        <v>263</v>
      </c>
      <c r="F162" s="517" t="s">
        <v>140</v>
      </c>
      <c r="G162" s="520">
        <f>$E209</f>
        <v>10</v>
      </c>
      <c r="H162" s="520">
        <f t="shared" si="98"/>
        <v>10</v>
      </c>
      <c r="I162" s="520">
        <f t="shared" si="98"/>
        <v>10</v>
      </c>
      <c r="J162" s="520">
        <f t="shared" si="98"/>
        <v>10</v>
      </c>
      <c r="K162" s="520">
        <f t="shared" si="98"/>
        <v>10</v>
      </c>
      <c r="L162" s="520">
        <f t="shared" si="98"/>
        <v>10</v>
      </c>
      <c r="M162" s="520">
        <f t="shared" si="98"/>
        <v>10</v>
      </c>
      <c r="N162" s="520">
        <f t="shared" si="98"/>
        <v>10</v>
      </c>
      <c r="O162" s="520">
        <f t="shared" si="98"/>
        <v>10</v>
      </c>
      <c r="P162" s="520">
        <f t="shared" si="98"/>
        <v>10</v>
      </c>
      <c r="Q162" s="520">
        <f t="shared" si="98"/>
        <v>10</v>
      </c>
      <c r="R162" s="520">
        <f t="shared" si="98"/>
        <v>10</v>
      </c>
      <c r="S162" s="520">
        <f t="shared" si="98"/>
        <v>10</v>
      </c>
      <c r="T162" s="520">
        <f t="shared" si="98"/>
        <v>10</v>
      </c>
      <c r="U162" s="520">
        <f t="shared" si="98"/>
        <v>10</v>
      </c>
      <c r="V162" s="520">
        <f t="shared" si="98"/>
        <v>10</v>
      </c>
      <c r="W162" s="520">
        <f t="shared" si="98"/>
        <v>10</v>
      </c>
      <c r="X162" s="520">
        <f t="shared" si="98"/>
        <v>10</v>
      </c>
      <c r="Y162" s="520">
        <f t="shared" si="98"/>
        <v>10</v>
      </c>
      <c r="Z162" s="520">
        <f t="shared" si="98"/>
        <v>10</v>
      </c>
      <c r="AA162" s="520">
        <f t="shared" si="98"/>
        <v>10</v>
      </c>
      <c r="AB162" s="520">
        <f t="shared" si="98"/>
        <v>10</v>
      </c>
      <c r="AC162" s="520">
        <f t="shared" si="98"/>
        <v>10</v>
      </c>
      <c r="AD162" s="520">
        <f t="shared" si="98"/>
        <v>10</v>
      </c>
      <c r="AE162" s="520">
        <f t="shared" si="98"/>
        <v>10</v>
      </c>
      <c r="AF162" s="520">
        <f t="shared" si="98"/>
        <v>10</v>
      </c>
      <c r="AG162" s="520">
        <f t="shared" si="98"/>
        <v>10</v>
      </c>
      <c r="AH162" s="520">
        <f t="shared" si="98"/>
        <v>10</v>
      </c>
      <c r="AI162" s="520">
        <f t="shared" si="98"/>
        <v>10</v>
      </c>
      <c r="AJ162" s="520">
        <f t="shared" si="98"/>
        <v>10</v>
      </c>
      <c r="AK162" s="520">
        <f t="shared" si="98"/>
        <v>10</v>
      </c>
      <c r="AL162" s="520">
        <f t="shared" si="98"/>
        <v>10</v>
      </c>
      <c r="AM162" s="520">
        <f t="shared" si="98"/>
        <v>10</v>
      </c>
      <c r="AN162" s="520">
        <f t="shared" si="98"/>
        <v>10</v>
      </c>
      <c r="AO162" s="520">
        <f t="shared" si="98"/>
        <v>10</v>
      </c>
      <c r="AP162" s="520">
        <f t="shared" si="98"/>
        <v>10</v>
      </c>
      <c r="AQ162" s="520">
        <f t="shared" si="98"/>
        <v>10</v>
      </c>
      <c r="AR162" s="520">
        <f t="shared" si="98"/>
        <v>10</v>
      </c>
      <c r="AS162" s="520">
        <f t="shared" si="98"/>
        <v>10</v>
      </c>
      <c r="AT162" s="520">
        <f t="shared" si="98"/>
        <v>10</v>
      </c>
      <c r="AU162" s="520">
        <f t="shared" si="98"/>
        <v>10</v>
      </c>
      <c r="AV162" s="437"/>
      <c r="AW162" s="437"/>
      <c r="AX162" s="437"/>
      <c r="AY162" s="437"/>
      <c r="AZ162" s="437"/>
    </row>
    <row r="163" spans="2:52">
      <c r="B163" s="437"/>
      <c r="C163" s="437"/>
      <c r="D163" s="516"/>
      <c r="E163" s="516" t="s">
        <v>259</v>
      </c>
      <c r="F163" s="517" t="s">
        <v>140</v>
      </c>
      <c r="G163" s="520">
        <f>$E210</f>
        <v>10</v>
      </c>
      <c r="H163" s="520">
        <f t="shared" si="98"/>
        <v>10</v>
      </c>
      <c r="I163" s="520">
        <f t="shared" si="98"/>
        <v>10</v>
      </c>
      <c r="J163" s="520">
        <f t="shared" si="98"/>
        <v>10</v>
      </c>
      <c r="K163" s="520">
        <f t="shared" si="98"/>
        <v>10</v>
      </c>
      <c r="L163" s="520">
        <f t="shared" si="98"/>
        <v>10</v>
      </c>
      <c r="M163" s="520">
        <f t="shared" si="98"/>
        <v>10</v>
      </c>
      <c r="N163" s="520">
        <f t="shared" si="98"/>
        <v>10</v>
      </c>
      <c r="O163" s="520">
        <f t="shared" si="98"/>
        <v>10</v>
      </c>
      <c r="P163" s="520">
        <f t="shared" si="98"/>
        <v>10</v>
      </c>
      <c r="Q163" s="520">
        <f t="shared" si="98"/>
        <v>10</v>
      </c>
      <c r="R163" s="520">
        <f t="shared" si="98"/>
        <v>10</v>
      </c>
      <c r="S163" s="520">
        <f t="shared" si="98"/>
        <v>10</v>
      </c>
      <c r="T163" s="520">
        <f t="shared" si="98"/>
        <v>10</v>
      </c>
      <c r="U163" s="520">
        <f t="shared" si="98"/>
        <v>10</v>
      </c>
      <c r="V163" s="520">
        <f t="shared" si="98"/>
        <v>10</v>
      </c>
      <c r="W163" s="520">
        <f t="shared" si="98"/>
        <v>10</v>
      </c>
      <c r="X163" s="520">
        <f t="shared" si="98"/>
        <v>10</v>
      </c>
      <c r="Y163" s="520">
        <f t="shared" si="98"/>
        <v>10</v>
      </c>
      <c r="Z163" s="520">
        <f t="shared" si="98"/>
        <v>10</v>
      </c>
      <c r="AA163" s="520">
        <f t="shared" si="98"/>
        <v>10</v>
      </c>
      <c r="AB163" s="520">
        <f t="shared" si="98"/>
        <v>10</v>
      </c>
      <c r="AC163" s="520">
        <f t="shared" si="98"/>
        <v>10</v>
      </c>
      <c r="AD163" s="520">
        <f t="shared" si="98"/>
        <v>10</v>
      </c>
      <c r="AE163" s="520">
        <f t="shared" si="98"/>
        <v>10</v>
      </c>
      <c r="AF163" s="520">
        <f t="shared" si="98"/>
        <v>10</v>
      </c>
      <c r="AG163" s="520">
        <f t="shared" si="98"/>
        <v>10</v>
      </c>
      <c r="AH163" s="520">
        <f t="shared" si="98"/>
        <v>10</v>
      </c>
      <c r="AI163" s="520">
        <f t="shared" si="98"/>
        <v>10</v>
      </c>
      <c r="AJ163" s="520">
        <f t="shared" si="98"/>
        <v>10</v>
      </c>
      <c r="AK163" s="520">
        <f t="shared" si="98"/>
        <v>10</v>
      </c>
      <c r="AL163" s="520">
        <f t="shared" si="98"/>
        <v>10</v>
      </c>
      <c r="AM163" s="520">
        <f t="shared" si="98"/>
        <v>10</v>
      </c>
      <c r="AN163" s="520">
        <f t="shared" si="98"/>
        <v>10</v>
      </c>
      <c r="AO163" s="520">
        <f t="shared" si="98"/>
        <v>10</v>
      </c>
      <c r="AP163" s="520">
        <f t="shared" si="98"/>
        <v>10</v>
      </c>
      <c r="AQ163" s="520">
        <f t="shared" si="98"/>
        <v>10</v>
      </c>
      <c r="AR163" s="520">
        <f t="shared" si="98"/>
        <v>10</v>
      </c>
      <c r="AS163" s="520">
        <f t="shared" si="98"/>
        <v>10</v>
      </c>
      <c r="AT163" s="520">
        <f t="shared" si="98"/>
        <v>10</v>
      </c>
      <c r="AU163" s="520">
        <f t="shared" si="98"/>
        <v>10</v>
      </c>
      <c r="AV163" s="437"/>
      <c r="AW163" s="437"/>
      <c r="AX163" s="437"/>
      <c r="AY163" s="437"/>
      <c r="AZ163" s="437"/>
    </row>
    <row r="164" spans="2:52">
      <c r="B164" s="437"/>
      <c r="C164" s="437"/>
      <c r="D164" s="516"/>
      <c r="E164" s="516" t="s">
        <v>42</v>
      </c>
      <c r="F164" s="517" t="s">
        <v>140</v>
      </c>
      <c r="G164" s="520">
        <f>$E$178</f>
        <v>0.1</v>
      </c>
      <c r="H164" s="520">
        <f t="shared" ref="H164:AU164" si="99">$E$178</f>
        <v>0.1</v>
      </c>
      <c r="I164" s="520">
        <f t="shared" si="99"/>
        <v>0.1</v>
      </c>
      <c r="J164" s="520">
        <f t="shared" si="99"/>
        <v>0.1</v>
      </c>
      <c r="K164" s="520">
        <f t="shared" si="99"/>
        <v>0.1</v>
      </c>
      <c r="L164" s="520">
        <f t="shared" si="99"/>
        <v>0.1</v>
      </c>
      <c r="M164" s="520">
        <f t="shared" si="99"/>
        <v>0.1</v>
      </c>
      <c r="N164" s="520">
        <f t="shared" si="99"/>
        <v>0.1</v>
      </c>
      <c r="O164" s="520">
        <f t="shared" si="99"/>
        <v>0.1</v>
      </c>
      <c r="P164" s="520">
        <f t="shared" si="99"/>
        <v>0.1</v>
      </c>
      <c r="Q164" s="520">
        <f t="shared" si="99"/>
        <v>0.1</v>
      </c>
      <c r="R164" s="520">
        <f t="shared" si="99"/>
        <v>0.1</v>
      </c>
      <c r="S164" s="520">
        <f t="shared" si="99"/>
        <v>0.1</v>
      </c>
      <c r="T164" s="520">
        <f t="shared" si="99"/>
        <v>0.1</v>
      </c>
      <c r="U164" s="520">
        <f t="shared" si="99"/>
        <v>0.1</v>
      </c>
      <c r="V164" s="520">
        <f t="shared" si="99"/>
        <v>0.1</v>
      </c>
      <c r="W164" s="520">
        <f t="shared" si="99"/>
        <v>0.1</v>
      </c>
      <c r="X164" s="520">
        <f t="shared" si="99"/>
        <v>0.1</v>
      </c>
      <c r="Y164" s="520">
        <f t="shared" si="99"/>
        <v>0.1</v>
      </c>
      <c r="Z164" s="520">
        <f t="shared" si="99"/>
        <v>0.1</v>
      </c>
      <c r="AA164" s="520">
        <f t="shared" si="99"/>
        <v>0.1</v>
      </c>
      <c r="AB164" s="520">
        <f t="shared" si="99"/>
        <v>0.1</v>
      </c>
      <c r="AC164" s="520">
        <f t="shared" si="99"/>
        <v>0.1</v>
      </c>
      <c r="AD164" s="520">
        <f t="shared" si="99"/>
        <v>0.1</v>
      </c>
      <c r="AE164" s="520">
        <f t="shared" si="99"/>
        <v>0.1</v>
      </c>
      <c r="AF164" s="520">
        <f t="shared" si="99"/>
        <v>0.1</v>
      </c>
      <c r="AG164" s="520">
        <f t="shared" si="99"/>
        <v>0.1</v>
      </c>
      <c r="AH164" s="520">
        <f t="shared" si="99"/>
        <v>0.1</v>
      </c>
      <c r="AI164" s="520">
        <f t="shared" si="99"/>
        <v>0.1</v>
      </c>
      <c r="AJ164" s="520">
        <f t="shared" si="99"/>
        <v>0.1</v>
      </c>
      <c r="AK164" s="520">
        <f t="shared" si="99"/>
        <v>0.1</v>
      </c>
      <c r="AL164" s="520">
        <f t="shared" si="99"/>
        <v>0.1</v>
      </c>
      <c r="AM164" s="520">
        <f t="shared" si="99"/>
        <v>0.1</v>
      </c>
      <c r="AN164" s="520">
        <f t="shared" si="99"/>
        <v>0.1</v>
      </c>
      <c r="AO164" s="520">
        <f t="shared" si="99"/>
        <v>0.1</v>
      </c>
      <c r="AP164" s="520">
        <f t="shared" si="99"/>
        <v>0.1</v>
      </c>
      <c r="AQ164" s="520">
        <f t="shared" si="99"/>
        <v>0.1</v>
      </c>
      <c r="AR164" s="520">
        <f t="shared" si="99"/>
        <v>0.1</v>
      </c>
      <c r="AS164" s="520">
        <f t="shared" si="99"/>
        <v>0.1</v>
      </c>
      <c r="AT164" s="520">
        <f t="shared" si="99"/>
        <v>0.1</v>
      </c>
      <c r="AU164" s="520">
        <f t="shared" si="99"/>
        <v>0.1</v>
      </c>
      <c r="AV164" s="437"/>
      <c r="AW164" s="437"/>
      <c r="AX164" s="437"/>
      <c r="AY164" s="437"/>
      <c r="AZ164" s="437"/>
    </row>
    <row r="165" spans="2:52">
      <c r="B165" s="437"/>
      <c r="C165" s="437"/>
      <c r="D165" s="516" t="s">
        <v>738</v>
      </c>
      <c r="E165" s="516" t="s">
        <v>73</v>
      </c>
      <c r="F165" s="517" t="s">
        <v>140</v>
      </c>
      <c r="G165" s="522">
        <f>G142*2</f>
        <v>88.8</v>
      </c>
      <c r="H165" s="522">
        <f t="shared" ref="H165:AS165" si="100">H142*2</f>
        <v>92.2</v>
      </c>
      <c r="I165" s="522">
        <f t="shared" si="100"/>
        <v>110.2</v>
      </c>
      <c r="J165" s="522">
        <f t="shared" si="100"/>
        <v>108.4</v>
      </c>
      <c r="K165" s="522">
        <f t="shared" si="100"/>
        <v>91.4</v>
      </c>
      <c r="L165" s="522">
        <f t="shared" si="100"/>
        <v>88</v>
      </c>
      <c r="M165" s="522">
        <f t="shared" si="100"/>
        <v>73.599999999999994</v>
      </c>
      <c r="N165" s="522">
        <f t="shared" si="100"/>
        <v>73.8</v>
      </c>
      <c r="O165" s="522">
        <f t="shared" si="100"/>
        <v>106.84436676370051</v>
      </c>
      <c r="P165" s="522">
        <f t="shared" si="100"/>
        <v>68.522022481240924</v>
      </c>
      <c r="Q165" s="522">
        <f t="shared" si="100"/>
        <v>66.795699972964513</v>
      </c>
      <c r="R165" s="522">
        <f t="shared" si="100"/>
        <v>63.050580050876398</v>
      </c>
      <c r="S165" s="522">
        <f t="shared" si="100"/>
        <v>65.525097243083792</v>
      </c>
      <c r="T165" s="522">
        <f t="shared" si="100"/>
        <v>66.735376625750931</v>
      </c>
      <c r="U165" s="522">
        <f t="shared" si="100"/>
        <v>67.134247840724143</v>
      </c>
      <c r="V165" s="522">
        <f t="shared" si="100"/>
        <v>67.01216692582733</v>
      </c>
      <c r="W165" s="522">
        <f t="shared" si="100"/>
        <v>66.935278408608127</v>
      </c>
      <c r="X165" s="522">
        <f t="shared" si="100"/>
        <v>66.885894172463338</v>
      </c>
      <c r="Y165" s="522">
        <f t="shared" si="100"/>
        <v>66.843599180906921</v>
      </c>
      <c r="Z165" s="522">
        <f t="shared" si="100"/>
        <v>66.828440496044607</v>
      </c>
      <c r="AA165" s="522">
        <f t="shared" si="100"/>
        <v>66.824305220819767</v>
      </c>
      <c r="AB165" s="522">
        <f t="shared" si="100"/>
        <v>66.916476676296767</v>
      </c>
      <c r="AC165" s="522">
        <f t="shared" si="100"/>
        <v>67.008648131773768</v>
      </c>
      <c r="AD165" s="522">
        <f t="shared" si="100"/>
        <v>67.100819587250754</v>
      </c>
      <c r="AE165" s="522">
        <f t="shared" si="100"/>
        <v>67.192991042727741</v>
      </c>
      <c r="AF165" s="522">
        <f t="shared" si="100"/>
        <v>67.285162498204755</v>
      </c>
      <c r="AG165" s="522">
        <f t="shared" si="100"/>
        <v>67.377333953681756</v>
      </c>
      <c r="AH165" s="522">
        <f t="shared" si="100"/>
        <v>67.469505409158728</v>
      </c>
      <c r="AI165" s="522">
        <f t="shared" si="100"/>
        <v>67.561676864635729</v>
      </c>
      <c r="AJ165" s="522">
        <f t="shared" si="100"/>
        <v>67.653848320112701</v>
      </c>
      <c r="AK165" s="522">
        <f t="shared" si="100"/>
        <v>67.746019775589701</v>
      </c>
      <c r="AL165" s="522">
        <f t="shared" si="100"/>
        <v>67.838191231066702</v>
      </c>
      <c r="AM165" s="522">
        <f t="shared" si="100"/>
        <v>67.930362686543688</v>
      </c>
      <c r="AN165" s="522">
        <f t="shared" si="100"/>
        <v>68.022534142020675</v>
      </c>
      <c r="AO165" s="522">
        <f t="shared" si="100"/>
        <v>68.114705597497675</v>
      </c>
      <c r="AP165" s="522">
        <f t="shared" si="100"/>
        <v>68.206877052974676</v>
      </c>
      <c r="AQ165" s="522">
        <f t="shared" si="100"/>
        <v>68.299048508451676</v>
      </c>
      <c r="AR165" s="522">
        <f t="shared" si="100"/>
        <v>68.391219963928648</v>
      </c>
      <c r="AS165" s="522">
        <f t="shared" si="100"/>
        <v>68.483391419405663</v>
      </c>
      <c r="AT165" s="522">
        <f>AT142*2</f>
        <v>68.575562874882635</v>
      </c>
      <c r="AU165" s="522">
        <f t="shared" ref="AU165" si="101">AU142*2</f>
        <v>68.66773433035965</v>
      </c>
      <c r="AV165" s="437"/>
      <c r="AW165" s="437"/>
      <c r="AX165" s="437"/>
      <c r="AY165" s="437"/>
      <c r="AZ165" s="437"/>
    </row>
    <row r="166" spans="2:52">
      <c r="B166" s="437"/>
      <c r="C166" s="437"/>
      <c r="D166" s="516" t="s">
        <v>738</v>
      </c>
      <c r="E166" s="516" t="s">
        <v>93</v>
      </c>
      <c r="F166" s="517" t="s">
        <v>140</v>
      </c>
      <c r="G166" s="522">
        <f>G142*2</f>
        <v>88.8</v>
      </c>
      <c r="H166" s="522">
        <f t="shared" ref="H166:AS166" si="102">H142*2</f>
        <v>92.2</v>
      </c>
      <c r="I166" s="522">
        <f t="shared" si="102"/>
        <v>110.2</v>
      </c>
      <c r="J166" s="522">
        <f t="shared" si="102"/>
        <v>108.4</v>
      </c>
      <c r="K166" s="522">
        <f t="shared" si="102"/>
        <v>91.4</v>
      </c>
      <c r="L166" s="522">
        <f t="shared" si="102"/>
        <v>88</v>
      </c>
      <c r="M166" s="522">
        <f t="shared" si="102"/>
        <v>73.599999999999994</v>
      </c>
      <c r="N166" s="522">
        <f t="shared" si="102"/>
        <v>73.8</v>
      </c>
      <c r="O166" s="522">
        <f t="shared" si="102"/>
        <v>106.84436676370051</v>
      </c>
      <c r="P166" s="522">
        <f t="shared" si="102"/>
        <v>68.522022481240924</v>
      </c>
      <c r="Q166" s="522">
        <f t="shared" si="102"/>
        <v>66.795699972964513</v>
      </c>
      <c r="R166" s="522">
        <f t="shared" si="102"/>
        <v>63.050580050876398</v>
      </c>
      <c r="S166" s="522">
        <f t="shared" si="102"/>
        <v>65.525097243083792</v>
      </c>
      <c r="T166" s="522">
        <f t="shared" si="102"/>
        <v>66.735376625750931</v>
      </c>
      <c r="U166" s="522">
        <f t="shared" si="102"/>
        <v>67.134247840724143</v>
      </c>
      <c r="V166" s="522">
        <f t="shared" si="102"/>
        <v>67.01216692582733</v>
      </c>
      <c r="W166" s="522">
        <f t="shared" si="102"/>
        <v>66.935278408608127</v>
      </c>
      <c r="X166" s="522">
        <f t="shared" si="102"/>
        <v>66.885894172463338</v>
      </c>
      <c r="Y166" s="522">
        <f t="shared" si="102"/>
        <v>66.843599180906921</v>
      </c>
      <c r="Z166" s="522">
        <f t="shared" si="102"/>
        <v>66.828440496044607</v>
      </c>
      <c r="AA166" s="522">
        <f t="shared" si="102"/>
        <v>66.824305220819767</v>
      </c>
      <c r="AB166" s="522">
        <f t="shared" si="102"/>
        <v>66.916476676296767</v>
      </c>
      <c r="AC166" s="522">
        <f t="shared" si="102"/>
        <v>67.008648131773768</v>
      </c>
      <c r="AD166" s="522">
        <f t="shared" si="102"/>
        <v>67.100819587250754</v>
      </c>
      <c r="AE166" s="522">
        <f t="shared" si="102"/>
        <v>67.192991042727741</v>
      </c>
      <c r="AF166" s="522">
        <f t="shared" si="102"/>
        <v>67.285162498204755</v>
      </c>
      <c r="AG166" s="522">
        <f t="shared" si="102"/>
        <v>67.377333953681756</v>
      </c>
      <c r="AH166" s="522">
        <f t="shared" si="102"/>
        <v>67.469505409158728</v>
      </c>
      <c r="AI166" s="522">
        <f t="shared" si="102"/>
        <v>67.561676864635729</v>
      </c>
      <c r="AJ166" s="522">
        <f t="shared" si="102"/>
        <v>67.653848320112701</v>
      </c>
      <c r="AK166" s="522">
        <f t="shared" si="102"/>
        <v>67.746019775589701</v>
      </c>
      <c r="AL166" s="522">
        <f t="shared" si="102"/>
        <v>67.838191231066702</v>
      </c>
      <c r="AM166" s="522">
        <f t="shared" si="102"/>
        <v>67.930362686543688</v>
      </c>
      <c r="AN166" s="522">
        <f t="shared" si="102"/>
        <v>68.022534142020675</v>
      </c>
      <c r="AO166" s="522">
        <f t="shared" si="102"/>
        <v>68.114705597497675</v>
      </c>
      <c r="AP166" s="522">
        <f t="shared" si="102"/>
        <v>68.206877052974676</v>
      </c>
      <c r="AQ166" s="522">
        <f t="shared" si="102"/>
        <v>68.299048508451676</v>
      </c>
      <c r="AR166" s="522">
        <f t="shared" si="102"/>
        <v>68.391219963928648</v>
      </c>
      <c r="AS166" s="522">
        <f t="shared" si="102"/>
        <v>68.483391419405663</v>
      </c>
      <c r="AT166" s="522">
        <f>AT142*2</f>
        <v>68.575562874882635</v>
      </c>
      <c r="AU166" s="522">
        <f t="shared" ref="AU166" si="103">AU142*2</f>
        <v>68.66773433035965</v>
      </c>
      <c r="AV166" s="437"/>
      <c r="AW166" s="437"/>
      <c r="AX166" s="437"/>
      <c r="AY166" s="437"/>
      <c r="AZ166" s="437"/>
    </row>
    <row r="167" spans="2:52">
      <c r="B167" s="437"/>
      <c r="C167" s="437"/>
      <c r="D167" s="516" t="s">
        <v>739</v>
      </c>
      <c r="E167" s="516" t="s">
        <v>591</v>
      </c>
      <c r="F167" s="517" t="str">
        <f>F166</f>
        <v>MKr14</v>
      </c>
      <c r="G167" s="522">
        <v>0.01</v>
      </c>
      <c r="H167" s="522">
        <v>0.01</v>
      </c>
      <c r="I167" s="522">
        <v>0.01</v>
      </c>
      <c r="J167" s="522">
        <v>0.01</v>
      </c>
      <c r="K167" s="522">
        <v>0.01</v>
      </c>
      <c r="L167" s="522">
        <v>0.01</v>
      </c>
      <c r="M167" s="522">
        <v>0.01</v>
      </c>
      <c r="N167" s="522">
        <v>0.01</v>
      </c>
      <c r="O167" s="522">
        <v>0.01</v>
      </c>
      <c r="P167" s="522">
        <v>0.01</v>
      </c>
      <c r="Q167" s="522">
        <v>0.01</v>
      </c>
      <c r="R167" s="522">
        <v>0.01</v>
      </c>
      <c r="S167" s="522">
        <v>0.01</v>
      </c>
      <c r="T167" s="522">
        <v>0.01</v>
      </c>
      <c r="U167" s="522">
        <v>0.01</v>
      </c>
      <c r="V167" s="522">
        <v>0.01</v>
      </c>
      <c r="W167" s="522">
        <v>0.01</v>
      </c>
      <c r="X167" s="522">
        <v>0.01</v>
      </c>
      <c r="Y167" s="522">
        <v>0.01</v>
      </c>
      <c r="Z167" s="522">
        <v>0.01</v>
      </c>
      <c r="AA167" s="522">
        <v>0.01</v>
      </c>
      <c r="AB167" s="522">
        <v>0.01</v>
      </c>
      <c r="AC167" s="522">
        <v>0.01</v>
      </c>
      <c r="AD167" s="522">
        <v>0.01</v>
      </c>
      <c r="AE167" s="522">
        <v>0.01</v>
      </c>
      <c r="AF167" s="522">
        <v>0.01</v>
      </c>
      <c r="AG167" s="522">
        <v>0.01</v>
      </c>
      <c r="AH167" s="522">
        <v>0.01</v>
      </c>
      <c r="AI167" s="522">
        <v>0.01</v>
      </c>
      <c r="AJ167" s="522">
        <v>0.01</v>
      </c>
      <c r="AK167" s="522">
        <v>0.01</v>
      </c>
      <c r="AL167" s="522">
        <v>0.01</v>
      </c>
      <c r="AM167" s="522">
        <v>0.01</v>
      </c>
      <c r="AN167" s="522">
        <v>0.01</v>
      </c>
      <c r="AO167" s="522">
        <v>0.01</v>
      </c>
      <c r="AP167" s="522">
        <v>0.01</v>
      </c>
      <c r="AQ167" s="522">
        <v>0.01</v>
      </c>
      <c r="AR167" s="522">
        <v>0.01</v>
      </c>
      <c r="AS167" s="522">
        <v>0.01</v>
      </c>
      <c r="AT167" s="522">
        <v>0.01</v>
      </c>
      <c r="AU167" s="522">
        <v>0.01</v>
      </c>
      <c r="AV167" s="437"/>
      <c r="AW167" s="437"/>
      <c r="AX167" s="437"/>
      <c r="AY167" s="437"/>
      <c r="AZ167" s="437"/>
    </row>
    <row r="168" spans="2:52">
      <c r="B168" s="437"/>
      <c r="C168" s="437"/>
      <c r="D168" s="516" t="s">
        <v>741</v>
      </c>
      <c r="E168" s="516" t="s">
        <v>642</v>
      </c>
      <c r="F168" s="517" t="str">
        <f>F167</f>
        <v>MKr14</v>
      </c>
      <c r="G168" s="522">
        <v>0.01</v>
      </c>
      <c r="H168" s="522">
        <v>0.01</v>
      </c>
      <c r="I168" s="522">
        <v>0.01</v>
      </c>
      <c r="J168" s="522">
        <v>0.01</v>
      </c>
      <c r="K168" s="522">
        <v>0.01</v>
      </c>
      <c r="L168" s="522">
        <v>0.01</v>
      </c>
      <c r="M168" s="522">
        <v>0.01</v>
      </c>
      <c r="N168" s="522">
        <v>0.01</v>
      </c>
      <c r="O168" s="522">
        <v>0.01</v>
      </c>
      <c r="P168" s="522">
        <v>0.01</v>
      </c>
      <c r="Q168" s="522">
        <v>0.01</v>
      </c>
      <c r="R168" s="522">
        <v>0.01</v>
      </c>
      <c r="S168" s="522">
        <v>0.01</v>
      </c>
      <c r="T168" s="522">
        <v>0.01</v>
      </c>
      <c r="U168" s="522">
        <v>0.01</v>
      </c>
      <c r="V168" s="522">
        <v>0.01</v>
      </c>
      <c r="W168" s="522">
        <v>0.01</v>
      </c>
      <c r="X168" s="522">
        <v>0.01</v>
      </c>
      <c r="Y168" s="522">
        <v>0.01</v>
      </c>
      <c r="Z168" s="522">
        <v>0.01</v>
      </c>
      <c r="AA168" s="522">
        <v>0.01</v>
      </c>
      <c r="AB168" s="522">
        <v>0.01</v>
      </c>
      <c r="AC168" s="522">
        <v>0.01</v>
      </c>
      <c r="AD168" s="522">
        <v>0.01</v>
      </c>
      <c r="AE168" s="522">
        <v>0.01</v>
      </c>
      <c r="AF168" s="522">
        <v>0.01</v>
      </c>
      <c r="AG168" s="522">
        <v>0.01</v>
      </c>
      <c r="AH168" s="522">
        <v>0.01</v>
      </c>
      <c r="AI168" s="522">
        <v>0.01</v>
      </c>
      <c r="AJ168" s="522">
        <v>0.01</v>
      </c>
      <c r="AK168" s="522">
        <v>0.01</v>
      </c>
      <c r="AL168" s="522">
        <v>0.01</v>
      </c>
      <c r="AM168" s="522">
        <v>0.01</v>
      </c>
      <c r="AN168" s="522">
        <v>0.01</v>
      </c>
      <c r="AO168" s="522">
        <v>0.01</v>
      </c>
      <c r="AP168" s="522">
        <v>0.01</v>
      </c>
      <c r="AQ168" s="522">
        <v>0.01</v>
      </c>
      <c r="AR168" s="522">
        <v>0.01</v>
      </c>
      <c r="AS168" s="522">
        <v>0.01</v>
      </c>
      <c r="AT168" s="522">
        <v>0.01</v>
      </c>
      <c r="AU168" s="522">
        <v>0.01</v>
      </c>
      <c r="AV168" s="437"/>
      <c r="AW168" s="437"/>
      <c r="AX168" s="437"/>
      <c r="AY168" s="437"/>
      <c r="AZ168" s="437"/>
    </row>
    <row r="169" spans="2:52">
      <c r="B169" s="437"/>
      <c r="C169" s="437"/>
      <c r="D169" s="516" t="s">
        <v>742</v>
      </c>
      <c r="E169" s="516" t="s">
        <v>619</v>
      </c>
      <c r="F169" s="517" t="str">
        <f>F168</f>
        <v>MKr14</v>
      </c>
      <c r="G169" s="520">
        <f t="shared" ref="G169:AU169" si="104">G150*0.25</f>
        <v>11.5</v>
      </c>
      <c r="H169" s="520">
        <f t="shared" si="104"/>
        <v>11.5</v>
      </c>
      <c r="I169" s="520">
        <f t="shared" si="104"/>
        <v>11.5</v>
      </c>
      <c r="J169" s="520">
        <f t="shared" si="104"/>
        <v>11.425000000000001</v>
      </c>
      <c r="K169" s="520">
        <f t="shared" si="104"/>
        <v>11.324999999999999</v>
      </c>
      <c r="L169" s="520">
        <f t="shared" si="104"/>
        <v>11.225</v>
      </c>
      <c r="M169" s="520">
        <f t="shared" si="104"/>
        <v>11.35</v>
      </c>
      <c r="N169" s="520">
        <f t="shared" si="104"/>
        <v>11.475</v>
      </c>
      <c r="O169" s="520">
        <f t="shared" si="104"/>
        <v>11.294868050622464</v>
      </c>
      <c r="P169" s="520">
        <f t="shared" si="104"/>
        <v>11.279400140745098</v>
      </c>
      <c r="Q169" s="520">
        <f t="shared" si="104"/>
        <v>11.312097425783408</v>
      </c>
      <c r="R169" s="520">
        <f t="shared" si="104"/>
        <v>11.297562531899668</v>
      </c>
      <c r="S169" s="520">
        <f t="shared" si="104"/>
        <v>11.348030368434129</v>
      </c>
      <c r="T169" s="520">
        <f t="shared" si="104"/>
        <v>11.41110848141796</v>
      </c>
      <c r="U169" s="520">
        <f t="shared" si="104"/>
        <v>11.480753774525216</v>
      </c>
      <c r="V169" s="520">
        <f t="shared" si="104"/>
        <v>11.551750361101513</v>
      </c>
      <c r="W169" s="520">
        <f t="shared" si="104"/>
        <v>11.604932745066808</v>
      </c>
      <c r="X169" s="520">
        <f t="shared" si="104"/>
        <v>11.657764830956497</v>
      </c>
      <c r="Y169" s="520">
        <f t="shared" si="104"/>
        <v>11.709981130768291</v>
      </c>
      <c r="Z169" s="520">
        <f t="shared" si="104"/>
        <v>11.763510976689322</v>
      </c>
      <c r="AA169" s="520">
        <f t="shared" si="104"/>
        <v>11.815776596049293</v>
      </c>
      <c r="AB169" s="520">
        <f t="shared" si="104"/>
        <v>11.840792317093445</v>
      </c>
      <c r="AC169" s="520">
        <f t="shared" si="104"/>
        <v>11.865762206921538</v>
      </c>
      <c r="AD169" s="520">
        <f t="shared" si="104"/>
        <v>11.890686557801363</v>
      </c>
      <c r="AE169" s="520">
        <f t="shared" si="104"/>
        <v>11.915565657391058</v>
      </c>
      <c r="AF169" s="520">
        <f t="shared" si="104"/>
        <v>11.940399788787957</v>
      </c>
      <c r="AG169" s="520">
        <f t="shared" si="104"/>
        <v>11.96538942725668</v>
      </c>
      <c r="AH169" s="520">
        <f t="shared" si="104"/>
        <v>11.99030602162429</v>
      </c>
      <c r="AI169" s="520">
        <f t="shared" si="104"/>
        <v>12.015150055072155</v>
      </c>
      <c r="AJ169" s="520">
        <f t="shared" si="104"/>
        <v>12.039922004208098</v>
      </c>
      <c r="AK169" s="520">
        <f t="shared" si="104"/>
        <v>12.064622339136843</v>
      </c>
      <c r="AL169" s="520">
        <f t="shared" si="104"/>
        <v>12.094406678579805</v>
      </c>
      <c r="AM169" s="520">
        <f t="shared" si="104"/>
        <v>12.124078924136491</v>
      </c>
      <c r="AN169" s="520">
        <f t="shared" si="104"/>
        <v>12.153639783922587</v>
      </c>
      <c r="AO169" s="520">
        <f t="shared" si="104"/>
        <v>12.183089957138392</v>
      </c>
      <c r="AP169" s="520">
        <f t="shared" si="104"/>
        <v>12.212430134165137</v>
      </c>
      <c r="AQ169" s="520">
        <f t="shared" si="104"/>
        <v>12.256143704717205</v>
      </c>
      <c r="AR169" s="520">
        <f t="shared" si="104"/>
        <v>12.299679871973648</v>
      </c>
      <c r="AS169" s="520">
        <f t="shared" si="104"/>
        <v>12.343039610164922</v>
      </c>
      <c r="AT169" s="520">
        <f t="shared" si="104"/>
        <v>12.386223881805252</v>
      </c>
      <c r="AU169" s="520">
        <f t="shared" si="104"/>
        <v>12.429233637820181</v>
      </c>
      <c r="AV169" s="437"/>
      <c r="AW169" s="437"/>
      <c r="AX169" s="437"/>
      <c r="AY169" s="437"/>
      <c r="AZ169" s="437"/>
    </row>
    <row r="170" spans="2:52">
      <c r="B170" s="437"/>
      <c r="C170" s="437"/>
      <c r="D170" s="516" t="s">
        <v>765</v>
      </c>
      <c r="E170" s="516" t="s">
        <v>675</v>
      </c>
      <c r="F170" s="517" t="s">
        <v>764</v>
      </c>
      <c r="G170" s="520">
        <f t="shared" ref="G170:AU170" si="105">G150</f>
        <v>46</v>
      </c>
      <c r="H170" s="520">
        <f t="shared" si="105"/>
        <v>46</v>
      </c>
      <c r="I170" s="520">
        <f t="shared" si="105"/>
        <v>46</v>
      </c>
      <c r="J170" s="520">
        <f t="shared" si="105"/>
        <v>45.7</v>
      </c>
      <c r="K170" s="520">
        <f t="shared" si="105"/>
        <v>45.3</v>
      </c>
      <c r="L170" s="520">
        <f t="shared" si="105"/>
        <v>44.9</v>
      </c>
      <c r="M170" s="520">
        <f t="shared" si="105"/>
        <v>45.4</v>
      </c>
      <c r="N170" s="520">
        <f t="shared" si="105"/>
        <v>45.9</v>
      </c>
      <c r="O170" s="520">
        <f t="shared" si="105"/>
        <v>45.179472202489855</v>
      </c>
      <c r="P170" s="520">
        <f t="shared" si="105"/>
        <v>45.117600562980392</v>
      </c>
      <c r="Q170" s="520">
        <f t="shared" si="105"/>
        <v>45.248389703133633</v>
      </c>
      <c r="R170" s="520">
        <f t="shared" si="105"/>
        <v>45.190250127598674</v>
      </c>
      <c r="S170" s="520">
        <f t="shared" si="105"/>
        <v>45.392121473736516</v>
      </c>
      <c r="T170" s="520">
        <f t="shared" si="105"/>
        <v>45.644433925671841</v>
      </c>
      <c r="U170" s="520">
        <f t="shared" si="105"/>
        <v>45.923015098100862</v>
      </c>
      <c r="V170" s="520">
        <f t="shared" si="105"/>
        <v>46.207001444406053</v>
      </c>
      <c r="W170" s="520">
        <f t="shared" si="105"/>
        <v>46.419730980267232</v>
      </c>
      <c r="X170" s="520">
        <f t="shared" si="105"/>
        <v>46.631059323825987</v>
      </c>
      <c r="Y170" s="520">
        <f t="shared" si="105"/>
        <v>46.839924523073165</v>
      </c>
      <c r="Z170" s="520">
        <f t="shared" si="105"/>
        <v>47.054043906757286</v>
      </c>
      <c r="AA170" s="520">
        <f t="shared" si="105"/>
        <v>47.263106384197172</v>
      </c>
      <c r="AB170" s="520">
        <f t="shared" si="105"/>
        <v>47.363169268373781</v>
      </c>
      <c r="AC170" s="520">
        <f t="shared" si="105"/>
        <v>47.463048827686151</v>
      </c>
      <c r="AD170" s="520">
        <f t="shared" si="105"/>
        <v>47.562746231205452</v>
      </c>
      <c r="AE170" s="520">
        <f t="shared" si="105"/>
        <v>47.662262629564232</v>
      </c>
      <c r="AF170" s="520">
        <f t="shared" si="105"/>
        <v>47.761599155151828</v>
      </c>
      <c r="AG170" s="520">
        <f t="shared" si="105"/>
        <v>47.861557709026719</v>
      </c>
      <c r="AH170" s="520">
        <f t="shared" si="105"/>
        <v>47.961224086497161</v>
      </c>
      <c r="AI170" s="520">
        <f t="shared" si="105"/>
        <v>48.06060022028862</v>
      </c>
      <c r="AJ170" s="520">
        <f t="shared" si="105"/>
        <v>48.159688016832391</v>
      </c>
      <c r="AK170" s="520">
        <f t="shared" si="105"/>
        <v>48.258489356547372</v>
      </c>
      <c r="AL170" s="520">
        <f t="shared" si="105"/>
        <v>48.37762671431922</v>
      </c>
      <c r="AM170" s="520">
        <f t="shared" si="105"/>
        <v>48.496315696545963</v>
      </c>
      <c r="AN170" s="520">
        <f t="shared" si="105"/>
        <v>48.614559135690349</v>
      </c>
      <c r="AO170" s="520">
        <f t="shared" si="105"/>
        <v>48.73235982855357</v>
      </c>
      <c r="AP170" s="520">
        <f t="shared" si="105"/>
        <v>48.849720536660548</v>
      </c>
      <c r="AQ170" s="520">
        <f t="shared" si="105"/>
        <v>49.024574818868821</v>
      </c>
      <c r="AR170" s="520">
        <f t="shared" si="105"/>
        <v>49.198719487894593</v>
      </c>
      <c r="AS170" s="520">
        <f t="shared" si="105"/>
        <v>49.372158440659689</v>
      </c>
      <c r="AT170" s="520">
        <f t="shared" si="105"/>
        <v>49.544895527221009</v>
      </c>
      <c r="AU170" s="520">
        <f t="shared" si="105"/>
        <v>49.716934551280723</v>
      </c>
      <c r="AV170" s="437"/>
      <c r="AW170" s="437"/>
      <c r="AX170" s="437"/>
      <c r="AY170" s="437"/>
      <c r="AZ170" s="437"/>
    </row>
    <row r="171" spans="2:52">
      <c r="B171" s="437"/>
      <c r="C171" s="437"/>
      <c r="D171" s="516"/>
      <c r="E171" s="516" t="s">
        <v>680</v>
      </c>
      <c r="F171" s="517" t="s">
        <v>764</v>
      </c>
      <c r="G171" s="520">
        <f t="shared" ref="G171:AU171" si="106">$E$195*G121</f>
        <v>11.55</v>
      </c>
      <c r="H171" s="520">
        <f t="shared" si="106"/>
        <v>13.85</v>
      </c>
      <c r="I171" s="520">
        <f t="shared" si="106"/>
        <v>11.95</v>
      </c>
      <c r="J171" s="520">
        <f t="shared" si="106"/>
        <v>10.15</v>
      </c>
      <c r="K171" s="520">
        <f t="shared" si="106"/>
        <v>8.6</v>
      </c>
      <c r="L171" s="520">
        <f t="shared" si="106"/>
        <v>7.85</v>
      </c>
      <c r="M171" s="520">
        <f t="shared" si="106"/>
        <v>6.1</v>
      </c>
      <c r="N171" s="520">
        <f t="shared" si="106"/>
        <v>5.85</v>
      </c>
      <c r="O171" s="520">
        <f t="shared" si="106"/>
        <v>11.467898064011884</v>
      </c>
      <c r="P171" s="520">
        <f t="shared" si="106"/>
        <v>7.7663830030950765</v>
      </c>
      <c r="Q171" s="520">
        <f t="shared" si="106"/>
        <v>6.4647759447939386</v>
      </c>
      <c r="R171" s="520">
        <f t="shared" si="106"/>
        <v>6.5830294771624471</v>
      </c>
      <c r="S171" s="520">
        <f t="shared" si="106"/>
        <v>6.8367367407151214</v>
      </c>
      <c r="T171" s="520">
        <f t="shared" si="106"/>
        <v>7.0869633419431945</v>
      </c>
      <c r="U171" s="520">
        <f t="shared" si="106"/>
        <v>7.3237003604902249</v>
      </c>
      <c r="V171" s="520">
        <f t="shared" si="106"/>
        <v>7.2904494140519214</v>
      </c>
      <c r="W171" s="520">
        <f t="shared" si="106"/>
        <v>7.2658292469417001</v>
      </c>
      <c r="X171" s="520">
        <f t="shared" si="106"/>
        <v>7.2386152965441681</v>
      </c>
      <c r="Y171" s="520">
        <f t="shared" si="106"/>
        <v>7.2065953240946836</v>
      </c>
      <c r="Z171" s="520">
        <f t="shared" si="106"/>
        <v>7.1719818027432378</v>
      </c>
      <c r="AA171" s="520">
        <f t="shared" si="106"/>
        <v>7.1332515760414905</v>
      </c>
      <c r="AB171" s="520">
        <f t="shared" si="106"/>
        <v>7.1153465320667548</v>
      </c>
      <c r="AC171" s="520">
        <f t="shared" si="106"/>
        <v>7.097518632127068</v>
      </c>
      <c r="AD171" s="520">
        <f t="shared" si="106"/>
        <v>7.0795572350830023</v>
      </c>
      <c r="AE171" s="520">
        <f t="shared" si="106"/>
        <v>7.0616767132396783</v>
      </c>
      <c r="AF171" s="520">
        <f t="shared" si="106"/>
        <v>7.0437860033118742</v>
      </c>
      <c r="AG171" s="520">
        <f t="shared" si="106"/>
        <v>7.0259928453493545</v>
      </c>
      <c r="AH171" s="520">
        <f t="shared" si="106"/>
        <v>7.0080856252282011</v>
      </c>
      <c r="AI171" s="520">
        <f t="shared" si="106"/>
        <v>6.990255369175598</v>
      </c>
      <c r="AJ171" s="520">
        <f t="shared" si="106"/>
        <v>6.9723272493975728</v>
      </c>
      <c r="AK171" s="520">
        <f t="shared" si="106"/>
        <v>6.9544309358125274</v>
      </c>
      <c r="AL171" s="520">
        <f t="shared" si="106"/>
        <v>6.9365345690910853</v>
      </c>
      <c r="AM171" s="520">
        <f t="shared" si="106"/>
        <v>6.9183052264039517</v>
      </c>
      <c r="AN171" s="520">
        <f t="shared" si="106"/>
        <v>6.900075278683218</v>
      </c>
      <c r="AO171" s="520">
        <f t="shared" si="106"/>
        <v>6.8818447251553092</v>
      </c>
      <c r="AP171" s="520">
        <f t="shared" si="106"/>
        <v>6.8636135650456671</v>
      </c>
      <c r="AQ171" s="520">
        <f t="shared" si="106"/>
        <v>6.8453817975787317</v>
      </c>
      <c r="AR171" s="520">
        <f t="shared" si="106"/>
        <v>6.8271494219779587</v>
      </c>
      <c r="AS171" s="520">
        <f t="shared" si="106"/>
        <v>6.808916437465812</v>
      </c>
      <c r="AT171" s="520">
        <f t="shared" si="106"/>
        <v>6.7906828432637569</v>
      </c>
      <c r="AU171" s="520">
        <f t="shared" si="106"/>
        <v>6.7724486385922678</v>
      </c>
      <c r="AV171" s="437"/>
      <c r="AW171" s="437"/>
      <c r="AX171" s="437"/>
      <c r="AY171" s="437"/>
      <c r="AZ171" s="437"/>
    </row>
    <row r="172" spans="2:52">
      <c r="B172" s="437"/>
      <c r="C172" s="437"/>
      <c r="D172" s="516"/>
      <c r="E172" s="516" t="s">
        <v>684</v>
      </c>
      <c r="F172" s="517" t="s">
        <v>764</v>
      </c>
      <c r="G172" s="520">
        <f>$E$197</f>
        <v>4.1805555555555554</v>
      </c>
      <c r="H172" s="520">
        <f t="shared" ref="H172:AU172" si="107">$E$197</f>
        <v>4.1805555555555554</v>
      </c>
      <c r="I172" s="520">
        <f t="shared" si="107"/>
        <v>4.1805555555555554</v>
      </c>
      <c r="J172" s="520">
        <f t="shared" si="107"/>
        <v>4.1805555555555554</v>
      </c>
      <c r="K172" s="520">
        <f t="shared" si="107"/>
        <v>4.1805555555555554</v>
      </c>
      <c r="L172" s="520">
        <f t="shared" si="107"/>
        <v>4.1805555555555554</v>
      </c>
      <c r="M172" s="520">
        <f t="shared" si="107"/>
        <v>4.1805555555555554</v>
      </c>
      <c r="N172" s="520">
        <f t="shared" si="107"/>
        <v>4.1805555555555554</v>
      </c>
      <c r="O172" s="520">
        <f t="shared" si="107"/>
        <v>4.1805555555555554</v>
      </c>
      <c r="P172" s="520">
        <f t="shared" si="107"/>
        <v>4.1805555555555554</v>
      </c>
      <c r="Q172" s="520">
        <f t="shared" si="107"/>
        <v>4.1805555555555554</v>
      </c>
      <c r="R172" s="520">
        <f t="shared" si="107"/>
        <v>4.1805555555555554</v>
      </c>
      <c r="S172" s="520">
        <f t="shared" si="107"/>
        <v>4.1805555555555554</v>
      </c>
      <c r="T172" s="520">
        <f t="shared" si="107"/>
        <v>4.1805555555555554</v>
      </c>
      <c r="U172" s="520">
        <f t="shared" si="107"/>
        <v>4.1805555555555554</v>
      </c>
      <c r="V172" s="520">
        <f t="shared" si="107"/>
        <v>4.1805555555555554</v>
      </c>
      <c r="W172" s="520">
        <f t="shared" si="107"/>
        <v>4.1805555555555554</v>
      </c>
      <c r="X172" s="520">
        <f t="shared" si="107"/>
        <v>4.1805555555555554</v>
      </c>
      <c r="Y172" s="520">
        <f t="shared" si="107"/>
        <v>4.1805555555555554</v>
      </c>
      <c r="Z172" s="520">
        <f t="shared" si="107"/>
        <v>4.1805555555555554</v>
      </c>
      <c r="AA172" s="520">
        <f t="shared" si="107"/>
        <v>4.1805555555555554</v>
      </c>
      <c r="AB172" s="520">
        <f t="shared" si="107"/>
        <v>4.1805555555555554</v>
      </c>
      <c r="AC172" s="520">
        <f t="shared" si="107"/>
        <v>4.1805555555555554</v>
      </c>
      <c r="AD172" s="520">
        <f t="shared" si="107"/>
        <v>4.1805555555555554</v>
      </c>
      <c r="AE172" s="520">
        <f t="shared" si="107"/>
        <v>4.1805555555555554</v>
      </c>
      <c r="AF172" s="520">
        <f t="shared" si="107"/>
        <v>4.1805555555555554</v>
      </c>
      <c r="AG172" s="520">
        <f t="shared" si="107"/>
        <v>4.1805555555555554</v>
      </c>
      <c r="AH172" s="520">
        <f t="shared" si="107"/>
        <v>4.1805555555555554</v>
      </c>
      <c r="AI172" s="520">
        <f t="shared" si="107"/>
        <v>4.1805555555555554</v>
      </c>
      <c r="AJ172" s="520">
        <f t="shared" si="107"/>
        <v>4.1805555555555554</v>
      </c>
      <c r="AK172" s="520">
        <f t="shared" si="107"/>
        <v>4.1805555555555554</v>
      </c>
      <c r="AL172" s="520">
        <f t="shared" si="107"/>
        <v>4.1805555555555554</v>
      </c>
      <c r="AM172" s="520">
        <f t="shared" si="107"/>
        <v>4.1805555555555554</v>
      </c>
      <c r="AN172" s="520">
        <f t="shared" si="107"/>
        <v>4.1805555555555554</v>
      </c>
      <c r="AO172" s="520">
        <f t="shared" si="107"/>
        <v>4.1805555555555554</v>
      </c>
      <c r="AP172" s="520">
        <f t="shared" si="107"/>
        <v>4.1805555555555554</v>
      </c>
      <c r="AQ172" s="520">
        <f t="shared" si="107"/>
        <v>4.1805555555555554</v>
      </c>
      <c r="AR172" s="520">
        <f t="shared" si="107"/>
        <v>4.1805555555555554</v>
      </c>
      <c r="AS172" s="520">
        <f t="shared" si="107"/>
        <v>4.1805555555555554</v>
      </c>
      <c r="AT172" s="520">
        <f t="shared" si="107"/>
        <v>4.1805555555555554</v>
      </c>
      <c r="AU172" s="520">
        <f t="shared" si="107"/>
        <v>4.1805555555555554</v>
      </c>
      <c r="AV172" s="437"/>
      <c r="AW172" s="437"/>
      <c r="AX172" s="437"/>
      <c r="AY172" s="437"/>
      <c r="AZ172" s="437"/>
    </row>
    <row r="173" spans="2:52">
      <c r="B173" s="437"/>
      <c r="C173" s="437"/>
      <c r="D173" s="516" t="s">
        <v>766</v>
      </c>
      <c r="E173" s="516" t="s">
        <v>686</v>
      </c>
      <c r="F173" s="517" t="s">
        <v>764</v>
      </c>
      <c r="G173" s="520">
        <f>$E$178</f>
        <v>0.1</v>
      </c>
      <c r="H173" s="520">
        <f t="shared" ref="H173:AU173" si="108">$E$178</f>
        <v>0.1</v>
      </c>
      <c r="I173" s="520">
        <f t="shared" si="108"/>
        <v>0.1</v>
      </c>
      <c r="J173" s="520">
        <f t="shared" si="108"/>
        <v>0.1</v>
      </c>
      <c r="K173" s="520">
        <f t="shared" si="108"/>
        <v>0.1</v>
      </c>
      <c r="L173" s="520">
        <f t="shared" si="108"/>
        <v>0.1</v>
      </c>
      <c r="M173" s="520">
        <f t="shared" si="108"/>
        <v>0.1</v>
      </c>
      <c r="N173" s="520">
        <f t="shared" si="108"/>
        <v>0.1</v>
      </c>
      <c r="O173" s="520">
        <f t="shared" si="108"/>
        <v>0.1</v>
      </c>
      <c r="P173" s="520">
        <f t="shared" si="108"/>
        <v>0.1</v>
      </c>
      <c r="Q173" s="520">
        <f t="shared" si="108"/>
        <v>0.1</v>
      </c>
      <c r="R173" s="520">
        <f t="shared" si="108"/>
        <v>0.1</v>
      </c>
      <c r="S173" s="520">
        <f t="shared" si="108"/>
        <v>0.1</v>
      </c>
      <c r="T173" s="520">
        <f t="shared" si="108"/>
        <v>0.1</v>
      </c>
      <c r="U173" s="520">
        <f t="shared" si="108"/>
        <v>0.1</v>
      </c>
      <c r="V173" s="520">
        <f t="shared" si="108"/>
        <v>0.1</v>
      </c>
      <c r="W173" s="520">
        <f t="shared" si="108"/>
        <v>0.1</v>
      </c>
      <c r="X173" s="520">
        <f t="shared" si="108"/>
        <v>0.1</v>
      </c>
      <c r="Y173" s="520">
        <f t="shared" si="108"/>
        <v>0.1</v>
      </c>
      <c r="Z173" s="520">
        <f t="shared" si="108"/>
        <v>0.1</v>
      </c>
      <c r="AA173" s="520">
        <f t="shared" si="108"/>
        <v>0.1</v>
      </c>
      <c r="AB173" s="520">
        <f t="shared" si="108"/>
        <v>0.1</v>
      </c>
      <c r="AC173" s="520">
        <f t="shared" si="108"/>
        <v>0.1</v>
      </c>
      <c r="AD173" s="520">
        <f t="shared" si="108"/>
        <v>0.1</v>
      </c>
      <c r="AE173" s="520">
        <f t="shared" si="108"/>
        <v>0.1</v>
      </c>
      <c r="AF173" s="520">
        <f t="shared" si="108"/>
        <v>0.1</v>
      </c>
      <c r="AG173" s="520">
        <f t="shared" si="108"/>
        <v>0.1</v>
      </c>
      <c r="AH173" s="520">
        <f t="shared" si="108"/>
        <v>0.1</v>
      </c>
      <c r="AI173" s="520">
        <f t="shared" si="108"/>
        <v>0.1</v>
      </c>
      <c r="AJ173" s="520">
        <f t="shared" si="108"/>
        <v>0.1</v>
      </c>
      <c r="AK173" s="520">
        <f t="shared" si="108"/>
        <v>0.1</v>
      </c>
      <c r="AL173" s="520">
        <f t="shared" si="108"/>
        <v>0.1</v>
      </c>
      <c r="AM173" s="520">
        <f t="shared" si="108"/>
        <v>0.1</v>
      </c>
      <c r="AN173" s="520">
        <f t="shared" si="108"/>
        <v>0.1</v>
      </c>
      <c r="AO173" s="520">
        <f t="shared" si="108"/>
        <v>0.1</v>
      </c>
      <c r="AP173" s="520">
        <f t="shared" si="108"/>
        <v>0.1</v>
      </c>
      <c r="AQ173" s="520">
        <f t="shared" si="108"/>
        <v>0.1</v>
      </c>
      <c r="AR173" s="520">
        <f t="shared" si="108"/>
        <v>0.1</v>
      </c>
      <c r="AS173" s="520">
        <f t="shared" si="108"/>
        <v>0.1</v>
      </c>
      <c r="AT173" s="520">
        <f t="shared" si="108"/>
        <v>0.1</v>
      </c>
      <c r="AU173" s="520">
        <f t="shared" si="108"/>
        <v>0.1</v>
      </c>
      <c r="AV173" s="437"/>
      <c r="AW173" s="437"/>
      <c r="AX173" s="437"/>
      <c r="AY173" s="437"/>
      <c r="AZ173" s="437"/>
    </row>
    <row r="174" spans="2:52">
      <c r="B174" s="437"/>
      <c r="C174" s="437"/>
      <c r="D174" s="516"/>
      <c r="E174" s="516"/>
      <c r="F174" s="517"/>
      <c r="G174" s="516"/>
      <c r="H174" s="432"/>
      <c r="I174" s="437"/>
      <c r="J174" s="437"/>
      <c r="K174" s="437"/>
      <c r="L174" s="437"/>
      <c r="M174" s="437"/>
      <c r="N174" s="437"/>
      <c r="O174" s="437"/>
      <c r="P174" s="437"/>
      <c r="Q174" s="437"/>
      <c r="R174" s="437"/>
      <c r="S174" s="437"/>
      <c r="T174" s="437"/>
      <c r="U174" s="437"/>
      <c r="V174" s="437"/>
      <c r="W174" s="437"/>
      <c r="X174" s="437"/>
      <c r="Y174" s="437"/>
      <c r="Z174" s="437"/>
      <c r="AA174" s="437"/>
      <c r="AB174" s="437"/>
      <c r="AC174" s="437"/>
      <c r="AD174" s="437"/>
      <c r="AE174" s="437"/>
      <c r="AF174" s="437"/>
      <c r="AG174" s="437"/>
      <c r="AH174" s="437"/>
      <c r="AI174" s="437"/>
      <c r="AJ174" s="437"/>
      <c r="AK174" s="437"/>
      <c r="AL174" s="437"/>
      <c r="AM174" s="437"/>
      <c r="AN174" s="437"/>
      <c r="AO174" s="437"/>
      <c r="AP174" s="437"/>
      <c r="AQ174" s="437"/>
      <c r="AR174" s="437"/>
      <c r="AS174" s="437"/>
      <c r="AT174" s="437"/>
      <c r="AU174" s="437"/>
      <c r="AV174" s="437"/>
      <c r="AW174" s="437"/>
      <c r="AX174" s="437"/>
      <c r="AY174" s="437"/>
      <c r="AZ174" s="437"/>
    </row>
    <row r="175" spans="2:52">
      <c r="B175" s="437"/>
      <c r="C175" s="437"/>
      <c r="D175" s="516"/>
      <c r="E175" s="516"/>
      <c r="F175" s="517"/>
      <c r="G175" s="516"/>
      <c r="H175" s="432"/>
      <c r="I175" s="437"/>
      <c r="J175" s="437"/>
      <c r="K175" s="437"/>
      <c r="L175" s="437"/>
      <c r="M175" s="437"/>
      <c r="N175" s="437"/>
      <c r="O175" s="437"/>
      <c r="P175" s="437"/>
      <c r="Q175" s="437"/>
      <c r="R175" s="437"/>
      <c r="S175" s="437"/>
      <c r="T175" s="437"/>
      <c r="U175" s="437"/>
      <c r="V175" s="437"/>
      <c r="W175" s="437"/>
      <c r="X175" s="437"/>
      <c r="Y175" s="437"/>
      <c r="Z175" s="437"/>
      <c r="AA175" s="437"/>
      <c r="AB175" s="437"/>
      <c r="AC175" s="437"/>
      <c r="AD175" s="437"/>
      <c r="AE175" s="437"/>
      <c r="AF175" s="437"/>
      <c r="AG175" s="437"/>
      <c r="AH175" s="437"/>
      <c r="AI175" s="437"/>
      <c r="AJ175" s="437"/>
      <c r="AK175" s="437"/>
      <c r="AL175" s="437"/>
      <c r="AM175" s="437"/>
      <c r="AN175" s="437"/>
      <c r="AO175" s="437"/>
      <c r="AP175" s="437"/>
      <c r="AQ175" s="437"/>
      <c r="AR175" s="437"/>
      <c r="AS175" s="437"/>
      <c r="AT175" s="437"/>
      <c r="AU175" s="437"/>
      <c r="AV175" s="437"/>
      <c r="AW175" s="437"/>
      <c r="AX175" s="437"/>
      <c r="AY175" s="437"/>
      <c r="AZ175" s="437"/>
    </row>
    <row r="176" spans="2:52" ht="13.8" thickBot="1">
      <c r="B176" s="437"/>
      <c r="C176" s="437"/>
      <c r="D176" s="516"/>
      <c r="E176" s="516"/>
      <c r="F176" s="517"/>
      <c r="G176" s="516"/>
      <c r="H176" s="432"/>
      <c r="I176" s="437"/>
      <c r="J176" s="437"/>
      <c r="K176" s="437"/>
      <c r="L176" s="437"/>
      <c r="M176" s="437"/>
      <c r="N176" s="437"/>
      <c r="O176" s="437"/>
      <c r="P176" s="437"/>
      <c r="Q176" s="437"/>
      <c r="R176" s="437"/>
      <c r="S176" s="437"/>
      <c r="T176" s="437"/>
      <c r="U176" s="437"/>
      <c r="V176" s="437"/>
      <c r="W176" s="437"/>
      <c r="X176" s="437"/>
      <c r="Y176" s="437"/>
      <c r="Z176" s="437"/>
      <c r="AA176" s="437"/>
      <c r="AB176" s="437"/>
      <c r="AC176" s="437"/>
      <c r="AD176" s="437"/>
      <c r="AE176" s="437"/>
      <c r="AF176" s="437"/>
      <c r="AG176" s="437"/>
      <c r="AH176" s="437"/>
      <c r="AI176" s="437"/>
      <c r="AJ176" s="437"/>
      <c r="AK176" s="437"/>
      <c r="AL176" s="437"/>
      <c r="AM176" s="437"/>
      <c r="AN176" s="437"/>
      <c r="AO176" s="437"/>
      <c r="AP176" s="437"/>
      <c r="AQ176" s="437"/>
      <c r="AR176" s="437"/>
      <c r="AS176" s="437"/>
      <c r="AT176" s="437"/>
      <c r="AU176" s="437"/>
      <c r="AV176" s="437"/>
      <c r="AW176" s="437"/>
      <c r="AX176" s="437"/>
      <c r="AY176" s="437"/>
      <c r="AZ176" s="437"/>
    </row>
    <row r="177" spans="2:52" ht="13.8" thickBot="1">
      <c r="B177" s="437"/>
      <c r="C177" s="71" t="s">
        <v>223</v>
      </c>
      <c r="D177" s="72" t="s">
        <v>216</v>
      </c>
      <c r="E177" s="72"/>
      <c r="F177" s="72" t="s">
        <v>226</v>
      </c>
      <c r="G177" s="72" t="s">
        <v>217</v>
      </c>
      <c r="H177" s="72" t="s">
        <v>327</v>
      </c>
      <c r="I177" s="73" t="s">
        <v>107</v>
      </c>
      <c r="J177" s="437"/>
      <c r="K177" s="437"/>
      <c r="L177" s="437"/>
      <c r="M177" s="437"/>
      <c r="N177" s="437"/>
      <c r="O177" s="437"/>
      <c r="P177" s="437"/>
      <c r="Q177" s="437"/>
      <c r="R177" s="437"/>
      <c r="S177" s="437"/>
      <c r="T177" s="437"/>
      <c r="U177" s="437"/>
      <c r="V177" s="437"/>
      <c r="W177" s="437"/>
      <c r="X177" s="437"/>
      <c r="Y177" s="437"/>
      <c r="Z177" s="437"/>
      <c r="AA177" s="437"/>
      <c r="AB177" s="437"/>
      <c r="AC177" s="437"/>
      <c r="AD177" s="437"/>
      <c r="AE177" s="437"/>
      <c r="AF177" s="437"/>
      <c r="AG177" s="437"/>
      <c r="AH177" s="437"/>
      <c r="AI177" s="437"/>
      <c r="AJ177" s="437"/>
      <c r="AK177" s="437"/>
      <c r="AL177" s="437"/>
      <c r="AM177" s="437"/>
      <c r="AN177" s="437"/>
      <c r="AO177" s="437"/>
      <c r="AP177" s="437"/>
      <c r="AQ177" s="437"/>
      <c r="AR177" s="437"/>
      <c r="AS177" s="437"/>
      <c r="AT177" s="437"/>
      <c r="AU177" s="437"/>
      <c r="AV177" s="437"/>
      <c r="AW177" s="437"/>
      <c r="AX177" s="437"/>
      <c r="AY177" s="437"/>
      <c r="AZ177" s="437"/>
    </row>
    <row r="178" spans="2:52">
      <c r="B178" s="437"/>
      <c r="C178" s="70" t="s">
        <v>227</v>
      </c>
      <c r="D178" s="437" t="s">
        <v>228</v>
      </c>
      <c r="E178" s="437">
        <v>0.1</v>
      </c>
      <c r="F178" s="437" t="s">
        <v>220</v>
      </c>
      <c r="G178" s="437" t="s">
        <v>229</v>
      </c>
      <c r="H178" s="437"/>
      <c r="I178" s="61"/>
      <c r="J178" s="437"/>
      <c r="K178" s="437"/>
      <c r="L178" s="437"/>
      <c r="M178" s="437"/>
      <c r="N178" s="437"/>
      <c r="O178" s="437"/>
      <c r="P178" s="437"/>
      <c r="Q178" s="437"/>
      <c r="R178" s="437"/>
      <c r="S178" s="437"/>
      <c r="T178" s="437"/>
      <c r="U178" s="437"/>
      <c r="V178" s="437"/>
      <c r="W178" s="437"/>
      <c r="X178" s="437"/>
      <c r="Y178" s="437"/>
      <c r="Z178" s="437"/>
      <c r="AA178" s="437"/>
      <c r="AB178" s="437"/>
      <c r="AC178" s="437"/>
      <c r="AD178" s="437"/>
      <c r="AE178" s="437"/>
      <c r="AF178" s="437"/>
      <c r="AG178" s="437"/>
      <c r="AH178" s="437"/>
      <c r="AI178" s="437"/>
      <c r="AJ178" s="437"/>
      <c r="AK178" s="437"/>
      <c r="AL178" s="437"/>
      <c r="AM178" s="437"/>
      <c r="AN178" s="437"/>
      <c r="AO178" s="437"/>
      <c r="AP178" s="437"/>
      <c r="AQ178" s="437"/>
      <c r="AR178" s="437"/>
      <c r="AS178" s="437"/>
      <c r="AT178" s="437"/>
      <c r="AU178" s="437"/>
      <c r="AV178" s="437"/>
      <c r="AW178" s="437"/>
      <c r="AX178" s="437"/>
      <c r="AY178" s="437"/>
      <c r="AZ178" s="437"/>
    </row>
    <row r="179" spans="2:52">
      <c r="B179" s="437"/>
      <c r="C179" s="70" t="s">
        <v>210</v>
      </c>
      <c r="D179" s="437" t="s">
        <v>850</v>
      </c>
      <c r="E179" s="496">
        <v>3</v>
      </c>
      <c r="F179" s="437" t="s">
        <v>221</v>
      </c>
      <c r="G179" s="437" t="s">
        <v>218</v>
      </c>
      <c r="H179" s="437"/>
      <c r="I179" s="61"/>
      <c r="J179" s="437"/>
      <c r="K179" s="437"/>
      <c r="L179" s="437"/>
      <c r="M179" s="437"/>
      <c r="N179" s="437"/>
      <c r="O179" s="437"/>
      <c r="P179" s="437"/>
      <c r="Q179" s="437"/>
      <c r="R179" s="437"/>
      <c r="S179" s="437"/>
      <c r="T179" s="437"/>
      <c r="U179" s="437"/>
      <c r="V179" s="437"/>
      <c r="W179" s="437"/>
      <c r="X179" s="437"/>
      <c r="Y179" s="437"/>
      <c r="Z179" s="437"/>
      <c r="AA179" s="437"/>
      <c r="AB179" s="437"/>
      <c r="AC179" s="437"/>
      <c r="AD179" s="437"/>
      <c r="AE179" s="437"/>
      <c r="AF179" s="437"/>
      <c r="AG179" s="437"/>
      <c r="AH179" s="437"/>
      <c r="AI179" s="437"/>
      <c r="AJ179" s="437"/>
      <c r="AK179" s="437"/>
      <c r="AL179" s="437"/>
      <c r="AM179" s="437"/>
      <c r="AN179" s="437"/>
      <c r="AO179" s="437"/>
      <c r="AP179" s="437"/>
      <c r="AQ179" s="437"/>
      <c r="AR179" s="437"/>
      <c r="AS179" s="437"/>
      <c r="AT179" s="437"/>
      <c r="AU179" s="437"/>
      <c r="AV179" s="437"/>
      <c r="AW179" s="437"/>
      <c r="AX179" s="437"/>
      <c r="AY179" s="437"/>
      <c r="AZ179" s="437"/>
    </row>
    <row r="180" spans="2:52">
      <c r="B180" s="437"/>
      <c r="C180" s="70" t="s">
        <v>211</v>
      </c>
      <c r="D180" s="437" t="s">
        <v>851</v>
      </c>
      <c r="E180" s="437">
        <v>3</v>
      </c>
      <c r="F180" s="437" t="s">
        <v>221</v>
      </c>
      <c r="G180" s="437" t="s">
        <v>218</v>
      </c>
      <c r="H180" s="437"/>
      <c r="I180" s="61"/>
      <c r="J180" s="437"/>
      <c r="K180" s="437"/>
      <c r="L180" s="437"/>
      <c r="M180" s="437"/>
      <c r="N180" s="437"/>
      <c r="O180" s="437"/>
      <c r="P180" s="437"/>
      <c r="Q180" s="437"/>
      <c r="R180" s="437"/>
      <c r="S180" s="437"/>
      <c r="T180" s="437"/>
      <c r="U180" s="437"/>
      <c r="V180" s="437"/>
      <c r="W180" s="437"/>
      <c r="X180" s="437"/>
      <c r="Y180" s="437"/>
      <c r="Z180" s="437"/>
      <c r="AA180" s="437"/>
      <c r="AB180" s="437"/>
      <c r="AC180" s="437"/>
      <c r="AD180" s="437"/>
      <c r="AE180" s="437"/>
      <c r="AF180" s="437"/>
      <c r="AG180" s="437"/>
      <c r="AH180" s="437"/>
      <c r="AI180" s="437"/>
      <c r="AJ180" s="437"/>
      <c r="AK180" s="437"/>
      <c r="AL180" s="437"/>
      <c r="AM180" s="437"/>
      <c r="AN180" s="437"/>
      <c r="AO180" s="437"/>
      <c r="AP180" s="437"/>
      <c r="AQ180" s="437"/>
      <c r="AR180" s="437"/>
      <c r="AS180" s="437"/>
      <c r="AT180" s="437"/>
      <c r="AU180" s="437"/>
      <c r="AV180" s="437"/>
      <c r="AW180" s="437"/>
      <c r="AX180" s="437"/>
      <c r="AY180" s="437"/>
      <c r="AZ180" s="437"/>
    </row>
    <row r="181" spans="2:52">
      <c r="B181" s="437"/>
      <c r="C181" s="70" t="s">
        <v>215</v>
      </c>
      <c r="D181" s="437" t="s">
        <v>851</v>
      </c>
      <c r="E181" s="437">
        <v>3</v>
      </c>
      <c r="F181" s="437" t="s">
        <v>221</v>
      </c>
      <c r="G181" s="432" t="s">
        <v>218</v>
      </c>
      <c r="H181" s="432"/>
      <c r="I181" s="61"/>
      <c r="J181" s="437"/>
      <c r="K181" s="437"/>
      <c r="L181" s="437"/>
      <c r="M181" s="437"/>
      <c r="N181" s="437"/>
      <c r="O181" s="437"/>
      <c r="P181" s="437"/>
      <c r="Q181" s="437"/>
      <c r="R181" s="437"/>
      <c r="S181" s="437"/>
      <c r="T181" s="437"/>
      <c r="U181" s="437"/>
      <c r="V181" s="437"/>
      <c r="W181" s="437"/>
      <c r="X181" s="437"/>
      <c r="Y181" s="437"/>
      <c r="Z181" s="437"/>
      <c r="AA181" s="437"/>
      <c r="AB181" s="437"/>
      <c r="AC181" s="437"/>
      <c r="AD181" s="437"/>
      <c r="AE181" s="437"/>
      <c r="AF181" s="437"/>
      <c r="AG181" s="437"/>
      <c r="AH181" s="437"/>
      <c r="AI181" s="437"/>
      <c r="AJ181" s="437"/>
      <c r="AK181" s="437"/>
      <c r="AL181" s="437"/>
      <c r="AM181" s="437"/>
      <c r="AN181" s="437"/>
      <c r="AO181" s="437"/>
      <c r="AP181" s="437"/>
      <c r="AQ181" s="437"/>
      <c r="AR181" s="437"/>
      <c r="AS181" s="437"/>
      <c r="AT181" s="437"/>
      <c r="AU181" s="437"/>
      <c r="AV181" s="437"/>
      <c r="AW181" s="437"/>
      <c r="AX181" s="437"/>
      <c r="AY181" s="437"/>
      <c r="AZ181" s="437"/>
    </row>
    <row r="182" spans="2:52">
      <c r="B182" s="437"/>
      <c r="C182" s="70" t="s">
        <v>586</v>
      </c>
      <c r="D182" s="515" t="s">
        <v>587</v>
      </c>
      <c r="E182" s="437">
        <v>1.1000000000000001</v>
      </c>
      <c r="F182" s="437" t="s">
        <v>221</v>
      </c>
      <c r="G182" s="437" t="s">
        <v>218</v>
      </c>
      <c r="H182" s="432"/>
      <c r="I182" s="437"/>
      <c r="J182" s="437"/>
      <c r="K182" s="437"/>
      <c r="L182" s="437"/>
      <c r="M182" s="437"/>
      <c r="N182" s="437"/>
      <c r="O182" s="437"/>
      <c r="P182" s="437"/>
      <c r="Q182" s="437"/>
      <c r="R182" s="437"/>
      <c r="S182" s="437"/>
      <c r="T182" s="437"/>
      <c r="U182" s="437"/>
      <c r="V182" s="437"/>
      <c r="W182" s="437"/>
      <c r="X182" s="437"/>
      <c r="Y182" s="437"/>
      <c r="Z182" s="437"/>
      <c r="AA182" s="437"/>
      <c r="AB182" s="437"/>
      <c r="AC182" s="437"/>
      <c r="AD182" s="437"/>
      <c r="AE182" s="437"/>
      <c r="AF182" s="437"/>
      <c r="AG182" s="437"/>
      <c r="AH182" s="437"/>
      <c r="AI182" s="437"/>
      <c r="AJ182" s="437"/>
      <c r="AK182" s="437"/>
      <c r="AL182" s="437"/>
      <c r="AM182" s="437"/>
      <c r="AN182" s="437"/>
      <c r="AO182" s="437"/>
      <c r="AP182" s="437"/>
      <c r="AQ182" s="437"/>
      <c r="AR182" s="437"/>
      <c r="AS182" s="437"/>
      <c r="AT182" s="437"/>
      <c r="AU182" s="437"/>
      <c r="AV182" s="437"/>
      <c r="AW182" s="437"/>
      <c r="AX182" s="437"/>
      <c r="AY182" s="437"/>
      <c r="AZ182" s="437"/>
    </row>
    <row r="183" spans="2:52">
      <c r="B183" s="437"/>
      <c r="C183" s="70" t="s">
        <v>212</v>
      </c>
      <c r="D183" s="432" t="s">
        <v>465</v>
      </c>
      <c r="E183" s="498">
        <v>63.673753033597997</v>
      </c>
      <c r="F183" s="437" t="s">
        <v>220</v>
      </c>
      <c r="G183" s="437" t="s">
        <v>219</v>
      </c>
      <c r="H183" s="437"/>
      <c r="I183" s="523">
        <v>41640</v>
      </c>
      <c r="J183" s="437"/>
      <c r="K183" s="437"/>
      <c r="L183" s="437"/>
      <c r="M183" s="437"/>
      <c r="N183" s="437"/>
      <c r="O183" s="437"/>
      <c r="P183" s="437"/>
      <c r="Q183" s="437"/>
      <c r="R183" s="437"/>
      <c r="S183" s="437"/>
      <c r="T183" s="437"/>
      <c r="U183" s="437"/>
      <c r="V183" s="437"/>
      <c r="W183" s="437"/>
      <c r="X183" s="437"/>
      <c r="Y183" s="437"/>
      <c r="Z183" s="437"/>
      <c r="AA183" s="437"/>
      <c r="AB183" s="437"/>
      <c r="AC183" s="437"/>
      <c r="AD183" s="437"/>
      <c r="AE183" s="437"/>
      <c r="AF183" s="437"/>
      <c r="AG183" s="437"/>
      <c r="AH183" s="437"/>
      <c r="AI183" s="437"/>
      <c r="AJ183" s="437"/>
      <c r="AK183" s="437"/>
      <c r="AL183" s="437"/>
      <c r="AM183" s="437"/>
      <c r="AN183" s="437"/>
      <c r="AO183" s="437"/>
      <c r="AP183" s="437"/>
      <c r="AQ183" s="437"/>
      <c r="AR183" s="437"/>
      <c r="AS183" s="437"/>
      <c r="AT183" s="437"/>
      <c r="AU183" s="437"/>
      <c r="AV183" s="437"/>
      <c r="AW183" s="437"/>
      <c r="AX183" s="437"/>
      <c r="AY183" s="437"/>
      <c r="AZ183" s="437"/>
    </row>
    <row r="184" spans="2:52">
      <c r="B184" s="437"/>
      <c r="C184" s="70" t="s">
        <v>213</v>
      </c>
      <c r="D184" s="432" t="s">
        <v>466</v>
      </c>
      <c r="E184" s="498">
        <v>99.186998923418699</v>
      </c>
      <c r="F184" s="437" t="s">
        <v>220</v>
      </c>
      <c r="G184" s="437" t="s">
        <v>219</v>
      </c>
      <c r="H184" s="437"/>
      <c r="I184" s="523">
        <v>41640</v>
      </c>
      <c r="J184" s="437"/>
      <c r="K184" s="437"/>
      <c r="L184" s="437"/>
      <c r="M184" s="437"/>
      <c r="N184" s="437"/>
      <c r="O184" s="437"/>
      <c r="P184" s="437"/>
      <c r="Q184" s="437"/>
      <c r="R184" s="437"/>
      <c r="S184" s="437"/>
      <c r="T184" s="437"/>
      <c r="U184" s="437"/>
      <c r="V184" s="437"/>
      <c r="W184" s="437"/>
      <c r="X184" s="437"/>
      <c r="Y184" s="437"/>
      <c r="Z184" s="437"/>
      <c r="AA184" s="437"/>
      <c r="AB184" s="437"/>
      <c r="AC184" s="437"/>
      <c r="AD184" s="437"/>
      <c r="AE184" s="437"/>
      <c r="AF184" s="437"/>
      <c r="AG184" s="437"/>
      <c r="AH184" s="437"/>
      <c r="AI184" s="437"/>
      <c r="AJ184" s="437"/>
      <c r="AK184" s="437"/>
      <c r="AL184" s="437"/>
      <c r="AM184" s="437"/>
      <c r="AN184" s="437"/>
      <c r="AO184" s="437"/>
      <c r="AP184" s="437"/>
      <c r="AQ184" s="437"/>
      <c r="AR184" s="437"/>
      <c r="AS184" s="437"/>
      <c r="AT184" s="437"/>
      <c r="AU184" s="437"/>
      <c r="AV184" s="437"/>
      <c r="AW184" s="437"/>
      <c r="AX184" s="437"/>
      <c r="AY184" s="437"/>
      <c r="AZ184" s="437"/>
    </row>
    <row r="185" spans="2:52">
      <c r="B185" s="437"/>
      <c r="C185" s="70" t="s">
        <v>214</v>
      </c>
      <c r="D185" s="437" t="s">
        <v>222</v>
      </c>
      <c r="E185" s="437"/>
      <c r="F185" s="437"/>
      <c r="G185" s="437" t="s">
        <v>218</v>
      </c>
      <c r="H185" s="437"/>
      <c r="I185" s="61"/>
      <c r="J185" s="437"/>
      <c r="K185" s="437"/>
      <c r="L185" s="437"/>
      <c r="M185" s="437"/>
      <c r="N185" s="437"/>
      <c r="O185" s="437"/>
      <c r="P185" s="437"/>
      <c r="Q185" s="437"/>
      <c r="R185" s="437"/>
      <c r="S185" s="437"/>
      <c r="T185" s="437"/>
      <c r="U185" s="437"/>
      <c r="V185" s="437"/>
      <c r="W185" s="437"/>
      <c r="X185" s="437"/>
      <c r="Y185" s="437"/>
      <c r="Z185" s="437"/>
      <c r="AA185" s="437"/>
      <c r="AB185" s="437"/>
      <c r="AC185" s="437"/>
      <c r="AD185" s="437"/>
      <c r="AE185" s="437"/>
      <c r="AF185" s="437"/>
      <c r="AG185" s="437"/>
      <c r="AH185" s="437"/>
      <c r="AI185" s="437"/>
      <c r="AJ185" s="437"/>
      <c r="AK185" s="437"/>
      <c r="AL185" s="437"/>
      <c r="AM185" s="437"/>
      <c r="AN185" s="437"/>
      <c r="AO185" s="437"/>
      <c r="AP185" s="437"/>
      <c r="AQ185" s="437"/>
      <c r="AR185" s="437"/>
      <c r="AS185" s="437"/>
      <c r="AT185" s="437"/>
      <c r="AU185" s="437"/>
      <c r="AV185" s="437"/>
      <c r="AW185" s="437"/>
      <c r="AX185" s="437"/>
      <c r="AY185" s="437"/>
      <c r="AZ185" s="437"/>
    </row>
    <row r="186" spans="2:52">
      <c r="B186" s="437"/>
      <c r="C186" s="286" t="s">
        <v>743</v>
      </c>
      <c r="D186" s="437" t="s">
        <v>852</v>
      </c>
      <c r="E186" s="437">
        <v>1.5</v>
      </c>
      <c r="F186" s="437" t="s">
        <v>744</v>
      </c>
      <c r="G186" s="432" t="s">
        <v>745</v>
      </c>
      <c r="H186" s="437"/>
      <c r="I186" s="61"/>
      <c r="J186" s="437"/>
      <c r="K186" s="437"/>
      <c r="L186" s="437"/>
      <c r="M186" s="437"/>
      <c r="N186" s="437"/>
      <c r="O186" s="437"/>
      <c r="P186" s="437"/>
      <c r="Q186" s="437"/>
      <c r="R186" s="437"/>
      <c r="S186" s="437"/>
      <c r="T186" s="437"/>
      <c r="U186" s="437"/>
      <c r="V186" s="437"/>
      <c r="W186" s="437"/>
      <c r="X186" s="437"/>
      <c r="Y186" s="437"/>
      <c r="Z186" s="437"/>
      <c r="AA186" s="437"/>
      <c r="AB186" s="437"/>
      <c r="AC186" s="437"/>
      <c r="AD186" s="437"/>
      <c r="AE186" s="437"/>
      <c r="AF186" s="437"/>
      <c r="AG186" s="437"/>
      <c r="AH186" s="437"/>
      <c r="AI186" s="437"/>
      <c r="AJ186" s="437"/>
      <c r="AK186" s="437"/>
      <c r="AL186" s="437"/>
      <c r="AM186" s="437"/>
      <c r="AN186" s="437"/>
      <c r="AO186" s="437"/>
      <c r="AP186" s="437"/>
      <c r="AQ186" s="437"/>
      <c r="AR186" s="437"/>
      <c r="AS186" s="437"/>
      <c r="AT186" s="437"/>
      <c r="AU186" s="437"/>
      <c r="AV186" s="437"/>
      <c r="AW186" s="437"/>
      <c r="AX186" s="437"/>
      <c r="AY186" s="437"/>
      <c r="AZ186" s="437"/>
    </row>
    <row r="187" spans="2:52">
      <c r="B187" s="437"/>
      <c r="C187" s="70" t="s">
        <v>224</v>
      </c>
      <c r="D187" s="432" t="str">
        <f>E187*100&amp;"% of imported crude oil cost"</f>
        <v>95% of imported crude oil cost</v>
      </c>
      <c r="E187" s="74">
        <v>0.95</v>
      </c>
      <c r="F187" s="437"/>
      <c r="G187" s="437" t="s">
        <v>502</v>
      </c>
      <c r="H187" s="432" t="s">
        <v>503</v>
      </c>
      <c r="I187" s="61"/>
      <c r="J187" s="437"/>
      <c r="K187" s="437"/>
      <c r="L187" s="437"/>
      <c r="M187" s="437"/>
      <c r="N187" s="437"/>
      <c r="O187" s="437"/>
      <c r="P187" s="437"/>
      <c r="Q187" s="437"/>
      <c r="R187" s="437"/>
      <c r="S187" s="437"/>
      <c r="T187" s="437"/>
      <c r="U187" s="437"/>
      <c r="V187" s="437"/>
      <c r="W187" s="437"/>
      <c r="X187" s="437"/>
      <c r="Y187" s="437"/>
      <c r="Z187" s="437"/>
      <c r="AA187" s="437"/>
      <c r="AB187" s="437"/>
      <c r="AC187" s="437"/>
      <c r="AD187" s="437"/>
      <c r="AE187" s="437"/>
      <c r="AF187" s="437"/>
      <c r="AG187" s="437"/>
      <c r="AH187" s="437"/>
      <c r="AI187" s="437"/>
      <c r="AJ187" s="437"/>
      <c r="AK187" s="437"/>
      <c r="AL187" s="437"/>
      <c r="AM187" s="437"/>
      <c r="AN187" s="437"/>
      <c r="AO187" s="437"/>
      <c r="AP187" s="437"/>
      <c r="AQ187" s="437"/>
      <c r="AR187" s="437"/>
      <c r="AS187" s="437"/>
      <c r="AT187" s="437"/>
      <c r="AU187" s="437"/>
      <c r="AV187" s="437"/>
      <c r="AW187" s="437"/>
      <c r="AX187" s="437"/>
      <c r="AY187" s="437"/>
      <c r="AZ187" s="437"/>
    </row>
    <row r="188" spans="2:52">
      <c r="B188" s="437"/>
      <c r="C188" s="70" t="s">
        <v>208</v>
      </c>
      <c r="D188" s="437" t="str">
        <f>E188*100&amp;"% of imported natural gas cost"</f>
        <v>95% of imported natural gas cost</v>
      </c>
      <c r="E188" s="74">
        <v>0.95</v>
      </c>
      <c r="F188" s="437"/>
      <c r="G188" s="437" t="s">
        <v>502</v>
      </c>
      <c r="H188" s="437" t="s">
        <v>503</v>
      </c>
      <c r="I188" s="61"/>
      <c r="J188" s="437"/>
      <c r="K188" s="437"/>
      <c r="L188" s="437"/>
      <c r="M188" s="437"/>
      <c r="N188" s="437"/>
      <c r="O188" s="437"/>
      <c r="P188" s="437"/>
      <c r="Q188" s="437"/>
      <c r="R188" s="437"/>
      <c r="S188" s="437"/>
      <c r="T188" s="437"/>
      <c r="U188" s="437"/>
      <c r="V188" s="437"/>
      <c r="W188" s="437"/>
      <c r="X188" s="437"/>
      <c r="Y188" s="437"/>
      <c r="Z188" s="437"/>
      <c r="AA188" s="437"/>
      <c r="AB188" s="437"/>
      <c r="AC188" s="437"/>
      <c r="AD188" s="437"/>
      <c r="AE188" s="437"/>
      <c r="AF188" s="437"/>
      <c r="AG188" s="437"/>
      <c r="AH188" s="437"/>
      <c r="AI188" s="437"/>
      <c r="AJ188" s="437"/>
      <c r="AK188" s="437"/>
      <c r="AL188" s="437"/>
      <c r="AM188" s="437"/>
      <c r="AN188" s="437"/>
      <c r="AO188" s="437"/>
      <c r="AP188" s="437"/>
      <c r="AQ188" s="437"/>
      <c r="AR188" s="437"/>
      <c r="AS188" s="437"/>
      <c r="AT188" s="437"/>
      <c r="AU188" s="437"/>
      <c r="AV188" s="437"/>
      <c r="AW188" s="437"/>
      <c r="AX188" s="437"/>
      <c r="AY188" s="437"/>
      <c r="AZ188" s="437"/>
    </row>
    <row r="189" spans="2:52">
      <c r="B189" s="437"/>
      <c r="C189" s="286" t="s">
        <v>461</v>
      </c>
      <c r="D189" s="437" t="str">
        <f>E189*100&amp;"% of imported crude oil cost"</f>
        <v>95% of imported crude oil cost</v>
      </c>
      <c r="E189" s="74">
        <v>0.95</v>
      </c>
      <c r="F189" s="437"/>
      <c r="G189" s="437" t="s">
        <v>218</v>
      </c>
      <c r="H189" s="437"/>
      <c r="I189" s="61"/>
      <c r="J189" s="437"/>
      <c r="K189" s="437"/>
      <c r="L189" s="437"/>
      <c r="M189" s="437"/>
      <c r="N189" s="437"/>
      <c r="O189" s="437"/>
      <c r="P189" s="437"/>
      <c r="Q189" s="437"/>
      <c r="R189" s="437"/>
      <c r="S189" s="437"/>
      <c r="T189" s="437"/>
      <c r="U189" s="437"/>
      <c r="V189" s="437"/>
      <c r="W189" s="437"/>
      <c r="X189" s="437"/>
      <c r="Y189" s="437"/>
      <c r="Z189" s="437"/>
      <c r="AA189" s="437"/>
      <c r="AB189" s="437"/>
      <c r="AC189" s="437"/>
      <c r="AD189" s="437"/>
      <c r="AE189" s="437"/>
      <c r="AF189" s="437"/>
      <c r="AG189" s="437"/>
      <c r="AH189" s="437"/>
      <c r="AI189" s="437"/>
      <c r="AJ189" s="437"/>
      <c r="AK189" s="437"/>
      <c r="AL189" s="437"/>
      <c r="AM189" s="437"/>
      <c r="AN189" s="437"/>
      <c r="AO189" s="437"/>
      <c r="AP189" s="437"/>
      <c r="AQ189" s="437"/>
      <c r="AR189" s="437"/>
      <c r="AS189" s="437"/>
      <c r="AT189" s="437"/>
      <c r="AU189" s="437"/>
      <c r="AV189" s="437"/>
      <c r="AW189" s="437"/>
      <c r="AX189" s="437"/>
      <c r="AY189" s="437"/>
      <c r="AZ189" s="437"/>
    </row>
    <row r="190" spans="2:52">
      <c r="B190" s="437"/>
      <c r="C190" s="286" t="s">
        <v>460</v>
      </c>
      <c r="D190" s="437" t="str">
        <f>E190*100&amp;"% of imported natural gas cost"</f>
        <v>95% of imported natural gas cost</v>
      </c>
      <c r="E190" s="74">
        <v>0.95</v>
      </c>
      <c r="F190" s="437"/>
      <c r="G190" s="437" t="s">
        <v>218</v>
      </c>
      <c r="H190" s="437"/>
      <c r="I190" s="61"/>
      <c r="J190" s="437"/>
      <c r="K190" s="437"/>
      <c r="L190" s="437"/>
      <c r="M190" s="437"/>
      <c r="N190" s="437"/>
      <c r="O190" s="437"/>
      <c r="P190" s="437"/>
      <c r="Q190" s="437"/>
      <c r="R190" s="437"/>
      <c r="S190" s="437"/>
      <c r="T190" s="437"/>
      <c r="U190" s="437"/>
      <c r="V190" s="437"/>
      <c r="W190" s="437"/>
      <c r="X190" s="437"/>
      <c r="Y190" s="437"/>
      <c r="Z190" s="437"/>
      <c r="AA190" s="437"/>
      <c r="AB190" s="437"/>
      <c r="AC190" s="437"/>
      <c r="AD190" s="437"/>
      <c r="AE190" s="437"/>
      <c r="AF190" s="437"/>
      <c r="AG190" s="437"/>
      <c r="AH190" s="437"/>
      <c r="AI190" s="437"/>
      <c r="AJ190" s="437"/>
      <c r="AK190" s="437"/>
      <c r="AL190" s="437"/>
      <c r="AM190" s="437"/>
      <c r="AN190" s="437"/>
      <c r="AO190" s="437"/>
      <c r="AP190" s="437"/>
      <c r="AQ190" s="437"/>
      <c r="AR190" s="437"/>
      <c r="AS190" s="437"/>
      <c r="AT190" s="437"/>
      <c r="AU190" s="437"/>
      <c r="AV190" s="437"/>
      <c r="AW190" s="437"/>
      <c r="AX190" s="437"/>
      <c r="AY190" s="437"/>
      <c r="AZ190" s="437"/>
    </row>
    <row r="191" spans="2:52">
      <c r="B191" s="437"/>
      <c r="C191" s="286" t="s">
        <v>523</v>
      </c>
      <c r="D191" s="432" t="s">
        <v>736</v>
      </c>
      <c r="E191" s="422" t="s">
        <v>735</v>
      </c>
      <c r="F191" s="437"/>
      <c r="G191" s="437" t="s">
        <v>502</v>
      </c>
      <c r="H191" s="437"/>
      <c r="I191" s="61"/>
      <c r="J191" s="437"/>
      <c r="K191" s="437"/>
      <c r="L191" s="437"/>
      <c r="M191" s="437"/>
      <c r="N191" s="437"/>
      <c r="O191" s="437"/>
      <c r="P191" s="437"/>
      <c r="Q191" s="437"/>
      <c r="R191" s="437"/>
      <c r="S191" s="437"/>
      <c r="T191" s="437"/>
      <c r="U191" s="437"/>
      <c r="V191" s="437"/>
      <c r="W191" s="437"/>
      <c r="X191" s="437"/>
      <c r="Y191" s="437"/>
      <c r="Z191" s="437"/>
      <c r="AA191" s="437"/>
      <c r="AB191" s="437"/>
      <c r="AC191" s="437"/>
      <c r="AD191" s="437"/>
      <c r="AE191" s="437"/>
      <c r="AF191" s="437"/>
      <c r="AG191" s="437"/>
      <c r="AH191" s="437"/>
      <c r="AI191" s="437"/>
      <c r="AJ191" s="437"/>
      <c r="AK191" s="437"/>
      <c r="AL191" s="437"/>
      <c r="AM191" s="437"/>
      <c r="AN191" s="437"/>
      <c r="AO191" s="437"/>
      <c r="AP191" s="437"/>
      <c r="AQ191" s="437"/>
      <c r="AR191" s="437"/>
      <c r="AS191" s="437"/>
      <c r="AT191" s="437"/>
      <c r="AU191" s="437"/>
      <c r="AV191" s="437"/>
      <c r="AW191" s="437"/>
      <c r="AX191" s="437"/>
      <c r="AY191" s="437"/>
      <c r="AZ191" s="437"/>
    </row>
    <row r="192" spans="2:52" ht="13.8" thickBot="1">
      <c r="B192" s="437"/>
      <c r="C192" s="524" t="s">
        <v>225</v>
      </c>
      <c r="D192" s="525" t="str">
        <f>E192*100&amp;"% of import technology price (set low to avoid export)"</f>
        <v>95% of import technology price (set low to avoid export)</v>
      </c>
      <c r="E192" s="526">
        <v>0.95</v>
      </c>
      <c r="F192" s="527"/>
      <c r="G192" s="527" t="s">
        <v>502</v>
      </c>
      <c r="H192" s="527"/>
      <c r="I192" s="528"/>
      <c r="J192" s="437"/>
      <c r="K192" s="437"/>
      <c r="L192" s="437"/>
      <c r="M192" s="437"/>
      <c r="N192" s="437"/>
      <c r="O192" s="437"/>
      <c r="P192" s="437"/>
      <c r="Q192" s="437"/>
      <c r="R192" s="437"/>
      <c r="S192" s="437"/>
      <c r="T192" s="437"/>
      <c r="U192" s="437"/>
      <c r="V192" s="437"/>
      <c r="W192" s="437"/>
      <c r="X192" s="437"/>
      <c r="Y192" s="437"/>
      <c r="Z192" s="437"/>
      <c r="AA192" s="437"/>
      <c r="AB192" s="437"/>
      <c r="AC192" s="437"/>
      <c r="AD192" s="437"/>
      <c r="AE192" s="437"/>
      <c r="AF192" s="437"/>
      <c r="AG192" s="437"/>
      <c r="AH192" s="437"/>
      <c r="AI192" s="437"/>
      <c r="AJ192" s="437"/>
      <c r="AK192" s="437"/>
      <c r="AL192" s="437"/>
      <c r="AM192" s="437"/>
      <c r="AN192" s="437"/>
      <c r="AO192" s="437"/>
      <c r="AP192" s="437"/>
      <c r="AQ192" s="437"/>
      <c r="AR192" s="437"/>
      <c r="AS192" s="437"/>
      <c r="AT192" s="437"/>
      <c r="AU192" s="437"/>
      <c r="AV192" s="437"/>
      <c r="AW192" s="437"/>
      <c r="AX192" s="437"/>
      <c r="AY192" s="437"/>
      <c r="AZ192" s="437"/>
    </row>
    <row r="193" spans="2:52" s="432" customFormat="1">
      <c r="C193" s="432" t="str">
        <f>C209</f>
        <v>Export technology - Bio Naphtha (Petroleoum)</v>
      </c>
      <c r="D193" s="432" t="s">
        <v>758</v>
      </c>
      <c r="E193" s="434">
        <v>1</v>
      </c>
      <c r="G193" s="432" t="s">
        <v>759</v>
      </c>
    </row>
    <row r="194" spans="2:52" s="432" customFormat="1">
      <c r="C194" s="432" t="str">
        <f t="shared" ref="C194:C198" si="109">C210</f>
        <v>Export technology - Rape Cake</v>
      </c>
      <c r="E194" s="432">
        <f>E178</f>
        <v>0.1</v>
      </c>
      <c r="G194" s="432" t="s">
        <v>760</v>
      </c>
    </row>
    <row r="195" spans="2:52" s="432" customFormat="1">
      <c r="C195" s="432" t="str">
        <f t="shared" si="109"/>
        <v>Export technology - Sugar Beet Pulp</v>
      </c>
      <c r="D195" s="432" t="s">
        <v>761</v>
      </c>
      <c r="E195" s="434">
        <v>0.5</v>
      </c>
      <c r="G195" s="432" t="s">
        <v>218</v>
      </c>
    </row>
    <row r="196" spans="2:52" s="432" customFormat="1">
      <c r="C196" s="432">
        <f t="shared" si="109"/>
        <v>0</v>
      </c>
      <c r="E196" s="432">
        <v>0</v>
      </c>
      <c r="G196" s="432" t="s">
        <v>762</v>
      </c>
      <c r="Z196" s="435"/>
      <c r="AB196" s="435"/>
    </row>
    <row r="197" spans="2:52" s="432" customFormat="1">
      <c r="C197" s="432" t="str">
        <f t="shared" si="109"/>
        <v>Fossile fuel prices (CIF import price)</v>
      </c>
      <c r="E197" s="432">
        <f>43*0.35/3.6</f>
        <v>4.1805555555555554</v>
      </c>
      <c r="G197" s="432" t="s">
        <v>763</v>
      </c>
    </row>
    <row r="198" spans="2:52" s="432" customFormat="1">
      <c r="C198" s="432">
        <f t="shared" si="109"/>
        <v>0</v>
      </c>
      <c r="E198" s="432">
        <f>E178</f>
        <v>0.1</v>
      </c>
      <c r="G198" s="432" t="s">
        <v>760</v>
      </c>
    </row>
    <row r="199" spans="2:52">
      <c r="B199" s="437"/>
      <c r="C199" s="437"/>
      <c r="D199" s="432"/>
      <c r="E199" s="74"/>
      <c r="F199" s="437"/>
      <c r="G199" s="437"/>
      <c r="H199" s="437"/>
      <c r="I199" s="437"/>
      <c r="J199" s="437"/>
      <c r="K199" s="437"/>
      <c r="L199" s="437"/>
      <c r="M199" s="437"/>
      <c r="N199" s="437"/>
      <c r="O199" s="437"/>
      <c r="P199" s="437"/>
      <c r="Q199" s="437"/>
      <c r="R199" s="437"/>
      <c r="S199" s="437"/>
      <c r="T199" s="437"/>
      <c r="U199" s="437"/>
      <c r="V199" s="437"/>
      <c r="W199" s="437"/>
      <c r="X199" s="437"/>
      <c r="Y199" s="437"/>
      <c r="Z199" s="437"/>
      <c r="AA199" s="437"/>
      <c r="AB199" s="437"/>
      <c r="AC199" s="437"/>
      <c r="AD199" s="437"/>
      <c r="AE199" s="437"/>
      <c r="AF199" s="437"/>
      <c r="AG199" s="437"/>
      <c r="AH199" s="437"/>
      <c r="AI199" s="437"/>
      <c r="AJ199" s="437"/>
      <c r="AK199" s="437"/>
      <c r="AL199" s="437"/>
      <c r="AM199" s="437"/>
      <c r="AN199" s="437"/>
      <c r="AO199" s="437"/>
      <c r="AP199" s="437"/>
      <c r="AQ199" s="437"/>
      <c r="AR199" s="437"/>
      <c r="AS199" s="437"/>
      <c r="AT199" s="437"/>
      <c r="AU199" s="437"/>
      <c r="AV199" s="437"/>
      <c r="AW199" s="437"/>
      <c r="AX199" s="437"/>
      <c r="AY199" s="437"/>
      <c r="AZ199" s="437"/>
    </row>
    <row r="200" spans="2:52" ht="18" thickBot="1">
      <c r="B200" s="516"/>
      <c r="C200" s="52" t="s">
        <v>467</v>
      </c>
      <c r="D200" s="517"/>
      <c r="E200" s="516"/>
      <c r="F200" s="432"/>
      <c r="G200" s="437"/>
      <c r="H200" s="437"/>
      <c r="I200" s="437"/>
      <c r="J200" s="437"/>
      <c r="K200" s="437"/>
      <c r="L200" s="437"/>
      <c r="M200" s="437"/>
      <c r="N200" s="437"/>
      <c r="O200" s="437"/>
      <c r="P200" s="437"/>
      <c r="Q200" s="437"/>
      <c r="R200" s="437"/>
      <c r="S200" s="437"/>
      <c r="T200" s="437"/>
      <c r="U200" s="437"/>
      <c r="V200" s="437"/>
      <c r="W200" s="437"/>
      <c r="X200" s="437"/>
      <c r="Y200" s="437"/>
      <c r="Z200" s="437"/>
      <c r="AA200" s="437"/>
      <c r="AB200" s="437"/>
      <c r="AC200" s="437"/>
      <c r="AD200" s="437"/>
      <c r="AE200" s="437"/>
      <c r="AF200" s="437"/>
      <c r="AG200" s="437"/>
      <c r="AH200" s="437"/>
      <c r="AI200" s="437"/>
      <c r="AJ200" s="437"/>
      <c r="AK200" s="437"/>
      <c r="AL200" s="437"/>
      <c r="AM200" s="437"/>
      <c r="AN200" s="437"/>
      <c r="AO200" s="437"/>
      <c r="AP200" s="437"/>
      <c r="AQ200" s="437"/>
      <c r="AR200" s="437"/>
      <c r="AS200" s="437"/>
      <c r="AT200" s="437"/>
      <c r="AU200" s="437"/>
      <c r="AV200" s="437"/>
      <c r="AW200" s="437"/>
      <c r="AX200" s="437"/>
      <c r="AY200" s="437"/>
      <c r="AZ200" s="437"/>
    </row>
    <row r="201" spans="2:52" ht="14.4" thickTop="1" thickBot="1">
      <c r="B201" s="516"/>
      <c r="C201" s="71" t="s">
        <v>223</v>
      </c>
      <c r="D201" s="72" t="s">
        <v>216</v>
      </c>
      <c r="E201" s="72"/>
      <c r="F201" s="72" t="s">
        <v>226</v>
      </c>
      <c r="G201" s="72" t="s">
        <v>217</v>
      </c>
      <c r="H201" s="73" t="s">
        <v>107</v>
      </c>
      <c r="I201" s="437"/>
      <c r="J201" s="437"/>
      <c r="K201" s="437"/>
      <c r="L201" s="437"/>
      <c r="M201" s="437"/>
      <c r="N201" s="437"/>
      <c r="O201" s="437"/>
      <c r="P201" s="437"/>
      <c r="Q201" s="437"/>
      <c r="R201" s="437"/>
      <c r="S201" s="437"/>
      <c r="T201" s="437"/>
      <c r="U201" s="437"/>
      <c r="V201" s="437"/>
      <c r="W201" s="437"/>
      <c r="X201" s="437"/>
      <c r="Y201" s="437"/>
      <c r="Z201" s="437"/>
      <c r="AA201" s="437"/>
      <c r="AB201" s="437"/>
      <c r="AC201" s="437"/>
      <c r="AD201" s="437"/>
      <c r="AE201" s="437"/>
      <c r="AF201" s="437"/>
      <c r="AG201" s="437"/>
      <c r="AH201" s="437"/>
      <c r="AI201" s="437"/>
      <c r="AJ201" s="437"/>
      <c r="AK201" s="437"/>
      <c r="AL201" s="437"/>
      <c r="AM201" s="437"/>
      <c r="AN201" s="437"/>
      <c r="AO201" s="437"/>
      <c r="AP201" s="437"/>
      <c r="AQ201" s="437"/>
      <c r="AR201" s="437"/>
      <c r="AS201" s="437"/>
      <c r="AT201" s="437"/>
      <c r="AU201" s="437"/>
      <c r="AV201" s="437"/>
      <c r="AW201" s="437"/>
      <c r="AX201" s="437"/>
      <c r="AY201" s="437"/>
      <c r="AZ201" s="437"/>
    </row>
    <row r="202" spans="2:52">
      <c r="B202" s="516"/>
      <c r="C202" s="529" t="s">
        <v>268</v>
      </c>
      <c r="D202" s="432" t="s">
        <v>396</v>
      </c>
      <c r="E202" s="530">
        <f>[18]BiomassCost!G30</f>
        <v>72.400000000000006</v>
      </c>
      <c r="F202" s="437" t="s">
        <v>462</v>
      </c>
      <c r="G202" s="437"/>
      <c r="H202" s="61"/>
      <c r="I202" s="437"/>
      <c r="J202" s="437"/>
      <c r="K202" s="437"/>
      <c r="L202" s="437"/>
      <c r="M202" s="437"/>
      <c r="N202" s="437"/>
      <c r="O202" s="437"/>
      <c r="P202" s="437"/>
      <c r="Q202" s="437"/>
      <c r="R202" s="437"/>
      <c r="S202" s="437"/>
      <c r="T202" s="437"/>
      <c r="U202" s="437"/>
      <c r="V202" s="437"/>
      <c r="W202" s="437"/>
      <c r="X202" s="437"/>
      <c r="Y202" s="437"/>
      <c r="Z202" s="437"/>
      <c r="AA202" s="437"/>
      <c r="AB202" s="437"/>
      <c r="AC202" s="437"/>
      <c r="AD202" s="437"/>
      <c r="AE202" s="437"/>
      <c r="AF202" s="437"/>
      <c r="AG202" s="437"/>
      <c r="AH202" s="437"/>
      <c r="AI202" s="437"/>
      <c r="AJ202" s="437"/>
      <c r="AK202" s="437"/>
      <c r="AL202" s="437"/>
      <c r="AM202" s="437"/>
      <c r="AN202" s="437"/>
      <c r="AO202" s="437"/>
      <c r="AP202" s="437"/>
      <c r="AQ202" s="437"/>
      <c r="AR202" s="437"/>
      <c r="AS202" s="437"/>
      <c r="AT202" s="437"/>
      <c r="AU202" s="437"/>
      <c r="AV202" s="437"/>
      <c r="AW202" s="437"/>
      <c r="AX202" s="437"/>
      <c r="AY202" s="437"/>
      <c r="AZ202" s="437"/>
    </row>
    <row r="203" spans="2:52">
      <c r="B203" s="516"/>
      <c r="C203" s="529" t="s">
        <v>269</v>
      </c>
      <c r="D203" s="432" t="s">
        <v>397</v>
      </c>
      <c r="E203" s="530">
        <f>[18]BiomassCost!G33</f>
        <v>101.7</v>
      </c>
      <c r="F203" s="437" t="s">
        <v>462</v>
      </c>
      <c r="G203" s="437"/>
      <c r="H203" s="61"/>
      <c r="I203" s="437"/>
      <c r="J203" s="437"/>
      <c r="K203" s="437"/>
      <c r="L203" s="437"/>
      <c r="M203" s="437"/>
      <c r="N203" s="437"/>
      <c r="O203" s="437"/>
      <c r="P203" s="437"/>
      <c r="Q203" s="437"/>
      <c r="R203" s="437"/>
      <c r="S203" s="437"/>
      <c r="T203" s="437"/>
      <c r="U203" s="437"/>
      <c r="V203" s="437"/>
      <c r="W203" s="437"/>
      <c r="X203" s="437"/>
      <c r="Y203" s="437"/>
      <c r="Z203" s="437"/>
      <c r="AA203" s="437"/>
      <c r="AB203" s="437"/>
      <c r="AC203" s="437"/>
      <c r="AD203" s="437"/>
      <c r="AE203" s="437"/>
      <c r="AF203" s="437"/>
      <c r="AG203" s="437"/>
      <c r="AH203" s="437"/>
      <c r="AI203" s="437"/>
      <c r="AJ203" s="437"/>
      <c r="AK203" s="437"/>
      <c r="AL203" s="437"/>
      <c r="AM203" s="437"/>
      <c r="AN203" s="437"/>
      <c r="AO203" s="437"/>
      <c r="AP203" s="437"/>
      <c r="AQ203" s="437"/>
      <c r="AR203" s="437"/>
      <c r="AS203" s="437"/>
      <c r="AT203" s="437"/>
      <c r="AU203" s="437"/>
      <c r="AV203" s="437"/>
      <c r="AW203" s="437"/>
      <c r="AX203" s="437"/>
      <c r="AY203" s="437"/>
      <c r="AZ203" s="437"/>
    </row>
    <row r="204" spans="2:52">
      <c r="B204" s="516"/>
      <c r="C204" s="529" t="s">
        <v>270</v>
      </c>
      <c r="D204" s="432" t="s">
        <v>398</v>
      </c>
      <c r="E204" s="530">
        <f>[18]BiomassCost!G31</f>
        <v>10.6</v>
      </c>
      <c r="F204" s="437" t="s">
        <v>462</v>
      </c>
      <c r="G204" s="437"/>
      <c r="H204" s="61"/>
      <c r="I204" s="437"/>
      <c r="J204" s="437"/>
      <c r="K204" s="437"/>
      <c r="L204" s="437"/>
      <c r="M204" s="437"/>
      <c r="N204" s="437"/>
      <c r="O204" s="437"/>
      <c r="P204" s="437"/>
      <c r="Q204" s="437"/>
      <c r="R204" s="437"/>
      <c r="S204" s="437"/>
      <c r="T204" s="437"/>
      <c r="U204" s="437"/>
      <c r="V204" s="437"/>
      <c r="W204" s="437"/>
      <c r="X204" s="437"/>
      <c r="Y204" s="437"/>
      <c r="Z204" s="437"/>
      <c r="AA204" s="437"/>
      <c r="AB204" s="437"/>
      <c r="AC204" s="437"/>
      <c r="AD204" s="437"/>
      <c r="AE204" s="437"/>
      <c r="AF204" s="437"/>
      <c r="AG204" s="437"/>
      <c r="AH204" s="437"/>
      <c r="AI204" s="437"/>
      <c r="AJ204" s="437"/>
      <c r="AK204" s="437"/>
      <c r="AL204" s="437"/>
      <c r="AM204" s="437"/>
      <c r="AN204" s="437"/>
      <c r="AO204" s="437"/>
      <c r="AP204" s="437"/>
      <c r="AQ204" s="437"/>
      <c r="AR204" s="437"/>
      <c r="AS204" s="437"/>
      <c r="AT204" s="437"/>
      <c r="AU204" s="437"/>
      <c r="AV204" s="437"/>
      <c r="AW204" s="437"/>
      <c r="AX204" s="437"/>
      <c r="AY204" s="437"/>
      <c r="AZ204" s="437"/>
    </row>
    <row r="205" spans="2:52">
      <c r="B205" s="516"/>
      <c r="C205" s="529" t="s">
        <v>271</v>
      </c>
      <c r="D205" s="432" t="s">
        <v>399</v>
      </c>
      <c r="E205" s="530">
        <f>[18]BiomassCost!$G$43</f>
        <v>207.6</v>
      </c>
      <c r="F205" s="437" t="s">
        <v>462</v>
      </c>
      <c r="G205" s="437"/>
      <c r="H205" s="61"/>
      <c r="I205" s="437"/>
      <c r="J205" s="437"/>
      <c r="K205" s="437"/>
      <c r="L205" s="437"/>
      <c r="M205" s="437"/>
      <c r="N205" s="437"/>
      <c r="O205" s="437"/>
      <c r="P205" s="437"/>
      <c r="Q205" s="437"/>
      <c r="R205" s="437"/>
      <c r="S205" s="437"/>
      <c r="T205" s="437"/>
      <c r="U205" s="437"/>
      <c r="V205" s="437"/>
      <c r="W205" s="437"/>
      <c r="X205" s="437"/>
      <c r="Y205" s="437"/>
      <c r="Z205" s="437"/>
      <c r="AA205" s="437"/>
      <c r="AB205" s="437"/>
      <c r="AC205" s="437"/>
      <c r="AD205" s="437"/>
      <c r="AE205" s="437"/>
      <c r="AF205" s="437"/>
      <c r="AG205" s="437"/>
      <c r="AH205" s="437"/>
      <c r="AI205" s="437"/>
      <c r="AJ205" s="437"/>
      <c r="AK205" s="437"/>
      <c r="AL205" s="437"/>
      <c r="AM205" s="437"/>
      <c r="AN205" s="437"/>
      <c r="AO205" s="437"/>
      <c r="AP205" s="437"/>
      <c r="AQ205" s="437"/>
      <c r="AR205" s="437"/>
      <c r="AS205" s="437"/>
      <c r="AT205" s="437"/>
      <c r="AU205" s="437"/>
      <c r="AV205" s="437"/>
      <c r="AW205" s="437"/>
      <c r="AX205" s="437"/>
      <c r="AY205" s="437"/>
      <c r="AZ205" s="437"/>
    </row>
    <row r="206" spans="2:52">
      <c r="B206" s="516"/>
      <c r="C206" s="529" t="s">
        <v>272</v>
      </c>
      <c r="D206" s="432" t="s">
        <v>399</v>
      </c>
      <c r="E206" s="530">
        <f>[18]BiomassCost!$G$43</f>
        <v>207.6</v>
      </c>
      <c r="F206" s="437" t="s">
        <v>462</v>
      </c>
      <c r="G206" s="437"/>
      <c r="H206" s="61"/>
      <c r="I206" s="437"/>
      <c r="J206" s="437"/>
      <c r="K206" s="437"/>
      <c r="L206" s="437"/>
      <c r="M206" s="437"/>
      <c r="N206" s="437"/>
      <c r="O206" s="437"/>
      <c r="P206" s="437"/>
      <c r="Q206" s="437"/>
      <c r="R206" s="437"/>
      <c r="S206" s="437"/>
      <c r="T206" s="437"/>
      <c r="U206" s="437"/>
      <c r="V206" s="437"/>
      <c r="W206" s="437"/>
      <c r="X206" s="437"/>
      <c r="Y206" s="437"/>
      <c r="Z206" s="437"/>
      <c r="AA206" s="437"/>
      <c r="AB206" s="437"/>
      <c r="AC206" s="437"/>
      <c r="AD206" s="437"/>
      <c r="AE206" s="437"/>
      <c r="AF206" s="437"/>
      <c r="AG206" s="437"/>
      <c r="AH206" s="437"/>
      <c r="AI206" s="437"/>
      <c r="AJ206" s="437"/>
      <c r="AK206" s="437"/>
      <c r="AL206" s="437"/>
      <c r="AM206" s="437"/>
      <c r="AN206" s="437"/>
      <c r="AO206" s="437"/>
      <c r="AP206" s="437"/>
      <c r="AQ206" s="437"/>
      <c r="AR206" s="437"/>
      <c r="AS206" s="437"/>
      <c r="AT206" s="437"/>
      <c r="AU206" s="437"/>
      <c r="AV206" s="437"/>
      <c r="AW206" s="437"/>
      <c r="AX206" s="437"/>
      <c r="AY206" s="437"/>
      <c r="AZ206" s="437"/>
    </row>
    <row r="207" spans="2:52">
      <c r="B207" s="516"/>
      <c r="C207" s="529" t="s">
        <v>455</v>
      </c>
      <c r="D207" s="432" t="s">
        <v>463</v>
      </c>
      <c r="E207" s="530">
        <v>10</v>
      </c>
      <c r="F207" s="437" t="s">
        <v>462</v>
      </c>
      <c r="G207" s="437"/>
      <c r="H207" s="61"/>
      <c r="I207" s="437"/>
      <c r="J207" s="437"/>
      <c r="K207" s="437"/>
      <c r="L207" s="437"/>
      <c r="M207" s="437"/>
      <c r="N207" s="437"/>
      <c r="O207" s="437"/>
      <c r="P207" s="437"/>
      <c r="Q207" s="437"/>
      <c r="R207" s="437"/>
      <c r="S207" s="437"/>
      <c r="T207" s="437"/>
      <c r="U207" s="437"/>
      <c r="V207" s="437"/>
      <c r="W207" s="437"/>
      <c r="X207" s="437"/>
      <c r="Y207" s="437"/>
      <c r="Z207" s="437"/>
      <c r="AA207" s="437"/>
      <c r="AB207" s="437"/>
      <c r="AC207" s="437"/>
      <c r="AD207" s="437"/>
      <c r="AE207" s="437"/>
      <c r="AF207" s="437"/>
      <c r="AG207" s="437"/>
      <c r="AH207" s="437"/>
      <c r="AI207" s="437"/>
      <c r="AJ207" s="437"/>
      <c r="AK207" s="437"/>
      <c r="AL207" s="437"/>
      <c r="AM207" s="437"/>
      <c r="AN207" s="437"/>
      <c r="AO207" s="437"/>
      <c r="AP207" s="437"/>
      <c r="AQ207" s="437"/>
      <c r="AR207" s="437"/>
      <c r="AS207" s="437"/>
      <c r="AT207" s="437"/>
      <c r="AU207" s="437"/>
      <c r="AV207" s="437"/>
      <c r="AW207" s="437"/>
      <c r="AX207" s="437"/>
      <c r="AY207" s="437"/>
      <c r="AZ207" s="437"/>
    </row>
    <row r="208" spans="2:52">
      <c r="B208" s="516"/>
      <c r="C208" s="529" t="s">
        <v>456</v>
      </c>
      <c r="D208" s="432" t="s">
        <v>463</v>
      </c>
      <c r="E208" s="530">
        <v>10</v>
      </c>
      <c r="F208" s="437" t="s">
        <v>462</v>
      </c>
      <c r="G208" s="437"/>
      <c r="H208" s="61"/>
      <c r="I208" s="437"/>
      <c r="J208" s="437"/>
      <c r="K208" s="437"/>
      <c r="L208" s="437"/>
      <c r="M208" s="437"/>
      <c r="N208" s="437"/>
      <c r="O208" s="437"/>
      <c r="P208" s="437"/>
      <c r="Q208" s="437"/>
      <c r="R208" s="437"/>
      <c r="S208" s="437"/>
      <c r="T208" s="437"/>
      <c r="U208" s="437"/>
      <c r="V208" s="437"/>
      <c r="W208" s="437"/>
      <c r="X208" s="437"/>
      <c r="Y208" s="437"/>
      <c r="Z208" s="437"/>
      <c r="AA208" s="437"/>
      <c r="AB208" s="437"/>
      <c r="AC208" s="437"/>
      <c r="AD208" s="437"/>
      <c r="AE208" s="437"/>
      <c r="AF208" s="437"/>
      <c r="AG208" s="437"/>
      <c r="AH208" s="437"/>
      <c r="AI208" s="437"/>
      <c r="AJ208" s="437"/>
      <c r="AK208" s="437"/>
      <c r="AL208" s="437"/>
      <c r="AM208" s="437"/>
      <c r="AN208" s="437"/>
      <c r="AO208" s="437"/>
      <c r="AP208" s="437"/>
      <c r="AQ208" s="437"/>
      <c r="AR208" s="437"/>
      <c r="AS208" s="437"/>
      <c r="AT208" s="437"/>
      <c r="AU208" s="437"/>
      <c r="AV208" s="437"/>
      <c r="AW208" s="437"/>
      <c r="AX208" s="437"/>
      <c r="AY208" s="437"/>
      <c r="AZ208" s="437"/>
    </row>
    <row r="209" spans="2:52">
      <c r="B209" s="516"/>
      <c r="C209" s="529" t="s">
        <v>457</v>
      </c>
      <c r="D209" s="432" t="s">
        <v>463</v>
      </c>
      <c r="E209" s="530">
        <v>10</v>
      </c>
      <c r="F209" s="437" t="s">
        <v>462</v>
      </c>
      <c r="G209" s="437"/>
      <c r="H209" s="61"/>
      <c r="I209" s="437"/>
      <c r="J209" s="437"/>
      <c r="K209" s="437"/>
      <c r="L209" s="437"/>
      <c r="M209" s="437"/>
      <c r="N209" s="437"/>
      <c r="O209" s="437"/>
      <c r="P209" s="437"/>
      <c r="Q209" s="437"/>
      <c r="R209" s="437"/>
      <c r="S209" s="437"/>
      <c r="T209" s="437"/>
      <c r="U209" s="437"/>
      <c r="V209" s="437"/>
      <c r="W209" s="437"/>
      <c r="X209" s="437"/>
      <c r="Y209" s="437"/>
      <c r="Z209" s="437"/>
      <c r="AA209" s="437"/>
      <c r="AB209" s="437"/>
      <c r="AC209" s="437"/>
      <c r="AD209" s="437"/>
      <c r="AE209" s="437"/>
      <c r="AF209" s="437"/>
      <c r="AG209" s="437"/>
      <c r="AH209" s="437"/>
      <c r="AI209" s="437"/>
      <c r="AJ209" s="437"/>
      <c r="AK209" s="437"/>
      <c r="AL209" s="437"/>
      <c r="AM209" s="437"/>
      <c r="AN209" s="437"/>
      <c r="AO209" s="437"/>
      <c r="AP209" s="437"/>
      <c r="AQ209" s="437"/>
      <c r="AR209" s="437"/>
      <c r="AS209" s="437"/>
      <c r="AT209" s="437"/>
      <c r="AU209" s="437"/>
      <c r="AV209" s="437"/>
      <c r="AW209" s="437"/>
      <c r="AX209" s="437"/>
      <c r="AY209" s="437"/>
      <c r="AZ209" s="437"/>
    </row>
    <row r="210" spans="2:52">
      <c r="B210" s="516"/>
      <c r="C210" s="529" t="s">
        <v>458</v>
      </c>
      <c r="D210" s="432" t="s">
        <v>463</v>
      </c>
      <c r="E210" s="530">
        <v>10</v>
      </c>
      <c r="F210" s="437" t="s">
        <v>462</v>
      </c>
      <c r="G210" s="437"/>
      <c r="H210" s="61"/>
      <c r="I210" s="437"/>
      <c r="J210" s="437"/>
      <c r="K210" s="437"/>
      <c r="L210" s="437"/>
      <c r="M210" s="437"/>
      <c r="N210" s="437"/>
      <c r="O210" s="437"/>
      <c r="P210" s="437"/>
      <c r="Q210" s="437"/>
      <c r="R210" s="437"/>
      <c r="S210" s="437"/>
      <c r="T210" s="437"/>
      <c r="U210" s="437"/>
      <c r="V210" s="437"/>
      <c r="W210" s="437"/>
      <c r="X210" s="437"/>
      <c r="Y210" s="437"/>
      <c r="Z210" s="437"/>
      <c r="AA210" s="437"/>
      <c r="AB210" s="437"/>
      <c r="AC210" s="437"/>
      <c r="AD210" s="437"/>
      <c r="AE210" s="437"/>
      <c r="AF210" s="437"/>
      <c r="AG210" s="437"/>
      <c r="AH210" s="437"/>
      <c r="AI210" s="437"/>
      <c r="AJ210" s="437"/>
      <c r="AK210" s="437"/>
      <c r="AL210" s="437"/>
      <c r="AM210" s="437"/>
      <c r="AN210" s="437"/>
      <c r="AO210" s="437"/>
      <c r="AP210" s="437"/>
      <c r="AQ210" s="437"/>
      <c r="AR210" s="437"/>
      <c r="AS210" s="437"/>
      <c r="AT210" s="437"/>
      <c r="AU210" s="437"/>
      <c r="AV210" s="437"/>
      <c r="AW210" s="437"/>
      <c r="AX210" s="437"/>
      <c r="AY210" s="437"/>
      <c r="AZ210" s="437"/>
    </row>
    <row r="211" spans="2:52" ht="13.8" thickBot="1">
      <c r="B211" s="437"/>
      <c r="C211" s="531" t="s">
        <v>459</v>
      </c>
      <c r="D211" s="525" t="s">
        <v>463</v>
      </c>
      <c r="E211" s="532">
        <v>10</v>
      </c>
      <c r="F211" s="527" t="s">
        <v>462</v>
      </c>
      <c r="G211" s="527"/>
      <c r="H211" s="528"/>
      <c r="I211" s="437"/>
      <c r="J211" s="437"/>
      <c r="K211" s="437"/>
      <c r="L211" s="437"/>
      <c r="M211" s="437"/>
      <c r="N211" s="437"/>
      <c r="O211" s="437"/>
      <c r="P211" s="437"/>
      <c r="Q211" s="437"/>
      <c r="R211" s="437"/>
      <c r="S211" s="437"/>
      <c r="T211" s="437"/>
      <c r="U211" s="437"/>
      <c r="V211" s="437"/>
      <c r="W211" s="437"/>
      <c r="X211" s="437"/>
      <c r="Y211" s="437"/>
      <c r="Z211" s="437"/>
      <c r="AA211" s="437"/>
      <c r="AB211" s="437"/>
      <c r="AC211" s="437"/>
      <c r="AD211" s="437"/>
      <c r="AE211" s="437"/>
      <c r="AF211" s="437"/>
      <c r="AG211" s="437"/>
      <c r="AH211" s="437"/>
      <c r="AI211" s="437"/>
      <c r="AJ211" s="437"/>
      <c r="AK211" s="437"/>
      <c r="AL211" s="437"/>
      <c r="AM211" s="437"/>
      <c r="AN211" s="437"/>
      <c r="AO211" s="437"/>
      <c r="AP211" s="437"/>
      <c r="AQ211" s="437"/>
      <c r="AR211" s="437"/>
      <c r="AS211" s="437"/>
      <c r="AT211" s="437"/>
      <c r="AU211" s="437"/>
      <c r="AV211" s="437"/>
      <c r="AW211" s="437"/>
      <c r="AX211" s="437"/>
      <c r="AY211" s="437"/>
      <c r="AZ211" s="437"/>
    </row>
    <row r="212" spans="2:52">
      <c r="B212" s="437"/>
      <c r="C212" s="437"/>
      <c r="D212" s="437"/>
      <c r="G212" s="437"/>
      <c r="H212" s="437"/>
      <c r="I212" s="437"/>
      <c r="J212" s="437"/>
      <c r="K212" s="437"/>
      <c r="L212" s="437"/>
      <c r="M212" s="437"/>
      <c r="N212" s="437"/>
      <c r="O212" s="437"/>
      <c r="P212" s="437"/>
      <c r="Q212" s="437"/>
      <c r="R212" s="437"/>
      <c r="S212" s="437"/>
      <c r="T212" s="437"/>
      <c r="U212" s="437"/>
      <c r="V212" s="437"/>
      <c r="W212" s="437"/>
      <c r="X212" s="437"/>
      <c r="Y212" s="437"/>
      <c r="Z212" s="437"/>
      <c r="AA212" s="437"/>
      <c r="AB212" s="437"/>
      <c r="AC212" s="437"/>
      <c r="AD212" s="437"/>
      <c r="AE212" s="437"/>
      <c r="AF212" s="437"/>
      <c r="AG212" s="437"/>
      <c r="AH212" s="437"/>
      <c r="AI212" s="437"/>
      <c r="AJ212" s="437"/>
      <c r="AK212" s="437"/>
      <c r="AL212" s="437"/>
      <c r="AM212" s="437"/>
      <c r="AN212" s="437"/>
      <c r="AO212" s="437"/>
      <c r="AP212" s="437"/>
      <c r="AQ212" s="437"/>
      <c r="AR212" s="437"/>
      <c r="AS212" s="437"/>
      <c r="AT212" s="437"/>
      <c r="AU212" s="437"/>
      <c r="AV212" s="437"/>
      <c r="AW212" s="437"/>
      <c r="AX212" s="437"/>
      <c r="AY212" s="437"/>
      <c r="AZ212" s="437"/>
    </row>
    <row r="213" spans="2:52" ht="18" thickBot="1">
      <c r="B213" s="533"/>
      <c r="C213" s="52" t="s">
        <v>205</v>
      </c>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437"/>
      <c r="AW213" s="437"/>
      <c r="AX213" s="437"/>
      <c r="AY213" s="437"/>
      <c r="AZ213" s="437"/>
    </row>
    <row r="214" spans="2:52" ht="15" thickTop="1">
      <c r="B214" s="533"/>
      <c r="C214" s="534"/>
      <c r="D214" s="535"/>
      <c r="E214" s="535"/>
      <c r="F214" s="535"/>
      <c r="G214" s="534">
        <v>2010</v>
      </c>
      <c r="H214" s="534">
        <v>2011</v>
      </c>
      <c r="I214" s="534">
        <v>2012</v>
      </c>
      <c r="J214" s="534">
        <v>2013</v>
      </c>
      <c r="K214" s="534">
        <v>2014</v>
      </c>
      <c r="L214" s="534">
        <v>2015</v>
      </c>
      <c r="M214" s="534">
        <v>2016</v>
      </c>
      <c r="N214" s="534">
        <v>2017</v>
      </c>
      <c r="O214" s="534">
        <v>2018</v>
      </c>
      <c r="P214" s="534">
        <v>2019</v>
      </c>
      <c r="Q214" s="534">
        <v>2020</v>
      </c>
      <c r="R214" s="534">
        <v>2021</v>
      </c>
      <c r="S214" s="534">
        <v>2022</v>
      </c>
      <c r="T214" s="534">
        <v>2023</v>
      </c>
      <c r="U214" s="534">
        <v>2024</v>
      </c>
      <c r="V214" s="534">
        <v>2025</v>
      </c>
      <c r="W214" s="534">
        <v>2026</v>
      </c>
      <c r="X214" s="534">
        <v>2027</v>
      </c>
      <c r="Y214" s="534">
        <v>2028</v>
      </c>
      <c r="Z214" s="534">
        <v>2029</v>
      </c>
      <c r="AA214" s="534">
        <v>2030</v>
      </c>
      <c r="AB214" s="534">
        <v>2031</v>
      </c>
      <c r="AC214" s="534">
        <v>2032</v>
      </c>
      <c r="AD214" s="534">
        <v>2033</v>
      </c>
      <c r="AE214" s="534">
        <v>2034</v>
      </c>
      <c r="AF214" s="534">
        <v>2035</v>
      </c>
      <c r="AG214" s="534">
        <v>2036</v>
      </c>
      <c r="AH214" s="534">
        <v>2037</v>
      </c>
      <c r="AI214" s="534">
        <v>2038</v>
      </c>
      <c r="AJ214" s="534">
        <v>2039</v>
      </c>
      <c r="AK214" s="534">
        <v>2040</v>
      </c>
      <c r="AL214" s="534">
        <v>2041</v>
      </c>
      <c r="AM214" s="534">
        <v>2042</v>
      </c>
      <c r="AN214" s="534">
        <v>2043</v>
      </c>
      <c r="AO214" s="534">
        <v>2044</v>
      </c>
      <c r="AP214" s="534">
        <v>2045</v>
      </c>
      <c r="AQ214" s="534">
        <v>2046</v>
      </c>
      <c r="AR214" s="534">
        <v>2047</v>
      </c>
      <c r="AS214" s="534">
        <v>2048</v>
      </c>
      <c r="AT214" s="534">
        <v>2049</v>
      </c>
      <c r="AU214" s="534">
        <v>2050</v>
      </c>
      <c r="AV214" s="437"/>
      <c r="AW214" s="437"/>
      <c r="AX214" s="437"/>
      <c r="AY214" s="437"/>
      <c r="AZ214" s="437"/>
    </row>
    <row r="215" spans="2:52" ht="14.4">
      <c r="B215" s="533"/>
      <c r="C215" s="536" t="s">
        <v>200</v>
      </c>
      <c r="D215" s="537"/>
      <c r="E215" s="538" t="s">
        <v>201</v>
      </c>
      <c r="F215" s="538" t="s">
        <v>128</v>
      </c>
      <c r="G215" s="539">
        <v>23.1</v>
      </c>
      <c r="H215" s="539">
        <v>27.7</v>
      </c>
      <c r="I215" s="539">
        <v>23.9</v>
      </c>
      <c r="J215" s="539">
        <v>20.3</v>
      </c>
      <c r="K215" s="539">
        <v>17.2</v>
      </c>
      <c r="L215" s="539">
        <v>15.7</v>
      </c>
      <c r="M215" s="539">
        <v>12.2</v>
      </c>
      <c r="N215" s="539">
        <v>11.7</v>
      </c>
      <c r="O215" s="539">
        <v>12.8</v>
      </c>
      <c r="P215" s="540">
        <v>23.406929880021178</v>
      </c>
      <c r="Q215" s="540">
        <v>22.320750500826144</v>
      </c>
      <c r="R215" s="540">
        <v>22.415233779280271</v>
      </c>
      <c r="S215" s="540">
        <v>21.958696459631067</v>
      </c>
      <c r="T215" s="540">
        <v>21.264781225277929</v>
      </c>
      <c r="U215" s="540">
        <v>20.867962592605565</v>
      </c>
      <c r="V215" s="540">
        <v>20.782407107600484</v>
      </c>
      <c r="W215" s="540">
        <v>20.995445244296899</v>
      </c>
      <c r="X215" s="540">
        <v>21.195931843995432</v>
      </c>
      <c r="Y215" s="540">
        <v>21.376250794374826</v>
      </c>
      <c r="Z215" s="540">
        <v>21.548170886437006</v>
      </c>
      <c r="AA215" s="540">
        <v>21.695318201462513</v>
      </c>
      <c r="AB215" s="540">
        <v>21.767199086953433</v>
      </c>
      <c r="AC215" s="540">
        <v>21.825017030148729</v>
      </c>
      <c r="AD215" s="540">
        <v>21.878276139633737</v>
      </c>
      <c r="AE215" s="540">
        <v>21.917992887383534</v>
      </c>
      <c r="AF215" s="540">
        <v>21.9556878669204</v>
      </c>
      <c r="AG215" s="540">
        <v>22.029714738820417</v>
      </c>
      <c r="AH215" s="540">
        <v>22.099296654325173</v>
      </c>
      <c r="AI215" s="540">
        <v>22.153632116105896</v>
      </c>
      <c r="AJ215" s="540">
        <v>22.203402762241502</v>
      </c>
      <c r="AK215" s="540">
        <v>22.241349337329673</v>
      </c>
      <c r="AL215" s="541">
        <f>($AK$215-$AB$215)/10+AK215</f>
        <v>22.288764362367296</v>
      </c>
      <c r="AM215" s="541">
        <f t="shared" ref="AM215:AU219" si="110">($AK$215-$AB$215)/10+AL215</f>
        <v>22.336179387404918</v>
      </c>
      <c r="AN215" s="541">
        <f t="shared" si="110"/>
        <v>22.383594412442541</v>
      </c>
      <c r="AO215" s="541">
        <f t="shared" si="110"/>
        <v>22.431009437480164</v>
      </c>
      <c r="AP215" s="541">
        <f t="shared" si="110"/>
        <v>22.478424462517786</v>
      </c>
      <c r="AQ215" s="541">
        <f t="shared" si="110"/>
        <v>22.525839487555409</v>
      </c>
      <c r="AR215" s="541">
        <f t="shared" si="110"/>
        <v>22.573254512593032</v>
      </c>
      <c r="AS215" s="541">
        <f t="shared" si="110"/>
        <v>22.620669537630654</v>
      </c>
      <c r="AT215" s="541">
        <f t="shared" si="110"/>
        <v>22.668084562668277</v>
      </c>
      <c r="AU215" s="541">
        <f t="shared" si="110"/>
        <v>22.715499587705899</v>
      </c>
      <c r="AV215" s="437"/>
      <c r="AW215" s="437"/>
      <c r="AX215" s="437"/>
      <c r="AY215" s="437"/>
      <c r="AZ215" s="437"/>
    </row>
    <row r="216" spans="2:52" ht="14.4">
      <c r="B216" s="533"/>
      <c r="C216" s="534" t="s">
        <v>95</v>
      </c>
      <c r="D216" s="542"/>
      <c r="E216" s="543" t="s">
        <v>201</v>
      </c>
      <c r="F216" s="543" t="s">
        <v>128</v>
      </c>
      <c r="G216" s="535">
        <v>76.2</v>
      </c>
      <c r="H216" s="535">
        <v>106.1</v>
      </c>
      <c r="I216" s="535">
        <v>112.9</v>
      </c>
      <c r="J216" s="535">
        <v>100.3</v>
      </c>
      <c r="K216" s="535">
        <v>97.3</v>
      </c>
      <c r="L216" s="535">
        <v>62.7</v>
      </c>
      <c r="M216" s="535">
        <v>59.9</v>
      </c>
      <c r="N216" s="535">
        <v>63.9</v>
      </c>
      <c r="O216" s="535">
        <v>63.7</v>
      </c>
      <c r="P216" s="418">
        <v>73.880467131059874</v>
      </c>
      <c r="Q216" s="418">
        <v>75.931459523916047</v>
      </c>
      <c r="R216" s="418">
        <v>77.701364104651802</v>
      </c>
      <c r="S216" s="418">
        <v>79.289025348102882</v>
      </c>
      <c r="T216" s="418">
        <v>81.023644009316811</v>
      </c>
      <c r="U216" s="418">
        <v>82.712910272747436</v>
      </c>
      <c r="V216" s="418">
        <v>84.053105996878713</v>
      </c>
      <c r="W216" s="418">
        <v>86.676571233184688</v>
      </c>
      <c r="X216" s="418">
        <v>88.186071195293991</v>
      </c>
      <c r="Y216" s="418">
        <v>89.586356147981405</v>
      </c>
      <c r="Z216" s="418">
        <v>90.92803677830058</v>
      </c>
      <c r="AA216" s="418">
        <v>92.141387034323401</v>
      </c>
      <c r="AB216" s="418">
        <v>93.692750413107319</v>
      </c>
      <c r="AC216" s="418">
        <v>95.558328708367895</v>
      </c>
      <c r="AD216" s="418">
        <v>97.341047888333435</v>
      </c>
      <c r="AE216" s="418">
        <v>99.002693402790925</v>
      </c>
      <c r="AF216" s="418">
        <v>100.59799469913287</v>
      </c>
      <c r="AG216" s="418">
        <v>102.09020115332861</v>
      </c>
      <c r="AH216" s="418">
        <v>103.53602848432692</v>
      </c>
      <c r="AI216" s="418">
        <v>104.86648319780612</v>
      </c>
      <c r="AJ216" s="418">
        <v>106.13404097693454</v>
      </c>
      <c r="AK216" s="418">
        <v>107.30502693993807</v>
      </c>
      <c r="AL216" s="544">
        <f>($AK$215-$AB$215)/10+AK216</f>
        <v>107.3524419649757</v>
      </c>
      <c r="AM216" s="544">
        <f t="shared" si="110"/>
        <v>107.39985699001332</v>
      </c>
      <c r="AN216" s="544">
        <f t="shared" si="110"/>
        <v>107.44727201505094</v>
      </c>
      <c r="AO216" s="544">
        <f t="shared" si="110"/>
        <v>107.49468704008856</v>
      </c>
      <c r="AP216" s="544">
        <f t="shared" si="110"/>
        <v>107.54210206512619</v>
      </c>
      <c r="AQ216" s="544">
        <f t="shared" si="110"/>
        <v>107.58951709016381</v>
      </c>
      <c r="AR216" s="544">
        <f t="shared" si="110"/>
        <v>107.63693211520143</v>
      </c>
      <c r="AS216" s="544">
        <f t="shared" si="110"/>
        <v>107.68434714023905</v>
      </c>
      <c r="AT216" s="544">
        <f t="shared" si="110"/>
        <v>107.73176216527668</v>
      </c>
      <c r="AU216" s="544">
        <f t="shared" si="110"/>
        <v>107.7791771903143</v>
      </c>
      <c r="AV216" s="437"/>
      <c r="AW216" s="437"/>
      <c r="AX216" s="437"/>
      <c r="AY216" s="437"/>
      <c r="AZ216" s="437"/>
    </row>
    <row r="217" spans="2:52" ht="14.4">
      <c r="B217" s="533"/>
      <c r="C217" s="534" t="s">
        <v>202</v>
      </c>
      <c r="D217" s="542"/>
      <c r="E217" s="543" t="s">
        <v>201</v>
      </c>
      <c r="F217" s="543" t="s">
        <v>128</v>
      </c>
      <c r="G217" s="535">
        <v>92.8</v>
      </c>
      <c r="H217" s="535">
        <v>122.9</v>
      </c>
      <c r="I217" s="535">
        <v>136.69999999999999</v>
      </c>
      <c r="J217" s="535">
        <v>122</v>
      </c>
      <c r="K217" s="535">
        <v>114.8</v>
      </c>
      <c r="L217" s="535">
        <v>78.2</v>
      </c>
      <c r="M217" s="535">
        <v>75.3</v>
      </c>
      <c r="N217" s="535">
        <v>79.400000000000006</v>
      </c>
      <c r="O217" s="535">
        <v>79.3</v>
      </c>
      <c r="P217" s="419">
        <v>95.583697574109408</v>
      </c>
      <c r="Q217" s="419">
        <v>97.634689966965581</v>
      </c>
      <c r="R217" s="419">
        <v>99.404594547701336</v>
      </c>
      <c r="S217" s="419">
        <v>100.99225579115242</v>
      </c>
      <c r="T217" s="419">
        <v>102.72687445236635</v>
      </c>
      <c r="U217" s="419">
        <v>104.41614071579697</v>
      </c>
      <c r="V217" s="419">
        <v>105.75633643992825</v>
      </c>
      <c r="W217" s="419">
        <v>108.37980167623422</v>
      </c>
      <c r="X217" s="419">
        <v>109.88930163834353</v>
      </c>
      <c r="Y217" s="419">
        <v>111.28958659103094</v>
      </c>
      <c r="Z217" s="419">
        <v>112.63126722135011</v>
      </c>
      <c r="AA217" s="419">
        <v>113.84461747737294</v>
      </c>
      <c r="AB217" s="419">
        <v>115.39598085615685</v>
      </c>
      <c r="AC217" s="419">
        <v>117.26155915141743</v>
      </c>
      <c r="AD217" s="419">
        <v>119.04427833138297</v>
      </c>
      <c r="AE217" s="419">
        <v>120.70592384584046</v>
      </c>
      <c r="AF217" s="419">
        <v>122.3012251421824</v>
      </c>
      <c r="AG217" s="419">
        <v>123.79343159637814</v>
      </c>
      <c r="AH217" s="419">
        <v>125.23925892737645</v>
      </c>
      <c r="AI217" s="419">
        <v>126.56971364085565</v>
      </c>
      <c r="AJ217" s="419">
        <v>127.83727141998408</v>
      </c>
      <c r="AK217" s="419">
        <v>129.00825738298761</v>
      </c>
      <c r="AL217" s="421">
        <f>($AK$215-$AB$215)/10+AK217</f>
        <v>129.05567240802523</v>
      </c>
      <c r="AM217" s="421">
        <f t="shared" si="110"/>
        <v>129.10308743306285</v>
      </c>
      <c r="AN217" s="421">
        <f t="shared" si="110"/>
        <v>129.15050245810048</v>
      </c>
      <c r="AO217" s="421">
        <f t="shared" si="110"/>
        <v>129.1979174831381</v>
      </c>
      <c r="AP217" s="421">
        <f t="shared" si="110"/>
        <v>129.24533250817572</v>
      </c>
      <c r="AQ217" s="421">
        <f t="shared" si="110"/>
        <v>129.29274753321334</v>
      </c>
      <c r="AR217" s="421">
        <f t="shared" si="110"/>
        <v>129.34016255825097</v>
      </c>
      <c r="AS217" s="421">
        <f t="shared" si="110"/>
        <v>129.38757758328859</v>
      </c>
      <c r="AT217" s="421">
        <f t="shared" si="110"/>
        <v>129.43499260832621</v>
      </c>
      <c r="AU217" s="421">
        <f t="shared" si="110"/>
        <v>129.48240763336383</v>
      </c>
      <c r="AV217" s="437"/>
      <c r="AW217" s="437"/>
      <c r="AX217" s="437"/>
      <c r="AY217" s="437"/>
      <c r="AZ217" s="437"/>
    </row>
    <row r="218" spans="2:52" ht="14.4">
      <c r="B218" s="533"/>
      <c r="C218" s="534" t="s">
        <v>51</v>
      </c>
      <c r="D218" s="542"/>
      <c r="E218" s="543" t="s">
        <v>201</v>
      </c>
      <c r="F218" s="543" t="s">
        <v>128</v>
      </c>
      <c r="G218" s="535">
        <v>105.4</v>
      </c>
      <c r="H218" s="535">
        <v>117.4</v>
      </c>
      <c r="I218" s="535">
        <v>134.19999999999999</v>
      </c>
      <c r="J218" s="535">
        <v>123.2</v>
      </c>
      <c r="K218" s="535">
        <v>113.5</v>
      </c>
      <c r="L218" s="535">
        <v>77</v>
      </c>
      <c r="M218" s="535">
        <v>74</v>
      </c>
      <c r="N218" s="535">
        <v>78.2</v>
      </c>
      <c r="O218" s="535">
        <v>78</v>
      </c>
      <c r="P218" s="419">
        <v>93.420285058277415</v>
      </c>
      <c r="Q218" s="419">
        <v>95.471277451133588</v>
      </c>
      <c r="R218" s="419">
        <v>97.241182031869343</v>
      </c>
      <c r="S218" s="419">
        <v>98.828843275320423</v>
      </c>
      <c r="T218" s="419">
        <v>100.56346193653435</v>
      </c>
      <c r="U218" s="419">
        <v>102.25272819996498</v>
      </c>
      <c r="V218" s="419">
        <v>103.59292392409625</v>
      </c>
      <c r="W218" s="419">
        <v>106.21638916040223</v>
      </c>
      <c r="X218" s="419">
        <v>107.72588912251153</v>
      </c>
      <c r="Y218" s="419">
        <v>109.12617407519895</v>
      </c>
      <c r="Z218" s="419">
        <v>110.46785470551812</v>
      </c>
      <c r="AA218" s="419">
        <v>111.68120496154094</v>
      </c>
      <c r="AB218" s="419">
        <v>113.23256834032486</v>
      </c>
      <c r="AC218" s="419">
        <v>115.09814663558544</v>
      </c>
      <c r="AD218" s="419">
        <v>116.88086581555098</v>
      </c>
      <c r="AE218" s="419">
        <v>118.54251133000847</v>
      </c>
      <c r="AF218" s="419">
        <v>120.13781262635041</v>
      </c>
      <c r="AG218" s="419">
        <v>121.63001908054615</v>
      </c>
      <c r="AH218" s="419">
        <v>123.07584641154446</v>
      </c>
      <c r="AI218" s="419">
        <v>124.40630112502366</v>
      </c>
      <c r="AJ218" s="419">
        <v>125.67385890415208</v>
      </c>
      <c r="AK218" s="419">
        <v>126.84484486715562</v>
      </c>
      <c r="AL218" s="421">
        <f>($AK$215-$AB$215)/10+AK218</f>
        <v>126.89225989219324</v>
      </c>
      <c r="AM218" s="421">
        <f t="shared" si="110"/>
        <v>126.93967491723086</v>
      </c>
      <c r="AN218" s="421">
        <f t="shared" si="110"/>
        <v>126.98708994226848</v>
      </c>
      <c r="AO218" s="421">
        <f t="shared" si="110"/>
        <v>127.03450496730611</v>
      </c>
      <c r="AP218" s="421">
        <f t="shared" si="110"/>
        <v>127.08191999234373</v>
      </c>
      <c r="AQ218" s="421">
        <f t="shared" si="110"/>
        <v>127.12933501738135</v>
      </c>
      <c r="AR218" s="421">
        <f t="shared" si="110"/>
        <v>127.17675004241897</v>
      </c>
      <c r="AS218" s="421">
        <f t="shared" si="110"/>
        <v>127.2241650674566</v>
      </c>
      <c r="AT218" s="421">
        <f t="shared" si="110"/>
        <v>127.27158009249422</v>
      </c>
      <c r="AU218" s="421">
        <f t="shared" si="110"/>
        <v>127.31899511753184</v>
      </c>
      <c r="AV218" s="437"/>
      <c r="AW218" s="437"/>
      <c r="AX218" s="437"/>
      <c r="AY218" s="437"/>
      <c r="AZ218" s="437"/>
    </row>
    <row r="219" spans="2:52" ht="14.4">
      <c r="B219" s="533"/>
      <c r="C219" s="534" t="s">
        <v>129</v>
      </c>
      <c r="D219" s="542"/>
      <c r="E219" s="543" t="s">
        <v>201</v>
      </c>
      <c r="F219" s="543" t="s">
        <v>128</v>
      </c>
      <c r="G219" s="535">
        <v>76.5</v>
      </c>
      <c r="H219" s="535">
        <v>112.4</v>
      </c>
      <c r="I219" s="535">
        <v>116.3</v>
      </c>
      <c r="J219" s="535">
        <v>118.6</v>
      </c>
      <c r="K219" s="535">
        <v>110.1</v>
      </c>
      <c r="L219" s="535">
        <v>73.5</v>
      </c>
      <c r="M219" s="535">
        <v>70.599999999999994</v>
      </c>
      <c r="N219" s="535">
        <v>74.7</v>
      </c>
      <c r="O219" s="535">
        <v>74.599999999999994</v>
      </c>
      <c r="P219" s="419">
        <v>90.831954056376134</v>
      </c>
      <c r="Q219" s="419">
        <v>92.882946449232307</v>
      </c>
      <c r="R219" s="419">
        <v>94.652851029968062</v>
      </c>
      <c r="S219" s="419">
        <v>96.240512273419142</v>
      </c>
      <c r="T219" s="419">
        <v>97.975130934633071</v>
      </c>
      <c r="U219" s="419">
        <v>99.664397198063696</v>
      </c>
      <c r="V219" s="419">
        <v>101.00459292219497</v>
      </c>
      <c r="W219" s="419">
        <v>103.62805815850095</v>
      </c>
      <c r="X219" s="419">
        <v>105.13755812061025</v>
      </c>
      <c r="Y219" s="419">
        <v>106.53784307329767</v>
      </c>
      <c r="Z219" s="419">
        <v>107.87952370361684</v>
      </c>
      <c r="AA219" s="419">
        <v>109.09287395963966</v>
      </c>
      <c r="AB219" s="419">
        <v>110.64423733842358</v>
      </c>
      <c r="AC219" s="419">
        <v>112.50981563368416</v>
      </c>
      <c r="AD219" s="419">
        <v>114.2925348136497</v>
      </c>
      <c r="AE219" s="419">
        <v>115.95418032810719</v>
      </c>
      <c r="AF219" s="419">
        <v>117.54948162444913</v>
      </c>
      <c r="AG219" s="419">
        <v>119.04168807864487</v>
      </c>
      <c r="AH219" s="419">
        <v>120.48751540964318</v>
      </c>
      <c r="AI219" s="419">
        <v>121.81797012312238</v>
      </c>
      <c r="AJ219" s="419">
        <v>123.0855279022508</v>
      </c>
      <c r="AK219" s="419">
        <v>124.25651386525433</v>
      </c>
      <c r="AL219" s="421">
        <f>($AK$215-$AB$215)/10+AK219</f>
        <v>124.30392889029196</v>
      </c>
      <c r="AM219" s="421">
        <f t="shared" si="110"/>
        <v>124.35134391532958</v>
      </c>
      <c r="AN219" s="421">
        <f t="shared" si="110"/>
        <v>124.3987589403672</v>
      </c>
      <c r="AO219" s="421">
        <f t="shared" si="110"/>
        <v>124.44617396540482</v>
      </c>
      <c r="AP219" s="421">
        <f t="shared" si="110"/>
        <v>124.49358899044245</v>
      </c>
      <c r="AQ219" s="421">
        <f t="shared" si="110"/>
        <v>124.54100401548007</v>
      </c>
      <c r="AR219" s="421">
        <f t="shared" si="110"/>
        <v>124.58841904051769</v>
      </c>
      <c r="AS219" s="421">
        <f t="shared" si="110"/>
        <v>124.63583406555531</v>
      </c>
      <c r="AT219" s="421">
        <f t="shared" si="110"/>
        <v>124.68324909059294</v>
      </c>
      <c r="AU219" s="421">
        <f t="shared" si="110"/>
        <v>124.73066411563056</v>
      </c>
      <c r="AV219" s="437"/>
      <c r="AW219" s="437"/>
      <c r="AX219" s="437"/>
      <c r="AY219" s="437"/>
      <c r="AZ219" s="437"/>
    </row>
    <row r="220" spans="2:52" ht="14.4">
      <c r="B220" s="533"/>
      <c r="C220" s="534" t="s">
        <v>130</v>
      </c>
      <c r="D220" s="542"/>
      <c r="E220" s="543" t="s">
        <v>201</v>
      </c>
      <c r="F220" s="543" t="s">
        <v>128</v>
      </c>
      <c r="G220" s="535">
        <v>110.4</v>
      </c>
      <c r="H220" s="535">
        <v>120.9</v>
      </c>
      <c r="I220" s="535">
        <v>127.5</v>
      </c>
      <c r="J220" s="535">
        <v>123.2</v>
      </c>
      <c r="K220" s="535">
        <v>113.5</v>
      </c>
      <c r="L220" s="535">
        <v>77</v>
      </c>
      <c r="M220" s="535">
        <v>74</v>
      </c>
      <c r="N220" s="535">
        <v>78.2</v>
      </c>
      <c r="O220" s="535">
        <v>78</v>
      </c>
      <c r="P220" s="535">
        <v>76.400000000000006</v>
      </c>
      <c r="Q220" s="535">
        <v>74.2</v>
      </c>
      <c r="R220" s="535">
        <v>74.099999999999994</v>
      </c>
      <c r="S220" s="535">
        <v>74.599999999999994</v>
      </c>
      <c r="T220" s="535">
        <v>76.3</v>
      </c>
      <c r="U220" s="535">
        <v>77.900000000000006</v>
      </c>
      <c r="V220" s="535">
        <v>79.5</v>
      </c>
      <c r="W220" s="535">
        <v>81</v>
      </c>
      <c r="X220" s="535">
        <v>82.4</v>
      </c>
      <c r="Y220" s="535">
        <v>83.7</v>
      </c>
      <c r="Z220" s="535">
        <v>84.9</v>
      </c>
      <c r="AA220" s="535">
        <v>86.1</v>
      </c>
      <c r="AB220" s="535">
        <v>88</v>
      </c>
      <c r="AC220" s="535">
        <v>89.9</v>
      </c>
      <c r="AD220" s="535">
        <v>91.6</v>
      </c>
      <c r="AE220" s="535">
        <v>93.2</v>
      </c>
      <c r="AF220" s="535">
        <v>94.8</v>
      </c>
      <c r="AG220" s="535">
        <v>96.2</v>
      </c>
      <c r="AH220" s="535">
        <v>97.6</v>
      </c>
      <c r="AI220" s="535">
        <v>98.9</v>
      </c>
      <c r="AJ220" s="535">
        <v>100.2</v>
      </c>
      <c r="AK220" s="535">
        <v>101.3</v>
      </c>
      <c r="AL220" s="535">
        <v>103</v>
      </c>
      <c r="AM220" s="535">
        <v>104.6</v>
      </c>
      <c r="AN220" s="535">
        <v>106.1</v>
      </c>
      <c r="AO220" s="535">
        <v>107.5</v>
      </c>
      <c r="AP220" s="535">
        <v>108.8</v>
      </c>
      <c r="AQ220" s="535">
        <v>110.4</v>
      </c>
      <c r="AR220" s="535">
        <v>111.9</v>
      </c>
      <c r="AS220" s="535">
        <v>113.3</v>
      </c>
      <c r="AT220" s="535">
        <v>114.6</v>
      </c>
      <c r="AU220" s="535">
        <v>115.8</v>
      </c>
      <c r="AV220" s="437"/>
      <c r="AW220" s="437"/>
      <c r="AX220" s="437"/>
      <c r="AY220" s="437"/>
      <c r="AZ220" s="437"/>
    </row>
    <row r="221" spans="2:52" ht="14.4">
      <c r="B221" s="533"/>
      <c r="C221" s="534" t="s">
        <v>131</v>
      </c>
      <c r="D221" s="542"/>
      <c r="E221" s="543" t="s">
        <v>201</v>
      </c>
      <c r="F221" s="543" t="s">
        <v>128</v>
      </c>
      <c r="G221" s="535">
        <v>105.4</v>
      </c>
      <c r="H221" s="535">
        <v>117.4</v>
      </c>
      <c r="I221" s="535">
        <v>134.19999999999999</v>
      </c>
      <c r="J221" s="535">
        <v>123.2</v>
      </c>
      <c r="K221" s="535">
        <v>113.5</v>
      </c>
      <c r="L221" s="535">
        <v>77</v>
      </c>
      <c r="M221" s="535">
        <v>74</v>
      </c>
      <c r="N221" s="535">
        <v>78.2</v>
      </c>
      <c r="O221" s="535">
        <v>78</v>
      </c>
      <c r="P221" s="535">
        <v>76.400000000000006</v>
      </c>
      <c r="Q221" s="535">
        <v>74.2</v>
      </c>
      <c r="R221" s="535">
        <v>74.099999999999994</v>
      </c>
      <c r="S221" s="535">
        <v>74.599999999999994</v>
      </c>
      <c r="T221" s="535">
        <v>76.3</v>
      </c>
      <c r="U221" s="535">
        <v>77.900000000000006</v>
      </c>
      <c r="V221" s="535">
        <v>79.5</v>
      </c>
      <c r="W221" s="535">
        <v>81</v>
      </c>
      <c r="X221" s="535">
        <v>82.4</v>
      </c>
      <c r="Y221" s="535">
        <v>83.7</v>
      </c>
      <c r="Z221" s="535">
        <v>84.9</v>
      </c>
      <c r="AA221" s="535">
        <v>86.1</v>
      </c>
      <c r="AB221" s="535">
        <v>88</v>
      </c>
      <c r="AC221" s="535">
        <v>89.9</v>
      </c>
      <c r="AD221" s="535">
        <v>91.6</v>
      </c>
      <c r="AE221" s="535">
        <v>93.2</v>
      </c>
      <c r="AF221" s="535">
        <v>94.8</v>
      </c>
      <c r="AG221" s="535">
        <v>96.2</v>
      </c>
      <c r="AH221" s="535">
        <v>97.6</v>
      </c>
      <c r="AI221" s="535">
        <v>98.9</v>
      </c>
      <c r="AJ221" s="535">
        <v>100.2</v>
      </c>
      <c r="AK221" s="535">
        <v>101.3</v>
      </c>
      <c r="AL221" s="535">
        <v>103</v>
      </c>
      <c r="AM221" s="535">
        <v>104.6</v>
      </c>
      <c r="AN221" s="535">
        <v>106.1</v>
      </c>
      <c r="AO221" s="535">
        <v>107.5</v>
      </c>
      <c r="AP221" s="535">
        <v>108.8</v>
      </c>
      <c r="AQ221" s="535">
        <v>110.4</v>
      </c>
      <c r="AR221" s="535">
        <v>111.9</v>
      </c>
      <c r="AS221" s="535">
        <v>113.3</v>
      </c>
      <c r="AT221" s="535">
        <v>114.6</v>
      </c>
      <c r="AU221" s="535">
        <v>115.8</v>
      </c>
      <c r="AV221" s="437"/>
      <c r="AW221" s="437"/>
      <c r="AX221" s="437"/>
      <c r="AY221" s="437"/>
      <c r="AZ221" s="437"/>
    </row>
    <row r="222" spans="2:52" ht="14.4">
      <c r="B222" s="533"/>
      <c r="C222" s="545" t="s">
        <v>92</v>
      </c>
      <c r="D222" s="546"/>
      <c r="E222" s="547" t="s">
        <v>201</v>
      </c>
      <c r="F222" s="547" t="s">
        <v>128</v>
      </c>
      <c r="G222" s="548">
        <v>68.2</v>
      </c>
      <c r="H222" s="548">
        <v>102</v>
      </c>
      <c r="I222" s="548">
        <v>96.2</v>
      </c>
      <c r="J222" s="548">
        <v>91.7</v>
      </c>
      <c r="K222" s="548">
        <v>84</v>
      </c>
      <c r="L222" s="548">
        <v>47.5</v>
      </c>
      <c r="M222" s="548">
        <v>44.5</v>
      </c>
      <c r="N222" s="548">
        <v>48.7</v>
      </c>
      <c r="O222" s="548">
        <v>48.5</v>
      </c>
      <c r="P222" s="548">
        <v>46.9</v>
      </c>
      <c r="Q222" s="548">
        <v>44.7</v>
      </c>
      <c r="R222" s="548">
        <v>44.6</v>
      </c>
      <c r="S222" s="548">
        <v>45.1</v>
      </c>
      <c r="T222" s="548">
        <v>46.8</v>
      </c>
      <c r="U222" s="548">
        <v>48.4</v>
      </c>
      <c r="V222" s="548">
        <v>50</v>
      </c>
      <c r="W222" s="548">
        <v>51.5</v>
      </c>
      <c r="X222" s="548">
        <v>52.9</v>
      </c>
      <c r="Y222" s="548">
        <v>54.2</v>
      </c>
      <c r="Z222" s="548">
        <v>55.4</v>
      </c>
      <c r="AA222" s="548">
        <v>56.6</v>
      </c>
      <c r="AB222" s="548">
        <v>58.5</v>
      </c>
      <c r="AC222" s="548">
        <v>60.4</v>
      </c>
      <c r="AD222" s="548">
        <v>62.1</v>
      </c>
      <c r="AE222" s="548">
        <v>63.7</v>
      </c>
      <c r="AF222" s="548">
        <v>65.3</v>
      </c>
      <c r="AG222" s="548">
        <v>66.7</v>
      </c>
      <c r="AH222" s="548">
        <v>68.099999999999994</v>
      </c>
      <c r="AI222" s="548">
        <v>69.400000000000006</v>
      </c>
      <c r="AJ222" s="548">
        <v>70.7</v>
      </c>
      <c r="AK222" s="548">
        <v>71.8</v>
      </c>
      <c r="AL222" s="548">
        <v>73.5</v>
      </c>
      <c r="AM222" s="548">
        <v>75.099999999999994</v>
      </c>
      <c r="AN222" s="548">
        <v>76.599999999999994</v>
      </c>
      <c r="AO222" s="548">
        <v>78</v>
      </c>
      <c r="AP222" s="548">
        <v>79.3</v>
      </c>
      <c r="AQ222" s="548">
        <v>80.900000000000006</v>
      </c>
      <c r="AR222" s="548">
        <v>82.4</v>
      </c>
      <c r="AS222" s="548">
        <v>83.8</v>
      </c>
      <c r="AT222" s="548">
        <v>85.1</v>
      </c>
      <c r="AU222" s="548">
        <v>86.3</v>
      </c>
      <c r="AV222" s="437"/>
      <c r="AW222" s="437"/>
      <c r="AX222" s="437"/>
      <c r="AY222" s="437"/>
      <c r="AZ222" s="437"/>
    </row>
    <row r="223" spans="2:52" ht="14.4">
      <c r="B223" s="533"/>
      <c r="C223" s="545" t="s">
        <v>203</v>
      </c>
      <c r="D223" s="546"/>
      <c r="E223" s="547" t="s">
        <v>201</v>
      </c>
      <c r="F223" s="547" t="s">
        <v>128</v>
      </c>
      <c r="G223" s="548">
        <v>44.4</v>
      </c>
      <c r="H223" s="548">
        <v>46.1</v>
      </c>
      <c r="I223" s="548">
        <v>55.1</v>
      </c>
      <c r="J223" s="548">
        <v>54.2</v>
      </c>
      <c r="K223" s="548">
        <v>45.7</v>
      </c>
      <c r="L223" s="548">
        <v>44</v>
      </c>
      <c r="M223" s="548">
        <v>36.799999999999997</v>
      </c>
      <c r="N223" s="548">
        <v>36.9</v>
      </c>
      <c r="O223" s="548">
        <v>35.1</v>
      </c>
      <c r="P223" s="549">
        <v>53.94529046338949</v>
      </c>
      <c r="Q223" s="549">
        <v>48.049648253621314</v>
      </c>
      <c r="R223" s="549">
        <v>40.610335042675715</v>
      </c>
      <c r="S223" s="549">
        <v>40.251302428954361</v>
      </c>
      <c r="T223" s="549">
        <v>41.309391764519106</v>
      </c>
      <c r="U223" s="549">
        <v>42.384105929912252</v>
      </c>
      <c r="V223" s="549">
        <v>43.418156429745736</v>
      </c>
      <c r="W223" s="549">
        <v>44.641031928073701</v>
      </c>
      <c r="X223" s="549">
        <v>45.825085716990088</v>
      </c>
      <c r="Y223" s="549">
        <v>46.950294651080164</v>
      </c>
      <c r="Z223" s="549">
        <v>48.047984271449039</v>
      </c>
      <c r="AA223" s="549">
        <v>49.074729484141251</v>
      </c>
      <c r="AB223" s="549">
        <v>50.22027708112531</v>
      </c>
      <c r="AC223" s="549">
        <v>51.310437783572709</v>
      </c>
      <c r="AD223" s="549">
        <v>52.371455269436716</v>
      </c>
      <c r="AE223" s="549">
        <v>53.379487378305292</v>
      </c>
      <c r="AF223" s="549">
        <v>54.366646432213557</v>
      </c>
      <c r="AG223" s="549">
        <v>56.021566478043873</v>
      </c>
      <c r="AH223" s="549">
        <v>56.643484305507364</v>
      </c>
      <c r="AI223" s="549">
        <v>57.206292482675018</v>
      </c>
      <c r="AJ223" s="549">
        <v>57.740541471904386</v>
      </c>
      <c r="AK223" s="549">
        <v>58.226230553747364</v>
      </c>
      <c r="AL223" s="550">
        <f>($AK$215-$AB$215)/10+AK223</f>
        <v>58.273645578784986</v>
      </c>
      <c r="AM223" s="550">
        <f t="shared" ref="AM223:AU223" si="111">($AK$215-$AB$215)/10+AL223</f>
        <v>58.321060603822609</v>
      </c>
      <c r="AN223" s="550">
        <f t="shared" si="111"/>
        <v>58.368475628860232</v>
      </c>
      <c r="AO223" s="550">
        <f t="shared" si="111"/>
        <v>58.415890653897854</v>
      </c>
      <c r="AP223" s="550">
        <f t="shared" si="111"/>
        <v>58.463305678935477</v>
      </c>
      <c r="AQ223" s="550">
        <f t="shared" si="111"/>
        <v>58.510720703973099</v>
      </c>
      <c r="AR223" s="550">
        <f t="shared" si="111"/>
        <v>58.558135729010722</v>
      </c>
      <c r="AS223" s="550">
        <f t="shared" si="111"/>
        <v>58.605550754048345</v>
      </c>
      <c r="AT223" s="550">
        <f t="shared" si="111"/>
        <v>58.652965779085967</v>
      </c>
      <c r="AU223" s="550">
        <f t="shared" si="111"/>
        <v>58.70038080412359</v>
      </c>
      <c r="AV223" s="437"/>
      <c r="AW223" s="437"/>
      <c r="AX223" s="437"/>
      <c r="AY223" s="437"/>
      <c r="AZ223" s="437"/>
    </row>
    <row r="224" spans="2:52">
      <c r="B224" s="533"/>
      <c r="C224" s="551" t="s">
        <v>524</v>
      </c>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c r="AD224" s="533"/>
      <c r="AE224" s="533"/>
      <c r="AF224" s="533"/>
      <c r="AG224" s="533"/>
      <c r="AH224" s="533"/>
      <c r="AI224" s="533"/>
      <c r="AJ224" s="533"/>
      <c r="AK224" s="533"/>
      <c r="AL224" s="533"/>
      <c r="AM224" s="533"/>
      <c r="AN224" s="533"/>
      <c r="AO224" s="533"/>
      <c r="AP224" s="533"/>
      <c r="AQ224" s="533"/>
      <c r="AR224" s="533"/>
      <c r="AS224" s="533"/>
      <c r="AT224" s="533"/>
      <c r="AU224" s="533"/>
      <c r="AV224" s="437"/>
      <c r="AW224" s="437"/>
      <c r="AX224" s="437"/>
      <c r="AY224" s="437"/>
      <c r="AZ224" s="437"/>
    </row>
    <row r="225" spans="2:52">
      <c r="B225" s="533"/>
      <c r="C225" s="551" t="s">
        <v>529</v>
      </c>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c r="AD225" s="533"/>
      <c r="AE225" s="533"/>
      <c r="AF225" s="533"/>
      <c r="AG225" s="533"/>
      <c r="AH225" s="533"/>
      <c r="AI225" s="533"/>
      <c r="AJ225" s="533"/>
      <c r="AK225" s="533"/>
      <c r="AL225" s="533"/>
      <c r="AM225" s="533"/>
      <c r="AN225" s="533"/>
      <c r="AO225" s="533"/>
      <c r="AP225" s="533"/>
      <c r="AQ225" s="533"/>
      <c r="AR225" s="533"/>
      <c r="AS225" s="533"/>
      <c r="AT225" s="533"/>
      <c r="AU225" s="533"/>
      <c r="AV225" s="437"/>
      <c r="AW225" s="437"/>
      <c r="AX225" s="437"/>
      <c r="AY225" s="437"/>
      <c r="AZ225" s="437"/>
    </row>
    <row r="226" spans="2:52">
      <c r="B226" s="533"/>
      <c r="C226" s="551" t="s">
        <v>528</v>
      </c>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c r="AD226" s="533"/>
      <c r="AE226" s="533"/>
      <c r="AF226" s="533"/>
      <c r="AG226" s="533"/>
      <c r="AH226" s="533"/>
      <c r="AI226" s="533"/>
      <c r="AJ226" s="533"/>
      <c r="AK226" s="533"/>
      <c r="AL226" s="533"/>
      <c r="AM226" s="533"/>
      <c r="AN226" s="533"/>
      <c r="AO226" s="533"/>
      <c r="AP226" s="533"/>
      <c r="AQ226" s="533"/>
      <c r="AR226" s="533"/>
      <c r="AS226" s="533"/>
      <c r="AT226" s="533"/>
      <c r="AU226" s="533"/>
      <c r="AV226" s="437"/>
      <c r="AW226" s="437"/>
      <c r="AX226" s="437"/>
      <c r="AY226" s="437"/>
      <c r="AZ226" s="437"/>
    </row>
    <row r="227" spans="2:52">
      <c r="B227" s="437"/>
      <c r="C227" s="437"/>
      <c r="D227" s="437"/>
      <c r="G227" s="437"/>
      <c r="H227" s="437"/>
      <c r="I227" s="437"/>
      <c r="J227" s="437"/>
      <c r="K227" s="437"/>
      <c r="L227" s="437"/>
      <c r="M227" s="437"/>
      <c r="N227" s="437"/>
      <c r="O227" s="437"/>
      <c r="P227" s="437"/>
      <c r="Q227" s="437"/>
      <c r="R227" s="437"/>
      <c r="S227" s="437"/>
      <c r="T227" s="437"/>
      <c r="U227" s="437"/>
      <c r="V227" s="437"/>
      <c r="W227" s="437"/>
      <c r="X227" s="437"/>
      <c r="Y227" s="437"/>
      <c r="Z227" s="437"/>
      <c r="AA227" s="437"/>
      <c r="AB227" s="437"/>
      <c r="AC227" s="437"/>
      <c r="AD227" s="437"/>
      <c r="AE227" s="437"/>
      <c r="AF227" s="437"/>
      <c r="AG227" s="437"/>
      <c r="AH227" s="437"/>
      <c r="AI227" s="437"/>
      <c r="AJ227" s="437"/>
      <c r="AK227" s="437"/>
      <c r="AL227" s="437"/>
      <c r="AM227" s="437"/>
      <c r="AN227" s="437"/>
      <c r="AO227" s="437"/>
      <c r="AP227" s="437"/>
      <c r="AQ227" s="437"/>
      <c r="AR227" s="437"/>
      <c r="AS227" s="437"/>
      <c r="AT227" s="437"/>
      <c r="AU227" s="437"/>
      <c r="AV227" s="437"/>
      <c r="AW227" s="437"/>
      <c r="AX227" s="437"/>
      <c r="AY227" s="437"/>
      <c r="AZ227" s="437"/>
    </row>
    <row r="228" spans="2:52" ht="20.399999999999999" thickBot="1">
      <c r="B228" s="437"/>
      <c r="C228" s="55" t="s">
        <v>173</v>
      </c>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437"/>
      <c r="AW228" s="437"/>
      <c r="AX228" s="437"/>
      <c r="AY228" s="437"/>
      <c r="AZ228" s="437"/>
    </row>
    <row r="229" spans="2:52" ht="18.600000000000001" thickTop="1" thickBot="1">
      <c r="B229" s="437"/>
      <c r="C229" s="52" t="s">
        <v>159</v>
      </c>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437"/>
      <c r="AW229" s="437"/>
      <c r="AX229" s="437"/>
      <c r="AY229" s="437"/>
      <c r="AZ229" s="437"/>
    </row>
    <row r="230" spans="2:52" ht="15" thickTop="1">
      <c r="B230" s="437"/>
      <c r="C230" s="53" t="s">
        <v>160</v>
      </c>
      <c r="D230" s="53"/>
      <c r="E230" s="53"/>
      <c r="F230" s="53"/>
      <c r="G230" s="410">
        <v>2010</v>
      </c>
      <c r="H230" s="410">
        <v>2011</v>
      </c>
      <c r="I230" s="54">
        <v>2012</v>
      </c>
      <c r="J230" s="54">
        <v>2013</v>
      </c>
      <c r="K230" s="54">
        <v>2014</v>
      </c>
      <c r="L230" s="54">
        <v>2015</v>
      </c>
      <c r="M230" s="54">
        <v>2016</v>
      </c>
      <c r="N230" s="54">
        <v>2017</v>
      </c>
      <c r="O230" s="54">
        <v>2018</v>
      </c>
      <c r="P230" s="54">
        <v>2019</v>
      </c>
      <c r="Q230" s="54">
        <v>2020</v>
      </c>
      <c r="R230" s="54">
        <v>2021</v>
      </c>
      <c r="S230" s="54">
        <v>2022</v>
      </c>
      <c r="T230" s="54">
        <v>2023</v>
      </c>
      <c r="U230" s="54">
        <v>2024</v>
      </c>
      <c r="V230" s="54">
        <v>2025</v>
      </c>
      <c r="W230" s="54">
        <v>2026</v>
      </c>
      <c r="X230" s="54">
        <v>2027</v>
      </c>
      <c r="Y230" s="54">
        <v>2028</v>
      </c>
      <c r="Z230" s="54">
        <v>2029</v>
      </c>
      <c r="AA230" s="54">
        <v>2030</v>
      </c>
      <c r="AB230" s="54">
        <v>2031</v>
      </c>
      <c r="AC230" s="54">
        <v>2032</v>
      </c>
      <c r="AD230" s="54">
        <v>2033</v>
      </c>
      <c r="AE230" s="54">
        <v>2034</v>
      </c>
      <c r="AF230" s="54">
        <v>2035</v>
      </c>
      <c r="AG230" s="54">
        <v>2036</v>
      </c>
      <c r="AH230" s="54">
        <v>2037</v>
      </c>
      <c r="AI230" s="54">
        <v>2038</v>
      </c>
      <c r="AJ230" s="54">
        <v>2039</v>
      </c>
      <c r="AK230" s="54">
        <v>2040</v>
      </c>
      <c r="AL230" s="54">
        <v>2041</v>
      </c>
      <c r="AM230" s="54">
        <v>2042</v>
      </c>
      <c r="AN230" s="54">
        <v>2043</v>
      </c>
      <c r="AO230" s="54">
        <v>2044</v>
      </c>
      <c r="AP230" s="54">
        <v>2045</v>
      </c>
      <c r="AQ230" s="54">
        <v>2046</v>
      </c>
      <c r="AR230" s="54">
        <v>2047</v>
      </c>
      <c r="AS230" s="54">
        <v>2048</v>
      </c>
      <c r="AT230" s="54">
        <v>2049</v>
      </c>
      <c r="AU230" s="54">
        <v>2050</v>
      </c>
      <c r="AV230" s="437"/>
      <c r="AW230" s="437"/>
      <c r="AX230" s="437"/>
      <c r="AY230" s="437"/>
      <c r="AZ230" s="437"/>
    </row>
    <row r="231" spans="2:52" ht="14.4">
      <c r="B231" s="432"/>
      <c r="C231" s="437"/>
      <c r="D231" s="437" t="s">
        <v>161</v>
      </c>
      <c r="E231" s="56">
        <v>2014</v>
      </c>
      <c r="F231" s="332" t="s">
        <v>277</v>
      </c>
      <c r="G231" s="411">
        <f>I231</f>
        <v>46</v>
      </c>
      <c r="H231" s="411">
        <f>I231</f>
        <v>46</v>
      </c>
      <c r="I231" s="57">
        <v>46</v>
      </c>
      <c r="J231" s="57">
        <v>45.7</v>
      </c>
      <c r="K231" s="57">
        <v>45.3</v>
      </c>
      <c r="L231" s="57">
        <v>44.9</v>
      </c>
      <c r="M231" s="57">
        <v>45.4</v>
      </c>
      <c r="N231" s="57">
        <v>45.9</v>
      </c>
      <c r="O231" s="57">
        <v>46.5</v>
      </c>
      <c r="P231" s="420">
        <v>43.426265623811808</v>
      </c>
      <c r="Q231" s="420">
        <v>43.65253654619243</v>
      </c>
      <c r="R231" s="420">
        <v>43.928999158791825</v>
      </c>
      <c r="S231" s="420">
        <v>44.205082849585672</v>
      </c>
      <c r="T231" s="420">
        <v>44.480789827031863</v>
      </c>
      <c r="U231" s="420">
        <v>44.75612229958827</v>
      </c>
      <c r="V231" s="420">
        <v>45.031082475712807</v>
      </c>
      <c r="W231" s="420">
        <v>45.279976467601358</v>
      </c>
      <c r="X231" s="420">
        <v>45.528796659727412</v>
      </c>
      <c r="Y231" s="420">
        <v>45.777543052090969</v>
      </c>
      <c r="Z231" s="420">
        <v>46.02621564469203</v>
      </c>
      <c r="AA231" s="420">
        <v>46.274814437530587</v>
      </c>
      <c r="AB231" s="420">
        <v>46.428246784204831</v>
      </c>
      <c r="AC231" s="420">
        <v>46.581596106146264</v>
      </c>
      <c r="AD231" s="420">
        <v>46.73486240335491</v>
      </c>
      <c r="AE231" s="420">
        <v>46.888045675830739</v>
      </c>
      <c r="AF231" s="420">
        <v>47.041145923573744</v>
      </c>
      <c r="AG231" s="420">
        <v>47.184184641373889</v>
      </c>
      <c r="AH231" s="420">
        <v>47.327158784381858</v>
      </c>
      <c r="AI231" s="420">
        <v>47.470068352597629</v>
      </c>
      <c r="AJ231" s="420">
        <v>47.612913346021223</v>
      </c>
      <c r="AK231" s="420">
        <v>47.755693764652648</v>
      </c>
      <c r="AL231" s="421">
        <f>($AK$215-$AB$215)/10+AK231</f>
        <v>47.80310878969027</v>
      </c>
      <c r="AM231" s="421">
        <f t="shared" ref="AM231:AU231" si="112">($AK$215-$AB$215)/10+AL231</f>
        <v>47.850523814727893</v>
      </c>
      <c r="AN231" s="421">
        <f t="shared" si="112"/>
        <v>47.897938839765516</v>
      </c>
      <c r="AO231" s="421">
        <f t="shared" si="112"/>
        <v>47.945353864803138</v>
      </c>
      <c r="AP231" s="421">
        <f t="shared" si="112"/>
        <v>47.992768889840761</v>
      </c>
      <c r="AQ231" s="421">
        <f t="shared" si="112"/>
        <v>48.040183914878384</v>
      </c>
      <c r="AR231" s="421">
        <f t="shared" si="112"/>
        <v>48.087598939916006</v>
      </c>
      <c r="AS231" s="421">
        <f t="shared" si="112"/>
        <v>48.135013964953629</v>
      </c>
      <c r="AT231" s="421">
        <f t="shared" si="112"/>
        <v>48.182428989991251</v>
      </c>
      <c r="AU231" s="421">
        <f t="shared" si="112"/>
        <v>48.229844015028874</v>
      </c>
      <c r="AV231" s="437"/>
      <c r="AW231" s="437"/>
      <c r="AX231" s="437"/>
      <c r="AY231" s="437"/>
      <c r="AZ231" s="437"/>
    </row>
    <row r="232" spans="2:52" ht="14.4">
      <c r="B232" s="437"/>
      <c r="C232" s="437"/>
      <c r="D232" s="437" t="s">
        <v>206</v>
      </c>
      <c r="E232" s="56">
        <v>2014</v>
      </c>
      <c r="F232" s="332" t="s">
        <v>277</v>
      </c>
      <c r="G232" s="411">
        <f t="shared" ref="G232:G244" si="113">I232</f>
        <v>41</v>
      </c>
      <c r="H232" s="411">
        <f t="shared" ref="H232:H244" si="114">I232</f>
        <v>41</v>
      </c>
      <c r="I232" s="57">
        <v>41</v>
      </c>
      <c r="J232" s="57">
        <v>41.1</v>
      </c>
      <c r="K232" s="57">
        <v>41.2</v>
      </c>
      <c r="L232" s="57">
        <v>41.4</v>
      </c>
      <c r="M232" s="57">
        <v>41.6</v>
      </c>
      <c r="N232" s="57">
        <v>41.8</v>
      </c>
      <c r="O232" s="57">
        <v>42</v>
      </c>
      <c r="P232" s="57">
        <v>42.2</v>
      </c>
      <c r="Q232" s="57">
        <v>42.4</v>
      </c>
      <c r="R232" s="57">
        <v>42.7</v>
      </c>
      <c r="S232" s="57">
        <v>42.9</v>
      </c>
      <c r="T232" s="57">
        <v>43.2</v>
      </c>
      <c r="U232" s="57">
        <v>43.4</v>
      </c>
      <c r="V232" s="57">
        <v>43.7</v>
      </c>
      <c r="W232" s="57">
        <v>43.9</v>
      </c>
      <c r="X232" s="57">
        <v>44.1</v>
      </c>
      <c r="Y232" s="57">
        <v>44.4</v>
      </c>
      <c r="Z232" s="57">
        <v>44.6</v>
      </c>
      <c r="AA232" s="57">
        <v>44.8</v>
      </c>
      <c r="AB232" s="57">
        <v>45</v>
      </c>
      <c r="AC232" s="57">
        <v>45.1</v>
      </c>
      <c r="AD232" s="57">
        <v>45.2</v>
      </c>
      <c r="AE232" s="57">
        <v>45.4</v>
      </c>
      <c r="AF232" s="57">
        <v>45.5</v>
      </c>
      <c r="AG232" s="57">
        <v>45.6</v>
      </c>
      <c r="AH232" s="57">
        <v>45.8</v>
      </c>
      <c r="AI232" s="57">
        <v>45.9</v>
      </c>
      <c r="AJ232" s="57">
        <v>46</v>
      </c>
      <c r="AK232" s="57">
        <v>46.1</v>
      </c>
      <c r="AL232" s="57">
        <v>46.3</v>
      </c>
      <c r="AM232" s="57">
        <v>46.4</v>
      </c>
      <c r="AN232" s="57">
        <v>46.6</v>
      </c>
      <c r="AO232" s="57">
        <v>46.8</v>
      </c>
      <c r="AP232" s="57">
        <v>46.9</v>
      </c>
      <c r="AQ232" s="57">
        <v>47.1</v>
      </c>
      <c r="AR232" s="57">
        <v>47.4</v>
      </c>
      <c r="AS232" s="57">
        <v>47.6</v>
      </c>
      <c r="AT232" s="57">
        <v>47.8</v>
      </c>
      <c r="AU232" s="57">
        <v>48</v>
      </c>
      <c r="AV232" s="437"/>
      <c r="AW232" s="437"/>
      <c r="AX232" s="437"/>
      <c r="AY232" s="437"/>
      <c r="AZ232" s="437"/>
    </row>
    <row r="233" spans="2:52" ht="14.4">
      <c r="B233" s="437"/>
      <c r="C233" s="437"/>
      <c r="D233" s="437" t="s">
        <v>162</v>
      </c>
      <c r="E233" s="56">
        <v>2014</v>
      </c>
      <c r="F233" s="332" t="s">
        <v>277</v>
      </c>
      <c r="G233" s="411">
        <f t="shared" si="113"/>
        <v>48.5</v>
      </c>
      <c r="H233" s="411">
        <f t="shared" si="114"/>
        <v>48.5</v>
      </c>
      <c r="I233" s="57">
        <v>48.5</v>
      </c>
      <c r="J233" s="57">
        <v>48.1</v>
      </c>
      <c r="K233" s="57">
        <v>47.7</v>
      </c>
      <c r="L233" s="57">
        <v>47.3</v>
      </c>
      <c r="M233" s="57">
        <v>47.8</v>
      </c>
      <c r="N233" s="57">
        <v>48.3</v>
      </c>
      <c r="O233" s="57">
        <v>48.8</v>
      </c>
      <c r="P233" s="57">
        <v>49.4</v>
      </c>
      <c r="Q233" s="57">
        <v>49.9</v>
      </c>
      <c r="R233" s="57">
        <v>50.6</v>
      </c>
      <c r="S233" s="57">
        <v>51.3</v>
      </c>
      <c r="T233" s="57">
        <v>51.9</v>
      </c>
      <c r="U233" s="57">
        <v>52.6</v>
      </c>
      <c r="V233" s="57">
        <v>53.3</v>
      </c>
      <c r="W233" s="57">
        <v>53.9</v>
      </c>
      <c r="X233" s="57">
        <v>54.4</v>
      </c>
      <c r="Y233" s="57">
        <v>55</v>
      </c>
      <c r="Z233" s="57">
        <v>55.6</v>
      </c>
      <c r="AA233" s="57">
        <v>56.1</v>
      </c>
      <c r="AB233" s="57">
        <v>56.6</v>
      </c>
      <c r="AC233" s="57">
        <v>57.1</v>
      </c>
      <c r="AD233" s="57">
        <v>57.5</v>
      </c>
      <c r="AE233" s="57">
        <v>58</v>
      </c>
      <c r="AF233" s="57">
        <v>58.4</v>
      </c>
      <c r="AG233" s="57">
        <v>58.9</v>
      </c>
      <c r="AH233" s="57">
        <v>59.3</v>
      </c>
      <c r="AI233" s="57">
        <v>59.7</v>
      </c>
      <c r="AJ233" s="57">
        <v>60.1</v>
      </c>
      <c r="AK233" s="57">
        <v>60.6</v>
      </c>
      <c r="AL233" s="57">
        <v>61</v>
      </c>
      <c r="AM233" s="57">
        <v>61.4</v>
      </c>
      <c r="AN233" s="57">
        <v>61.8</v>
      </c>
      <c r="AO233" s="57">
        <v>62.3</v>
      </c>
      <c r="AP233" s="57">
        <v>62.7</v>
      </c>
      <c r="AQ233" s="57">
        <v>63.2</v>
      </c>
      <c r="AR233" s="57">
        <v>63.6</v>
      </c>
      <c r="AS233" s="57">
        <v>64.099999999999994</v>
      </c>
      <c r="AT233" s="57">
        <v>64.599999999999994</v>
      </c>
      <c r="AU233" s="57">
        <v>65</v>
      </c>
      <c r="AV233" s="437"/>
      <c r="AW233" s="437"/>
      <c r="AX233" s="437"/>
      <c r="AY233" s="437"/>
      <c r="AZ233" s="437"/>
    </row>
    <row r="234" spans="2:52" ht="14.4">
      <c r="B234" s="437"/>
      <c r="C234" s="437"/>
      <c r="D234" s="437" t="s">
        <v>163</v>
      </c>
      <c r="E234" s="56">
        <v>2014</v>
      </c>
      <c r="F234" s="332" t="s">
        <v>277</v>
      </c>
      <c r="G234" s="411">
        <f t="shared" si="113"/>
        <v>47.6</v>
      </c>
      <c r="H234" s="411">
        <f t="shared" si="114"/>
        <v>47.6</v>
      </c>
      <c r="I234" s="57">
        <v>47.6</v>
      </c>
      <c r="J234" s="57">
        <v>47.5</v>
      </c>
      <c r="K234" s="57">
        <v>47.5</v>
      </c>
      <c r="L234" s="57">
        <v>47.4</v>
      </c>
      <c r="M234" s="57">
        <v>47.7</v>
      </c>
      <c r="N234" s="57">
        <v>47.9</v>
      </c>
      <c r="O234" s="57">
        <v>48.2</v>
      </c>
      <c r="P234" s="57">
        <v>48.5</v>
      </c>
      <c r="Q234" s="57">
        <v>48.7</v>
      </c>
      <c r="R234" s="57">
        <v>49.1</v>
      </c>
      <c r="S234" s="57">
        <v>49.4</v>
      </c>
      <c r="T234" s="57">
        <v>49.7</v>
      </c>
      <c r="U234" s="57">
        <v>50.1</v>
      </c>
      <c r="V234" s="57">
        <v>50.4</v>
      </c>
      <c r="W234" s="57">
        <v>50.7</v>
      </c>
      <c r="X234" s="57">
        <v>51</v>
      </c>
      <c r="Y234" s="57">
        <v>51.3</v>
      </c>
      <c r="Z234" s="57">
        <v>51.7</v>
      </c>
      <c r="AA234" s="57">
        <v>52.2</v>
      </c>
      <c r="AB234" s="57">
        <v>52.6</v>
      </c>
      <c r="AC234" s="57">
        <v>53.1</v>
      </c>
      <c r="AD234" s="57">
        <v>53.5</v>
      </c>
      <c r="AE234" s="57">
        <v>53.9</v>
      </c>
      <c r="AF234" s="57">
        <v>54.4</v>
      </c>
      <c r="AG234" s="57">
        <v>54.8</v>
      </c>
      <c r="AH234" s="57">
        <v>55.1</v>
      </c>
      <c r="AI234" s="57">
        <v>55.5</v>
      </c>
      <c r="AJ234" s="57">
        <v>55.9</v>
      </c>
      <c r="AK234" s="57">
        <v>56.3</v>
      </c>
      <c r="AL234" s="57">
        <v>56.7</v>
      </c>
      <c r="AM234" s="57">
        <v>57.1</v>
      </c>
      <c r="AN234" s="57">
        <v>57.5</v>
      </c>
      <c r="AO234" s="57">
        <v>57.9</v>
      </c>
      <c r="AP234" s="57">
        <v>58.3</v>
      </c>
      <c r="AQ234" s="57">
        <v>58.8</v>
      </c>
      <c r="AR234" s="57">
        <v>59.2</v>
      </c>
      <c r="AS234" s="57">
        <v>59.6</v>
      </c>
      <c r="AT234" s="57">
        <v>60.1</v>
      </c>
      <c r="AU234" s="57">
        <v>60.5</v>
      </c>
      <c r="AV234" s="437"/>
      <c r="AW234" s="437"/>
      <c r="AX234" s="437"/>
      <c r="AY234" s="437"/>
      <c r="AZ234" s="437"/>
    </row>
    <row r="235" spans="2:52" ht="14.4">
      <c r="B235" s="437"/>
      <c r="C235" s="53" t="s">
        <v>164</v>
      </c>
      <c r="D235" s="437"/>
      <c r="E235" s="437"/>
      <c r="G235" s="411">
        <f t="shared" si="113"/>
        <v>0</v>
      </c>
      <c r="H235" s="411">
        <f t="shared" si="114"/>
        <v>0</v>
      </c>
      <c r="I235" s="332"/>
      <c r="J235" s="332"/>
      <c r="K235" s="332"/>
      <c r="L235" s="332"/>
      <c r="M235" s="332"/>
      <c r="N235" s="332"/>
      <c r="O235" s="332"/>
      <c r="P235" s="332"/>
      <c r="Q235" s="332"/>
      <c r="R235" s="332"/>
      <c r="S235" s="332"/>
      <c r="T235" s="332"/>
      <c r="U235" s="332"/>
      <c r="V235" s="332"/>
      <c r="W235" s="332"/>
      <c r="X235" s="332"/>
      <c r="Y235" s="332"/>
      <c r="Z235" s="332"/>
      <c r="AA235" s="332"/>
      <c r="AB235" s="332"/>
      <c r="AC235" s="332"/>
      <c r="AD235" s="332"/>
      <c r="AE235" s="332"/>
      <c r="AF235" s="332"/>
      <c r="AG235" s="332"/>
      <c r="AH235" s="332"/>
      <c r="AI235" s="332"/>
      <c r="AJ235" s="332"/>
      <c r="AK235" s="332"/>
      <c r="AL235" s="332"/>
      <c r="AM235" s="332"/>
      <c r="AN235" s="332"/>
      <c r="AO235" s="332"/>
      <c r="AP235" s="332"/>
      <c r="AQ235" s="332"/>
      <c r="AR235" s="332"/>
      <c r="AS235" s="332"/>
      <c r="AT235" s="332"/>
      <c r="AU235" s="332"/>
      <c r="AV235" s="437"/>
      <c r="AW235" s="437"/>
      <c r="AX235" s="437"/>
      <c r="AY235" s="437"/>
      <c r="AZ235" s="437"/>
    </row>
    <row r="236" spans="2:52" ht="14.4">
      <c r="B236" s="432"/>
      <c r="C236" s="437"/>
      <c r="D236" s="437" t="s">
        <v>165</v>
      </c>
      <c r="E236" s="56">
        <v>2014</v>
      </c>
      <c r="F236" s="332" t="s">
        <v>277</v>
      </c>
      <c r="G236" s="411">
        <f t="shared" si="113"/>
        <v>64.099999999999994</v>
      </c>
      <c r="H236" s="411">
        <f t="shared" si="114"/>
        <v>64.099999999999994</v>
      </c>
      <c r="I236" s="57">
        <v>64.099999999999994</v>
      </c>
      <c r="J236" s="57">
        <v>63.2</v>
      </c>
      <c r="K236" s="57">
        <v>62.4</v>
      </c>
      <c r="L236" s="57">
        <v>61.5</v>
      </c>
      <c r="M236" s="57">
        <v>61.9</v>
      </c>
      <c r="N236" s="57">
        <v>62.3</v>
      </c>
      <c r="O236" s="57">
        <v>62.7</v>
      </c>
      <c r="P236" s="419">
        <v>65.821840433738927</v>
      </c>
      <c r="Q236" s="419">
        <v>65.047767429918196</v>
      </c>
      <c r="R236" s="419">
        <v>64.835608715110197</v>
      </c>
      <c r="S236" s="419">
        <v>64.697208823830636</v>
      </c>
      <c r="T236" s="419">
        <v>64.59290976534399</v>
      </c>
      <c r="U236" s="419">
        <v>64.531892471531364</v>
      </c>
      <c r="V236" s="419">
        <v>64.464339558720255</v>
      </c>
      <c r="W236" s="419">
        <v>64.710015549840818</v>
      </c>
      <c r="X236" s="419">
        <v>64.955304437852263</v>
      </c>
      <c r="Y236" s="419">
        <v>65.200194985641772</v>
      </c>
      <c r="Z236" s="419">
        <v>65.444676055494327</v>
      </c>
      <c r="AA236" s="419">
        <v>65.688736608355271</v>
      </c>
      <c r="AB236" s="419">
        <v>65.884596633860156</v>
      </c>
      <c r="AC236" s="419">
        <v>66.08036338926722</v>
      </c>
      <c r="AD236" s="419">
        <v>66.276021603357506</v>
      </c>
      <c r="AE236" s="419">
        <v>66.471556138902102</v>
      </c>
      <c r="AF236" s="419">
        <v>66.66695199165018</v>
      </c>
      <c r="AG236" s="419">
        <v>66.829694828730965</v>
      </c>
      <c r="AH236" s="419">
        <v>66.992074665035901</v>
      </c>
      <c r="AI236" s="419">
        <v>67.154082323490499</v>
      </c>
      <c r="AJ236" s="419">
        <v>67.315708706874133</v>
      </c>
      <c r="AK236" s="419">
        <v>67.476944797280851</v>
      </c>
      <c r="AL236" s="421">
        <f>($AK$215-$AB$215)/10+AK236</f>
        <v>67.524359822318473</v>
      </c>
      <c r="AM236" s="421">
        <f t="shared" ref="AM236:AU236" si="115">($AK$215-$AB$215)/10+AL236</f>
        <v>67.571774847356096</v>
      </c>
      <c r="AN236" s="421">
        <f t="shared" si="115"/>
        <v>67.619189872393719</v>
      </c>
      <c r="AO236" s="421">
        <f t="shared" si="115"/>
        <v>67.666604897431341</v>
      </c>
      <c r="AP236" s="421">
        <f t="shared" si="115"/>
        <v>67.714019922468964</v>
      </c>
      <c r="AQ236" s="421">
        <f t="shared" si="115"/>
        <v>67.761434947506586</v>
      </c>
      <c r="AR236" s="421">
        <f t="shared" si="115"/>
        <v>67.808849972544209</v>
      </c>
      <c r="AS236" s="421">
        <f t="shared" si="115"/>
        <v>67.856264997581832</v>
      </c>
      <c r="AT236" s="421">
        <f t="shared" si="115"/>
        <v>67.903680022619454</v>
      </c>
      <c r="AU236" s="421">
        <f t="shared" si="115"/>
        <v>67.951095047657077</v>
      </c>
      <c r="AV236" s="437"/>
      <c r="AW236" s="437"/>
      <c r="AX236" s="437"/>
      <c r="AY236" s="437"/>
      <c r="AZ236" s="437"/>
    </row>
    <row r="237" spans="2:52" ht="14.4">
      <c r="B237" s="437"/>
      <c r="C237" s="437"/>
      <c r="D237" s="437" t="s">
        <v>166</v>
      </c>
      <c r="E237" s="56">
        <v>2014</v>
      </c>
      <c r="F237" s="332" t="s">
        <v>277</v>
      </c>
      <c r="G237" s="411">
        <f t="shared" si="113"/>
        <v>66.3</v>
      </c>
      <c r="H237" s="411">
        <f t="shared" si="114"/>
        <v>66.3</v>
      </c>
      <c r="I237" s="57">
        <v>66.3</v>
      </c>
      <c r="J237" s="57">
        <v>65.400000000000006</v>
      </c>
      <c r="K237" s="57">
        <v>64.5</v>
      </c>
      <c r="L237" s="57">
        <v>63.6</v>
      </c>
      <c r="M237" s="57">
        <v>64</v>
      </c>
      <c r="N237" s="57">
        <v>64.400000000000006</v>
      </c>
      <c r="O237" s="57">
        <v>64.8</v>
      </c>
      <c r="P237" s="57">
        <v>65.099999999999994</v>
      </c>
      <c r="Q237" s="57">
        <v>65.5</v>
      </c>
      <c r="R237" s="57">
        <v>66</v>
      </c>
      <c r="S237" s="57">
        <v>66.599999999999994</v>
      </c>
      <c r="T237" s="57">
        <v>67.099999999999994</v>
      </c>
      <c r="U237" s="57">
        <v>67.7</v>
      </c>
      <c r="V237" s="57">
        <v>68.2</v>
      </c>
      <c r="W237" s="57">
        <v>68.599999999999994</v>
      </c>
      <c r="X237" s="57">
        <v>69</v>
      </c>
      <c r="Y237" s="57">
        <v>69.5</v>
      </c>
      <c r="Z237" s="57">
        <v>69.900000000000006</v>
      </c>
      <c r="AA237" s="57">
        <v>70.3</v>
      </c>
      <c r="AB237" s="57">
        <v>70.599999999999994</v>
      </c>
      <c r="AC237" s="57">
        <v>70.900000000000006</v>
      </c>
      <c r="AD237" s="57">
        <v>71.3</v>
      </c>
      <c r="AE237" s="57">
        <v>71.599999999999994</v>
      </c>
      <c r="AF237" s="57">
        <v>71.900000000000006</v>
      </c>
      <c r="AG237" s="57">
        <v>72.2</v>
      </c>
      <c r="AH237" s="57">
        <v>72.5</v>
      </c>
      <c r="AI237" s="57">
        <v>72.8</v>
      </c>
      <c r="AJ237" s="57">
        <v>73.099999999999994</v>
      </c>
      <c r="AK237" s="57">
        <v>73.3</v>
      </c>
      <c r="AL237" s="57">
        <v>73.599999999999994</v>
      </c>
      <c r="AM237" s="57">
        <v>73.900000000000006</v>
      </c>
      <c r="AN237" s="57">
        <v>74.2</v>
      </c>
      <c r="AO237" s="57">
        <v>74.400000000000006</v>
      </c>
      <c r="AP237" s="57">
        <v>74.7</v>
      </c>
      <c r="AQ237" s="57">
        <v>75.099999999999994</v>
      </c>
      <c r="AR237" s="57">
        <v>75.5</v>
      </c>
      <c r="AS237" s="57">
        <v>75.8</v>
      </c>
      <c r="AT237" s="57">
        <v>76.2</v>
      </c>
      <c r="AU237" s="57">
        <v>76.5</v>
      </c>
      <c r="AV237" s="437"/>
      <c r="AW237" s="437"/>
      <c r="AX237" s="437"/>
      <c r="AY237" s="437"/>
      <c r="AZ237" s="437"/>
    </row>
    <row r="238" spans="2:52" ht="14.4">
      <c r="B238" s="437"/>
      <c r="C238" s="437"/>
      <c r="D238" s="437" t="s">
        <v>167</v>
      </c>
      <c r="E238" s="56">
        <v>2014</v>
      </c>
      <c r="F238" s="332" t="s">
        <v>277</v>
      </c>
      <c r="G238" s="411">
        <f t="shared" si="113"/>
        <v>70.900000000000006</v>
      </c>
      <c r="H238" s="411">
        <f t="shared" si="114"/>
        <v>70.900000000000006</v>
      </c>
      <c r="I238" s="57">
        <v>70.900000000000006</v>
      </c>
      <c r="J238" s="57">
        <v>69.900000000000006</v>
      </c>
      <c r="K238" s="57">
        <v>68.900000000000006</v>
      </c>
      <c r="L238" s="57">
        <v>67.900000000000006</v>
      </c>
      <c r="M238" s="57">
        <v>68.3</v>
      </c>
      <c r="N238" s="57">
        <v>68.7</v>
      </c>
      <c r="O238" s="57">
        <v>69.099999999999994</v>
      </c>
      <c r="P238" s="57">
        <v>69.5</v>
      </c>
      <c r="Q238" s="57">
        <v>69.900000000000006</v>
      </c>
      <c r="R238" s="57">
        <v>70.400000000000006</v>
      </c>
      <c r="S238" s="57">
        <v>71</v>
      </c>
      <c r="T238" s="57">
        <v>71.599999999999994</v>
      </c>
      <c r="U238" s="57">
        <v>72.2</v>
      </c>
      <c r="V238" s="57">
        <v>72.8</v>
      </c>
      <c r="W238" s="57">
        <v>73.2</v>
      </c>
      <c r="X238" s="57">
        <v>73.599999999999994</v>
      </c>
      <c r="Y238" s="57">
        <v>74</v>
      </c>
      <c r="Z238" s="57">
        <v>74.5</v>
      </c>
      <c r="AA238" s="57">
        <v>74.900000000000006</v>
      </c>
      <c r="AB238" s="57">
        <v>75.2</v>
      </c>
      <c r="AC238" s="57">
        <v>75.599999999999994</v>
      </c>
      <c r="AD238" s="57">
        <v>75.900000000000006</v>
      </c>
      <c r="AE238" s="57">
        <v>76.3</v>
      </c>
      <c r="AF238" s="57">
        <v>76.599999999999994</v>
      </c>
      <c r="AG238" s="57">
        <v>76.900000000000006</v>
      </c>
      <c r="AH238" s="57">
        <v>77.2</v>
      </c>
      <c r="AI238" s="57">
        <v>77.5</v>
      </c>
      <c r="AJ238" s="57">
        <v>77.8</v>
      </c>
      <c r="AK238" s="57">
        <v>78.099999999999994</v>
      </c>
      <c r="AL238" s="57">
        <v>78.3</v>
      </c>
      <c r="AM238" s="57">
        <v>78.599999999999994</v>
      </c>
      <c r="AN238" s="57">
        <v>78.900000000000006</v>
      </c>
      <c r="AO238" s="57">
        <v>79.2</v>
      </c>
      <c r="AP238" s="57">
        <v>79.5</v>
      </c>
      <c r="AQ238" s="57">
        <v>79.8</v>
      </c>
      <c r="AR238" s="57">
        <v>80.2</v>
      </c>
      <c r="AS238" s="57">
        <v>80.599999999999994</v>
      </c>
      <c r="AT238" s="57">
        <v>80.900000000000006</v>
      </c>
      <c r="AU238" s="57">
        <v>81.3</v>
      </c>
      <c r="AV238" s="437"/>
      <c r="AW238" s="437"/>
      <c r="AX238" s="437"/>
      <c r="AY238" s="437"/>
      <c r="AZ238" s="437"/>
    </row>
    <row r="239" spans="2:52" ht="14.4">
      <c r="B239" s="437"/>
      <c r="C239" s="53" t="s">
        <v>168</v>
      </c>
      <c r="D239" s="437"/>
      <c r="E239" s="437"/>
      <c r="G239" s="411">
        <f t="shared" si="113"/>
        <v>0</v>
      </c>
      <c r="H239" s="411">
        <f t="shared" si="114"/>
        <v>0</v>
      </c>
      <c r="I239" s="437"/>
      <c r="J239" s="437"/>
      <c r="K239" s="437"/>
      <c r="L239" s="437"/>
      <c r="M239" s="437"/>
      <c r="N239" s="437"/>
      <c r="O239" s="437"/>
      <c r="P239" s="437"/>
      <c r="Q239" s="437"/>
      <c r="R239" s="437"/>
      <c r="S239" s="437"/>
      <c r="T239" s="437"/>
      <c r="U239" s="437"/>
      <c r="V239" s="437"/>
      <c r="W239" s="437"/>
      <c r="X239" s="437"/>
      <c r="Y239" s="437"/>
      <c r="Z239" s="437"/>
      <c r="AA239" s="437"/>
      <c r="AB239" s="437"/>
      <c r="AC239" s="437"/>
      <c r="AD239" s="437"/>
      <c r="AE239" s="437"/>
      <c r="AF239" s="437"/>
      <c r="AG239" s="437"/>
      <c r="AH239" s="437"/>
      <c r="AI239" s="437"/>
      <c r="AJ239" s="437"/>
      <c r="AK239" s="437"/>
      <c r="AL239" s="437"/>
      <c r="AM239" s="437"/>
      <c r="AN239" s="437"/>
      <c r="AO239" s="437"/>
      <c r="AP239" s="437"/>
      <c r="AQ239" s="437"/>
      <c r="AR239" s="437"/>
      <c r="AS239" s="437"/>
      <c r="AT239" s="437"/>
      <c r="AU239" s="437"/>
      <c r="AV239" s="437"/>
      <c r="AW239" s="437"/>
      <c r="AX239" s="437"/>
      <c r="AY239" s="437"/>
      <c r="AZ239" s="437"/>
    </row>
    <row r="240" spans="2:52" ht="14.4">
      <c r="B240" s="437"/>
      <c r="C240" s="53"/>
      <c r="D240" s="437" t="s">
        <v>207</v>
      </c>
      <c r="E240" s="56">
        <v>2014</v>
      </c>
      <c r="F240" s="332" t="s">
        <v>277</v>
      </c>
      <c r="G240" s="411">
        <f t="shared" si="113"/>
        <v>73.7</v>
      </c>
      <c r="H240" s="411">
        <f t="shared" si="114"/>
        <v>73.7</v>
      </c>
      <c r="I240" s="57">
        <v>73.7</v>
      </c>
      <c r="J240" s="57">
        <v>72.7</v>
      </c>
      <c r="K240" s="57">
        <v>71.8</v>
      </c>
      <c r="L240" s="57">
        <v>70.8</v>
      </c>
      <c r="M240" s="57">
        <v>71.2</v>
      </c>
      <c r="N240" s="57">
        <v>71.599999999999994</v>
      </c>
      <c r="O240" s="57">
        <v>72.099999999999994</v>
      </c>
      <c r="P240" s="420">
        <v>76.091254383044159</v>
      </c>
      <c r="Q240" s="420">
        <v>75.196411798020051</v>
      </c>
      <c r="R240" s="420">
        <v>74.951152433777779</v>
      </c>
      <c r="S240" s="420">
        <v>74.791159621900391</v>
      </c>
      <c r="T240" s="420">
        <v>74.670587997969449</v>
      </c>
      <c r="U240" s="420">
        <v>74.600050887571641</v>
      </c>
      <c r="V240" s="420">
        <v>74.521958481781198</v>
      </c>
      <c r="W240" s="420">
        <v>74.805964431979135</v>
      </c>
      <c r="X240" s="420">
        <v>75.089522883885408</v>
      </c>
      <c r="Y240" s="420">
        <v>75.372620847191584</v>
      </c>
      <c r="Z240" s="420">
        <v>75.65524544649486</v>
      </c>
      <c r="AA240" s="420">
        <v>75.937383920445654</v>
      </c>
      <c r="AB240" s="420">
        <v>76.163801701017505</v>
      </c>
      <c r="AC240" s="420">
        <v>76.390111659646166</v>
      </c>
      <c r="AD240" s="420">
        <v>76.616296142522543</v>
      </c>
      <c r="AE240" s="420">
        <v>76.842337650732446</v>
      </c>
      <c r="AF240" s="420">
        <v>77.068218839086825</v>
      </c>
      <c r="AG240" s="420">
        <v>77.256352542637686</v>
      </c>
      <c r="AH240" s="420">
        <v>77.444066610636042</v>
      </c>
      <c r="AI240" s="420">
        <v>77.631350434215534</v>
      </c>
      <c r="AJ240" s="420">
        <v>77.818193496822346</v>
      </c>
      <c r="AK240" s="420">
        <v>78.004585373591794</v>
      </c>
      <c r="AL240" s="421">
        <f>($AK$215-$AB$215)/10+AK240</f>
        <v>78.052000398629417</v>
      </c>
      <c r="AM240" s="421">
        <f t="shared" ref="AM240:AU240" si="116">($AK$215-$AB$215)/10+AL240</f>
        <v>78.09941542366704</v>
      </c>
      <c r="AN240" s="421">
        <f t="shared" si="116"/>
        <v>78.146830448704662</v>
      </c>
      <c r="AO240" s="421">
        <f t="shared" si="116"/>
        <v>78.194245473742285</v>
      </c>
      <c r="AP240" s="421">
        <f t="shared" si="116"/>
        <v>78.241660498779908</v>
      </c>
      <c r="AQ240" s="421">
        <f t="shared" si="116"/>
        <v>78.28907552381753</v>
      </c>
      <c r="AR240" s="421">
        <f t="shared" si="116"/>
        <v>78.336490548855153</v>
      </c>
      <c r="AS240" s="421">
        <f t="shared" si="116"/>
        <v>78.383905573892775</v>
      </c>
      <c r="AT240" s="421">
        <f t="shared" si="116"/>
        <v>78.431320598930398</v>
      </c>
      <c r="AU240" s="421">
        <f t="shared" si="116"/>
        <v>78.478735623968021</v>
      </c>
      <c r="AV240" s="437"/>
      <c r="AW240" s="437"/>
      <c r="AX240" s="437"/>
      <c r="AY240" s="437"/>
      <c r="AZ240" s="437"/>
    </row>
    <row r="241" spans="2:52" ht="14.4">
      <c r="B241" s="437"/>
      <c r="C241" s="437"/>
      <c r="D241" s="437" t="s">
        <v>169</v>
      </c>
      <c r="E241" s="56">
        <v>2014</v>
      </c>
      <c r="F241" s="332" t="s">
        <v>277</v>
      </c>
      <c r="G241" s="411">
        <f t="shared" si="113"/>
        <v>106.1</v>
      </c>
      <c r="H241" s="411">
        <f t="shared" si="114"/>
        <v>106.1</v>
      </c>
      <c r="I241" s="57">
        <v>106.1</v>
      </c>
      <c r="J241" s="57">
        <v>104.4</v>
      </c>
      <c r="K241" s="57">
        <v>102.6</v>
      </c>
      <c r="L241" s="57">
        <v>100.9</v>
      </c>
      <c r="M241" s="57">
        <v>101.4</v>
      </c>
      <c r="N241" s="57">
        <v>102</v>
      </c>
      <c r="O241" s="57">
        <v>102.6</v>
      </c>
      <c r="P241" s="57">
        <v>103.1</v>
      </c>
      <c r="Q241" s="57">
        <v>103.7</v>
      </c>
      <c r="R241" s="57">
        <v>104.5</v>
      </c>
      <c r="S241" s="57">
        <v>105.3</v>
      </c>
      <c r="T241" s="57">
        <v>106.2</v>
      </c>
      <c r="U241" s="57">
        <v>107</v>
      </c>
      <c r="V241" s="57">
        <v>107.9</v>
      </c>
      <c r="W241" s="57">
        <v>108.5</v>
      </c>
      <c r="X241" s="57">
        <v>109</v>
      </c>
      <c r="Y241" s="57">
        <v>109.6</v>
      </c>
      <c r="Z241" s="57">
        <v>110.2</v>
      </c>
      <c r="AA241" s="57">
        <v>110.8</v>
      </c>
      <c r="AB241" s="57">
        <v>111.3</v>
      </c>
      <c r="AC241" s="57">
        <v>111.7</v>
      </c>
      <c r="AD241" s="57">
        <v>112.1</v>
      </c>
      <c r="AE241" s="57">
        <v>112.6</v>
      </c>
      <c r="AF241" s="57">
        <v>113</v>
      </c>
      <c r="AG241" s="57">
        <v>113.4</v>
      </c>
      <c r="AH241" s="57">
        <v>113.8</v>
      </c>
      <c r="AI241" s="57">
        <v>114.2</v>
      </c>
      <c r="AJ241" s="57">
        <v>114.5</v>
      </c>
      <c r="AK241" s="57">
        <v>114.9</v>
      </c>
      <c r="AL241" s="57">
        <v>115.3</v>
      </c>
      <c r="AM241" s="57">
        <v>115.6</v>
      </c>
      <c r="AN241" s="57">
        <v>116</v>
      </c>
      <c r="AO241" s="57">
        <v>116.3</v>
      </c>
      <c r="AP241" s="57">
        <v>116.7</v>
      </c>
      <c r="AQ241" s="57">
        <v>117.1</v>
      </c>
      <c r="AR241" s="57">
        <v>117.6</v>
      </c>
      <c r="AS241" s="57">
        <v>118</v>
      </c>
      <c r="AT241" s="57">
        <v>118.5</v>
      </c>
      <c r="AU241" s="57">
        <v>118.9</v>
      </c>
      <c r="AV241" s="437"/>
      <c r="AW241" s="437"/>
      <c r="AX241" s="437"/>
      <c r="AY241" s="437"/>
      <c r="AZ241" s="437"/>
    </row>
    <row r="242" spans="2:52" ht="14.4">
      <c r="B242" s="437"/>
      <c r="C242" s="53" t="s">
        <v>170</v>
      </c>
      <c r="D242" s="437"/>
      <c r="E242" s="437"/>
      <c r="G242" s="411">
        <f t="shared" si="113"/>
        <v>0</v>
      </c>
      <c r="H242" s="411">
        <f t="shared" si="114"/>
        <v>0</v>
      </c>
      <c r="I242" s="332"/>
      <c r="J242" s="332"/>
      <c r="K242" s="332"/>
      <c r="L242" s="332"/>
      <c r="M242" s="332"/>
      <c r="N242" s="332"/>
      <c r="O242" s="332"/>
      <c r="P242" s="332"/>
      <c r="Q242" s="332"/>
      <c r="R242" s="332"/>
      <c r="S242" s="332"/>
      <c r="T242" s="332"/>
      <c r="U242" s="332"/>
      <c r="V242" s="332"/>
      <c r="W242" s="332"/>
      <c r="X242" s="332"/>
      <c r="Y242" s="332"/>
      <c r="Z242" s="332"/>
      <c r="AA242" s="332"/>
      <c r="AB242" s="332"/>
      <c r="AC242" s="332"/>
      <c r="AD242" s="332"/>
      <c r="AE242" s="332"/>
      <c r="AF242" s="332"/>
      <c r="AG242" s="332"/>
      <c r="AH242" s="332"/>
      <c r="AI242" s="332"/>
      <c r="AJ242" s="332"/>
      <c r="AK242" s="332"/>
      <c r="AL242" s="332"/>
      <c r="AM242" s="332"/>
      <c r="AN242" s="332"/>
      <c r="AO242" s="332"/>
      <c r="AP242" s="332"/>
      <c r="AQ242" s="332"/>
      <c r="AR242" s="332"/>
      <c r="AS242" s="332"/>
      <c r="AT242" s="332"/>
      <c r="AU242" s="332"/>
      <c r="AV242" s="437"/>
      <c r="AW242" s="437"/>
      <c r="AX242" s="437"/>
      <c r="AY242" s="437"/>
      <c r="AZ242" s="437"/>
    </row>
    <row r="243" spans="2:52" ht="14.4">
      <c r="B243" s="432"/>
      <c r="C243" s="437"/>
      <c r="D243" s="437" t="s">
        <v>171</v>
      </c>
      <c r="E243" s="56">
        <v>2014</v>
      </c>
      <c r="F243" s="332" t="s">
        <v>277</v>
      </c>
      <c r="G243" s="411">
        <f t="shared" si="113"/>
        <v>41.5</v>
      </c>
      <c r="H243" s="411">
        <f t="shared" si="114"/>
        <v>41.5</v>
      </c>
      <c r="I243" s="57">
        <v>41.5</v>
      </c>
      <c r="J243" s="57">
        <v>41.2</v>
      </c>
      <c r="K243" s="57">
        <v>40.799999999999997</v>
      </c>
      <c r="L243" s="57">
        <v>40.5</v>
      </c>
      <c r="M243" s="57">
        <v>40.9</v>
      </c>
      <c r="N243" s="57">
        <v>41.4</v>
      </c>
      <c r="O243" s="57">
        <v>41.8</v>
      </c>
      <c r="P243" s="57">
        <v>42.3</v>
      </c>
      <c r="Q243" s="57">
        <v>42.7</v>
      </c>
      <c r="R243" s="57">
        <v>43.3</v>
      </c>
      <c r="S243" s="57">
        <v>43.9</v>
      </c>
      <c r="T243" s="57">
        <v>44.5</v>
      </c>
      <c r="U243" s="57">
        <v>45</v>
      </c>
      <c r="V243" s="57">
        <v>45.6</v>
      </c>
      <c r="W243" s="57">
        <v>46.1</v>
      </c>
      <c r="X243" s="57">
        <v>46.6</v>
      </c>
      <c r="Y243" s="57">
        <v>47.1</v>
      </c>
      <c r="Z243" s="57">
        <v>47.6</v>
      </c>
      <c r="AA243" s="57">
        <v>48.1</v>
      </c>
      <c r="AB243" s="57">
        <v>48.4</v>
      </c>
      <c r="AC243" s="57">
        <v>48.8</v>
      </c>
      <c r="AD243" s="57">
        <v>49.2</v>
      </c>
      <c r="AE243" s="57">
        <v>49.6</v>
      </c>
      <c r="AF243" s="57">
        <v>50</v>
      </c>
      <c r="AG243" s="57">
        <v>50.4</v>
      </c>
      <c r="AH243" s="57">
        <v>50.7</v>
      </c>
      <c r="AI243" s="57">
        <v>51.1</v>
      </c>
      <c r="AJ243" s="57">
        <v>51.5</v>
      </c>
      <c r="AK243" s="57">
        <v>51.8</v>
      </c>
      <c r="AL243" s="57">
        <v>52.2</v>
      </c>
      <c r="AM243" s="57">
        <v>52.6</v>
      </c>
      <c r="AN243" s="57">
        <v>52.9</v>
      </c>
      <c r="AO243" s="57">
        <v>53.3</v>
      </c>
      <c r="AP243" s="57">
        <v>53.7</v>
      </c>
      <c r="AQ243" s="57">
        <v>54.1</v>
      </c>
      <c r="AR243" s="57">
        <v>54.5</v>
      </c>
      <c r="AS243" s="57">
        <v>54.9</v>
      </c>
      <c r="AT243" s="57">
        <v>55.3</v>
      </c>
      <c r="AU243" s="57">
        <v>55.7</v>
      </c>
      <c r="AV243" s="437"/>
      <c r="AW243" s="437"/>
      <c r="AX243" s="437"/>
      <c r="AY243" s="437"/>
      <c r="AZ243" s="437"/>
    </row>
    <row r="244" spans="2:52" ht="14.4">
      <c r="B244" s="437"/>
      <c r="C244" s="437"/>
      <c r="D244" s="437" t="s">
        <v>172</v>
      </c>
      <c r="E244" s="56">
        <v>2014</v>
      </c>
      <c r="F244" s="332" t="s">
        <v>277</v>
      </c>
      <c r="G244" s="411">
        <f t="shared" si="113"/>
        <v>39.9</v>
      </c>
      <c r="H244" s="411">
        <f t="shared" si="114"/>
        <v>39.9</v>
      </c>
      <c r="I244" s="57">
        <v>39.9</v>
      </c>
      <c r="J244" s="57">
        <v>39.5</v>
      </c>
      <c r="K244" s="57">
        <v>39.200000000000003</v>
      </c>
      <c r="L244" s="57">
        <v>38.799999999999997</v>
      </c>
      <c r="M244" s="57">
        <v>39.299999999999997</v>
      </c>
      <c r="N244" s="57">
        <v>39.700000000000003</v>
      </c>
      <c r="O244" s="57">
        <v>40.1</v>
      </c>
      <c r="P244" s="57">
        <v>40.6</v>
      </c>
      <c r="Q244" s="57">
        <v>41</v>
      </c>
      <c r="R244" s="57">
        <v>41.6</v>
      </c>
      <c r="S244" s="57">
        <v>42.1</v>
      </c>
      <c r="T244" s="57">
        <v>42.6</v>
      </c>
      <c r="U244" s="57">
        <v>42.9</v>
      </c>
      <c r="V244" s="57">
        <v>43.2</v>
      </c>
      <c r="W244" s="57">
        <v>43.4</v>
      </c>
      <c r="X244" s="57">
        <v>43.6</v>
      </c>
      <c r="Y244" s="57">
        <v>43.9</v>
      </c>
      <c r="Z244" s="57">
        <v>44.3</v>
      </c>
      <c r="AA244" s="57">
        <v>44.7</v>
      </c>
      <c r="AB244" s="57">
        <v>45.1</v>
      </c>
      <c r="AC244" s="57">
        <v>45.4</v>
      </c>
      <c r="AD244" s="57">
        <v>45.8</v>
      </c>
      <c r="AE244" s="57">
        <v>46.2</v>
      </c>
      <c r="AF244" s="57">
        <v>46.5</v>
      </c>
      <c r="AG244" s="57">
        <v>46.9</v>
      </c>
      <c r="AH244" s="57">
        <v>47.2</v>
      </c>
      <c r="AI244" s="57">
        <v>47.5</v>
      </c>
      <c r="AJ244" s="57">
        <v>47.9</v>
      </c>
      <c r="AK244" s="57">
        <v>48.2</v>
      </c>
      <c r="AL244" s="57">
        <v>48.6</v>
      </c>
      <c r="AM244" s="57">
        <v>48.9</v>
      </c>
      <c r="AN244" s="57">
        <v>49.2</v>
      </c>
      <c r="AO244" s="57">
        <v>49.6</v>
      </c>
      <c r="AP244" s="57">
        <v>49.9</v>
      </c>
      <c r="AQ244" s="57">
        <v>50.3</v>
      </c>
      <c r="AR244" s="57">
        <v>50.7</v>
      </c>
      <c r="AS244" s="57">
        <v>51</v>
      </c>
      <c r="AT244" s="57">
        <v>51.4</v>
      </c>
      <c r="AU244" s="57">
        <v>51.8</v>
      </c>
      <c r="AV244" s="437"/>
      <c r="AW244" s="437"/>
      <c r="AX244" s="437"/>
      <c r="AY244" s="437"/>
      <c r="AZ244" s="437"/>
    </row>
    <row r="245" spans="2:52">
      <c r="B245" s="437"/>
      <c r="C245" s="551" t="s">
        <v>530</v>
      </c>
      <c r="D245" s="437"/>
      <c r="G245" s="437"/>
      <c r="H245" s="437"/>
      <c r="I245" s="437"/>
      <c r="J245" s="437"/>
      <c r="K245" s="437"/>
      <c r="L245" s="437"/>
      <c r="M245" s="437"/>
      <c r="N245" s="437"/>
      <c r="O245" s="437"/>
      <c r="P245" s="437"/>
      <c r="Q245" s="437"/>
      <c r="R245" s="437"/>
      <c r="S245" s="437"/>
      <c r="T245" s="437"/>
      <c r="U245" s="437"/>
      <c r="V245" s="437"/>
      <c r="W245" s="437"/>
      <c r="X245" s="437"/>
      <c r="Y245" s="437"/>
      <c r="Z245" s="437"/>
      <c r="AA245" s="437"/>
      <c r="AB245" s="437"/>
      <c r="AC245" s="437"/>
      <c r="AD245" s="437"/>
      <c r="AE245" s="437"/>
      <c r="AF245" s="437"/>
      <c r="AG245" s="437"/>
      <c r="AH245" s="437"/>
      <c r="AI245" s="437"/>
      <c r="AJ245" s="437"/>
      <c r="AK245" s="437"/>
      <c r="AL245" s="437"/>
      <c r="AM245" s="437"/>
      <c r="AN245" s="437"/>
      <c r="AO245" s="437"/>
      <c r="AP245" s="437"/>
      <c r="AQ245" s="437"/>
      <c r="AR245" s="437"/>
      <c r="AS245" s="437"/>
      <c r="AT245" s="437"/>
      <c r="AU245" s="437"/>
      <c r="AV245" s="437"/>
      <c r="AW245" s="437"/>
      <c r="AX245" s="437"/>
      <c r="AY245" s="437"/>
      <c r="AZ245" s="437"/>
    </row>
    <row r="246" spans="2:52">
      <c r="B246" s="437"/>
      <c r="C246" s="551" t="s">
        <v>531</v>
      </c>
      <c r="D246" s="437"/>
      <c r="G246" s="437"/>
      <c r="H246" s="437"/>
      <c r="I246" s="437"/>
      <c r="J246" s="437"/>
      <c r="K246" s="437"/>
      <c r="L246" s="437"/>
      <c r="M246" s="437"/>
      <c r="N246" s="437"/>
      <c r="O246" s="437"/>
      <c r="P246" s="437"/>
      <c r="Q246" s="437"/>
      <c r="R246" s="437"/>
      <c r="S246" s="437"/>
      <c r="T246" s="437"/>
      <c r="U246" s="437"/>
      <c r="V246" s="437"/>
      <c r="W246" s="437"/>
      <c r="X246" s="437"/>
      <c r="Y246" s="437"/>
      <c r="Z246" s="437"/>
      <c r="AA246" s="437"/>
      <c r="AB246" s="437"/>
      <c r="AC246" s="437"/>
      <c r="AD246" s="437"/>
      <c r="AE246" s="437"/>
      <c r="AF246" s="437"/>
      <c r="AG246" s="437"/>
      <c r="AH246" s="437"/>
      <c r="AI246" s="437"/>
      <c r="AJ246" s="437"/>
      <c r="AK246" s="437"/>
      <c r="AL246" s="437"/>
      <c r="AM246" s="437"/>
      <c r="AN246" s="437"/>
      <c r="AO246" s="437"/>
      <c r="AP246" s="437"/>
      <c r="AQ246" s="437"/>
      <c r="AR246" s="437"/>
      <c r="AS246" s="437"/>
      <c r="AT246" s="437"/>
      <c r="AU246" s="437"/>
      <c r="AV246" s="437"/>
      <c r="AW246" s="437"/>
      <c r="AX246" s="437"/>
      <c r="AY246" s="437"/>
      <c r="AZ246" s="437"/>
    </row>
    <row r="247" spans="2:52">
      <c r="B247" s="437"/>
      <c r="C247" s="437"/>
      <c r="D247" s="437"/>
      <c r="G247" s="437"/>
      <c r="H247" s="437"/>
      <c r="I247" s="437"/>
      <c r="J247" s="437"/>
      <c r="K247" s="437"/>
      <c r="L247" s="437"/>
      <c r="M247" s="437"/>
      <c r="N247" s="437"/>
      <c r="O247" s="437"/>
      <c r="P247" s="437"/>
      <c r="Q247" s="437"/>
      <c r="R247" s="437"/>
      <c r="S247" s="437"/>
      <c r="T247" s="437"/>
      <c r="U247" s="437"/>
      <c r="V247" s="437"/>
      <c r="W247" s="437"/>
      <c r="X247" s="437"/>
      <c r="Y247" s="437"/>
      <c r="Z247" s="437"/>
      <c r="AA247" s="437"/>
      <c r="AB247" s="437"/>
      <c r="AC247" s="437"/>
      <c r="AD247" s="437"/>
      <c r="AE247" s="437"/>
      <c r="AF247" s="437"/>
      <c r="AG247" s="437"/>
      <c r="AH247" s="437"/>
      <c r="AI247" s="437"/>
      <c r="AJ247" s="437"/>
      <c r="AK247" s="437"/>
      <c r="AL247" s="437"/>
      <c r="AM247" s="437"/>
      <c r="AN247" s="437"/>
      <c r="AO247" s="437"/>
      <c r="AP247" s="437"/>
      <c r="AQ247" s="437"/>
      <c r="AR247" s="437"/>
      <c r="AS247" s="437"/>
      <c r="AT247" s="437"/>
      <c r="AU247" s="437"/>
      <c r="AV247" s="437"/>
      <c r="AW247" s="437"/>
      <c r="AX247" s="437"/>
      <c r="AY247" s="437"/>
      <c r="AZ247" s="437"/>
    </row>
    <row r="248" spans="2:52">
      <c r="B248" s="437"/>
      <c r="C248" s="437"/>
      <c r="D248" s="437"/>
      <c r="G248" s="437"/>
      <c r="H248" s="437"/>
      <c r="I248" s="437"/>
      <c r="J248" s="437"/>
      <c r="K248" s="437"/>
      <c r="L248" s="437"/>
      <c r="M248" s="437"/>
      <c r="N248" s="437"/>
      <c r="O248" s="437"/>
      <c r="P248" s="437"/>
      <c r="Q248" s="437"/>
      <c r="R248" s="437"/>
      <c r="S248" s="437"/>
      <c r="T248" s="437"/>
      <c r="U248" s="437"/>
      <c r="V248" s="437"/>
      <c r="W248" s="437"/>
      <c r="X248" s="437"/>
      <c r="Y248" s="437"/>
      <c r="Z248" s="437"/>
      <c r="AA248" s="437"/>
      <c r="AB248" s="437"/>
      <c r="AC248" s="437"/>
      <c r="AD248" s="437"/>
      <c r="AE248" s="437"/>
      <c r="AF248" s="437"/>
      <c r="AG248" s="437"/>
      <c r="AH248" s="437"/>
      <c r="AI248" s="437"/>
      <c r="AJ248" s="437"/>
      <c r="AK248" s="437"/>
      <c r="AL248" s="437"/>
      <c r="AM248" s="437"/>
      <c r="AN248" s="437"/>
      <c r="AO248" s="437"/>
      <c r="AP248" s="437"/>
      <c r="AQ248" s="437"/>
      <c r="AR248" s="437"/>
      <c r="AS248" s="437"/>
      <c r="AT248" s="437"/>
      <c r="AU248" s="437"/>
      <c r="AV248" s="437"/>
      <c r="AW248" s="437"/>
      <c r="AX248" s="437"/>
      <c r="AY248" s="437"/>
      <c r="AZ248" s="437"/>
    </row>
    <row r="249" spans="2:52">
      <c r="B249" s="437"/>
      <c r="C249" s="437"/>
      <c r="D249" s="437"/>
      <c r="G249" s="437"/>
      <c r="H249" s="437"/>
      <c r="I249" s="437"/>
      <c r="J249" s="437"/>
      <c r="K249" s="437"/>
      <c r="L249" s="437"/>
      <c r="M249" s="437"/>
      <c r="N249" s="437"/>
      <c r="O249" s="437"/>
      <c r="P249" s="437"/>
      <c r="Q249" s="437"/>
      <c r="R249" s="437"/>
      <c r="S249" s="437"/>
      <c r="T249" s="437"/>
      <c r="U249" s="437"/>
      <c r="V249" s="437"/>
      <c r="W249" s="437"/>
      <c r="X249" s="437"/>
      <c r="Y249" s="437"/>
      <c r="Z249" s="437"/>
      <c r="AA249" s="437"/>
      <c r="AB249" s="437"/>
      <c r="AC249" s="437"/>
      <c r="AD249" s="437"/>
      <c r="AE249" s="437"/>
      <c r="AF249" s="437"/>
      <c r="AG249" s="437"/>
      <c r="AH249" s="437"/>
      <c r="AI249" s="437"/>
      <c r="AJ249" s="437"/>
      <c r="AK249" s="437"/>
      <c r="AL249" s="437"/>
      <c r="AM249" s="437"/>
      <c r="AN249" s="437"/>
      <c r="AO249" s="437"/>
      <c r="AP249" s="437"/>
      <c r="AQ249" s="437"/>
      <c r="AR249" s="437"/>
      <c r="AS249" s="437"/>
      <c r="AT249" s="437"/>
      <c r="AU249" s="437"/>
      <c r="AV249" s="437"/>
      <c r="AW249" s="437"/>
      <c r="AX249" s="437"/>
      <c r="AY249" s="437"/>
      <c r="AZ249" s="437"/>
    </row>
    <row r="250" spans="2:52">
      <c r="B250" s="437"/>
      <c r="C250" s="432" t="s">
        <v>733</v>
      </c>
      <c r="D250" s="437"/>
      <c r="G250" s="437"/>
      <c r="H250" s="437"/>
      <c r="I250" s="437"/>
      <c r="J250" s="437"/>
      <c r="K250" s="437"/>
      <c r="L250" s="437"/>
      <c r="M250" s="437"/>
      <c r="N250" s="437"/>
      <c r="O250" s="437"/>
      <c r="P250" s="437"/>
      <c r="Q250" s="437"/>
      <c r="R250" s="437"/>
      <c r="S250" s="437"/>
      <c r="T250" s="437"/>
      <c r="U250" s="437"/>
      <c r="V250" s="437"/>
      <c r="W250" s="437"/>
      <c r="X250" s="437"/>
      <c r="Y250" s="437"/>
      <c r="Z250" s="437"/>
      <c r="AA250" s="437"/>
      <c r="AB250" s="437"/>
      <c r="AC250" s="437"/>
      <c r="AD250" s="437"/>
      <c r="AE250" s="437"/>
      <c r="AF250" s="437"/>
      <c r="AG250" s="437"/>
      <c r="AH250" s="437"/>
      <c r="AI250" s="437"/>
      <c r="AJ250" s="437"/>
      <c r="AK250" s="437"/>
      <c r="AL250" s="437"/>
      <c r="AM250" s="437"/>
      <c r="AN250" s="437"/>
      <c r="AO250" s="437"/>
      <c r="AP250" s="437"/>
      <c r="AQ250" s="437"/>
      <c r="AR250" s="437"/>
      <c r="AS250" s="437"/>
      <c r="AT250" s="437"/>
      <c r="AU250" s="437"/>
      <c r="AV250" s="437"/>
      <c r="AW250" s="437"/>
      <c r="AX250" s="437"/>
      <c r="AY250" s="437"/>
      <c r="AZ250" s="437"/>
    </row>
    <row r="251" spans="2:52" ht="19.8">
      <c r="B251" s="437"/>
      <c r="C251" s="414" t="s">
        <v>722</v>
      </c>
      <c r="D251" s="415"/>
      <c r="E251" s="415"/>
      <c r="F251" s="415"/>
      <c r="G251" s="415"/>
      <c r="H251" s="415"/>
      <c r="I251" s="415"/>
      <c r="J251" s="415"/>
      <c r="K251" s="415"/>
      <c r="L251" s="415"/>
      <c r="M251" s="415"/>
      <c r="N251" s="415"/>
      <c r="O251" s="415"/>
      <c r="P251" s="437"/>
      <c r="Q251" s="437"/>
      <c r="R251" s="437"/>
      <c r="S251" s="437"/>
      <c r="T251" s="437"/>
      <c r="U251" s="437"/>
      <c r="V251" s="437"/>
      <c r="W251" s="437"/>
      <c r="X251" s="437"/>
      <c r="Y251" s="437"/>
      <c r="Z251" s="437"/>
      <c r="AA251" s="437"/>
      <c r="AB251" s="437"/>
      <c r="AC251" s="437"/>
      <c r="AD251" s="437"/>
      <c r="AE251" s="437"/>
      <c r="AF251" s="437"/>
      <c r="AG251" s="437"/>
      <c r="AH251" s="437"/>
      <c r="AI251" s="437"/>
      <c r="AJ251" s="437"/>
      <c r="AK251" s="437"/>
      <c r="AL251" s="437"/>
      <c r="AM251" s="437"/>
      <c r="AN251" s="437"/>
      <c r="AO251" s="437"/>
      <c r="AP251" s="437"/>
      <c r="AQ251" s="437"/>
      <c r="AR251" s="437"/>
      <c r="AS251" s="437"/>
      <c r="AT251" s="437"/>
      <c r="AU251" s="437"/>
      <c r="AV251" s="437"/>
      <c r="AW251" s="437"/>
      <c r="AX251" s="437"/>
      <c r="AY251" s="437"/>
      <c r="AZ251" s="437"/>
    </row>
    <row r="252" spans="2:52">
      <c r="B252" s="437"/>
      <c r="C252" s="329"/>
      <c r="D252" s="332"/>
      <c r="E252" s="332"/>
      <c r="G252" s="332"/>
      <c r="H252" s="332"/>
      <c r="I252" s="332"/>
      <c r="J252" s="332"/>
      <c r="K252" s="332"/>
      <c r="L252" s="332"/>
      <c r="M252" s="332"/>
      <c r="N252" s="332"/>
      <c r="O252" s="332"/>
      <c r="P252" s="437"/>
      <c r="Q252" s="437"/>
      <c r="R252" s="437"/>
      <c r="S252" s="437"/>
      <c r="T252" s="437"/>
      <c r="U252" s="437"/>
      <c r="V252" s="437"/>
      <c r="W252" s="437"/>
      <c r="X252" s="437"/>
      <c r="Y252" s="437"/>
      <c r="Z252" s="437"/>
      <c r="AA252" s="437"/>
      <c r="AB252" s="437"/>
      <c r="AC252" s="437"/>
      <c r="AD252" s="437"/>
      <c r="AE252" s="437"/>
      <c r="AF252" s="437"/>
      <c r="AG252" s="437"/>
      <c r="AH252" s="437"/>
      <c r="AI252" s="437"/>
      <c r="AJ252" s="437"/>
      <c r="AK252" s="437"/>
      <c r="AL252" s="437"/>
      <c r="AM252" s="437"/>
      <c r="AN252" s="437"/>
      <c r="AO252" s="437"/>
      <c r="AP252" s="437"/>
      <c r="AQ252" s="437"/>
      <c r="AR252" s="437"/>
      <c r="AS252" s="437"/>
      <c r="AT252" s="437"/>
      <c r="AU252" s="437"/>
      <c r="AV252" s="437"/>
      <c r="AW252" s="437"/>
      <c r="AX252" s="437"/>
      <c r="AY252" s="437"/>
      <c r="AZ252" s="437"/>
    </row>
    <row r="253" spans="2:52">
      <c r="B253" s="437"/>
      <c r="C253" s="568" t="s">
        <v>723</v>
      </c>
      <c r="D253" s="569" t="s">
        <v>724</v>
      </c>
      <c r="E253" s="570"/>
      <c r="F253" s="570"/>
      <c r="G253" s="570"/>
      <c r="H253" s="570"/>
      <c r="I253" s="570"/>
      <c r="J253" s="570"/>
      <c r="K253" s="570"/>
      <c r="L253" s="570"/>
      <c r="M253" s="570"/>
      <c r="N253" s="570"/>
      <c r="O253" s="552" t="s">
        <v>725</v>
      </c>
      <c r="P253" s="437"/>
      <c r="Q253" s="437"/>
      <c r="R253" s="437"/>
      <c r="S253" s="437"/>
      <c r="T253" s="437"/>
      <c r="U253" s="437"/>
      <c r="V253" s="437"/>
      <c r="W253" s="437"/>
      <c r="X253" s="437"/>
      <c r="Y253" s="437"/>
      <c r="Z253" s="437"/>
      <c r="AA253" s="437"/>
      <c r="AB253" s="437"/>
      <c r="AC253" s="437"/>
      <c r="AD253" s="437"/>
      <c r="AE253" s="437"/>
      <c r="AF253" s="437"/>
      <c r="AG253" s="437"/>
      <c r="AH253" s="437"/>
      <c r="AI253" s="437"/>
      <c r="AJ253" s="437"/>
      <c r="AK253" s="437"/>
      <c r="AL253" s="437"/>
      <c r="AM253" s="437"/>
      <c r="AN253" s="437"/>
      <c r="AO253" s="437"/>
      <c r="AP253" s="437"/>
      <c r="AQ253" s="437"/>
      <c r="AR253" s="437"/>
      <c r="AS253" s="437"/>
      <c r="AT253" s="437"/>
      <c r="AU253" s="437"/>
      <c r="AV253" s="437"/>
      <c r="AW253" s="437"/>
      <c r="AX253" s="437"/>
      <c r="AY253" s="437"/>
      <c r="AZ253" s="437"/>
    </row>
    <row r="254" spans="2:52" ht="24">
      <c r="B254" s="437"/>
      <c r="C254" s="568"/>
      <c r="D254" s="553" t="s">
        <v>309</v>
      </c>
      <c r="E254" s="554" t="s">
        <v>303</v>
      </c>
      <c r="F254" s="553" t="s">
        <v>308</v>
      </c>
      <c r="G254" s="553" t="s">
        <v>726</v>
      </c>
      <c r="H254" s="553" t="s">
        <v>727</v>
      </c>
      <c r="I254" s="553" t="s">
        <v>51</v>
      </c>
      <c r="J254" s="553" t="s">
        <v>728</v>
      </c>
      <c r="K254" s="553" t="s">
        <v>129</v>
      </c>
      <c r="L254" s="554" t="s">
        <v>729</v>
      </c>
      <c r="M254" s="554" t="s">
        <v>730</v>
      </c>
      <c r="N254" s="554" t="s">
        <v>731</v>
      </c>
      <c r="O254" s="554" t="s">
        <v>731</v>
      </c>
      <c r="P254" s="437"/>
      <c r="Q254" s="437"/>
      <c r="R254" s="437"/>
      <c r="S254" s="437"/>
      <c r="T254" s="437"/>
      <c r="U254" s="437"/>
      <c r="V254" s="437"/>
      <c r="W254" s="437"/>
      <c r="X254" s="437"/>
      <c r="Y254" s="437"/>
      <c r="Z254" s="437"/>
      <c r="AA254" s="437"/>
      <c r="AB254" s="437"/>
      <c r="AC254" s="437"/>
      <c r="AD254" s="437"/>
      <c r="AE254" s="437"/>
      <c r="AF254" s="437"/>
      <c r="AG254" s="437"/>
      <c r="AH254" s="437"/>
      <c r="AI254" s="437"/>
      <c r="AJ254" s="437"/>
      <c r="AK254" s="437"/>
      <c r="AL254" s="437"/>
      <c r="AM254" s="437"/>
      <c r="AN254" s="437"/>
      <c r="AO254" s="437"/>
      <c r="AP254" s="437"/>
      <c r="AQ254" s="437"/>
      <c r="AR254" s="437"/>
      <c r="AS254" s="437"/>
      <c r="AT254" s="437"/>
      <c r="AU254" s="437"/>
      <c r="AV254" s="437"/>
      <c r="AW254" s="437"/>
      <c r="AX254" s="437"/>
      <c r="AY254" s="437"/>
      <c r="AZ254" s="437"/>
    </row>
    <row r="255" spans="2:52">
      <c r="B255" s="437"/>
      <c r="C255" s="555">
        <v>2019</v>
      </c>
      <c r="D255" s="556">
        <v>73.880467131059874</v>
      </c>
      <c r="E255" s="556">
        <v>53.94529046338949</v>
      </c>
      <c r="F255" s="556">
        <v>23.406929880021178</v>
      </c>
      <c r="G255" s="556">
        <v>59.650894850098339</v>
      </c>
      <c r="H255" s="556">
        <v>93.420285058277415</v>
      </c>
      <c r="I255" s="556">
        <v>93.420285058277415</v>
      </c>
      <c r="J255" s="556">
        <v>95.583697574109408</v>
      </c>
      <c r="K255" s="556">
        <v>90.831954056376134</v>
      </c>
      <c r="L255" s="556">
        <v>65.821840433738927</v>
      </c>
      <c r="M255" s="556">
        <v>76.091254383044159</v>
      </c>
      <c r="N255" s="556">
        <v>48.13702532536383</v>
      </c>
      <c r="O255" s="556">
        <v>43.426265623811808</v>
      </c>
      <c r="P255" s="437"/>
      <c r="Q255" s="437"/>
      <c r="R255" s="437"/>
      <c r="S255" s="437"/>
      <c r="T255" s="437"/>
      <c r="U255" s="437"/>
      <c r="V255" s="437"/>
      <c r="W255" s="437"/>
      <c r="X255" s="437"/>
      <c r="Y255" s="437"/>
      <c r="Z255" s="437"/>
      <c r="AA255" s="437"/>
      <c r="AB255" s="437"/>
      <c r="AC255" s="437"/>
      <c r="AD255" s="437"/>
      <c r="AE255" s="437"/>
      <c r="AF255" s="437"/>
      <c r="AG255" s="437"/>
      <c r="AH255" s="437"/>
      <c r="AI255" s="437"/>
      <c r="AJ255" s="437"/>
      <c r="AK255" s="437"/>
      <c r="AL255" s="437"/>
      <c r="AM255" s="437"/>
      <c r="AN255" s="437"/>
      <c r="AO255" s="437"/>
      <c r="AP255" s="437"/>
      <c r="AQ255" s="437"/>
      <c r="AR255" s="437"/>
      <c r="AS255" s="437"/>
      <c r="AT255" s="437"/>
      <c r="AU255" s="437"/>
      <c r="AV255" s="437"/>
      <c r="AW255" s="437"/>
      <c r="AX255" s="437"/>
      <c r="AY255" s="437"/>
      <c r="AZ255" s="437"/>
    </row>
    <row r="256" spans="2:52">
      <c r="B256" s="437"/>
      <c r="C256" s="555">
        <v>2020</v>
      </c>
      <c r="D256" s="556">
        <v>75.931459523916047</v>
      </c>
      <c r="E256" s="556">
        <v>48.049648253621314</v>
      </c>
      <c r="F256" s="556">
        <v>22.320750500826144</v>
      </c>
      <c r="G256" s="556">
        <v>61.701887242954513</v>
      </c>
      <c r="H256" s="556">
        <v>95.471277451133588</v>
      </c>
      <c r="I256" s="556">
        <v>95.471277451133588</v>
      </c>
      <c r="J256" s="556">
        <v>97.634689966965581</v>
      </c>
      <c r="K256" s="556">
        <v>92.882946449232307</v>
      </c>
      <c r="L256" s="556">
        <v>65.047767429918196</v>
      </c>
      <c r="M256" s="556">
        <v>75.196411798020051</v>
      </c>
      <c r="N256" s="556">
        <v>48.528146948789889</v>
      </c>
      <c r="O256" s="556">
        <v>43.65253654619243</v>
      </c>
      <c r="P256" s="437"/>
      <c r="Q256" s="437"/>
      <c r="R256" s="437"/>
      <c r="S256" s="437"/>
      <c r="T256" s="437"/>
      <c r="U256" s="437"/>
      <c r="V256" s="437"/>
      <c r="W256" s="437"/>
      <c r="X256" s="437"/>
      <c r="Y256" s="437"/>
      <c r="Z256" s="437"/>
      <c r="AA256" s="437"/>
      <c r="AB256" s="437"/>
      <c r="AC256" s="437"/>
      <c r="AD256" s="437"/>
      <c r="AE256" s="437"/>
      <c r="AF256" s="437"/>
      <c r="AG256" s="437"/>
      <c r="AH256" s="437"/>
      <c r="AI256" s="437"/>
      <c r="AJ256" s="437"/>
      <c r="AK256" s="437"/>
      <c r="AL256" s="437"/>
      <c r="AM256" s="437"/>
      <c r="AN256" s="437"/>
      <c r="AO256" s="437"/>
      <c r="AP256" s="437"/>
      <c r="AQ256" s="437"/>
      <c r="AR256" s="437"/>
      <c r="AS256" s="437"/>
      <c r="AT256" s="437"/>
      <c r="AU256" s="437"/>
      <c r="AV256" s="437"/>
      <c r="AW256" s="437"/>
      <c r="AX256" s="437"/>
      <c r="AY256" s="437"/>
      <c r="AZ256" s="437"/>
    </row>
    <row r="257" spans="2:52">
      <c r="B257" s="437"/>
      <c r="C257" s="555">
        <v>2021</v>
      </c>
      <c r="D257" s="556">
        <v>77.701364104651802</v>
      </c>
      <c r="E257" s="556">
        <v>40.610335042675715</v>
      </c>
      <c r="F257" s="556">
        <v>22.4152337792803</v>
      </c>
      <c r="G257" s="556">
        <v>63.471791823690268</v>
      </c>
      <c r="H257" s="556">
        <v>97.241182031869343</v>
      </c>
      <c r="I257" s="556">
        <v>97.241182031869343</v>
      </c>
      <c r="J257" s="556">
        <v>99.404594547701336</v>
      </c>
      <c r="K257" s="556">
        <v>94.652851029968062</v>
      </c>
      <c r="L257" s="556">
        <v>64.835608715110197</v>
      </c>
      <c r="M257" s="556">
        <v>74.951152433777779</v>
      </c>
      <c r="N257" s="556">
        <v>49.029117231990426</v>
      </c>
      <c r="O257" s="556">
        <v>43.928999158791825</v>
      </c>
      <c r="P257" s="437"/>
      <c r="Q257" s="437"/>
      <c r="R257" s="437"/>
      <c r="S257" s="437"/>
      <c r="T257" s="437"/>
      <c r="U257" s="437"/>
      <c r="V257" s="437"/>
      <c r="W257" s="437"/>
      <c r="X257" s="437"/>
      <c r="Y257" s="437"/>
      <c r="Z257" s="437"/>
      <c r="AA257" s="437"/>
      <c r="AB257" s="437"/>
      <c r="AC257" s="437"/>
      <c r="AD257" s="437"/>
      <c r="AE257" s="437"/>
      <c r="AF257" s="437"/>
      <c r="AG257" s="437"/>
      <c r="AH257" s="437"/>
      <c r="AI257" s="437"/>
      <c r="AJ257" s="437"/>
      <c r="AK257" s="437"/>
      <c r="AL257" s="437"/>
      <c r="AM257" s="437"/>
      <c r="AN257" s="437"/>
      <c r="AO257" s="437"/>
      <c r="AP257" s="437"/>
      <c r="AQ257" s="437"/>
      <c r="AR257" s="437"/>
      <c r="AS257" s="437"/>
      <c r="AT257" s="437"/>
      <c r="AU257" s="437"/>
      <c r="AV257" s="437"/>
      <c r="AW257" s="437"/>
      <c r="AX257" s="437"/>
      <c r="AY257" s="437"/>
      <c r="AZ257" s="437"/>
    </row>
    <row r="258" spans="2:52">
      <c r="B258" s="437"/>
      <c r="C258" s="555">
        <v>2022</v>
      </c>
      <c r="D258" s="556">
        <v>79.289025348102882</v>
      </c>
      <c r="E258" s="556">
        <v>40.251302428954361</v>
      </c>
      <c r="F258" s="556">
        <v>21.958696459631067</v>
      </c>
      <c r="G258" s="556">
        <v>65.059453067141348</v>
      </c>
      <c r="H258" s="556">
        <v>98.828843275320423</v>
      </c>
      <c r="I258" s="556">
        <v>98.828843275320423</v>
      </c>
      <c r="J258" s="556">
        <v>100.99225579115242</v>
      </c>
      <c r="K258" s="556">
        <v>96.240512273419142</v>
      </c>
      <c r="L258" s="556">
        <v>64.697208823830636</v>
      </c>
      <c r="M258" s="556">
        <v>74.791159621900391</v>
      </c>
      <c r="N258" s="556">
        <v>49.532405602008467</v>
      </c>
      <c r="O258" s="556">
        <v>44.205082849585672</v>
      </c>
      <c r="P258" s="437"/>
      <c r="Q258" s="437"/>
      <c r="R258" s="437"/>
      <c r="S258" s="437"/>
      <c r="T258" s="437"/>
      <c r="U258" s="437"/>
      <c r="V258" s="437"/>
      <c r="W258" s="437"/>
      <c r="X258" s="437"/>
      <c r="Y258" s="437"/>
      <c r="Z258" s="437"/>
      <c r="AA258" s="437"/>
      <c r="AB258" s="437"/>
      <c r="AC258" s="437"/>
      <c r="AD258" s="437"/>
      <c r="AE258" s="437"/>
      <c r="AF258" s="437"/>
      <c r="AG258" s="437"/>
      <c r="AH258" s="437"/>
      <c r="AI258" s="437"/>
      <c r="AJ258" s="437"/>
      <c r="AK258" s="437"/>
      <c r="AL258" s="437"/>
      <c r="AM258" s="437"/>
      <c r="AN258" s="437"/>
      <c r="AO258" s="437"/>
      <c r="AP258" s="437"/>
      <c r="AQ258" s="437"/>
      <c r="AR258" s="437"/>
      <c r="AS258" s="437"/>
      <c r="AT258" s="437"/>
      <c r="AU258" s="437"/>
      <c r="AV258" s="437"/>
      <c r="AW258" s="437"/>
      <c r="AX258" s="437"/>
      <c r="AY258" s="437"/>
      <c r="AZ258" s="437"/>
    </row>
    <row r="259" spans="2:52">
      <c r="B259" s="437"/>
      <c r="C259" s="555">
        <v>2023</v>
      </c>
      <c r="D259" s="556">
        <v>81.023644009316811</v>
      </c>
      <c r="E259" s="556">
        <v>41.309391764519106</v>
      </c>
      <c r="F259" s="556">
        <v>21.264781225277929</v>
      </c>
      <c r="G259" s="556">
        <v>66.794071728355277</v>
      </c>
      <c r="H259" s="556">
        <v>100.56346193653435</v>
      </c>
      <c r="I259" s="556">
        <v>100.56346193653435</v>
      </c>
      <c r="J259" s="556">
        <v>102.72687445236635</v>
      </c>
      <c r="K259" s="556">
        <v>97.975130934633071</v>
      </c>
      <c r="L259" s="556">
        <v>64.59290976534399</v>
      </c>
      <c r="M259" s="556">
        <v>74.670587997969449</v>
      </c>
      <c r="N259" s="556">
        <v>50.037858127615173</v>
      </c>
      <c r="O259" s="556">
        <v>44.480789827031863</v>
      </c>
      <c r="P259" s="437"/>
      <c r="Q259" s="437"/>
      <c r="R259" s="437"/>
      <c r="S259" s="437"/>
      <c r="T259" s="437"/>
      <c r="U259" s="437"/>
      <c r="V259" s="437"/>
      <c r="W259" s="437"/>
      <c r="X259" s="437"/>
      <c r="Y259" s="437"/>
      <c r="Z259" s="437"/>
      <c r="AA259" s="437"/>
      <c r="AB259" s="437"/>
      <c r="AC259" s="437"/>
      <c r="AD259" s="437"/>
      <c r="AE259" s="437"/>
      <c r="AF259" s="437"/>
      <c r="AG259" s="437"/>
      <c r="AH259" s="437"/>
      <c r="AI259" s="437"/>
      <c r="AJ259" s="437"/>
      <c r="AK259" s="437"/>
      <c r="AL259" s="437"/>
      <c r="AM259" s="437"/>
      <c r="AN259" s="437"/>
      <c r="AO259" s="437"/>
      <c r="AP259" s="437"/>
      <c r="AQ259" s="437"/>
      <c r="AR259" s="437"/>
      <c r="AS259" s="437"/>
      <c r="AT259" s="437"/>
      <c r="AU259" s="437"/>
      <c r="AV259" s="437"/>
      <c r="AW259" s="437"/>
      <c r="AX259" s="437"/>
      <c r="AY259" s="437"/>
      <c r="AZ259" s="437"/>
    </row>
    <row r="260" spans="2:52">
      <c r="B260" s="437"/>
      <c r="C260" s="555">
        <v>2024</v>
      </c>
      <c r="D260" s="556">
        <v>82.712910272747436</v>
      </c>
      <c r="E260" s="556">
        <v>42.384105929912252</v>
      </c>
      <c r="F260" s="556">
        <v>20.867962592605565</v>
      </c>
      <c r="G260" s="556">
        <v>68.483337991785902</v>
      </c>
      <c r="H260" s="556">
        <v>102.25272819996498</v>
      </c>
      <c r="I260" s="556">
        <v>102.25272819996498</v>
      </c>
      <c r="J260" s="556">
        <v>104.41614071579697</v>
      </c>
      <c r="K260" s="556">
        <v>99.664397198063696</v>
      </c>
      <c r="L260" s="556">
        <v>64.531892471531364</v>
      </c>
      <c r="M260" s="556">
        <v>74.600050887571641</v>
      </c>
      <c r="N260" s="556">
        <v>50.545323014619093</v>
      </c>
      <c r="O260" s="556">
        <v>44.75612229958827</v>
      </c>
      <c r="P260" s="437"/>
      <c r="Q260" s="437"/>
      <c r="R260" s="437"/>
      <c r="S260" s="437"/>
      <c r="T260" s="437"/>
      <c r="U260" s="437"/>
      <c r="V260" s="437"/>
      <c r="W260" s="437"/>
      <c r="X260" s="437"/>
      <c r="Y260" s="437"/>
      <c r="Z260" s="437"/>
      <c r="AA260" s="437"/>
      <c r="AB260" s="437"/>
      <c r="AC260" s="437"/>
      <c r="AD260" s="437"/>
      <c r="AE260" s="437"/>
      <c r="AF260" s="437"/>
      <c r="AG260" s="437"/>
      <c r="AH260" s="437"/>
      <c r="AI260" s="437"/>
      <c r="AJ260" s="437"/>
      <c r="AK260" s="437"/>
      <c r="AL260" s="437"/>
      <c r="AM260" s="437"/>
      <c r="AN260" s="437"/>
      <c r="AO260" s="437"/>
      <c r="AP260" s="437"/>
      <c r="AQ260" s="437"/>
      <c r="AR260" s="437"/>
      <c r="AS260" s="437"/>
      <c r="AT260" s="437"/>
      <c r="AU260" s="437"/>
      <c r="AV260" s="437"/>
      <c r="AW260" s="437"/>
      <c r="AX260" s="437"/>
      <c r="AY260" s="437"/>
      <c r="AZ260" s="437"/>
    </row>
    <row r="261" spans="2:52">
      <c r="B261" s="437"/>
      <c r="C261" s="555">
        <v>2025</v>
      </c>
      <c r="D261" s="556">
        <v>84.053105996878713</v>
      </c>
      <c r="E261" s="556">
        <v>43.418156429745736</v>
      </c>
      <c r="F261" s="556">
        <v>20.782407107600484</v>
      </c>
      <c r="G261" s="556">
        <v>69.823533715917179</v>
      </c>
      <c r="H261" s="556">
        <v>103.59292392409625</v>
      </c>
      <c r="I261" s="556">
        <v>103.59292392409625</v>
      </c>
      <c r="J261" s="556">
        <v>105.75633643992825</v>
      </c>
      <c r="K261" s="556">
        <v>101.00459292219497</v>
      </c>
      <c r="L261" s="556">
        <v>64.464339558720255</v>
      </c>
      <c r="M261" s="556">
        <v>74.521958481781198</v>
      </c>
      <c r="N261" s="556">
        <v>51.054650583706497</v>
      </c>
      <c r="O261" s="556">
        <v>45.031082475712807</v>
      </c>
      <c r="P261" s="437"/>
      <c r="Q261" s="437"/>
      <c r="R261" s="437"/>
      <c r="S261" s="437"/>
      <c r="T261" s="437"/>
      <c r="U261" s="437"/>
      <c r="V261" s="437"/>
      <c r="W261" s="437"/>
      <c r="X261" s="437"/>
      <c r="Y261" s="437"/>
      <c r="Z261" s="437"/>
      <c r="AA261" s="437"/>
      <c r="AB261" s="437"/>
      <c r="AC261" s="437"/>
      <c r="AD261" s="437"/>
      <c r="AE261" s="437"/>
      <c r="AF261" s="437"/>
      <c r="AG261" s="437"/>
      <c r="AH261" s="437"/>
      <c r="AI261" s="437"/>
      <c r="AJ261" s="437"/>
      <c r="AK261" s="437"/>
      <c r="AL261" s="437"/>
      <c r="AM261" s="437"/>
      <c r="AN261" s="437"/>
      <c r="AO261" s="437"/>
      <c r="AP261" s="437"/>
      <c r="AQ261" s="437"/>
      <c r="AR261" s="437"/>
      <c r="AS261" s="437"/>
      <c r="AT261" s="437"/>
      <c r="AU261" s="437"/>
      <c r="AV261" s="437"/>
      <c r="AW261" s="437"/>
      <c r="AX261" s="437"/>
      <c r="AY261" s="437"/>
      <c r="AZ261" s="437"/>
    </row>
    <row r="262" spans="2:52">
      <c r="B262" s="437"/>
      <c r="C262" s="555">
        <v>2026</v>
      </c>
      <c r="D262" s="556">
        <v>86.676571233184688</v>
      </c>
      <c r="E262" s="556">
        <v>44.641031928073701</v>
      </c>
      <c r="F262" s="556">
        <v>20.995445244296899</v>
      </c>
      <c r="G262" s="556">
        <v>72.446998952223154</v>
      </c>
      <c r="H262" s="556">
        <v>106.21638916040223</v>
      </c>
      <c r="I262" s="556">
        <v>106.21638916040223</v>
      </c>
      <c r="J262" s="556">
        <v>108.37980167623422</v>
      </c>
      <c r="K262" s="556">
        <v>103.62805815850095</v>
      </c>
      <c r="L262" s="556">
        <v>64.710015549840818</v>
      </c>
      <c r="M262" s="556">
        <v>74.805964431979135</v>
      </c>
      <c r="N262" s="556">
        <v>51.365726036392111</v>
      </c>
      <c r="O262" s="556">
        <v>45.279976467601358</v>
      </c>
      <c r="P262" s="437"/>
      <c r="Q262" s="437"/>
      <c r="R262" s="437"/>
      <c r="S262" s="437"/>
      <c r="T262" s="437"/>
      <c r="U262" s="437"/>
      <c r="V262" s="437"/>
      <c r="W262" s="437"/>
      <c r="X262" s="437"/>
      <c r="Y262" s="437"/>
      <c r="Z262" s="437"/>
      <c r="AA262" s="437"/>
      <c r="AB262" s="437"/>
      <c r="AC262" s="437"/>
      <c r="AD262" s="437"/>
      <c r="AE262" s="437"/>
      <c r="AF262" s="437"/>
      <c r="AG262" s="437"/>
      <c r="AH262" s="437"/>
      <c r="AI262" s="437"/>
      <c r="AJ262" s="437"/>
      <c r="AK262" s="437"/>
      <c r="AL262" s="437"/>
      <c r="AM262" s="437"/>
      <c r="AN262" s="437"/>
      <c r="AO262" s="437"/>
      <c r="AP262" s="437"/>
      <c r="AQ262" s="437"/>
      <c r="AR262" s="437"/>
      <c r="AS262" s="437"/>
      <c r="AT262" s="437"/>
      <c r="AU262" s="437"/>
      <c r="AV262" s="437"/>
      <c r="AW262" s="437"/>
      <c r="AX262" s="437"/>
      <c r="AY262" s="437"/>
      <c r="AZ262" s="437"/>
    </row>
    <row r="263" spans="2:52">
      <c r="B263" s="437"/>
      <c r="C263" s="555">
        <v>2027</v>
      </c>
      <c r="D263" s="556">
        <v>88.186071195293991</v>
      </c>
      <c r="E263" s="556">
        <v>45.825085716990088</v>
      </c>
      <c r="F263" s="556">
        <v>21.195931843995432</v>
      </c>
      <c r="G263" s="556">
        <v>73.956498914332457</v>
      </c>
      <c r="H263" s="556">
        <v>107.72588912251153</v>
      </c>
      <c r="I263" s="556">
        <v>107.72588912251153</v>
      </c>
      <c r="J263" s="556">
        <v>109.88930163834353</v>
      </c>
      <c r="K263" s="556">
        <v>105.13755812061025</v>
      </c>
      <c r="L263" s="556">
        <v>64.955304437852263</v>
      </c>
      <c r="M263" s="556">
        <v>75.089522883885408</v>
      </c>
      <c r="N263" s="556">
        <v>51.677058261479885</v>
      </c>
      <c r="O263" s="556">
        <v>45.528796659727412</v>
      </c>
      <c r="P263" s="437"/>
      <c r="Q263" s="437"/>
      <c r="R263" s="437"/>
      <c r="S263" s="437"/>
      <c r="T263" s="437"/>
      <c r="U263" s="437"/>
      <c r="V263" s="437"/>
      <c r="W263" s="437"/>
      <c r="X263" s="437"/>
      <c r="Y263" s="437"/>
      <c r="Z263" s="437"/>
      <c r="AA263" s="437"/>
      <c r="AB263" s="437"/>
      <c r="AC263" s="437"/>
      <c r="AD263" s="437"/>
      <c r="AE263" s="437"/>
      <c r="AF263" s="437"/>
      <c r="AG263" s="437"/>
      <c r="AH263" s="437"/>
      <c r="AI263" s="437"/>
      <c r="AJ263" s="437"/>
      <c r="AK263" s="437"/>
      <c r="AL263" s="437"/>
      <c r="AM263" s="437"/>
      <c r="AN263" s="437"/>
      <c r="AO263" s="437"/>
      <c r="AP263" s="437"/>
      <c r="AQ263" s="437"/>
      <c r="AR263" s="437"/>
      <c r="AS263" s="437"/>
      <c r="AT263" s="437"/>
      <c r="AU263" s="437"/>
      <c r="AV263" s="437"/>
      <c r="AW263" s="437"/>
      <c r="AX263" s="437"/>
      <c r="AY263" s="437"/>
      <c r="AZ263" s="437"/>
    </row>
    <row r="264" spans="2:52">
      <c r="B264" s="437"/>
      <c r="C264" s="555">
        <v>2028</v>
      </c>
      <c r="D264" s="556">
        <v>89.586356147981405</v>
      </c>
      <c r="E264" s="556">
        <v>46.950294651080164</v>
      </c>
      <c r="F264" s="556">
        <v>21.376250794374826</v>
      </c>
      <c r="G264" s="556">
        <v>75.356783867019871</v>
      </c>
      <c r="H264" s="556">
        <v>109.12617407519895</v>
      </c>
      <c r="I264" s="556">
        <v>109.12617407519895</v>
      </c>
      <c r="J264" s="556">
        <v>111.28958659103094</v>
      </c>
      <c r="K264" s="556">
        <v>106.53784307329767</v>
      </c>
      <c r="L264" s="556">
        <v>65.200194985641772</v>
      </c>
      <c r="M264" s="556">
        <v>75.372620847191584</v>
      </c>
      <c r="N264" s="556">
        <v>51.988642280065065</v>
      </c>
      <c r="O264" s="556">
        <v>45.777543052090969</v>
      </c>
      <c r="P264" s="437"/>
      <c r="Q264" s="437"/>
      <c r="R264" s="437"/>
      <c r="S264" s="437"/>
      <c r="T264" s="437"/>
      <c r="U264" s="437"/>
      <c r="V264" s="437"/>
      <c r="W264" s="437"/>
      <c r="X264" s="437"/>
      <c r="Y264" s="437"/>
      <c r="Z264" s="437"/>
      <c r="AA264" s="437"/>
      <c r="AB264" s="437"/>
      <c r="AC264" s="437"/>
      <c r="AD264" s="437"/>
      <c r="AE264" s="437"/>
      <c r="AF264" s="437"/>
      <c r="AG264" s="437"/>
      <c r="AH264" s="437"/>
      <c r="AI264" s="437"/>
      <c r="AJ264" s="437"/>
      <c r="AK264" s="437"/>
      <c r="AL264" s="437"/>
      <c r="AM264" s="437"/>
      <c r="AN264" s="437"/>
      <c r="AO264" s="437"/>
      <c r="AP264" s="437"/>
      <c r="AQ264" s="437"/>
      <c r="AR264" s="437"/>
      <c r="AS264" s="437"/>
      <c r="AT264" s="437"/>
      <c r="AU264" s="437"/>
      <c r="AV264" s="437"/>
      <c r="AW264" s="437"/>
      <c r="AX264" s="437"/>
      <c r="AY264" s="437"/>
      <c r="AZ264" s="437"/>
    </row>
    <row r="265" spans="2:52">
      <c r="B265" s="437"/>
      <c r="C265" s="555">
        <v>2029</v>
      </c>
      <c r="D265" s="556">
        <v>90.92803677830058</v>
      </c>
      <c r="E265" s="556">
        <v>48.047984271449039</v>
      </c>
      <c r="F265" s="556">
        <v>21.548170886437006</v>
      </c>
      <c r="G265" s="556">
        <v>76.698464497339046</v>
      </c>
      <c r="H265" s="556">
        <v>110.46785470551812</v>
      </c>
      <c r="I265" s="556">
        <v>110.46785470551812</v>
      </c>
      <c r="J265" s="556">
        <v>112.63126722135011</v>
      </c>
      <c r="K265" s="556">
        <v>107.87952370361684</v>
      </c>
      <c r="L265" s="556">
        <v>65.444676055494327</v>
      </c>
      <c r="M265" s="556">
        <v>75.65524544649486</v>
      </c>
      <c r="N265" s="556">
        <v>52.300473165558273</v>
      </c>
      <c r="O265" s="556">
        <v>46.02621564469203</v>
      </c>
      <c r="P265" s="437"/>
      <c r="Q265" s="437"/>
      <c r="R265" s="437"/>
      <c r="S265" s="437"/>
      <c r="T265" s="437"/>
      <c r="U265" s="437"/>
      <c r="V265" s="437"/>
      <c r="W265" s="437"/>
      <c r="X265" s="437"/>
      <c r="Y265" s="437"/>
      <c r="Z265" s="437"/>
      <c r="AA265" s="437"/>
      <c r="AB265" s="437"/>
      <c r="AC265" s="437"/>
      <c r="AD265" s="437"/>
      <c r="AE265" s="437"/>
      <c r="AF265" s="437"/>
      <c r="AG265" s="437"/>
      <c r="AH265" s="437"/>
      <c r="AI265" s="437"/>
      <c r="AJ265" s="437"/>
      <c r="AK265" s="437"/>
      <c r="AL265" s="437"/>
      <c r="AM265" s="437"/>
      <c r="AN265" s="437"/>
      <c r="AO265" s="437"/>
      <c r="AP265" s="437"/>
      <c r="AQ265" s="437"/>
      <c r="AR265" s="437"/>
      <c r="AS265" s="437"/>
      <c r="AT265" s="437"/>
      <c r="AU265" s="437"/>
      <c r="AV265" s="437"/>
      <c r="AW265" s="437"/>
      <c r="AX265" s="437"/>
      <c r="AY265" s="437"/>
      <c r="AZ265" s="437"/>
    </row>
    <row r="266" spans="2:52">
      <c r="B266" s="437"/>
      <c r="C266" s="555">
        <v>2030</v>
      </c>
      <c r="D266" s="556">
        <v>92.141387034323401</v>
      </c>
      <c r="E266" s="556">
        <v>49.074729484141251</v>
      </c>
      <c r="F266" s="556">
        <v>21.695318201462513</v>
      </c>
      <c r="G266" s="556">
        <v>77.911814753361867</v>
      </c>
      <c r="H266" s="556">
        <v>111.68120496154094</v>
      </c>
      <c r="I266" s="556">
        <v>111.68120496154094</v>
      </c>
      <c r="J266" s="556">
        <v>113.84461747737294</v>
      </c>
      <c r="K266" s="556">
        <v>109.09287395963966</v>
      </c>
      <c r="L266" s="556">
        <v>65.688736608355271</v>
      </c>
      <c r="M266" s="556">
        <v>75.937383920445654</v>
      </c>
      <c r="N266" s="556">
        <v>52.612546043058984</v>
      </c>
      <c r="O266" s="556">
        <v>46.274814437530587</v>
      </c>
      <c r="P266" s="437"/>
      <c r="Q266" s="437"/>
      <c r="R266" s="437"/>
      <c r="S266" s="437"/>
      <c r="T266" s="437"/>
      <c r="U266" s="437"/>
      <c r="V266" s="437"/>
      <c r="W266" s="437"/>
      <c r="X266" s="437"/>
      <c r="Y266" s="437"/>
      <c r="Z266" s="437"/>
      <c r="AA266" s="437"/>
      <c r="AB266" s="437"/>
      <c r="AC266" s="437"/>
      <c r="AD266" s="437"/>
      <c r="AE266" s="437"/>
      <c r="AF266" s="437"/>
      <c r="AG266" s="437"/>
      <c r="AH266" s="437"/>
      <c r="AI266" s="437"/>
      <c r="AJ266" s="437"/>
      <c r="AK266" s="437"/>
      <c r="AL266" s="437"/>
      <c r="AM266" s="437"/>
      <c r="AN266" s="437"/>
      <c r="AO266" s="437"/>
      <c r="AP266" s="437"/>
      <c r="AQ266" s="437"/>
      <c r="AR266" s="437"/>
      <c r="AS266" s="437"/>
      <c r="AT266" s="437"/>
      <c r="AU266" s="437"/>
      <c r="AV266" s="437"/>
      <c r="AW266" s="437"/>
      <c r="AX266" s="437"/>
      <c r="AY266" s="437"/>
      <c r="AZ266" s="437"/>
    </row>
    <row r="267" spans="2:52">
      <c r="B267" s="437"/>
      <c r="C267" s="555">
        <v>2031</v>
      </c>
      <c r="D267" s="556">
        <v>93.692750413107319</v>
      </c>
      <c r="E267" s="556">
        <v>50.22027708112531</v>
      </c>
      <c r="F267" s="556">
        <v>21.767199086953433</v>
      </c>
      <c r="G267" s="556">
        <v>79.463178132145785</v>
      </c>
      <c r="H267" s="556">
        <v>113.23256834032486</v>
      </c>
      <c r="I267" s="556">
        <v>113.23256834032486</v>
      </c>
      <c r="J267" s="556">
        <v>115.39598085615685</v>
      </c>
      <c r="K267" s="556">
        <v>110.64423733842358</v>
      </c>
      <c r="L267" s="556">
        <v>65.884596633860156</v>
      </c>
      <c r="M267" s="556">
        <v>76.163801701017505</v>
      </c>
      <c r="N267" s="556">
        <v>52.875302226231177</v>
      </c>
      <c r="O267" s="556">
        <v>46.428246784204831</v>
      </c>
      <c r="P267" s="437"/>
      <c r="Q267" s="437"/>
      <c r="R267" s="437"/>
      <c r="S267" s="437"/>
      <c r="T267" s="437"/>
      <c r="U267" s="437"/>
      <c r="V267" s="437"/>
      <c r="W267" s="437"/>
      <c r="X267" s="437"/>
      <c r="Y267" s="437"/>
      <c r="Z267" s="437"/>
      <c r="AA267" s="437"/>
      <c r="AB267" s="437"/>
      <c r="AC267" s="437"/>
      <c r="AD267" s="437"/>
      <c r="AE267" s="437"/>
      <c r="AF267" s="437"/>
      <c r="AG267" s="437"/>
      <c r="AH267" s="437"/>
      <c r="AI267" s="437"/>
      <c r="AJ267" s="437"/>
      <c r="AK267" s="437"/>
      <c r="AL267" s="437"/>
      <c r="AM267" s="437"/>
      <c r="AN267" s="437"/>
      <c r="AO267" s="437"/>
      <c r="AP267" s="437"/>
      <c r="AQ267" s="437"/>
      <c r="AR267" s="437"/>
      <c r="AS267" s="437"/>
      <c r="AT267" s="437"/>
      <c r="AU267" s="437"/>
      <c r="AV267" s="437"/>
      <c r="AW267" s="437"/>
      <c r="AX267" s="437"/>
      <c r="AY267" s="437"/>
      <c r="AZ267" s="437"/>
    </row>
    <row r="268" spans="2:52">
      <c r="B268" s="437"/>
      <c r="C268" s="555">
        <v>2032</v>
      </c>
      <c r="D268" s="556">
        <v>95.558328708367895</v>
      </c>
      <c r="E268" s="556">
        <v>51.310437783572709</v>
      </c>
      <c r="F268" s="556">
        <v>21.825017030148729</v>
      </c>
      <c r="G268" s="556">
        <v>81.328756427406361</v>
      </c>
      <c r="H268" s="556">
        <v>115.09814663558544</v>
      </c>
      <c r="I268" s="556">
        <v>115.09814663558544</v>
      </c>
      <c r="J268" s="556">
        <v>117.26155915141743</v>
      </c>
      <c r="K268" s="556">
        <v>112.50981563368416</v>
      </c>
      <c r="L268" s="556">
        <v>66.08036338926722</v>
      </c>
      <c r="M268" s="556">
        <v>76.390111659646166</v>
      </c>
      <c r="N268" s="556">
        <v>53.138403281373272</v>
      </c>
      <c r="O268" s="556">
        <v>46.581596106146264</v>
      </c>
      <c r="P268" s="437"/>
      <c r="Q268" s="437"/>
      <c r="R268" s="437"/>
      <c r="S268" s="437"/>
      <c r="T268" s="437"/>
      <c r="U268" s="437"/>
      <c r="V268" s="437"/>
      <c r="W268" s="437"/>
      <c r="X268" s="437"/>
      <c r="Y268" s="437"/>
      <c r="Z268" s="437"/>
      <c r="AA268" s="437"/>
      <c r="AB268" s="437"/>
      <c r="AC268" s="437"/>
      <c r="AD268" s="437"/>
      <c r="AE268" s="437"/>
      <c r="AF268" s="437"/>
      <c r="AG268" s="437"/>
      <c r="AH268" s="437"/>
      <c r="AI268" s="437"/>
      <c r="AJ268" s="437"/>
      <c r="AK268" s="437"/>
      <c r="AL268" s="437"/>
      <c r="AM268" s="437"/>
      <c r="AN268" s="437"/>
      <c r="AO268" s="437"/>
      <c r="AP268" s="437"/>
      <c r="AQ268" s="437"/>
      <c r="AR268" s="437"/>
      <c r="AS268" s="437"/>
      <c r="AT268" s="437"/>
      <c r="AU268" s="437"/>
      <c r="AV268" s="437"/>
      <c r="AW268" s="437"/>
      <c r="AX268" s="437"/>
      <c r="AY268" s="437"/>
      <c r="AZ268" s="437"/>
    </row>
    <row r="269" spans="2:52">
      <c r="B269" s="437"/>
      <c r="C269" s="555">
        <v>2033</v>
      </c>
      <c r="D269" s="556">
        <v>97.341047888333435</v>
      </c>
      <c r="E269" s="556">
        <v>52.371455269436716</v>
      </c>
      <c r="F269" s="556">
        <v>21.878276139633737</v>
      </c>
      <c r="G269" s="556">
        <v>83.111475607371901</v>
      </c>
      <c r="H269" s="556">
        <v>116.88086581555098</v>
      </c>
      <c r="I269" s="556">
        <v>116.88086581555098</v>
      </c>
      <c r="J269" s="556">
        <v>119.04427833138297</v>
      </c>
      <c r="K269" s="556">
        <v>114.2925348136497</v>
      </c>
      <c r="L269" s="556">
        <v>66.276021603357506</v>
      </c>
      <c r="M269" s="556">
        <v>76.616296142522543</v>
      </c>
      <c r="N269" s="556">
        <v>53.40184179508779</v>
      </c>
      <c r="O269" s="556">
        <v>46.73486240335491</v>
      </c>
      <c r="P269" s="437"/>
      <c r="Q269" s="437"/>
      <c r="R269" s="437"/>
      <c r="S269" s="437"/>
      <c r="T269" s="437"/>
      <c r="U269" s="437"/>
      <c r="V269" s="437"/>
      <c r="W269" s="437"/>
      <c r="X269" s="437"/>
      <c r="Y269" s="437"/>
      <c r="Z269" s="437"/>
      <c r="AA269" s="437"/>
      <c r="AB269" s="437"/>
      <c r="AC269" s="437"/>
      <c r="AD269" s="437"/>
      <c r="AE269" s="437"/>
      <c r="AF269" s="437"/>
      <c r="AG269" s="437"/>
      <c r="AH269" s="437"/>
      <c r="AI269" s="437"/>
      <c r="AJ269" s="437"/>
      <c r="AK269" s="437"/>
      <c r="AL269" s="437"/>
      <c r="AM269" s="437"/>
      <c r="AN269" s="437"/>
      <c r="AO269" s="437"/>
      <c r="AP269" s="437"/>
      <c r="AQ269" s="437"/>
      <c r="AR269" s="437"/>
      <c r="AS269" s="437"/>
      <c r="AT269" s="437"/>
      <c r="AU269" s="437"/>
      <c r="AV269" s="437"/>
      <c r="AW269" s="437"/>
      <c r="AX269" s="437"/>
      <c r="AY269" s="437"/>
      <c r="AZ269" s="437"/>
    </row>
    <row r="270" spans="2:52">
      <c r="B270" s="437"/>
      <c r="C270" s="555">
        <v>2034</v>
      </c>
      <c r="D270" s="556">
        <v>99.002693402790925</v>
      </c>
      <c r="E270" s="556">
        <v>53.379487378305292</v>
      </c>
      <c r="F270" s="556">
        <v>21.917992887383534</v>
      </c>
      <c r="G270" s="556">
        <v>84.773121121829391</v>
      </c>
      <c r="H270" s="556">
        <v>118.54251133000847</v>
      </c>
      <c r="I270" s="556">
        <v>118.54251133000847</v>
      </c>
      <c r="J270" s="556">
        <v>120.70592384584046</v>
      </c>
      <c r="K270" s="556">
        <v>115.95418032810719</v>
      </c>
      <c r="L270" s="556">
        <v>66.471556138902102</v>
      </c>
      <c r="M270" s="556">
        <v>76.842337650732446</v>
      </c>
      <c r="N270" s="556">
        <v>53.665610427022969</v>
      </c>
      <c r="O270" s="556">
        <v>46.888045675830739</v>
      </c>
      <c r="P270" s="437"/>
      <c r="Q270" s="437"/>
      <c r="R270" s="437"/>
      <c r="S270" s="437"/>
      <c r="T270" s="437"/>
      <c r="U270" s="437"/>
      <c r="V270" s="437"/>
      <c r="W270" s="437"/>
      <c r="X270" s="437"/>
      <c r="Y270" s="437"/>
      <c r="Z270" s="437"/>
      <c r="AA270" s="437"/>
      <c r="AB270" s="437"/>
      <c r="AC270" s="437"/>
      <c r="AD270" s="437"/>
      <c r="AE270" s="437"/>
      <c r="AF270" s="437"/>
      <c r="AG270" s="437"/>
      <c r="AH270" s="437"/>
      <c r="AI270" s="437"/>
      <c r="AJ270" s="437"/>
      <c r="AK270" s="437"/>
      <c r="AL270" s="437"/>
      <c r="AM270" s="437"/>
      <c r="AN270" s="437"/>
      <c r="AO270" s="437"/>
      <c r="AP270" s="437"/>
      <c r="AQ270" s="437"/>
      <c r="AR270" s="437"/>
      <c r="AS270" s="437"/>
      <c r="AT270" s="437"/>
      <c r="AU270" s="437"/>
      <c r="AV270" s="437"/>
      <c r="AW270" s="437"/>
      <c r="AX270" s="437"/>
      <c r="AY270" s="437"/>
      <c r="AZ270" s="437"/>
    </row>
    <row r="271" spans="2:52">
      <c r="B271" s="437"/>
      <c r="C271" s="555">
        <v>2035</v>
      </c>
      <c r="D271" s="556">
        <v>100.59799469913287</v>
      </c>
      <c r="E271" s="556">
        <v>54.366646432213557</v>
      </c>
      <c r="F271" s="556">
        <v>21.9556878669204</v>
      </c>
      <c r="G271" s="556">
        <v>86.368422418171335</v>
      </c>
      <c r="H271" s="556">
        <v>120.13781262635041</v>
      </c>
      <c r="I271" s="556">
        <v>120.13781262635041</v>
      </c>
      <c r="J271" s="556">
        <v>122.3012251421824</v>
      </c>
      <c r="K271" s="556">
        <v>117.54948162444913</v>
      </c>
      <c r="L271" s="556">
        <v>66.66695199165018</v>
      </c>
      <c r="M271" s="556">
        <v>77.068218839086825</v>
      </c>
      <c r="N271" s="556">
        <v>53.929701909080514</v>
      </c>
      <c r="O271" s="556">
        <v>47.041145923573744</v>
      </c>
      <c r="P271" s="437"/>
      <c r="Q271" s="437"/>
      <c r="R271" s="437"/>
      <c r="S271" s="437"/>
      <c r="T271" s="437"/>
      <c r="U271" s="437"/>
      <c r="V271" s="437"/>
      <c r="W271" s="437"/>
      <c r="X271" s="437"/>
      <c r="Y271" s="437"/>
      <c r="Z271" s="437"/>
      <c r="AA271" s="437"/>
      <c r="AB271" s="437"/>
      <c r="AC271" s="437"/>
      <c r="AD271" s="437"/>
      <c r="AE271" s="437"/>
      <c r="AF271" s="437"/>
      <c r="AG271" s="437"/>
      <c r="AH271" s="437"/>
      <c r="AI271" s="437"/>
      <c r="AJ271" s="437"/>
      <c r="AK271" s="437"/>
      <c r="AL271" s="437"/>
      <c r="AM271" s="437"/>
      <c r="AN271" s="437"/>
      <c r="AO271" s="437"/>
      <c r="AP271" s="437"/>
      <c r="AQ271" s="437"/>
      <c r="AR271" s="437"/>
      <c r="AS271" s="437"/>
      <c r="AT271" s="437"/>
      <c r="AU271" s="437"/>
      <c r="AV271" s="437"/>
      <c r="AW271" s="437"/>
      <c r="AX271" s="437"/>
      <c r="AY271" s="437"/>
      <c r="AZ271" s="437"/>
    </row>
    <row r="272" spans="2:52">
      <c r="B272" s="437"/>
      <c r="C272" s="555">
        <v>2036</v>
      </c>
      <c r="D272" s="556">
        <v>102.09020115332861</v>
      </c>
      <c r="E272" s="556">
        <v>56.021566478043873</v>
      </c>
      <c r="F272" s="556">
        <v>22.029714738820417</v>
      </c>
      <c r="G272" s="556">
        <v>87.860628872367073</v>
      </c>
      <c r="H272" s="556">
        <v>121.63001908054615</v>
      </c>
      <c r="I272" s="556">
        <v>121.63001908054615</v>
      </c>
      <c r="J272" s="556">
        <v>123.79343159637814</v>
      </c>
      <c r="K272" s="556">
        <v>119.04168807864487</v>
      </c>
      <c r="L272" s="556">
        <v>66.829694828730965</v>
      </c>
      <c r="M272" s="556">
        <v>77.256352542637686</v>
      </c>
      <c r="N272" s="556">
        <v>54.174250889852274</v>
      </c>
      <c r="O272" s="556">
        <v>47.184184641373889</v>
      </c>
      <c r="P272" s="437"/>
      <c r="Q272" s="437"/>
      <c r="R272" s="437"/>
      <c r="S272" s="437"/>
      <c r="T272" s="437"/>
      <c r="U272" s="437"/>
      <c r="V272" s="437"/>
      <c r="W272" s="437"/>
      <c r="X272" s="437"/>
      <c r="Y272" s="437"/>
      <c r="Z272" s="437"/>
      <c r="AA272" s="437"/>
      <c r="AB272" s="437"/>
      <c r="AC272" s="437"/>
      <c r="AD272" s="437"/>
      <c r="AE272" s="437"/>
      <c r="AF272" s="437"/>
      <c r="AG272" s="437"/>
      <c r="AH272" s="437"/>
      <c r="AI272" s="437"/>
      <c r="AJ272" s="437"/>
      <c r="AK272" s="437"/>
      <c r="AL272" s="437"/>
      <c r="AM272" s="437"/>
      <c r="AN272" s="437"/>
      <c r="AO272" s="437"/>
      <c r="AP272" s="437"/>
      <c r="AQ272" s="437"/>
      <c r="AR272" s="437"/>
      <c r="AS272" s="437"/>
      <c r="AT272" s="437"/>
      <c r="AU272" s="437"/>
      <c r="AV272" s="437"/>
      <c r="AW272" s="437"/>
      <c r="AX272" s="437"/>
      <c r="AY272" s="437"/>
      <c r="AZ272" s="437"/>
    </row>
    <row r="273" spans="2:52">
      <c r="B273" s="437"/>
      <c r="C273" s="555">
        <v>2037</v>
      </c>
      <c r="D273" s="556">
        <v>103.53602848432692</v>
      </c>
      <c r="E273" s="556">
        <v>56.643484305507364</v>
      </c>
      <c r="F273" s="556">
        <v>22.099296654325173</v>
      </c>
      <c r="G273" s="556">
        <v>89.306456203365386</v>
      </c>
      <c r="H273" s="556">
        <v>123.07584641154446</v>
      </c>
      <c r="I273" s="556">
        <v>123.07584641154446</v>
      </c>
      <c r="J273" s="556">
        <v>125.23925892737645</v>
      </c>
      <c r="K273" s="556">
        <v>120.48751540964318</v>
      </c>
      <c r="L273" s="556">
        <v>66.992074665035901</v>
      </c>
      <c r="M273" s="556">
        <v>77.444066610636042</v>
      </c>
      <c r="N273" s="556">
        <v>54.41888572733636</v>
      </c>
      <c r="O273" s="556">
        <v>47.327158784381858</v>
      </c>
      <c r="P273" s="437"/>
      <c r="Q273" s="437"/>
      <c r="R273" s="437"/>
      <c r="S273" s="437"/>
      <c r="T273" s="437"/>
      <c r="U273" s="437"/>
      <c r="V273" s="437"/>
      <c r="W273" s="437"/>
      <c r="X273" s="437"/>
      <c r="Y273" s="437"/>
      <c r="Z273" s="437"/>
      <c r="AA273" s="437"/>
      <c r="AB273" s="437"/>
      <c r="AC273" s="437"/>
      <c r="AD273" s="437"/>
      <c r="AE273" s="437"/>
      <c r="AF273" s="437"/>
      <c r="AG273" s="437"/>
      <c r="AH273" s="437"/>
      <c r="AI273" s="437"/>
      <c r="AJ273" s="437"/>
      <c r="AK273" s="437"/>
      <c r="AL273" s="437"/>
      <c r="AM273" s="437"/>
      <c r="AN273" s="437"/>
      <c r="AO273" s="437"/>
      <c r="AP273" s="437"/>
      <c r="AQ273" s="437"/>
      <c r="AR273" s="437"/>
      <c r="AS273" s="437"/>
      <c r="AT273" s="437"/>
      <c r="AU273" s="437"/>
      <c r="AV273" s="437"/>
      <c r="AW273" s="437"/>
      <c r="AX273" s="437"/>
      <c r="AY273" s="437"/>
      <c r="AZ273" s="437"/>
    </row>
    <row r="274" spans="2:52">
      <c r="B274" s="437"/>
      <c r="C274" s="555">
        <v>2038</v>
      </c>
      <c r="D274" s="556">
        <v>104.86648319780612</v>
      </c>
      <c r="E274" s="556">
        <v>57.206292482675018</v>
      </c>
      <c r="F274" s="556">
        <v>22.153632116105896</v>
      </c>
      <c r="G274" s="556">
        <v>90.636910916844585</v>
      </c>
      <c r="H274" s="556">
        <v>124.40630112502366</v>
      </c>
      <c r="I274" s="556">
        <v>124.40630112502366</v>
      </c>
      <c r="J274" s="556">
        <v>126.56971364085565</v>
      </c>
      <c r="K274" s="556">
        <v>121.81797012312238</v>
      </c>
      <c r="L274" s="556">
        <v>67.154082323490499</v>
      </c>
      <c r="M274" s="556">
        <v>77.631350434215534</v>
      </c>
      <c r="N274" s="556">
        <v>54.663599201289209</v>
      </c>
      <c r="O274" s="556">
        <v>47.470068352597629</v>
      </c>
      <c r="P274" s="437"/>
      <c r="Q274" s="437"/>
      <c r="R274" s="437"/>
      <c r="S274" s="437"/>
      <c r="T274" s="437"/>
      <c r="U274" s="437"/>
      <c r="V274" s="437"/>
      <c r="W274" s="437"/>
      <c r="X274" s="437"/>
      <c r="Y274" s="437"/>
      <c r="Z274" s="437"/>
      <c r="AA274" s="437"/>
      <c r="AB274" s="437"/>
      <c r="AC274" s="437"/>
      <c r="AD274" s="437"/>
      <c r="AE274" s="437"/>
      <c r="AF274" s="437"/>
      <c r="AG274" s="437"/>
      <c r="AH274" s="437"/>
      <c r="AI274" s="437"/>
      <c r="AJ274" s="437"/>
      <c r="AK274" s="437"/>
      <c r="AL274" s="437"/>
      <c r="AM274" s="437"/>
      <c r="AN274" s="437"/>
      <c r="AO274" s="437"/>
      <c r="AP274" s="437"/>
      <c r="AQ274" s="437"/>
      <c r="AR274" s="437"/>
      <c r="AS274" s="437"/>
      <c r="AT274" s="437"/>
      <c r="AU274" s="437"/>
      <c r="AV274" s="437"/>
      <c r="AW274" s="437"/>
      <c r="AX274" s="437"/>
      <c r="AY274" s="437"/>
      <c r="AZ274" s="437"/>
    </row>
    <row r="275" spans="2:52">
      <c r="B275" s="437"/>
      <c r="C275" s="555">
        <v>2039</v>
      </c>
      <c r="D275" s="556">
        <v>106.13404097693454</v>
      </c>
      <c r="E275" s="556">
        <v>57.740541471904386</v>
      </c>
      <c r="F275" s="556">
        <v>22.203402762241502</v>
      </c>
      <c r="G275" s="556">
        <v>91.904468695973009</v>
      </c>
      <c r="H275" s="556">
        <v>125.67385890415208</v>
      </c>
      <c r="I275" s="556">
        <v>125.67385890415208</v>
      </c>
      <c r="J275" s="556">
        <v>127.83727141998408</v>
      </c>
      <c r="K275" s="556">
        <v>123.0855279022508</v>
      </c>
      <c r="L275" s="556">
        <v>67.315708706874133</v>
      </c>
      <c r="M275" s="556">
        <v>77.818193496822346</v>
      </c>
      <c r="N275" s="556">
        <v>54.908384160416688</v>
      </c>
      <c r="O275" s="556">
        <v>47.612913346021223</v>
      </c>
      <c r="P275" s="437"/>
      <c r="Q275" s="437"/>
      <c r="R275" s="437"/>
      <c r="S275" s="437"/>
      <c r="T275" s="437"/>
      <c r="U275" s="437"/>
      <c r="V275" s="437"/>
      <c r="W275" s="437"/>
      <c r="X275" s="437"/>
      <c r="Y275" s="437"/>
      <c r="Z275" s="437"/>
      <c r="AA275" s="437"/>
      <c r="AB275" s="437"/>
      <c r="AC275" s="437"/>
      <c r="AD275" s="437"/>
      <c r="AE275" s="437"/>
      <c r="AF275" s="437"/>
      <c r="AG275" s="437"/>
      <c r="AH275" s="437"/>
      <c r="AI275" s="437"/>
      <c r="AJ275" s="437"/>
      <c r="AK275" s="437"/>
      <c r="AL275" s="437"/>
      <c r="AM275" s="437"/>
      <c r="AN275" s="437"/>
      <c r="AO275" s="437"/>
      <c r="AP275" s="437"/>
      <c r="AQ275" s="437"/>
      <c r="AR275" s="437"/>
      <c r="AS275" s="437"/>
      <c r="AT275" s="437"/>
      <c r="AU275" s="437"/>
      <c r="AV275" s="437"/>
      <c r="AW275" s="437"/>
      <c r="AX275" s="437"/>
      <c r="AY275" s="437"/>
      <c r="AZ275" s="437"/>
    </row>
    <row r="276" spans="2:52">
      <c r="B276" s="437"/>
      <c r="C276" s="555">
        <v>2040</v>
      </c>
      <c r="D276" s="556">
        <v>107.30502693993807</v>
      </c>
      <c r="E276" s="556">
        <v>58.226230553747364</v>
      </c>
      <c r="F276" s="556">
        <v>22.241349337329673</v>
      </c>
      <c r="G276" s="556">
        <v>93.07545465897654</v>
      </c>
      <c r="H276" s="556">
        <v>126.84484486715562</v>
      </c>
      <c r="I276" s="556">
        <v>126.84484486715562</v>
      </c>
      <c r="J276" s="556">
        <v>129.00825738298761</v>
      </c>
      <c r="K276" s="556">
        <v>124.25651386525433</v>
      </c>
      <c r="L276" s="556">
        <v>67.476944797280851</v>
      </c>
      <c r="M276" s="556">
        <v>78.004585373591794</v>
      </c>
      <c r="N276" s="556">
        <v>55.153233521655096</v>
      </c>
      <c r="O276" s="556">
        <v>47.755693764652648</v>
      </c>
      <c r="P276" s="437"/>
      <c r="Q276" s="437"/>
      <c r="R276" s="437"/>
      <c r="S276" s="437"/>
      <c r="T276" s="437"/>
      <c r="U276" s="437"/>
      <c r="V276" s="437"/>
      <c r="W276" s="437"/>
      <c r="X276" s="437"/>
      <c r="Y276" s="437"/>
      <c r="Z276" s="437"/>
      <c r="AA276" s="437"/>
      <c r="AB276" s="437"/>
      <c r="AC276" s="437"/>
      <c r="AD276" s="437"/>
      <c r="AE276" s="437"/>
      <c r="AF276" s="437"/>
      <c r="AG276" s="437"/>
      <c r="AH276" s="437"/>
      <c r="AI276" s="437"/>
      <c r="AJ276" s="437"/>
      <c r="AK276" s="437"/>
      <c r="AL276" s="437"/>
      <c r="AM276" s="437"/>
      <c r="AN276" s="437"/>
      <c r="AO276" s="437"/>
      <c r="AP276" s="437"/>
      <c r="AQ276" s="437"/>
      <c r="AR276" s="437"/>
      <c r="AS276" s="437"/>
      <c r="AT276" s="437"/>
      <c r="AU276" s="437"/>
      <c r="AV276" s="437"/>
      <c r="AW276" s="437"/>
      <c r="AX276" s="437"/>
      <c r="AY276" s="437"/>
      <c r="AZ276" s="437"/>
    </row>
    <row r="277" spans="2:52" ht="13.8">
      <c r="B277" s="437"/>
      <c r="C277" s="417" t="s">
        <v>732</v>
      </c>
      <c r="D277" s="332"/>
      <c r="E277" s="332"/>
      <c r="G277" s="332"/>
      <c r="H277" s="332"/>
      <c r="I277" s="332"/>
      <c r="J277" s="332"/>
      <c r="K277" s="332"/>
      <c r="L277" s="332"/>
      <c r="M277" s="332"/>
      <c r="N277" s="332"/>
      <c r="O277" s="332"/>
      <c r="P277" s="437"/>
      <c r="Q277" s="437"/>
      <c r="R277" s="437"/>
      <c r="S277" s="437"/>
      <c r="T277" s="437"/>
      <c r="U277" s="437"/>
      <c r="V277" s="437"/>
      <c r="W277" s="437"/>
      <c r="X277" s="437"/>
      <c r="Y277" s="437"/>
      <c r="Z277" s="437"/>
      <c r="AA277" s="437"/>
      <c r="AB277" s="437"/>
      <c r="AC277" s="437"/>
      <c r="AD277" s="437"/>
      <c r="AE277" s="437"/>
      <c r="AF277" s="437"/>
      <c r="AG277" s="437"/>
      <c r="AH277" s="437"/>
      <c r="AI277" s="437"/>
      <c r="AJ277" s="437"/>
      <c r="AK277" s="437"/>
      <c r="AL277" s="437"/>
      <c r="AM277" s="437"/>
      <c r="AN277" s="437"/>
      <c r="AO277" s="437"/>
      <c r="AP277" s="437"/>
      <c r="AQ277" s="437"/>
      <c r="AR277" s="437"/>
      <c r="AS277" s="437"/>
      <c r="AT277" s="437"/>
      <c r="AU277" s="437"/>
      <c r="AV277" s="437"/>
      <c r="AW277" s="437"/>
      <c r="AX277" s="437"/>
      <c r="AY277" s="437"/>
      <c r="AZ277" s="437"/>
    </row>
    <row r="278" spans="2:52">
      <c r="B278" s="437"/>
      <c r="C278" s="329"/>
      <c r="D278" s="332"/>
      <c r="E278" s="332"/>
      <c r="G278" s="332"/>
      <c r="H278" s="332"/>
      <c r="I278" s="332"/>
      <c r="J278" s="332"/>
      <c r="K278" s="332"/>
      <c r="L278" s="332"/>
      <c r="M278" s="332"/>
      <c r="N278" s="332"/>
      <c r="O278" s="332"/>
      <c r="P278" s="437"/>
      <c r="Q278" s="437"/>
      <c r="R278" s="437"/>
      <c r="S278" s="437"/>
      <c r="T278" s="437"/>
      <c r="U278" s="437"/>
      <c r="V278" s="437"/>
      <c r="W278" s="437"/>
      <c r="X278" s="437"/>
      <c r="Y278" s="437"/>
      <c r="Z278" s="437"/>
      <c r="AA278" s="437"/>
      <c r="AB278" s="437"/>
      <c r="AC278" s="437"/>
      <c r="AD278" s="437"/>
      <c r="AE278" s="437"/>
      <c r="AF278" s="437"/>
      <c r="AG278" s="437"/>
      <c r="AH278" s="437"/>
      <c r="AI278" s="437"/>
      <c r="AJ278" s="437"/>
      <c r="AK278" s="437"/>
      <c r="AL278" s="437"/>
      <c r="AM278" s="437"/>
      <c r="AN278" s="437"/>
      <c r="AO278" s="437"/>
      <c r="AP278" s="437"/>
      <c r="AQ278" s="437"/>
      <c r="AR278" s="437"/>
      <c r="AS278" s="437"/>
      <c r="AT278" s="437"/>
      <c r="AU278" s="437"/>
      <c r="AV278" s="437"/>
      <c r="AW278" s="437"/>
      <c r="AX278" s="437"/>
      <c r="AY278" s="437"/>
      <c r="AZ278" s="437"/>
    </row>
    <row r="279" spans="2:52">
      <c r="B279" s="437"/>
      <c r="C279" s="437"/>
      <c r="D279" s="437"/>
      <c r="G279" s="437"/>
      <c r="H279" s="437"/>
      <c r="I279" s="437"/>
      <c r="J279" s="437"/>
      <c r="K279" s="437"/>
      <c r="L279" s="437"/>
      <c r="M279" s="437"/>
      <c r="N279" s="437"/>
      <c r="O279" s="437"/>
      <c r="P279" s="437"/>
      <c r="Q279" s="437"/>
      <c r="R279" s="437"/>
      <c r="S279" s="437"/>
      <c r="T279" s="437"/>
      <c r="U279" s="437"/>
      <c r="V279" s="437"/>
      <c r="W279" s="437"/>
      <c r="X279" s="437"/>
      <c r="Y279" s="437"/>
      <c r="Z279" s="437"/>
      <c r="AA279" s="437"/>
      <c r="AB279" s="437"/>
      <c r="AC279" s="437"/>
      <c r="AD279" s="437"/>
      <c r="AE279" s="437"/>
      <c r="AF279" s="437"/>
      <c r="AG279" s="437"/>
      <c r="AH279" s="437"/>
      <c r="AI279" s="437"/>
      <c r="AJ279" s="437"/>
      <c r="AK279" s="437"/>
      <c r="AL279" s="437"/>
      <c r="AM279" s="437"/>
      <c r="AN279" s="437"/>
      <c r="AO279" s="437"/>
      <c r="AP279" s="437"/>
      <c r="AQ279" s="437"/>
      <c r="AR279" s="437"/>
      <c r="AS279" s="437"/>
      <c r="AT279" s="437"/>
      <c r="AU279" s="437"/>
      <c r="AV279" s="437"/>
      <c r="AW279" s="437"/>
      <c r="AX279" s="437"/>
      <c r="AY279" s="437"/>
      <c r="AZ279" s="437"/>
    </row>
    <row r="280" spans="2:52">
      <c r="B280" s="437"/>
      <c r="C280" s="437"/>
      <c r="D280" s="437"/>
      <c r="G280" s="437"/>
      <c r="H280" s="437"/>
      <c r="I280" s="437"/>
      <c r="J280" s="437"/>
      <c r="K280" s="437"/>
      <c r="L280" s="437"/>
      <c r="M280" s="437"/>
      <c r="N280" s="437"/>
      <c r="O280" s="437"/>
      <c r="P280" s="437"/>
      <c r="Q280" s="437"/>
      <c r="R280" s="437"/>
      <c r="S280" s="437"/>
      <c r="T280" s="437"/>
      <c r="U280" s="437"/>
      <c r="V280" s="437"/>
      <c r="W280" s="437"/>
      <c r="X280" s="437"/>
      <c r="Y280" s="437"/>
      <c r="Z280" s="437"/>
      <c r="AA280" s="437"/>
      <c r="AB280" s="437"/>
      <c r="AC280" s="437"/>
      <c r="AD280" s="437"/>
      <c r="AE280" s="437"/>
      <c r="AF280" s="437"/>
      <c r="AG280" s="437"/>
      <c r="AH280" s="437"/>
      <c r="AI280" s="437"/>
      <c r="AJ280" s="437"/>
      <c r="AK280" s="437"/>
      <c r="AL280" s="437"/>
      <c r="AM280" s="437"/>
      <c r="AN280" s="437"/>
      <c r="AO280" s="437"/>
      <c r="AP280" s="437"/>
      <c r="AQ280" s="437"/>
      <c r="AR280" s="437"/>
      <c r="AS280" s="437"/>
      <c r="AT280" s="437"/>
      <c r="AU280" s="437"/>
      <c r="AV280" s="437"/>
      <c r="AW280" s="437"/>
      <c r="AX280" s="437"/>
      <c r="AY280" s="437"/>
      <c r="AZ280" s="437"/>
    </row>
    <row r="281" spans="2:52" ht="21">
      <c r="B281" s="437"/>
      <c r="C281" s="557" t="s">
        <v>854</v>
      </c>
      <c r="D281" s="437" t="s">
        <v>90</v>
      </c>
      <c r="E281" s="437" t="s">
        <v>41</v>
      </c>
      <c r="F281" s="437" t="s">
        <v>40</v>
      </c>
      <c r="G281" s="437" t="s">
        <v>44</v>
      </c>
      <c r="H281" s="437"/>
      <c r="I281" s="437" t="s">
        <v>45</v>
      </c>
      <c r="J281" s="437" t="s">
        <v>74</v>
      </c>
      <c r="K281" s="437" t="s">
        <v>77</v>
      </c>
      <c r="L281" s="437"/>
      <c r="M281" s="437" t="s">
        <v>70</v>
      </c>
      <c r="N281" s="437" t="s">
        <v>71</v>
      </c>
      <c r="O281" s="437" t="s">
        <v>43</v>
      </c>
      <c r="P281" s="437"/>
      <c r="Q281" s="437"/>
      <c r="R281" s="437"/>
      <c r="S281" s="437"/>
      <c r="T281" s="437"/>
      <c r="U281" s="437"/>
      <c r="V281" s="437"/>
      <c r="W281" s="437"/>
      <c r="X281" s="437"/>
      <c r="Y281" s="437"/>
      <c r="Z281" s="437"/>
      <c r="AA281" s="437"/>
      <c r="AB281" s="437"/>
      <c r="AC281" s="437"/>
      <c r="AD281" s="437"/>
      <c r="AE281" s="437"/>
      <c r="AF281" s="437"/>
      <c r="AG281" s="437"/>
      <c r="AH281" s="437"/>
      <c r="AI281" s="437"/>
      <c r="AJ281" s="437"/>
      <c r="AK281" s="437"/>
      <c r="AL281" s="437"/>
      <c r="AM281" s="437"/>
      <c r="AN281" s="437"/>
      <c r="AO281" s="437"/>
      <c r="AP281" s="437"/>
      <c r="AQ281" s="437"/>
      <c r="AR281" s="437"/>
      <c r="AS281" s="437"/>
      <c r="AT281" s="437"/>
      <c r="AU281" s="437"/>
      <c r="AV281" s="437"/>
      <c r="AW281" s="437"/>
      <c r="AX281" s="437"/>
      <c r="AY281" s="437"/>
      <c r="AZ281" s="437"/>
    </row>
    <row r="282" spans="2:52">
      <c r="B282" s="437"/>
      <c r="C282" s="558" t="s">
        <v>723</v>
      </c>
      <c r="D282" s="514"/>
      <c r="E282" s="559"/>
      <c r="F282" s="559"/>
      <c r="G282" s="559"/>
      <c r="H282" s="559"/>
      <c r="I282" s="559"/>
      <c r="J282" s="559"/>
      <c r="K282" s="559"/>
      <c r="L282" s="559"/>
      <c r="M282" s="559"/>
      <c r="N282" s="560"/>
      <c r="O282" s="561"/>
      <c r="P282" s="437"/>
      <c r="Q282" s="437"/>
      <c r="R282" s="437"/>
      <c r="S282" s="437"/>
      <c r="T282" s="437"/>
      <c r="U282" s="437"/>
      <c r="V282" s="437"/>
      <c r="W282" s="437"/>
      <c r="X282" s="437"/>
      <c r="Y282" s="437"/>
      <c r="Z282" s="437"/>
      <c r="AA282" s="437"/>
      <c r="AB282" s="437"/>
      <c r="AC282" s="437"/>
      <c r="AD282" s="437"/>
      <c r="AE282" s="437"/>
      <c r="AF282" s="437"/>
      <c r="AG282" s="437"/>
      <c r="AH282" s="437"/>
      <c r="AI282" s="437"/>
      <c r="AJ282" s="437"/>
      <c r="AK282" s="437"/>
      <c r="AL282" s="437"/>
      <c r="AM282" s="437"/>
      <c r="AN282" s="437"/>
      <c r="AO282" s="437"/>
      <c r="AP282" s="437"/>
      <c r="AQ282" s="437"/>
      <c r="AR282" s="437"/>
      <c r="AS282" s="437"/>
      <c r="AT282" s="437"/>
      <c r="AU282" s="437"/>
      <c r="AV282" s="437"/>
      <c r="AW282" s="437"/>
      <c r="AX282" s="437"/>
      <c r="AY282" s="437"/>
      <c r="AZ282" s="437"/>
    </row>
    <row r="283" spans="2:52" ht="24.6" thickBot="1">
      <c r="B283" s="437"/>
      <c r="C283" s="558"/>
      <c r="D283" s="553" t="s">
        <v>309</v>
      </c>
      <c r="E283" s="554" t="s">
        <v>303</v>
      </c>
      <c r="F283" s="553" t="s">
        <v>308</v>
      </c>
      <c r="G283" s="553" t="s">
        <v>726</v>
      </c>
      <c r="H283" s="553" t="s">
        <v>727</v>
      </c>
      <c r="I283" s="553" t="s">
        <v>51</v>
      </c>
      <c r="J283" s="553" t="s">
        <v>728</v>
      </c>
      <c r="K283" s="553" t="s">
        <v>129</v>
      </c>
      <c r="L283" s="554" t="s">
        <v>729</v>
      </c>
      <c r="M283" s="554" t="s">
        <v>730</v>
      </c>
      <c r="N283" s="554" t="s">
        <v>731</v>
      </c>
      <c r="O283" s="561" t="s">
        <v>301</v>
      </c>
      <c r="P283" s="554" t="s">
        <v>855</v>
      </c>
      <c r="Q283" s="437"/>
      <c r="R283" s="437"/>
      <c r="S283" s="437"/>
      <c r="T283" s="437"/>
      <c r="U283" s="437"/>
      <c r="V283" s="437"/>
      <c r="W283" s="437"/>
      <c r="X283" s="437"/>
      <c r="Y283" s="437"/>
      <c r="Z283" s="437"/>
      <c r="AA283" s="437"/>
      <c r="AB283" s="437"/>
      <c r="AC283" s="437"/>
      <c r="AD283" s="437"/>
      <c r="AE283" s="437"/>
      <c r="AF283" s="437"/>
      <c r="AG283" s="437"/>
      <c r="AH283" s="437"/>
      <c r="AI283" s="437"/>
      <c r="AJ283" s="437"/>
      <c r="AK283" s="437"/>
      <c r="AL283" s="437"/>
      <c r="AM283" s="437"/>
      <c r="AN283" s="437"/>
      <c r="AO283" s="437"/>
      <c r="AP283" s="437"/>
      <c r="AQ283" s="437"/>
      <c r="AR283" s="437"/>
      <c r="AS283" s="437"/>
      <c r="AT283" s="437"/>
      <c r="AU283" s="437"/>
      <c r="AV283" s="437"/>
      <c r="AW283" s="437"/>
      <c r="AX283" s="437"/>
      <c r="AY283" s="437"/>
      <c r="AZ283" s="437"/>
    </row>
    <row r="284" spans="2:52" ht="13.8" thickBot="1">
      <c r="B284" s="437"/>
      <c r="C284" s="555">
        <v>2018</v>
      </c>
      <c r="D284" s="556">
        <v>78.592912119302227</v>
      </c>
      <c r="E284" s="562">
        <v>53.422183381850253</v>
      </c>
      <c r="F284" s="562">
        <v>22.935796128023767</v>
      </c>
      <c r="G284" s="562">
        <v>67.735141438725293</v>
      </c>
      <c r="H284" s="562">
        <v>101.50107579472352</v>
      </c>
      <c r="I284" s="556">
        <v>101.50107579472352</v>
      </c>
      <c r="J284" s="556">
        <v>102.40107579472352</v>
      </c>
      <c r="K284" s="556">
        <v>99.501075794723519</v>
      </c>
      <c r="L284" s="556">
        <v>69.494890781791952</v>
      </c>
      <c r="M284" s="556">
        <v>69.494890781791952</v>
      </c>
      <c r="N284" s="556">
        <v>45.179472202489855</v>
      </c>
      <c r="O284" s="563">
        <v>41.634898055339931</v>
      </c>
      <c r="P284" s="556">
        <v>1.018306654608963</v>
      </c>
      <c r="Q284" s="437"/>
      <c r="R284" s="437"/>
      <c r="S284" s="437"/>
      <c r="T284" s="437"/>
      <c r="U284" s="437"/>
      <c r="V284" s="437"/>
      <c r="W284" s="437"/>
      <c r="X284" s="437"/>
      <c r="Y284" s="437"/>
      <c r="Z284" s="437"/>
      <c r="AA284" s="437"/>
      <c r="AB284" s="437"/>
      <c r="AC284" s="437"/>
      <c r="AD284" s="437"/>
      <c r="AE284" s="437"/>
      <c r="AF284" s="437"/>
      <c r="AG284" s="437"/>
      <c r="AH284" s="437"/>
      <c r="AI284" s="437"/>
      <c r="AJ284" s="437"/>
      <c r="AK284" s="437"/>
      <c r="AL284" s="437"/>
      <c r="AM284" s="437"/>
      <c r="AN284" s="437"/>
      <c r="AO284" s="437"/>
      <c r="AP284" s="437"/>
      <c r="AQ284" s="437"/>
      <c r="AR284" s="437"/>
      <c r="AS284" s="437"/>
      <c r="AT284" s="437"/>
      <c r="AU284" s="437"/>
      <c r="AV284" s="437"/>
      <c r="AW284" s="437"/>
      <c r="AX284" s="437"/>
      <c r="AY284" s="437"/>
      <c r="AZ284" s="437"/>
    </row>
    <row r="285" spans="2:52">
      <c r="B285" s="437"/>
      <c r="C285" s="555">
        <v>2019</v>
      </c>
      <c r="D285" s="556">
        <v>72.66780821917807</v>
      </c>
      <c r="E285" s="562">
        <v>34.261011240620462</v>
      </c>
      <c r="F285" s="562">
        <v>15.532766006190153</v>
      </c>
      <c r="G285" s="562">
        <v>61.821029259474152</v>
      </c>
      <c r="H285" s="562">
        <v>95.586963615472371</v>
      </c>
      <c r="I285" s="556">
        <v>95.586963615472371</v>
      </c>
      <c r="J285" s="556">
        <v>97.746963615472367</v>
      </c>
      <c r="K285" s="556">
        <v>92.996963615472367</v>
      </c>
      <c r="L285" s="556">
        <v>69.433019142282461</v>
      </c>
      <c r="M285" s="556">
        <v>79.702433091587693</v>
      </c>
      <c r="N285" s="556">
        <v>45.117600562980392</v>
      </c>
      <c r="O285" s="563">
        <v>41.634898055339931</v>
      </c>
      <c r="P285" s="556">
        <v>0.99989766317485917</v>
      </c>
      <c r="Q285" s="437"/>
      <c r="R285" s="437"/>
      <c r="S285" s="437"/>
      <c r="T285" s="437"/>
      <c r="U285" s="437"/>
      <c r="V285" s="437"/>
      <c r="W285" s="437"/>
      <c r="X285" s="437"/>
      <c r="Y285" s="437"/>
      <c r="Z285" s="437"/>
      <c r="AA285" s="437"/>
      <c r="AB285" s="437"/>
      <c r="AC285" s="437"/>
      <c r="AD285" s="437"/>
      <c r="AE285" s="437"/>
      <c r="AF285" s="437"/>
      <c r="AG285" s="437"/>
      <c r="AH285" s="437"/>
      <c r="AI285" s="437"/>
      <c r="AJ285" s="437"/>
      <c r="AK285" s="437"/>
      <c r="AL285" s="437"/>
      <c r="AM285" s="437"/>
      <c r="AN285" s="437"/>
      <c r="AO285" s="437"/>
      <c r="AP285" s="437"/>
      <c r="AQ285" s="437"/>
      <c r="AR285" s="437"/>
      <c r="AS285" s="437"/>
      <c r="AT285" s="437"/>
      <c r="AU285" s="437"/>
      <c r="AV285" s="437"/>
      <c r="AW285" s="437"/>
      <c r="AX285" s="437"/>
      <c r="AY285" s="437"/>
      <c r="AZ285" s="437"/>
    </row>
    <row r="286" spans="2:52">
      <c r="B286" s="437"/>
      <c r="C286" s="555">
        <v>2020</v>
      </c>
      <c r="D286" s="556">
        <v>71.191547947610658</v>
      </c>
      <c r="E286" s="562">
        <v>33.397849986482257</v>
      </c>
      <c r="F286" s="562">
        <v>12.929551889587877</v>
      </c>
      <c r="G286" s="562">
        <v>60.341090730548601</v>
      </c>
      <c r="H286" s="562">
        <v>94.107025086546813</v>
      </c>
      <c r="I286" s="556">
        <v>94.107025086546813</v>
      </c>
      <c r="J286" s="556">
        <v>96.267025086546809</v>
      </c>
      <c r="K286" s="556">
        <v>91.517025086546809</v>
      </c>
      <c r="L286" s="556">
        <v>59.910194122791161</v>
      </c>
      <c r="M286" s="556">
        <v>70.05883849089301</v>
      </c>
      <c r="N286" s="556">
        <v>45.248389703133633</v>
      </c>
      <c r="O286" s="564">
        <v>41.962449107096752</v>
      </c>
      <c r="P286" s="556">
        <v>0.97786502855281787</v>
      </c>
      <c r="Q286" s="437"/>
      <c r="R286" s="437"/>
      <c r="S286" s="437"/>
      <c r="T286" s="437"/>
      <c r="U286" s="437"/>
      <c r="V286" s="437"/>
      <c r="W286" s="437"/>
      <c r="X286" s="437"/>
      <c r="Y286" s="437"/>
      <c r="Z286" s="437"/>
      <c r="AA286" s="437"/>
      <c r="AB286" s="437"/>
      <c r="AC286" s="437"/>
      <c r="AD286" s="437"/>
      <c r="AE286" s="437"/>
      <c r="AF286" s="437"/>
      <c r="AG286" s="437"/>
      <c r="AH286" s="437"/>
      <c r="AI286" s="437"/>
      <c r="AJ286" s="437"/>
      <c r="AK286" s="437"/>
      <c r="AL286" s="437"/>
      <c r="AM286" s="437"/>
      <c r="AN286" s="437"/>
      <c r="AO286" s="437"/>
      <c r="AP286" s="437"/>
      <c r="AQ286" s="437"/>
      <c r="AR286" s="437"/>
      <c r="AS286" s="437"/>
      <c r="AT286" s="437"/>
      <c r="AU286" s="437"/>
      <c r="AV286" s="437"/>
      <c r="AW286" s="437"/>
      <c r="AX286" s="437"/>
      <c r="AY286" s="437"/>
      <c r="AZ286" s="437"/>
    </row>
    <row r="287" spans="2:52">
      <c r="B287" s="437"/>
      <c r="C287" s="555">
        <v>2021</v>
      </c>
      <c r="D287" s="556">
        <v>49.181117057429148</v>
      </c>
      <c r="E287" s="562">
        <v>31.525290025438199</v>
      </c>
      <c r="F287" s="562">
        <v>13.166058954324894</v>
      </c>
      <c r="G287" s="562">
        <v>38.35700531918522</v>
      </c>
      <c r="H287" s="562">
        <v>72.122939675183432</v>
      </c>
      <c r="I287" s="556">
        <v>72.122939675183432</v>
      </c>
      <c r="J287" s="556">
        <v>74.282939675183428</v>
      </c>
      <c r="K287" s="556">
        <v>69.532939675183428</v>
      </c>
      <c r="L287" s="556">
        <v>62.854344413402906</v>
      </c>
      <c r="M287" s="556">
        <v>72.96988813207048</v>
      </c>
      <c r="N287" s="556">
        <v>45.190250127598674</v>
      </c>
      <c r="O287" s="564">
        <v>42.37591413450582</v>
      </c>
      <c r="P287" s="556">
        <v>0.96452741381447771</v>
      </c>
      <c r="Q287" s="437"/>
      <c r="R287" s="437"/>
      <c r="S287" s="437"/>
      <c r="T287" s="437"/>
      <c r="U287" s="437"/>
      <c r="V287" s="437"/>
      <c r="W287" s="437"/>
      <c r="X287" s="437"/>
      <c r="Y287" s="437"/>
      <c r="Z287" s="437"/>
      <c r="AA287" s="437"/>
      <c r="AB287" s="437"/>
      <c r="AC287" s="437"/>
      <c r="AD287" s="437"/>
      <c r="AE287" s="437"/>
      <c r="AF287" s="437"/>
      <c r="AG287" s="437"/>
      <c r="AH287" s="437"/>
      <c r="AI287" s="437"/>
      <c r="AJ287" s="437"/>
      <c r="AK287" s="437"/>
      <c r="AL287" s="437"/>
      <c r="AM287" s="437"/>
      <c r="AN287" s="437"/>
      <c r="AO287" s="437"/>
      <c r="AP287" s="437"/>
      <c r="AQ287" s="437"/>
      <c r="AR287" s="437"/>
      <c r="AS287" s="437"/>
      <c r="AT287" s="437"/>
      <c r="AU287" s="437"/>
      <c r="AV287" s="437"/>
      <c r="AW287" s="437"/>
      <c r="AX287" s="437"/>
      <c r="AY287" s="437"/>
      <c r="AZ287" s="437"/>
    </row>
    <row r="288" spans="2:52">
      <c r="B288" s="437"/>
      <c r="C288" s="555">
        <v>2022</v>
      </c>
      <c r="D288" s="556">
        <v>52.581323432074825</v>
      </c>
      <c r="E288" s="562">
        <v>32.762548621541896</v>
      </c>
      <c r="F288" s="562">
        <v>13.673473481430243</v>
      </c>
      <c r="G288" s="562">
        <v>41.765504189889249</v>
      </c>
      <c r="H288" s="562">
        <v>75.531438545887454</v>
      </c>
      <c r="I288" s="556">
        <v>75.531438545887454</v>
      </c>
      <c r="J288" s="556">
        <v>77.691438545887451</v>
      </c>
      <c r="K288" s="556">
        <v>72.941438545887451</v>
      </c>
      <c r="L288" s="556">
        <v>63.172513966646889</v>
      </c>
      <c r="M288" s="556">
        <v>73.266464764716645</v>
      </c>
      <c r="N288" s="556">
        <v>45.392121473736516</v>
      </c>
      <c r="O288" s="564">
        <v>42.791201303703261</v>
      </c>
      <c r="P288" s="556">
        <v>0.94807328173912164</v>
      </c>
      <c r="Q288" s="437"/>
      <c r="R288" s="437"/>
      <c r="S288" s="437"/>
      <c r="T288" s="437"/>
      <c r="U288" s="437"/>
      <c r="V288" s="437"/>
      <c r="W288" s="437"/>
      <c r="X288" s="437"/>
      <c r="Y288" s="437"/>
      <c r="Z288" s="437"/>
      <c r="AA288" s="437"/>
      <c r="AB288" s="437"/>
      <c r="AC288" s="437"/>
      <c r="AD288" s="437"/>
      <c r="AE288" s="437"/>
      <c r="AF288" s="437"/>
      <c r="AG288" s="437"/>
      <c r="AH288" s="437"/>
      <c r="AI288" s="437"/>
      <c r="AJ288" s="437"/>
      <c r="AK288" s="437"/>
      <c r="AL288" s="437"/>
      <c r="AM288" s="437"/>
      <c r="AN288" s="437"/>
      <c r="AO288" s="437"/>
      <c r="AP288" s="437"/>
      <c r="AQ288" s="437"/>
      <c r="AR288" s="437"/>
      <c r="AS288" s="437"/>
      <c r="AT288" s="437"/>
      <c r="AU288" s="437"/>
      <c r="AV288" s="437"/>
      <c r="AW288" s="437"/>
      <c r="AX288" s="437"/>
      <c r="AY288" s="437"/>
      <c r="AZ288" s="437"/>
    </row>
    <row r="289" spans="2:52">
      <c r="B289" s="437"/>
      <c r="C289" s="555">
        <v>2023</v>
      </c>
      <c r="D289" s="556">
        <v>54.889966476332738</v>
      </c>
      <c r="E289" s="562">
        <v>33.367688312875465</v>
      </c>
      <c r="F289" s="562">
        <v>14.173926683886389</v>
      </c>
      <c r="G289" s="562">
        <v>44.088588085044584</v>
      </c>
      <c r="H289" s="562">
        <v>77.854522441042789</v>
      </c>
      <c r="I289" s="556">
        <v>77.854522441042789</v>
      </c>
      <c r="J289" s="556">
        <v>80.014522441042786</v>
      </c>
      <c r="K289" s="556">
        <v>75.264522441042786</v>
      </c>
      <c r="L289" s="556">
        <v>62.478874618815077</v>
      </c>
      <c r="M289" s="556">
        <v>72.556552851440529</v>
      </c>
      <c r="N289" s="556">
        <v>45.644433925671841</v>
      </c>
      <c r="O289" s="564">
        <v>43.208184541451871</v>
      </c>
      <c r="P289" s="556">
        <v>0.93311916436423892</v>
      </c>
      <c r="Q289" s="437"/>
      <c r="R289" s="437"/>
      <c r="S289" s="437"/>
      <c r="T289" s="437"/>
      <c r="U289" s="437"/>
      <c r="V289" s="437"/>
      <c r="W289" s="437"/>
      <c r="X289" s="437"/>
      <c r="Y289" s="437"/>
      <c r="Z289" s="437"/>
      <c r="AA289" s="437"/>
      <c r="AB289" s="437"/>
      <c r="AC289" s="437"/>
      <c r="AD289" s="437"/>
      <c r="AE289" s="437"/>
      <c r="AF289" s="437"/>
      <c r="AG289" s="437"/>
      <c r="AH289" s="437"/>
      <c r="AI289" s="437"/>
      <c r="AJ289" s="437"/>
      <c r="AK289" s="437"/>
      <c r="AL289" s="437"/>
      <c r="AM289" s="437"/>
      <c r="AN289" s="437"/>
      <c r="AO289" s="437"/>
      <c r="AP289" s="437"/>
      <c r="AQ289" s="437"/>
      <c r="AR289" s="437"/>
      <c r="AS289" s="437"/>
      <c r="AT289" s="437"/>
      <c r="AU289" s="437"/>
      <c r="AV289" s="437"/>
      <c r="AW289" s="437"/>
      <c r="AX289" s="437"/>
      <c r="AY289" s="437"/>
      <c r="AZ289" s="437"/>
    </row>
    <row r="290" spans="2:52">
      <c r="B290" s="437"/>
      <c r="C290" s="555">
        <v>2024</v>
      </c>
      <c r="D290" s="556">
        <v>56.568388062461416</v>
      </c>
      <c r="E290" s="562">
        <v>33.567123920362071</v>
      </c>
      <c r="F290" s="562">
        <v>14.64740072098045</v>
      </c>
      <c r="G290" s="562">
        <v>45.786797230009718</v>
      </c>
      <c r="H290" s="562">
        <v>79.552731586007937</v>
      </c>
      <c r="I290" s="556">
        <v>79.552731586007937</v>
      </c>
      <c r="J290" s="556">
        <v>81.712731586007934</v>
      </c>
      <c r="K290" s="556">
        <v>76.962731586007934</v>
      </c>
      <c r="L290" s="556">
        <v>62.142339464339834</v>
      </c>
      <c r="M290" s="556">
        <v>72.210497880380103</v>
      </c>
      <c r="N290" s="556">
        <v>45.923015098100862</v>
      </c>
      <c r="O290" s="564">
        <v>43.626739530646304</v>
      </c>
      <c r="P290" s="556">
        <v>0.92005871726274913</v>
      </c>
      <c r="Q290" s="437"/>
      <c r="R290" s="437"/>
      <c r="S290" s="437"/>
      <c r="T290" s="437"/>
      <c r="U290" s="437"/>
      <c r="V290" s="437"/>
      <c r="W290" s="437"/>
      <c r="X290" s="437"/>
      <c r="Y290" s="437"/>
      <c r="Z290" s="437"/>
      <c r="AA290" s="437"/>
      <c r="AB290" s="437"/>
      <c r="AC290" s="437"/>
      <c r="AD290" s="437"/>
      <c r="AE290" s="437"/>
      <c r="AF290" s="437"/>
      <c r="AG290" s="437"/>
      <c r="AH290" s="437"/>
      <c r="AI290" s="437"/>
      <c r="AJ290" s="437"/>
      <c r="AK290" s="437"/>
      <c r="AL290" s="437"/>
      <c r="AM290" s="437"/>
      <c r="AN290" s="437"/>
      <c r="AO290" s="437"/>
      <c r="AP290" s="437"/>
      <c r="AQ290" s="437"/>
      <c r="AR290" s="437"/>
      <c r="AS290" s="437"/>
      <c r="AT290" s="437"/>
      <c r="AU290" s="437"/>
      <c r="AV290" s="437"/>
      <c r="AW290" s="437"/>
      <c r="AX290" s="437"/>
      <c r="AY290" s="437"/>
      <c r="AZ290" s="437"/>
    </row>
    <row r="291" spans="2:52">
      <c r="B291" s="437"/>
      <c r="C291" s="555">
        <v>2025</v>
      </c>
      <c r="D291" s="556">
        <v>57.786429057350325</v>
      </c>
      <c r="E291" s="562">
        <v>33.506083462913665</v>
      </c>
      <c r="F291" s="562">
        <v>14.580898828103843</v>
      </c>
      <c r="G291" s="562">
        <v>47.023275056537912</v>
      </c>
      <c r="H291" s="562">
        <v>80.789209412536124</v>
      </c>
      <c r="I291" s="556">
        <v>80.789209412536124</v>
      </c>
      <c r="J291" s="556">
        <v>82.949209412536121</v>
      </c>
      <c r="K291" s="556">
        <v>78.199209412536121</v>
      </c>
      <c r="L291" s="556">
        <v>61.840436911371611</v>
      </c>
      <c r="M291" s="556">
        <v>71.898055834432554</v>
      </c>
      <c r="N291" s="556">
        <v>46.207001444406053</v>
      </c>
      <c r="O291" s="564">
        <v>44.046743692103149</v>
      </c>
      <c r="P291" s="556">
        <v>0.90676241471011532</v>
      </c>
      <c r="Q291" s="437"/>
      <c r="R291" s="437"/>
      <c r="S291" s="437"/>
      <c r="T291" s="437"/>
      <c r="U291" s="437"/>
      <c r="V291" s="437"/>
      <c r="W291" s="437"/>
      <c r="X291" s="437"/>
      <c r="Y291" s="437"/>
      <c r="Z291" s="437"/>
      <c r="AA291" s="437"/>
      <c r="AB291" s="437"/>
      <c r="AC291" s="437"/>
      <c r="AD291" s="437"/>
      <c r="AE291" s="437"/>
      <c r="AF291" s="437"/>
      <c r="AG291" s="437"/>
      <c r="AH291" s="437"/>
      <c r="AI291" s="437"/>
      <c r="AJ291" s="437"/>
      <c r="AK291" s="437"/>
      <c r="AL291" s="437"/>
      <c r="AM291" s="437"/>
      <c r="AN291" s="437"/>
      <c r="AO291" s="437"/>
      <c r="AP291" s="437"/>
      <c r="AQ291" s="437"/>
      <c r="AR291" s="437"/>
      <c r="AS291" s="437"/>
      <c r="AT291" s="437"/>
      <c r="AU291" s="437"/>
      <c r="AV291" s="437"/>
      <c r="AW291" s="437"/>
      <c r="AX291" s="437"/>
      <c r="AY291" s="437"/>
      <c r="AZ291" s="437"/>
    </row>
    <row r="292" spans="2:52">
      <c r="B292" s="437"/>
      <c r="C292" s="555">
        <v>2026</v>
      </c>
      <c r="D292" s="556">
        <v>59.146270171698553</v>
      </c>
      <c r="E292" s="562">
        <v>33.467639204304064</v>
      </c>
      <c r="F292" s="562">
        <v>14.5316584938834</v>
      </c>
      <c r="G292" s="562">
        <v>48.388738394847046</v>
      </c>
      <c r="H292" s="562">
        <v>82.154672750845265</v>
      </c>
      <c r="I292" s="556">
        <v>82.154672750845265</v>
      </c>
      <c r="J292" s="556">
        <v>84.314672750845261</v>
      </c>
      <c r="K292" s="556">
        <v>79.564672750845261</v>
      </c>
      <c r="L292" s="556">
        <v>61.559038676176264</v>
      </c>
      <c r="M292" s="556">
        <v>71.654987558314588</v>
      </c>
      <c r="N292" s="556">
        <v>46.419730980267232</v>
      </c>
      <c r="O292" s="564">
        <v>44.303492323512977</v>
      </c>
      <c r="P292" s="556">
        <v>0.89032177619719322</v>
      </c>
      <c r="Q292" s="437"/>
      <c r="R292" s="437"/>
      <c r="S292" s="437"/>
      <c r="T292" s="437"/>
      <c r="U292" s="437"/>
      <c r="V292" s="437"/>
      <c r="W292" s="437"/>
      <c r="X292" s="437"/>
      <c r="Y292" s="437"/>
      <c r="Z292" s="437"/>
      <c r="AA292" s="437"/>
      <c r="AB292" s="437"/>
      <c r="AC292" s="437"/>
      <c r="AD292" s="437"/>
      <c r="AE292" s="437"/>
      <c r="AF292" s="437"/>
      <c r="AG292" s="437"/>
      <c r="AH292" s="437"/>
      <c r="AI292" s="437"/>
      <c r="AJ292" s="437"/>
      <c r="AK292" s="437"/>
      <c r="AL292" s="437"/>
      <c r="AM292" s="437"/>
      <c r="AN292" s="437"/>
      <c r="AO292" s="437"/>
      <c r="AP292" s="437"/>
      <c r="AQ292" s="437"/>
      <c r="AR292" s="437"/>
      <c r="AS292" s="437"/>
      <c r="AT292" s="437"/>
      <c r="AU292" s="437"/>
      <c r="AV292" s="437"/>
      <c r="AW292" s="437"/>
      <c r="AX292" s="437"/>
      <c r="AY292" s="437"/>
      <c r="AZ292" s="437"/>
    </row>
    <row r="293" spans="2:52">
      <c r="B293" s="437"/>
      <c r="C293" s="555">
        <v>2027</v>
      </c>
      <c r="D293" s="556">
        <v>60.478046986869018</v>
      </c>
      <c r="E293" s="562">
        <v>33.442947086231669</v>
      </c>
      <c r="F293" s="562">
        <v>14.477230593088336</v>
      </c>
      <c r="G293" s="562">
        <v>49.726877161691675</v>
      </c>
      <c r="H293" s="562">
        <v>83.492811517689887</v>
      </c>
      <c r="I293" s="556">
        <v>83.492811517689887</v>
      </c>
      <c r="J293" s="556">
        <v>85.652811517689884</v>
      </c>
      <c r="K293" s="556">
        <v>80.902811517689884</v>
      </c>
      <c r="L293" s="556">
        <v>61.304552221855602</v>
      </c>
      <c r="M293" s="556">
        <v>71.438770667888747</v>
      </c>
      <c r="N293" s="556">
        <v>46.631059323825987</v>
      </c>
      <c r="O293" s="564">
        <v>44.56044844066794</v>
      </c>
      <c r="P293" s="556">
        <v>0.87425828973292308</v>
      </c>
      <c r="Q293" s="437"/>
      <c r="R293" s="437"/>
      <c r="S293" s="437"/>
      <c r="T293" s="437"/>
      <c r="U293" s="437"/>
      <c r="V293" s="437"/>
      <c r="W293" s="437"/>
      <c r="X293" s="437"/>
      <c r="Y293" s="437"/>
      <c r="Z293" s="437"/>
      <c r="AA293" s="437"/>
      <c r="AB293" s="437"/>
      <c r="AC293" s="437"/>
      <c r="AD293" s="437"/>
      <c r="AE293" s="437"/>
      <c r="AF293" s="437"/>
      <c r="AG293" s="437"/>
      <c r="AH293" s="437"/>
      <c r="AI293" s="437"/>
      <c r="AJ293" s="437"/>
      <c r="AK293" s="437"/>
      <c r="AL293" s="437"/>
      <c r="AM293" s="437"/>
      <c r="AN293" s="437"/>
      <c r="AO293" s="437"/>
      <c r="AP293" s="437"/>
      <c r="AQ293" s="437"/>
      <c r="AR293" s="437"/>
      <c r="AS293" s="437"/>
      <c r="AT293" s="437"/>
      <c r="AU293" s="437"/>
      <c r="AV293" s="437"/>
      <c r="AW293" s="437"/>
      <c r="AX293" s="437"/>
      <c r="AY293" s="437"/>
      <c r="AZ293" s="437"/>
    </row>
    <row r="294" spans="2:52">
      <c r="B294" s="437"/>
      <c r="C294" s="555">
        <v>2028</v>
      </c>
      <c r="D294" s="556">
        <v>61.703174257304624</v>
      </c>
      <c r="E294" s="562">
        <v>33.42179959045346</v>
      </c>
      <c r="F294" s="562">
        <v>14.413190648189367</v>
      </c>
      <c r="G294" s="562">
        <v>50.957998458731836</v>
      </c>
      <c r="H294" s="562">
        <v>84.723932814730048</v>
      </c>
      <c r="I294" s="556">
        <v>84.723932814730048</v>
      </c>
      <c r="J294" s="556">
        <v>86.883932814730045</v>
      </c>
      <c r="K294" s="556">
        <v>82.133932814730045</v>
      </c>
      <c r="L294" s="556">
        <v>61.075127920444082</v>
      </c>
      <c r="M294" s="556">
        <v>71.247553781993901</v>
      </c>
      <c r="N294" s="556">
        <v>46.839924523073165</v>
      </c>
      <c r="O294" s="564">
        <v>44.817607952103295</v>
      </c>
      <c r="P294" s="556">
        <v>0.85823047344328252</v>
      </c>
      <c r="Q294" s="437"/>
      <c r="R294" s="437"/>
      <c r="S294" s="437"/>
      <c r="T294" s="437"/>
      <c r="U294" s="437"/>
      <c r="V294" s="437"/>
      <c r="W294" s="437"/>
      <c r="X294" s="437"/>
      <c r="Y294" s="437"/>
      <c r="Z294" s="437"/>
      <c r="AA294" s="437"/>
      <c r="AB294" s="437"/>
      <c r="AC294" s="437"/>
      <c r="AD294" s="437"/>
      <c r="AE294" s="437"/>
      <c r="AF294" s="437"/>
      <c r="AG294" s="437"/>
      <c r="AH294" s="437"/>
      <c r="AI294" s="437"/>
      <c r="AJ294" s="437"/>
      <c r="AK294" s="437"/>
      <c r="AL294" s="437"/>
      <c r="AM294" s="437"/>
      <c r="AN294" s="437"/>
      <c r="AO294" s="437"/>
      <c r="AP294" s="437"/>
      <c r="AQ294" s="437"/>
      <c r="AR294" s="437"/>
      <c r="AS294" s="437"/>
      <c r="AT294" s="437"/>
      <c r="AU294" s="437"/>
      <c r="AV294" s="437"/>
      <c r="AW294" s="437"/>
      <c r="AX294" s="437"/>
      <c r="AY294" s="437"/>
      <c r="AZ294" s="437"/>
    </row>
    <row r="295" spans="2:52">
      <c r="B295" s="437"/>
      <c r="C295" s="555">
        <v>2029</v>
      </c>
      <c r="D295" s="556">
        <v>62.989602327697277</v>
      </c>
      <c r="E295" s="562">
        <v>33.414220248022303</v>
      </c>
      <c r="F295" s="562">
        <v>14.343963605486476</v>
      </c>
      <c r="G295" s="562">
        <v>52.250750345664912</v>
      </c>
      <c r="H295" s="562">
        <v>86.016684701663124</v>
      </c>
      <c r="I295" s="556">
        <v>86.016684701663124</v>
      </c>
      <c r="J295" s="556">
        <v>88.17668470166312</v>
      </c>
      <c r="K295" s="556">
        <v>83.42668470166312</v>
      </c>
      <c r="L295" s="556">
        <v>60.879811326662022</v>
      </c>
      <c r="M295" s="556">
        <v>71.090380717662555</v>
      </c>
      <c r="N295" s="556">
        <v>47.054043906757286</v>
      </c>
      <c r="O295" s="564">
        <v>45.074966809344929</v>
      </c>
      <c r="P295" s="556">
        <v>0.84270389124070177</v>
      </c>
      <c r="Q295" s="437"/>
      <c r="R295" s="437"/>
      <c r="S295" s="437"/>
      <c r="T295" s="437"/>
      <c r="U295" s="437"/>
      <c r="V295" s="437"/>
      <c r="W295" s="437"/>
      <c r="X295" s="437"/>
      <c r="Y295" s="437"/>
      <c r="Z295" s="437"/>
      <c r="AA295" s="437"/>
      <c r="AB295" s="437"/>
      <c r="AC295" s="437"/>
      <c r="AD295" s="437"/>
      <c r="AE295" s="437"/>
      <c r="AF295" s="437"/>
      <c r="AG295" s="437"/>
      <c r="AH295" s="437"/>
      <c r="AI295" s="437"/>
      <c r="AJ295" s="437"/>
      <c r="AK295" s="437"/>
      <c r="AL295" s="437"/>
      <c r="AM295" s="437"/>
      <c r="AN295" s="437"/>
      <c r="AO295" s="437"/>
      <c r="AP295" s="437"/>
      <c r="AQ295" s="437"/>
      <c r="AR295" s="437"/>
      <c r="AS295" s="437"/>
      <c r="AT295" s="437"/>
      <c r="AU295" s="437"/>
      <c r="AV295" s="437"/>
      <c r="AW295" s="437"/>
      <c r="AX295" s="437"/>
      <c r="AY295" s="437"/>
      <c r="AZ295" s="437"/>
    </row>
    <row r="296" spans="2:52">
      <c r="B296" s="437"/>
      <c r="C296" s="555">
        <v>2030</v>
      </c>
      <c r="D296" s="556">
        <v>64.209121548162642</v>
      </c>
      <c r="E296" s="562">
        <v>33.412152610409883</v>
      </c>
      <c r="F296" s="562">
        <v>14.266503152082981</v>
      </c>
      <c r="G296" s="562">
        <v>53.473940246602353</v>
      </c>
      <c r="H296" s="562">
        <v>87.239874602600565</v>
      </c>
      <c r="I296" s="556">
        <v>87.239874602600565</v>
      </c>
      <c r="J296" s="556">
        <v>89.399874602600562</v>
      </c>
      <c r="K296" s="556">
        <v>84.649874602600562</v>
      </c>
      <c r="L296" s="556">
        <v>60.705878120268423</v>
      </c>
      <c r="M296" s="556">
        <v>70.954525432358807</v>
      </c>
      <c r="N296" s="556">
        <v>47.263106384197172</v>
      </c>
      <c r="O296" s="564">
        <v>45.332521006394593</v>
      </c>
      <c r="P296" s="556">
        <v>0.8270052796536449</v>
      </c>
      <c r="Q296" s="437"/>
      <c r="R296" s="437"/>
      <c r="S296" s="437"/>
      <c r="T296" s="437"/>
      <c r="U296" s="437"/>
      <c r="V296" s="437"/>
      <c r="W296" s="437"/>
      <c r="X296" s="437"/>
      <c r="Y296" s="437"/>
      <c r="Z296" s="437"/>
      <c r="AA296" s="437"/>
      <c r="AB296" s="437"/>
      <c r="AC296" s="437"/>
      <c r="AD296" s="437"/>
      <c r="AE296" s="437"/>
      <c r="AF296" s="437"/>
      <c r="AG296" s="437"/>
      <c r="AH296" s="437"/>
      <c r="AI296" s="437"/>
      <c r="AJ296" s="437"/>
      <c r="AK296" s="437"/>
      <c r="AL296" s="437"/>
      <c r="AM296" s="437"/>
      <c r="AN296" s="437"/>
      <c r="AO296" s="437"/>
      <c r="AP296" s="437"/>
      <c r="AQ296" s="437"/>
      <c r="AR296" s="437"/>
      <c r="AS296" s="437"/>
      <c r="AT296" s="437"/>
      <c r="AU296" s="437"/>
      <c r="AV296" s="437"/>
      <c r="AW296" s="437"/>
      <c r="AX296" s="437"/>
      <c r="AY296" s="437"/>
      <c r="AZ296" s="437"/>
    </row>
    <row r="297" spans="2:52">
      <c r="B297" s="437"/>
      <c r="C297" s="555">
        <v>2031</v>
      </c>
      <c r="D297" s="556">
        <v>63.901532941943884</v>
      </c>
      <c r="E297" s="562">
        <v>33.458238338148384</v>
      </c>
      <c r="F297" s="562">
        <v>14.23069306413351</v>
      </c>
      <c r="G297" s="562">
        <v>53.16779648439951</v>
      </c>
      <c r="H297" s="562">
        <v>86.933730840397715</v>
      </c>
      <c r="I297" s="556">
        <v>86.933730840397715</v>
      </c>
      <c r="J297" s="556">
        <v>89.093730840397711</v>
      </c>
      <c r="K297" s="556">
        <v>84.343730840397711</v>
      </c>
      <c r="L297" s="556">
        <v>60.70433047636952</v>
      </c>
      <c r="M297" s="556">
        <v>70.98353554352687</v>
      </c>
      <c r="N297" s="556">
        <v>47.363169268373781</v>
      </c>
      <c r="O297" s="564">
        <v>45.549544275390517</v>
      </c>
      <c r="P297" s="556">
        <v>0.81075933244600917</v>
      </c>
      <c r="Q297" s="437"/>
      <c r="R297" s="437"/>
      <c r="S297" s="437"/>
      <c r="T297" s="437"/>
      <c r="U297" s="437"/>
      <c r="V297" s="437"/>
      <c r="W297" s="437"/>
      <c r="X297" s="437"/>
      <c r="Y297" s="437"/>
      <c r="Z297" s="437"/>
      <c r="AA297" s="437"/>
      <c r="AB297" s="437"/>
      <c r="AC297" s="437"/>
      <c r="AD297" s="437"/>
      <c r="AE297" s="437"/>
      <c r="AF297" s="437"/>
      <c r="AG297" s="437"/>
      <c r="AH297" s="437"/>
      <c r="AI297" s="437"/>
      <c r="AJ297" s="437"/>
      <c r="AK297" s="437"/>
      <c r="AL297" s="437"/>
      <c r="AM297" s="437"/>
      <c r="AN297" s="437"/>
      <c r="AO297" s="437"/>
      <c r="AP297" s="437"/>
      <c r="AQ297" s="437"/>
      <c r="AR297" s="437"/>
      <c r="AS297" s="437"/>
      <c r="AT297" s="437"/>
      <c r="AU297" s="437"/>
      <c r="AV297" s="437"/>
      <c r="AW297" s="437"/>
      <c r="AX297" s="437"/>
      <c r="AY297" s="437"/>
      <c r="AZ297" s="437"/>
    </row>
    <row r="298" spans="2:52">
      <c r="B298" s="437"/>
      <c r="C298" s="555">
        <v>2032</v>
      </c>
      <c r="D298" s="556">
        <v>63.593944335725141</v>
      </c>
      <c r="E298" s="562">
        <v>33.504324065886884</v>
      </c>
      <c r="F298" s="562">
        <v>14.195037264254136</v>
      </c>
      <c r="G298" s="562">
        <v>52.860920537900107</v>
      </c>
      <c r="H298" s="562">
        <v>86.626854893898326</v>
      </c>
      <c r="I298" s="556">
        <v>86.626854893898326</v>
      </c>
      <c r="J298" s="556">
        <v>88.786854893898322</v>
      </c>
      <c r="K298" s="556">
        <v>84.036854893898322</v>
      </c>
      <c r="L298" s="556">
        <v>60.702548817291905</v>
      </c>
      <c r="M298" s="556">
        <v>71.012297087670845</v>
      </c>
      <c r="N298" s="556">
        <v>47.463048827686151</v>
      </c>
      <c r="O298" s="564">
        <v>45.766845997017583</v>
      </c>
      <c r="P298" s="556">
        <v>0.79472100056409223</v>
      </c>
      <c r="Q298" s="437"/>
      <c r="R298" s="437"/>
      <c r="S298" s="437"/>
      <c r="T298" s="437"/>
      <c r="U298" s="437"/>
      <c r="V298" s="437"/>
      <c r="W298" s="437"/>
      <c r="X298" s="437"/>
      <c r="Y298" s="437"/>
      <c r="Z298" s="437"/>
      <c r="AA298" s="437"/>
      <c r="AB298" s="437"/>
      <c r="AC298" s="437"/>
      <c r="AD298" s="437"/>
      <c r="AE298" s="437"/>
      <c r="AF298" s="437"/>
      <c r="AG298" s="437"/>
      <c r="AH298" s="437"/>
      <c r="AI298" s="437"/>
      <c r="AJ298" s="437"/>
      <c r="AK298" s="437"/>
      <c r="AL298" s="437"/>
      <c r="AM298" s="437"/>
      <c r="AN298" s="437"/>
      <c r="AO298" s="437"/>
      <c r="AP298" s="437"/>
      <c r="AQ298" s="437"/>
      <c r="AR298" s="437"/>
      <c r="AS298" s="437"/>
      <c r="AT298" s="437"/>
      <c r="AU298" s="437"/>
      <c r="AV298" s="437"/>
      <c r="AW298" s="437"/>
      <c r="AX298" s="437"/>
      <c r="AY298" s="437"/>
      <c r="AZ298" s="437"/>
    </row>
    <row r="299" spans="2:52">
      <c r="B299" s="437"/>
      <c r="C299" s="555">
        <v>2033</v>
      </c>
      <c r="D299" s="556">
        <v>63.286355729506404</v>
      </c>
      <c r="E299" s="562">
        <v>33.550409793625377</v>
      </c>
      <c r="F299" s="562">
        <v>14.159114470166005</v>
      </c>
      <c r="G299" s="562">
        <v>52.55531163017308</v>
      </c>
      <c r="H299" s="562">
        <v>86.321245986171292</v>
      </c>
      <c r="I299" s="556">
        <v>86.321245986171292</v>
      </c>
      <c r="J299" s="556">
        <v>88.481245986171288</v>
      </c>
      <c r="K299" s="556">
        <v>83.731245986171288</v>
      </c>
      <c r="L299" s="556">
        <v>60.700536499539886</v>
      </c>
      <c r="M299" s="556">
        <v>71.040811038704931</v>
      </c>
      <c r="N299" s="556">
        <v>47.562746231205452</v>
      </c>
      <c r="O299" s="564">
        <v>45.93621057509371</v>
      </c>
      <c r="P299" s="556">
        <v>0.77922098994212197</v>
      </c>
      <c r="Q299" s="437"/>
      <c r="R299" s="437"/>
      <c r="S299" s="437"/>
      <c r="T299" s="437"/>
      <c r="U299" s="437"/>
      <c r="V299" s="437"/>
      <c r="W299" s="437"/>
      <c r="X299" s="437"/>
      <c r="Y299" s="437"/>
      <c r="Z299" s="437"/>
      <c r="AA299" s="437"/>
      <c r="AB299" s="437"/>
      <c r="AC299" s="437"/>
      <c r="AD299" s="437"/>
      <c r="AE299" s="437"/>
      <c r="AF299" s="437"/>
      <c r="AG299" s="437"/>
      <c r="AH299" s="437"/>
      <c r="AI299" s="437"/>
      <c r="AJ299" s="437"/>
      <c r="AK299" s="437"/>
      <c r="AL299" s="437"/>
      <c r="AM299" s="437"/>
      <c r="AN299" s="437"/>
      <c r="AO299" s="437"/>
      <c r="AP299" s="437"/>
      <c r="AQ299" s="437"/>
      <c r="AR299" s="437"/>
      <c r="AS299" s="437"/>
      <c r="AT299" s="437"/>
      <c r="AU299" s="437"/>
      <c r="AV299" s="437"/>
      <c r="AW299" s="437"/>
      <c r="AX299" s="437"/>
      <c r="AY299" s="437"/>
      <c r="AZ299" s="437"/>
    </row>
    <row r="300" spans="2:52">
      <c r="B300" s="437"/>
      <c r="C300" s="555">
        <v>2034</v>
      </c>
      <c r="D300" s="556">
        <v>62.978767123287653</v>
      </c>
      <c r="E300" s="562">
        <v>33.59649552136387</v>
      </c>
      <c r="F300" s="562">
        <v>14.123353426479357</v>
      </c>
      <c r="G300" s="562">
        <v>52.248935125159633</v>
      </c>
      <c r="H300" s="562">
        <v>86.014869481157845</v>
      </c>
      <c r="I300" s="556">
        <v>86.014869481157845</v>
      </c>
      <c r="J300" s="556">
        <v>88.174869481157842</v>
      </c>
      <c r="K300" s="556">
        <v>83.424869481157842</v>
      </c>
      <c r="L300" s="556">
        <v>60.698296822060883</v>
      </c>
      <c r="M300" s="556">
        <v>71.069078333891227</v>
      </c>
      <c r="N300" s="556">
        <v>47.662262629564232</v>
      </c>
      <c r="O300" s="564">
        <v>46.091987325464736</v>
      </c>
      <c r="P300" s="556">
        <v>0.76390612340968655</v>
      </c>
      <c r="Q300" s="437"/>
      <c r="R300" s="437"/>
      <c r="S300" s="437"/>
      <c r="T300" s="437"/>
      <c r="U300" s="437"/>
      <c r="V300" s="437"/>
      <c r="W300" s="437"/>
      <c r="X300" s="437"/>
      <c r="Y300" s="437"/>
      <c r="Z300" s="437"/>
      <c r="AA300" s="437"/>
      <c r="AB300" s="437"/>
      <c r="AC300" s="437"/>
      <c r="AD300" s="437"/>
      <c r="AE300" s="437"/>
      <c r="AF300" s="437"/>
      <c r="AG300" s="437"/>
      <c r="AH300" s="437"/>
      <c r="AI300" s="437"/>
      <c r="AJ300" s="437"/>
      <c r="AK300" s="437"/>
      <c r="AL300" s="437"/>
      <c r="AM300" s="437"/>
      <c r="AN300" s="437"/>
      <c r="AO300" s="437"/>
      <c r="AP300" s="437"/>
      <c r="AQ300" s="437"/>
      <c r="AR300" s="437"/>
      <c r="AS300" s="437"/>
      <c r="AT300" s="437"/>
      <c r="AU300" s="437"/>
      <c r="AV300" s="437"/>
      <c r="AW300" s="437"/>
      <c r="AX300" s="437"/>
      <c r="AY300" s="437"/>
      <c r="AZ300" s="437"/>
    </row>
    <row r="301" spans="2:52">
      <c r="B301" s="437"/>
      <c r="C301" s="555">
        <v>2035</v>
      </c>
      <c r="D301" s="556">
        <v>62.671178517068917</v>
      </c>
      <c r="E301" s="562">
        <v>33.642581249102378</v>
      </c>
      <c r="F301" s="562">
        <v>14.087572006623748</v>
      </c>
      <c r="G301" s="562">
        <v>51.942655316610988</v>
      </c>
      <c r="H301" s="562">
        <v>85.708589672609207</v>
      </c>
      <c r="I301" s="556">
        <v>85.708589672609207</v>
      </c>
      <c r="J301" s="556">
        <v>87.868589672609204</v>
      </c>
      <c r="K301" s="556">
        <v>83.118589672609204</v>
      </c>
      <c r="L301" s="556">
        <v>60.695833026853684</v>
      </c>
      <c r="M301" s="556">
        <v>71.097099874290336</v>
      </c>
      <c r="N301" s="556">
        <v>47.761599155151828</v>
      </c>
      <c r="O301" s="564">
        <v>46.247727566987081</v>
      </c>
      <c r="P301" s="556">
        <v>0.74916462069632617</v>
      </c>
      <c r="Q301" s="437"/>
      <c r="R301" s="437"/>
      <c r="S301" s="437"/>
      <c r="T301" s="437"/>
      <c r="U301" s="437"/>
      <c r="V301" s="437"/>
      <c r="W301" s="437"/>
      <c r="X301" s="437"/>
      <c r="Y301" s="437"/>
      <c r="Z301" s="437"/>
      <c r="AA301" s="437"/>
      <c r="AB301" s="437"/>
      <c r="AC301" s="437"/>
      <c r="AD301" s="437"/>
      <c r="AE301" s="437"/>
      <c r="AF301" s="437"/>
      <c r="AG301" s="437"/>
      <c r="AH301" s="437"/>
      <c r="AI301" s="437"/>
      <c r="AJ301" s="437"/>
      <c r="AK301" s="437"/>
      <c r="AL301" s="437"/>
      <c r="AM301" s="437"/>
      <c r="AN301" s="437"/>
      <c r="AO301" s="437"/>
      <c r="AP301" s="437"/>
      <c r="AQ301" s="437"/>
      <c r="AR301" s="437"/>
      <c r="AS301" s="437"/>
      <c r="AT301" s="437"/>
      <c r="AU301" s="437"/>
      <c r="AV301" s="437"/>
      <c r="AW301" s="437"/>
      <c r="AX301" s="437"/>
      <c r="AY301" s="437"/>
      <c r="AZ301" s="437"/>
    </row>
    <row r="302" spans="2:52">
      <c r="B302" s="437"/>
      <c r="C302" s="555">
        <v>2036</v>
      </c>
      <c r="D302" s="556">
        <v>62.363589910850173</v>
      </c>
      <c r="E302" s="562">
        <v>33.688666976840878</v>
      </c>
      <c r="F302" s="562">
        <v>14.051985690698709</v>
      </c>
      <c r="G302" s="562">
        <v>51.635449629385747</v>
      </c>
      <c r="H302" s="562">
        <v>85.401383985383958</v>
      </c>
      <c r="I302" s="556">
        <v>85.401383985383958</v>
      </c>
      <c r="J302" s="556">
        <v>87.561383985383955</v>
      </c>
      <c r="K302" s="556">
        <v>82.811383985383955</v>
      </c>
      <c r="L302" s="556">
        <v>60.689945389690699</v>
      </c>
      <c r="M302" s="556">
        <v>71.116603103597413</v>
      </c>
      <c r="N302" s="556">
        <v>47.861557709026719</v>
      </c>
      <c r="O302" s="564">
        <v>46.390503884981669</v>
      </c>
      <c r="P302" s="556">
        <v>0.73451354156952464</v>
      </c>
      <c r="Q302" s="437"/>
      <c r="R302" s="437"/>
      <c r="S302" s="437"/>
      <c r="T302" s="437"/>
      <c r="U302" s="437"/>
      <c r="V302" s="437"/>
      <c r="W302" s="437"/>
      <c r="X302" s="437"/>
      <c r="Y302" s="437"/>
      <c r="Z302" s="437"/>
      <c r="AA302" s="437"/>
      <c r="AB302" s="437"/>
      <c r="AC302" s="437"/>
      <c r="AD302" s="437"/>
      <c r="AE302" s="437"/>
      <c r="AF302" s="437"/>
      <c r="AG302" s="437"/>
      <c r="AH302" s="437"/>
      <c r="AI302" s="437"/>
      <c r="AJ302" s="437"/>
      <c r="AK302" s="437"/>
      <c r="AL302" s="437"/>
      <c r="AM302" s="437"/>
      <c r="AN302" s="437"/>
      <c r="AO302" s="437"/>
      <c r="AP302" s="437"/>
      <c r="AQ302" s="437"/>
      <c r="AR302" s="437"/>
      <c r="AS302" s="437"/>
      <c r="AT302" s="437"/>
      <c r="AU302" s="437"/>
      <c r="AV302" s="437"/>
      <c r="AW302" s="437"/>
      <c r="AX302" s="437"/>
      <c r="AY302" s="437"/>
      <c r="AZ302" s="437"/>
    </row>
    <row r="303" spans="2:52">
      <c r="B303" s="437"/>
      <c r="C303" s="555">
        <v>2037</v>
      </c>
      <c r="D303" s="556">
        <v>62.056001304631437</v>
      </c>
      <c r="E303" s="562">
        <v>33.734752704579364</v>
      </c>
      <c r="F303" s="562">
        <v>14.016171250456402</v>
      </c>
      <c r="G303" s="562">
        <v>51.329326521277956</v>
      </c>
      <c r="H303" s="562">
        <v>85.095260877276161</v>
      </c>
      <c r="I303" s="556">
        <v>85.095260877276161</v>
      </c>
      <c r="J303" s="556">
        <v>87.255260877276157</v>
      </c>
      <c r="K303" s="556">
        <v>82.505260877276157</v>
      </c>
      <c r="L303" s="556">
        <v>60.683892039969457</v>
      </c>
      <c r="M303" s="556">
        <v>71.135883985569592</v>
      </c>
      <c r="N303" s="556">
        <v>47.961224086497161</v>
      </c>
      <c r="O303" s="564">
        <v>46.533237561648519</v>
      </c>
      <c r="P303" s="556">
        <v>0.7203713017339497</v>
      </c>
      <c r="Q303" s="437"/>
      <c r="R303" s="437"/>
      <c r="S303" s="437"/>
      <c r="T303" s="437"/>
      <c r="U303" s="437"/>
      <c r="V303" s="437"/>
      <c r="W303" s="437"/>
      <c r="X303" s="437"/>
      <c r="Y303" s="437"/>
      <c r="Z303" s="437"/>
      <c r="AA303" s="437"/>
      <c r="AB303" s="437"/>
      <c r="AC303" s="437"/>
      <c r="AD303" s="437"/>
      <c r="AE303" s="437"/>
      <c r="AF303" s="437"/>
      <c r="AG303" s="437"/>
      <c r="AH303" s="437"/>
      <c r="AI303" s="437"/>
      <c r="AJ303" s="437"/>
      <c r="AK303" s="437"/>
      <c r="AL303" s="437"/>
      <c r="AM303" s="437"/>
      <c r="AN303" s="437"/>
      <c r="AO303" s="437"/>
      <c r="AP303" s="437"/>
      <c r="AQ303" s="437"/>
      <c r="AR303" s="437"/>
      <c r="AS303" s="437"/>
      <c r="AT303" s="437"/>
      <c r="AU303" s="437"/>
      <c r="AV303" s="437"/>
      <c r="AW303" s="437"/>
      <c r="AX303" s="437"/>
      <c r="AY303" s="437"/>
      <c r="AZ303" s="437"/>
    </row>
    <row r="304" spans="2:52">
      <c r="B304" s="437"/>
      <c r="C304" s="555">
        <v>2038</v>
      </c>
      <c r="D304" s="556">
        <v>61.7484126984127</v>
      </c>
      <c r="E304" s="562">
        <v>33.780838432317864</v>
      </c>
      <c r="F304" s="562">
        <v>13.980510738351196</v>
      </c>
      <c r="G304" s="562">
        <v>51.022472936959623</v>
      </c>
      <c r="H304" s="562">
        <v>84.788407292957842</v>
      </c>
      <c r="I304" s="556">
        <v>84.788407292957842</v>
      </c>
      <c r="J304" s="556">
        <v>86.948407292957839</v>
      </c>
      <c r="K304" s="556">
        <v>82.198407292957839</v>
      </c>
      <c r="L304" s="556">
        <v>60.677675969854107</v>
      </c>
      <c r="M304" s="556">
        <v>71.154944080579142</v>
      </c>
      <c r="N304" s="556">
        <v>48.06060022028862</v>
      </c>
      <c r="O304" s="564">
        <v>46.675927978934773</v>
      </c>
      <c r="P304" s="556">
        <v>0.70635417245409327</v>
      </c>
      <c r="Q304" s="437"/>
      <c r="R304" s="437"/>
      <c r="S304" s="437"/>
      <c r="T304" s="437"/>
      <c r="U304" s="437"/>
      <c r="V304" s="437"/>
      <c r="W304" s="437"/>
      <c r="X304" s="437"/>
      <c r="Y304" s="437"/>
      <c r="Z304" s="437"/>
      <c r="AA304" s="437"/>
      <c r="AB304" s="437"/>
      <c r="AC304" s="437"/>
      <c r="AD304" s="437"/>
      <c r="AE304" s="437"/>
      <c r="AF304" s="437"/>
      <c r="AG304" s="437"/>
      <c r="AH304" s="437"/>
      <c r="AI304" s="437"/>
      <c r="AJ304" s="437"/>
      <c r="AK304" s="437"/>
      <c r="AL304" s="437"/>
      <c r="AM304" s="437"/>
      <c r="AN304" s="437"/>
      <c r="AO304" s="437"/>
      <c r="AP304" s="437"/>
      <c r="AQ304" s="437"/>
      <c r="AR304" s="437"/>
      <c r="AS304" s="437"/>
      <c r="AT304" s="437"/>
      <c r="AU304" s="437"/>
      <c r="AV304" s="437"/>
      <c r="AW304" s="437"/>
      <c r="AX304" s="437"/>
      <c r="AY304" s="437"/>
      <c r="AZ304" s="437"/>
    </row>
    <row r="305" spans="2:52">
      <c r="B305" s="437"/>
      <c r="C305" s="555">
        <v>2039</v>
      </c>
      <c r="D305" s="556">
        <v>61.440824092193949</v>
      </c>
      <c r="E305" s="562">
        <v>33.82692416005635</v>
      </c>
      <c r="F305" s="562">
        <v>13.944654498795146</v>
      </c>
      <c r="G305" s="562">
        <v>50.716548190274779</v>
      </c>
      <c r="H305" s="562">
        <v>84.48248254627299</v>
      </c>
      <c r="I305" s="556">
        <v>84.48248254627299</v>
      </c>
      <c r="J305" s="556">
        <v>86.642482546272987</v>
      </c>
      <c r="K305" s="556">
        <v>81.892482546272987</v>
      </c>
      <c r="L305" s="556">
        <v>60.671300113152753</v>
      </c>
      <c r="M305" s="556">
        <v>71.173784903100966</v>
      </c>
      <c r="N305" s="556">
        <v>48.159688016832391</v>
      </c>
      <c r="O305" s="564">
        <v>46.818574524689666</v>
      </c>
      <c r="P305" s="556">
        <v>0.69279308789802307</v>
      </c>
      <c r="Q305" s="437"/>
      <c r="R305" s="437"/>
      <c r="S305" s="437"/>
      <c r="T305" s="437"/>
      <c r="U305" s="437"/>
      <c r="V305" s="437"/>
      <c r="W305" s="437"/>
      <c r="X305" s="437"/>
      <c r="Y305" s="437"/>
      <c r="Z305" s="437"/>
      <c r="AA305" s="437"/>
      <c r="AB305" s="437"/>
      <c r="AC305" s="437"/>
      <c r="AD305" s="437"/>
      <c r="AE305" s="437"/>
      <c r="AF305" s="437"/>
      <c r="AG305" s="437"/>
      <c r="AH305" s="437"/>
      <c r="AI305" s="437"/>
      <c r="AJ305" s="437"/>
      <c r="AK305" s="437"/>
      <c r="AL305" s="437"/>
      <c r="AM305" s="437"/>
      <c r="AN305" s="437"/>
      <c r="AO305" s="437"/>
      <c r="AP305" s="437"/>
      <c r="AQ305" s="437"/>
      <c r="AR305" s="437"/>
      <c r="AS305" s="437"/>
      <c r="AT305" s="437"/>
      <c r="AU305" s="437"/>
      <c r="AV305" s="437"/>
      <c r="AW305" s="437"/>
      <c r="AX305" s="437"/>
      <c r="AY305" s="437"/>
      <c r="AZ305" s="437"/>
    </row>
    <row r="306" spans="2:52" ht="13.8" thickBot="1">
      <c r="B306" s="437"/>
      <c r="C306" s="555">
        <v>2040</v>
      </c>
      <c r="D306" s="556">
        <v>61.133235485975206</v>
      </c>
      <c r="E306" s="562">
        <v>33.873009887794851</v>
      </c>
      <c r="F306" s="562">
        <v>13.908861871625055</v>
      </c>
      <c r="G306" s="562">
        <v>50.410321566782294</v>
      </c>
      <c r="H306" s="562">
        <v>84.176255922780513</v>
      </c>
      <c r="I306" s="556">
        <v>84.176255922780513</v>
      </c>
      <c r="J306" s="556">
        <v>86.336255922780509</v>
      </c>
      <c r="K306" s="556">
        <v>81.586255922780509</v>
      </c>
      <c r="L306" s="556">
        <v>60.664767346129707</v>
      </c>
      <c r="M306" s="556">
        <v>71.192407922440651</v>
      </c>
      <c r="N306" s="556">
        <v>48.258489356547372</v>
      </c>
      <c r="O306" s="565">
        <v>46.961176592602918</v>
      </c>
      <c r="P306" s="556">
        <v>0.67943380134157572</v>
      </c>
      <c r="Q306" s="437"/>
      <c r="R306" s="437"/>
      <c r="S306" s="437"/>
      <c r="T306" s="437"/>
      <c r="U306" s="437"/>
      <c r="V306" s="437"/>
      <c r="W306" s="437"/>
      <c r="X306" s="437"/>
      <c r="Y306" s="437"/>
      <c r="Z306" s="437"/>
      <c r="AA306" s="437"/>
      <c r="AB306" s="437"/>
      <c r="AC306" s="437"/>
      <c r="AD306" s="437"/>
      <c r="AE306" s="437"/>
      <c r="AF306" s="437"/>
      <c r="AG306" s="437"/>
      <c r="AH306" s="437"/>
      <c r="AI306" s="437"/>
      <c r="AJ306" s="437"/>
      <c r="AK306" s="437"/>
      <c r="AL306" s="437"/>
      <c r="AM306" s="437"/>
      <c r="AN306" s="437"/>
      <c r="AO306" s="437"/>
      <c r="AP306" s="437"/>
      <c r="AQ306" s="437"/>
      <c r="AR306" s="437"/>
      <c r="AS306" s="437"/>
      <c r="AT306" s="437"/>
      <c r="AU306" s="437"/>
      <c r="AV306" s="437"/>
      <c r="AW306" s="437"/>
      <c r="AX306" s="437"/>
      <c r="AY306" s="437"/>
      <c r="AZ306" s="437"/>
    </row>
    <row r="307" spans="2:52" ht="13.8" thickBot="1">
      <c r="B307" s="437"/>
      <c r="C307" s="555">
        <v>2041</v>
      </c>
      <c r="D307" s="556">
        <v>60.825646879756469</v>
      </c>
      <c r="E307" s="562">
        <v>33.919095615533351</v>
      </c>
      <c r="F307" s="562">
        <v>13.873069138182171</v>
      </c>
      <c r="G307" s="562">
        <v>50.104095447614391</v>
      </c>
      <c r="H307" s="562">
        <v>83.87002980361261</v>
      </c>
      <c r="I307" s="556">
        <v>83.87002980361261</v>
      </c>
      <c r="J307" s="556">
        <v>86.030029803612607</v>
      </c>
      <c r="K307" s="556">
        <v>81.280029803612607</v>
      </c>
      <c r="L307" s="556">
        <v>60.675957923099851</v>
      </c>
      <c r="M307" s="556">
        <v>60.675957923099851</v>
      </c>
      <c r="N307" s="556">
        <v>48.37762671431922</v>
      </c>
      <c r="O307" s="565">
        <v>46.961176592602918</v>
      </c>
      <c r="P307" s="556">
        <v>0.66633212494379612</v>
      </c>
      <c r="Q307" s="437"/>
      <c r="R307" s="437"/>
      <c r="S307" s="437"/>
      <c r="T307" s="437"/>
      <c r="U307" s="437"/>
      <c r="V307" s="437"/>
      <c r="W307" s="437"/>
      <c r="X307" s="437"/>
      <c r="Y307" s="437"/>
      <c r="Z307" s="437"/>
      <c r="AA307" s="437"/>
      <c r="AB307" s="437"/>
      <c r="AC307" s="437"/>
      <c r="AD307" s="437"/>
      <c r="AE307" s="437"/>
      <c r="AF307" s="437"/>
      <c r="AG307" s="437"/>
      <c r="AH307" s="437"/>
      <c r="AI307" s="437"/>
      <c r="AJ307" s="437"/>
      <c r="AK307" s="437"/>
      <c r="AL307" s="437"/>
      <c r="AM307" s="437"/>
      <c r="AN307" s="437"/>
      <c r="AO307" s="437"/>
      <c r="AP307" s="437"/>
      <c r="AQ307" s="437"/>
      <c r="AR307" s="437"/>
      <c r="AS307" s="437"/>
      <c r="AT307" s="437"/>
      <c r="AU307" s="437"/>
      <c r="AV307" s="437"/>
      <c r="AW307" s="437"/>
      <c r="AX307" s="437"/>
      <c r="AY307" s="437"/>
      <c r="AZ307" s="437"/>
    </row>
    <row r="308" spans="2:52" ht="13.8" thickBot="1">
      <c r="B308" s="437"/>
      <c r="C308" s="555">
        <v>2042</v>
      </c>
      <c r="D308" s="556">
        <v>60.518058273537719</v>
      </c>
      <c r="E308" s="562">
        <v>33.965181343271844</v>
      </c>
      <c r="F308" s="562">
        <v>13.836610452807903</v>
      </c>
      <c r="G308" s="562">
        <v>49.801029647621633</v>
      </c>
      <c r="H308" s="562">
        <v>83.566964003619859</v>
      </c>
      <c r="I308" s="556">
        <v>83.566964003619859</v>
      </c>
      <c r="J308" s="556">
        <v>85.726964003619855</v>
      </c>
      <c r="K308" s="556">
        <v>80.976964003619855</v>
      </c>
      <c r="L308" s="556">
        <v>60.68702193291076</v>
      </c>
      <c r="M308" s="556">
        <v>60.68702193291076</v>
      </c>
      <c r="N308" s="556">
        <v>48.496315696545963</v>
      </c>
      <c r="O308" s="565">
        <v>46.961176592602918</v>
      </c>
      <c r="P308" s="556">
        <v>0.65407068774474553</v>
      </c>
      <c r="Q308" s="437"/>
      <c r="R308" s="437"/>
      <c r="S308" s="437"/>
      <c r="T308" s="437"/>
      <c r="U308" s="437"/>
      <c r="V308" s="437"/>
      <c r="W308" s="437"/>
      <c r="X308" s="437"/>
      <c r="Y308" s="437"/>
      <c r="Z308" s="437"/>
      <c r="AA308" s="437"/>
      <c r="AB308" s="437"/>
      <c r="AC308" s="437"/>
      <c r="AD308" s="437"/>
      <c r="AE308" s="437"/>
      <c r="AF308" s="437"/>
      <c r="AG308" s="437"/>
      <c r="AH308" s="437"/>
      <c r="AI308" s="437"/>
      <c r="AJ308" s="437"/>
      <c r="AK308" s="437"/>
      <c r="AL308" s="437"/>
      <c r="AM308" s="437"/>
      <c r="AN308" s="437"/>
      <c r="AO308" s="437"/>
      <c r="AP308" s="437"/>
      <c r="AQ308" s="437"/>
      <c r="AR308" s="437"/>
      <c r="AS308" s="437"/>
      <c r="AT308" s="437"/>
      <c r="AU308" s="437"/>
      <c r="AV308" s="437"/>
      <c r="AW308" s="437"/>
      <c r="AX308" s="437"/>
      <c r="AY308" s="437"/>
      <c r="AZ308" s="437"/>
    </row>
    <row r="309" spans="2:52" ht="13.8" thickBot="1">
      <c r="B309" s="437"/>
      <c r="C309" s="555">
        <v>2043</v>
      </c>
      <c r="D309" s="556">
        <v>60.210469667318975</v>
      </c>
      <c r="E309" s="562">
        <v>34.011267071010337</v>
      </c>
      <c r="F309" s="562">
        <v>13.800150557366436</v>
      </c>
      <c r="G309" s="562">
        <v>49.497969590083216</v>
      </c>
      <c r="H309" s="562">
        <v>83.263903946081427</v>
      </c>
      <c r="I309" s="556">
        <v>83.263903946081427</v>
      </c>
      <c r="J309" s="556">
        <v>85.423903946081424</v>
      </c>
      <c r="K309" s="556">
        <v>80.673903946081424</v>
      </c>
      <c r="L309" s="556">
        <v>60.697960969252613</v>
      </c>
      <c r="M309" s="556">
        <v>60.697960969252613</v>
      </c>
      <c r="N309" s="556">
        <v>48.614559135690349</v>
      </c>
      <c r="O309" s="565">
        <v>46.961176592602918</v>
      </c>
      <c r="P309" s="556">
        <v>0.64203487803168602</v>
      </c>
      <c r="Q309" s="437"/>
      <c r="R309" s="437"/>
      <c r="S309" s="437"/>
      <c r="T309" s="437"/>
      <c r="U309" s="437"/>
      <c r="V309" s="437"/>
      <c r="W309" s="437"/>
      <c r="X309" s="437"/>
      <c r="Y309" s="437"/>
      <c r="Z309" s="437"/>
      <c r="AA309" s="437"/>
      <c r="AB309" s="437"/>
      <c r="AC309" s="437"/>
      <c r="AD309" s="437"/>
      <c r="AE309" s="437"/>
      <c r="AF309" s="437"/>
      <c r="AG309" s="437"/>
      <c r="AH309" s="437"/>
      <c r="AI309" s="437"/>
      <c r="AJ309" s="437"/>
      <c r="AK309" s="437"/>
      <c r="AL309" s="437"/>
      <c r="AM309" s="437"/>
      <c r="AN309" s="437"/>
      <c r="AO309" s="437"/>
      <c r="AP309" s="437"/>
      <c r="AQ309" s="437"/>
      <c r="AR309" s="437"/>
      <c r="AS309" s="437"/>
      <c r="AT309" s="437"/>
      <c r="AU309" s="437"/>
      <c r="AV309" s="437"/>
      <c r="AW309" s="437"/>
      <c r="AX309" s="437"/>
      <c r="AY309" s="437"/>
      <c r="AZ309" s="437"/>
    </row>
    <row r="310" spans="2:52" ht="13.8" thickBot="1">
      <c r="B310" s="437"/>
      <c r="C310" s="555">
        <v>2044</v>
      </c>
      <c r="D310" s="556">
        <v>59.902881061100238</v>
      </c>
      <c r="E310" s="562">
        <v>34.057352798748838</v>
      </c>
      <c r="F310" s="562">
        <v>13.763689450310618</v>
      </c>
      <c r="G310" s="562">
        <v>49.19491528234127</v>
      </c>
      <c r="H310" s="562">
        <v>82.960849638339482</v>
      </c>
      <c r="I310" s="556">
        <v>82.960849638339482</v>
      </c>
      <c r="J310" s="556">
        <v>85.120849638339479</v>
      </c>
      <c r="K310" s="556">
        <v>80.370849638339479</v>
      </c>
      <c r="L310" s="556">
        <v>60.70877659234629</v>
      </c>
      <c r="M310" s="556">
        <v>60.70877659234629</v>
      </c>
      <c r="N310" s="556">
        <v>48.73235982855357</v>
      </c>
      <c r="O310" s="565">
        <v>46.961176592602918</v>
      </c>
      <c r="P310" s="556">
        <v>0.63022054394528793</v>
      </c>
      <c r="Q310" s="437"/>
      <c r="R310" s="437"/>
      <c r="S310" s="437"/>
      <c r="T310" s="437"/>
      <c r="U310" s="437"/>
      <c r="V310" s="437"/>
      <c r="W310" s="437"/>
      <c r="X310" s="437"/>
      <c r="Y310" s="437"/>
      <c r="Z310" s="437"/>
      <c r="AA310" s="437"/>
      <c r="AB310" s="437"/>
      <c r="AC310" s="437"/>
      <c r="AD310" s="437"/>
      <c r="AE310" s="437"/>
      <c r="AF310" s="437"/>
      <c r="AG310" s="437"/>
      <c r="AH310" s="437"/>
      <c r="AI310" s="437"/>
      <c r="AJ310" s="437"/>
      <c r="AK310" s="437"/>
      <c r="AL310" s="437"/>
      <c r="AM310" s="437"/>
      <c r="AN310" s="437"/>
      <c r="AO310" s="437"/>
      <c r="AP310" s="437"/>
      <c r="AQ310" s="437"/>
      <c r="AR310" s="437"/>
      <c r="AS310" s="437"/>
      <c r="AT310" s="437"/>
      <c r="AU310" s="437"/>
      <c r="AV310" s="437"/>
      <c r="AW310" s="437"/>
      <c r="AX310" s="437"/>
      <c r="AY310" s="437"/>
      <c r="AZ310" s="437"/>
    </row>
    <row r="311" spans="2:52" ht="13.8" thickBot="1">
      <c r="B311" s="437"/>
      <c r="C311" s="555">
        <v>2045</v>
      </c>
      <c r="D311" s="556">
        <v>59.595292454881495</v>
      </c>
      <c r="E311" s="562">
        <v>34.103438526487338</v>
      </c>
      <c r="F311" s="562">
        <v>13.727227130091334</v>
      </c>
      <c r="G311" s="562">
        <v>48.89186673174725</v>
      </c>
      <c r="H311" s="562">
        <v>82.657801087745469</v>
      </c>
      <c r="I311" s="556">
        <v>82.657801087745469</v>
      </c>
      <c r="J311" s="556">
        <v>84.817801087745465</v>
      </c>
      <c r="K311" s="556">
        <v>80.067801087745465</v>
      </c>
      <c r="L311" s="556">
        <v>60.719470329291362</v>
      </c>
      <c r="M311" s="556">
        <v>60.719470329291362</v>
      </c>
      <c r="N311" s="556">
        <v>48.849720536660548</v>
      </c>
      <c r="O311" s="565">
        <v>46.961176592602918</v>
      </c>
      <c r="P311" s="556">
        <v>0.61862361002620292</v>
      </c>
      <c r="Q311" s="437"/>
      <c r="R311" s="437"/>
      <c r="S311" s="437"/>
      <c r="T311" s="437"/>
      <c r="U311" s="437"/>
      <c r="V311" s="437"/>
      <c r="W311" s="437"/>
      <c r="X311" s="437"/>
      <c r="Y311" s="437"/>
      <c r="Z311" s="437"/>
      <c r="AA311" s="437"/>
      <c r="AB311" s="437"/>
      <c r="AC311" s="437"/>
      <c r="AD311" s="437"/>
      <c r="AE311" s="437"/>
      <c r="AF311" s="437"/>
      <c r="AG311" s="437"/>
      <c r="AH311" s="437"/>
      <c r="AI311" s="437"/>
      <c r="AJ311" s="437"/>
      <c r="AK311" s="437"/>
      <c r="AL311" s="437"/>
      <c r="AM311" s="437"/>
      <c r="AN311" s="437"/>
      <c r="AO311" s="437"/>
      <c r="AP311" s="437"/>
      <c r="AQ311" s="437"/>
      <c r="AR311" s="437"/>
      <c r="AS311" s="437"/>
      <c r="AT311" s="437"/>
      <c r="AU311" s="437"/>
      <c r="AV311" s="437"/>
      <c r="AW311" s="437"/>
      <c r="AX311" s="437"/>
      <c r="AY311" s="437"/>
      <c r="AZ311" s="437"/>
    </row>
    <row r="312" spans="2:52" ht="13.8" thickBot="1">
      <c r="B312" s="437"/>
      <c r="C312" s="555">
        <v>2046</v>
      </c>
      <c r="D312" s="556">
        <v>59.287703848662751</v>
      </c>
      <c r="E312" s="562">
        <v>34.149524254225838</v>
      </c>
      <c r="F312" s="562">
        <v>13.690763595157463</v>
      </c>
      <c r="G312" s="562">
        <v>48.588823945662064</v>
      </c>
      <c r="H312" s="562">
        <v>82.354758301660269</v>
      </c>
      <c r="I312" s="556">
        <v>82.354758301660269</v>
      </c>
      <c r="J312" s="556">
        <v>84.514758301660265</v>
      </c>
      <c r="K312" s="556">
        <v>79.764758301660265</v>
      </c>
      <c r="L312" s="556">
        <v>60.774302670903623</v>
      </c>
      <c r="M312" s="556">
        <v>60.774302670903623</v>
      </c>
      <c r="N312" s="556">
        <v>49.024574818868821</v>
      </c>
      <c r="O312" s="565">
        <v>46.961176592602918</v>
      </c>
      <c r="P312" s="556">
        <v>0.60724007580919959</v>
      </c>
      <c r="Q312" s="437"/>
      <c r="R312" s="437"/>
      <c r="S312" s="437"/>
      <c r="T312" s="437"/>
      <c r="U312" s="437"/>
      <c r="V312" s="437"/>
      <c r="W312" s="437"/>
      <c r="X312" s="437"/>
      <c r="Y312" s="437"/>
      <c r="Z312" s="437"/>
      <c r="AA312" s="437"/>
      <c r="AB312" s="437"/>
      <c r="AC312" s="437"/>
      <c r="AD312" s="437"/>
      <c r="AE312" s="437"/>
      <c r="AF312" s="437"/>
      <c r="AG312" s="437"/>
      <c r="AH312" s="437"/>
      <c r="AI312" s="437"/>
      <c r="AJ312" s="437"/>
      <c r="AK312" s="437"/>
      <c r="AL312" s="437"/>
      <c r="AM312" s="437"/>
      <c r="AN312" s="437"/>
      <c r="AO312" s="437"/>
      <c r="AP312" s="437"/>
      <c r="AQ312" s="437"/>
      <c r="AR312" s="437"/>
      <c r="AS312" s="437"/>
      <c r="AT312" s="437"/>
      <c r="AU312" s="437"/>
      <c r="AV312" s="437"/>
      <c r="AW312" s="437"/>
      <c r="AX312" s="437"/>
      <c r="AY312" s="437"/>
      <c r="AZ312" s="437"/>
    </row>
    <row r="313" spans="2:52" ht="13.8" thickBot="1">
      <c r="B313" s="437"/>
      <c r="C313" s="555">
        <v>2047</v>
      </c>
      <c r="D313" s="556">
        <v>58.980115242444008</v>
      </c>
      <c r="E313" s="562">
        <v>34.195609981964324</v>
      </c>
      <c r="F313" s="562">
        <v>13.654298843955917</v>
      </c>
      <c r="G313" s="562">
        <v>48.285786931455988</v>
      </c>
      <c r="H313" s="562">
        <v>82.0517212874542</v>
      </c>
      <c r="I313" s="556">
        <v>82.0517212874542</v>
      </c>
      <c r="J313" s="556">
        <v>84.211721287454196</v>
      </c>
      <c r="K313" s="556">
        <v>79.461721287454196</v>
      </c>
      <c r="L313" s="556">
        <v>60.828784329157571</v>
      </c>
      <c r="M313" s="556">
        <v>60.828784329157571</v>
      </c>
      <c r="N313" s="556">
        <v>49.198719487894593</v>
      </c>
      <c r="O313" s="565">
        <v>46.961176592602918</v>
      </c>
      <c r="P313" s="556">
        <v>0.59606601444316643</v>
      </c>
      <c r="Q313" s="437"/>
      <c r="R313" s="437"/>
      <c r="S313" s="437"/>
      <c r="T313" s="437"/>
      <c r="U313" s="437"/>
      <c r="V313" s="437"/>
      <c r="W313" s="437"/>
      <c r="X313" s="437"/>
      <c r="Y313" s="437"/>
      <c r="Z313" s="437"/>
      <c r="AA313" s="437"/>
      <c r="AB313" s="437"/>
      <c r="AC313" s="437"/>
      <c r="AD313" s="437"/>
      <c r="AE313" s="437"/>
      <c r="AF313" s="437"/>
      <c r="AG313" s="437"/>
      <c r="AH313" s="437"/>
      <c r="AI313" s="437"/>
      <c r="AJ313" s="437"/>
      <c r="AK313" s="437"/>
      <c r="AL313" s="437"/>
      <c r="AM313" s="437"/>
      <c r="AN313" s="437"/>
      <c r="AO313" s="437"/>
      <c r="AP313" s="437"/>
      <c r="AQ313" s="437"/>
      <c r="AR313" s="437"/>
      <c r="AS313" s="437"/>
      <c r="AT313" s="437"/>
      <c r="AU313" s="437"/>
      <c r="AV313" s="437"/>
      <c r="AW313" s="437"/>
      <c r="AX313" s="437"/>
      <c r="AY313" s="437"/>
      <c r="AZ313" s="437"/>
    </row>
    <row r="314" spans="2:52" ht="13.8" thickBot="1">
      <c r="B314" s="437"/>
      <c r="C314" s="555">
        <v>2048</v>
      </c>
      <c r="D314" s="556">
        <v>58.672526636225271</v>
      </c>
      <c r="E314" s="562">
        <v>34.241695709702832</v>
      </c>
      <c r="F314" s="562">
        <v>13.617832874931624</v>
      </c>
      <c r="G314" s="562">
        <v>47.982755696508768</v>
      </c>
      <c r="H314" s="562">
        <v>81.748690052506987</v>
      </c>
      <c r="I314" s="556">
        <v>81.748690052506987</v>
      </c>
      <c r="J314" s="556">
        <v>83.908690052506984</v>
      </c>
      <c r="K314" s="556">
        <v>79.158690052506984</v>
      </c>
      <c r="L314" s="556">
        <v>60.882916997101603</v>
      </c>
      <c r="M314" s="556">
        <v>60.882916997101603</v>
      </c>
      <c r="N314" s="556">
        <v>49.372158440659689</v>
      </c>
      <c r="O314" s="565">
        <v>46.961176592602918</v>
      </c>
      <c r="P314" s="556">
        <v>0.58509757133651041</v>
      </c>
      <c r="Q314" s="437"/>
      <c r="R314" s="437"/>
      <c r="S314" s="437"/>
      <c r="T314" s="437"/>
      <c r="U314" s="437"/>
      <c r="V314" s="437"/>
      <c r="W314" s="437"/>
      <c r="X314" s="437"/>
      <c r="Y314" s="437"/>
      <c r="Z314" s="437"/>
      <c r="AA314" s="437"/>
      <c r="AB314" s="437"/>
      <c r="AC314" s="437"/>
      <c r="AD314" s="437"/>
      <c r="AE314" s="437"/>
      <c r="AF314" s="437"/>
      <c r="AG314" s="437"/>
      <c r="AH314" s="437"/>
      <c r="AI314" s="437"/>
      <c r="AJ314" s="437"/>
      <c r="AK314" s="437"/>
      <c r="AL314" s="437"/>
      <c r="AM314" s="437"/>
      <c r="AN314" s="437"/>
      <c r="AO314" s="437"/>
      <c r="AP314" s="437"/>
      <c r="AQ314" s="437"/>
      <c r="AR314" s="437"/>
      <c r="AS314" s="437"/>
      <c r="AT314" s="437"/>
      <c r="AU314" s="437"/>
      <c r="AV314" s="437"/>
      <c r="AW314" s="437"/>
      <c r="AX314" s="437"/>
      <c r="AY314" s="437"/>
      <c r="AZ314" s="437"/>
    </row>
    <row r="315" spans="2:52" ht="13.8" thickBot="1">
      <c r="B315" s="437"/>
      <c r="C315" s="555">
        <v>2049</v>
      </c>
      <c r="D315" s="556">
        <v>58.364938030006527</v>
      </c>
      <c r="E315" s="562">
        <v>34.287781437441318</v>
      </c>
      <c r="F315" s="562">
        <v>13.581365686527514</v>
      </c>
      <c r="G315" s="562">
        <v>47.679730248209545</v>
      </c>
      <c r="H315" s="562">
        <v>81.445664604207764</v>
      </c>
      <c r="I315" s="556">
        <v>81.445664604207764</v>
      </c>
      <c r="J315" s="556">
        <v>83.60566460420776</v>
      </c>
      <c r="K315" s="556">
        <v>78.85566460420776</v>
      </c>
      <c r="L315" s="556">
        <v>60.936702331670006</v>
      </c>
      <c r="M315" s="556">
        <v>60.936702331670006</v>
      </c>
      <c r="N315" s="556">
        <v>49.544895527221009</v>
      </c>
      <c r="O315" s="565">
        <v>46.961176592602918</v>
      </c>
      <c r="P315" s="556">
        <v>0.57433096282748075</v>
      </c>
      <c r="Q315" s="437"/>
      <c r="R315" s="437"/>
      <c r="S315" s="437"/>
      <c r="T315" s="437"/>
      <c r="U315" s="437"/>
      <c r="V315" s="437"/>
      <c r="W315" s="437"/>
      <c r="X315" s="437"/>
      <c r="Y315" s="437"/>
      <c r="Z315" s="437"/>
      <c r="AA315" s="437"/>
      <c r="AB315" s="437"/>
      <c r="AC315" s="437"/>
      <c r="AD315" s="437"/>
      <c r="AE315" s="437"/>
      <c r="AF315" s="437"/>
      <c r="AG315" s="437"/>
      <c r="AH315" s="437"/>
      <c r="AI315" s="437"/>
      <c r="AJ315" s="437"/>
      <c r="AK315" s="437"/>
      <c r="AL315" s="437"/>
      <c r="AM315" s="437"/>
      <c r="AN315" s="437"/>
      <c r="AO315" s="437"/>
      <c r="AP315" s="437"/>
      <c r="AQ315" s="437"/>
      <c r="AR315" s="437"/>
      <c r="AS315" s="437"/>
      <c r="AT315" s="437"/>
      <c r="AU315" s="437"/>
      <c r="AV315" s="437"/>
      <c r="AW315" s="437"/>
      <c r="AX315" s="437"/>
      <c r="AY315" s="437"/>
      <c r="AZ315" s="437"/>
    </row>
    <row r="316" spans="2:52" ht="13.8" thickBot="1">
      <c r="B316" s="437"/>
      <c r="C316" s="555">
        <v>2050</v>
      </c>
      <c r="D316" s="556">
        <v>58.057349423787784</v>
      </c>
      <c r="E316" s="562">
        <v>34.333867165179825</v>
      </c>
      <c r="F316" s="562">
        <v>13.544897277184536</v>
      </c>
      <c r="G316" s="562">
        <v>47.376710593956936</v>
      </c>
      <c r="H316" s="562">
        <v>81.142644949955155</v>
      </c>
      <c r="I316" s="556">
        <v>81.142644949955155</v>
      </c>
      <c r="J316" s="556">
        <v>83.302644949955152</v>
      </c>
      <c r="K316" s="556">
        <v>78.552644949955152</v>
      </c>
      <c r="L316" s="556">
        <v>60.990141954059872</v>
      </c>
      <c r="M316" s="556">
        <v>60.990141954059872</v>
      </c>
      <c r="N316" s="556">
        <v>49.716934551280723</v>
      </c>
      <c r="O316" s="565">
        <v>46.961176592602918</v>
      </c>
      <c r="P316" s="556">
        <v>0.56376247487896203</v>
      </c>
      <c r="Q316" s="437"/>
      <c r="R316" s="437"/>
      <c r="S316" s="437"/>
      <c r="T316" s="437"/>
      <c r="U316" s="437"/>
      <c r="V316" s="437"/>
      <c r="W316" s="437"/>
      <c r="X316" s="437"/>
      <c r="Y316" s="437"/>
      <c r="Z316" s="437"/>
      <c r="AA316" s="437"/>
      <c r="AB316" s="437"/>
      <c r="AC316" s="437"/>
      <c r="AD316" s="437"/>
      <c r="AE316" s="437"/>
      <c r="AF316" s="437"/>
      <c r="AG316" s="437"/>
      <c r="AH316" s="437"/>
      <c r="AI316" s="437"/>
      <c r="AJ316" s="437"/>
      <c r="AK316" s="437"/>
      <c r="AL316" s="437"/>
      <c r="AM316" s="437"/>
      <c r="AN316" s="437"/>
      <c r="AO316" s="437"/>
      <c r="AP316" s="437"/>
      <c r="AQ316" s="437"/>
      <c r="AR316" s="437"/>
      <c r="AS316" s="437"/>
      <c r="AT316" s="437"/>
      <c r="AU316" s="437"/>
      <c r="AV316" s="437"/>
      <c r="AW316" s="437"/>
      <c r="AX316" s="437"/>
      <c r="AY316" s="437"/>
      <c r="AZ316" s="437"/>
    </row>
    <row r="317" spans="2:52">
      <c r="B317" s="437"/>
      <c r="C317" s="437"/>
      <c r="D317" s="437"/>
      <c r="G317" s="437"/>
      <c r="H317" s="437"/>
      <c r="I317" s="437"/>
      <c r="J317" s="437"/>
      <c r="K317" s="437"/>
      <c r="L317" s="437"/>
      <c r="M317" s="437"/>
      <c r="N317" s="437"/>
      <c r="O317" s="437"/>
      <c r="P317" s="437"/>
      <c r="Q317" s="437"/>
      <c r="R317" s="437"/>
      <c r="S317" s="437"/>
      <c r="T317" s="437"/>
      <c r="U317" s="437"/>
      <c r="V317" s="437"/>
      <c r="W317" s="437"/>
      <c r="X317" s="437"/>
      <c r="Y317" s="437"/>
      <c r="Z317" s="437"/>
      <c r="AA317" s="437"/>
      <c r="AB317" s="437"/>
      <c r="AC317" s="437"/>
      <c r="AD317" s="437"/>
      <c r="AE317" s="437"/>
      <c r="AF317" s="437"/>
      <c r="AG317" s="437"/>
      <c r="AH317" s="437"/>
      <c r="AI317" s="437"/>
      <c r="AJ317" s="437"/>
      <c r="AK317" s="437"/>
      <c r="AL317" s="437"/>
      <c r="AM317" s="437"/>
      <c r="AN317" s="437"/>
      <c r="AO317" s="437"/>
      <c r="AP317" s="437"/>
      <c r="AQ317" s="437"/>
      <c r="AR317" s="437"/>
      <c r="AS317" s="437"/>
      <c r="AT317" s="437"/>
      <c r="AU317" s="437"/>
      <c r="AV317" s="437"/>
      <c r="AW317" s="437"/>
      <c r="AX317" s="437"/>
      <c r="AY317" s="437"/>
      <c r="AZ317" s="437"/>
    </row>
    <row r="318" spans="2:52">
      <c r="B318" s="437"/>
      <c r="C318" s="437"/>
      <c r="D318" s="437"/>
      <c r="G318" s="437"/>
      <c r="H318" s="437"/>
      <c r="I318" s="437"/>
      <c r="J318" s="437"/>
      <c r="K318" s="437"/>
      <c r="L318" s="437"/>
      <c r="M318" s="437"/>
      <c r="N318" s="437"/>
      <c r="O318" s="437"/>
      <c r="P318" s="437"/>
      <c r="Q318" s="437"/>
      <c r="R318" s="437"/>
      <c r="S318" s="437"/>
      <c r="T318" s="437"/>
      <c r="U318" s="437"/>
      <c r="V318" s="437"/>
      <c r="W318" s="437"/>
      <c r="X318" s="437"/>
      <c r="Y318" s="437"/>
      <c r="Z318" s="437"/>
      <c r="AA318" s="437"/>
      <c r="AB318" s="437"/>
      <c r="AC318" s="437"/>
      <c r="AD318" s="437"/>
      <c r="AE318" s="437"/>
      <c r="AF318" s="437"/>
      <c r="AG318" s="437"/>
      <c r="AH318" s="437"/>
      <c r="AI318" s="437"/>
      <c r="AJ318" s="437"/>
      <c r="AK318" s="437"/>
      <c r="AL318" s="437"/>
      <c r="AM318" s="437"/>
      <c r="AN318" s="437"/>
      <c r="AO318" s="437"/>
      <c r="AP318" s="437"/>
      <c r="AQ318" s="437"/>
      <c r="AR318" s="437"/>
      <c r="AS318" s="437"/>
      <c r="AT318" s="437"/>
      <c r="AU318" s="437"/>
      <c r="AV318" s="437"/>
      <c r="AW318" s="437"/>
      <c r="AX318" s="437"/>
      <c r="AY318" s="437"/>
      <c r="AZ318" s="437"/>
    </row>
    <row r="319" spans="2:52">
      <c r="B319" s="437"/>
      <c r="C319" s="437"/>
      <c r="D319" s="437"/>
      <c r="G319" s="437"/>
      <c r="H319" s="437"/>
      <c r="I319" s="437"/>
      <c r="J319" s="437"/>
      <c r="K319" s="437"/>
      <c r="L319" s="437"/>
      <c r="M319" s="437"/>
      <c r="N319" s="437"/>
      <c r="O319" s="437"/>
      <c r="P319" s="437"/>
      <c r="Q319" s="437"/>
      <c r="R319" s="437"/>
      <c r="S319" s="437"/>
      <c r="T319" s="437"/>
      <c r="U319" s="437"/>
      <c r="V319" s="437"/>
      <c r="W319" s="437"/>
      <c r="X319" s="437"/>
      <c r="Y319" s="437"/>
      <c r="Z319" s="437"/>
      <c r="AA319" s="437"/>
      <c r="AB319" s="437"/>
      <c r="AC319" s="437"/>
      <c r="AD319" s="437"/>
      <c r="AE319" s="437"/>
      <c r="AF319" s="437"/>
      <c r="AG319" s="437"/>
      <c r="AH319" s="437"/>
      <c r="AI319" s="437"/>
      <c r="AJ319" s="437"/>
      <c r="AK319" s="437"/>
      <c r="AL319" s="437"/>
      <c r="AM319" s="437"/>
      <c r="AN319" s="437"/>
      <c r="AO319" s="437"/>
      <c r="AP319" s="437"/>
      <c r="AQ319" s="437"/>
      <c r="AR319" s="437"/>
      <c r="AS319" s="437"/>
      <c r="AT319" s="437"/>
      <c r="AU319" s="437"/>
      <c r="AV319" s="437"/>
      <c r="AW319" s="437"/>
      <c r="AX319" s="437"/>
      <c r="AY319" s="437"/>
      <c r="AZ319" s="437"/>
    </row>
    <row r="320" spans="2:52">
      <c r="B320" s="437"/>
      <c r="C320" s="437"/>
      <c r="D320" s="437"/>
      <c r="G320" s="437"/>
      <c r="H320" s="437"/>
      <c r="I320" s="437"/>
      <c r="J320" s="437"/>
      <c r="K320" s="437"/>
      <c r="L320" s="437"/>
      <c r="M320" s="437"/>
      <c r="N320" s="437"/>
      <c r="O320" s="437"/>
      <c r="P320" s="437"/>
      <c r="Q320" s="437"/>
      <c r="R320" s="437"/>
      <c r="S320" s="437"/>
      <c r="T320" s="437"/>
      <c r="U320" s="437"/>
      <c r="V320" s="437"/>
      <c r="W320" s="437"/>
      <c r="X320" s="437"/>
      <c r="Y320" s="437"/>
      <c r="Z320" s="437"/>
      <c r="AA320" s="437"/>
      <c r="AB320" s="437"/>
      <c r="AC320" s="437"/>
      <c r="AD320" s="437"/>
      <c r="AE320" s="437"/>
      <c r="AF320" s="437"/>
      <c r="AG320" s="437"/>
      <c r="AH320" s="437"/>
      <c r="AI320" s="437"/>
      <c r="AJ320" s="437"/>
      <c r="AK320" s="437"/>
      <c r="AL320" s="437"/>
      <c r="AM320" s="437"/>
      <c r="AN320" s="437"/>
      <c r="AO320" s="437"/>
      <c r="AP320" s="437"/>
      <c r="AQ320" s="437"/>
      <c r="AR320" s="437"/>
      <c r="AS320" s="437"/>
      <c r="AT320" s="437"/>
      <c r="AU320" s="437"/>
      <c r="AV320" s="437"/>
      <c r="AW320" s="437"/>
      <c r="AX320" s="437"/>
      <c r="AY320" s="437"/>
      <c r="AZ320" s="437"/>
    </row>
    <row r="321" spans="2:52">
      <c r="B321" s="437"/>
      <c r="C321" s="437"/>
      <c r="D321" s="437"/>
      <c r="G321" s="437"/>
      <c r="H321" s="437"/>
      <c r="I321" s="437"/>
      <c r="J321" s="437"/>
      <c r="K321" s="437"/>
      <c r="L321" s="437"/>
      <c r="M321" s="437"/>
      <c r="N321" s="437"/>
      <c r="O321" s="437"/>
      <c r="P321" s="437"/>
      <c r="Q321" s="437"/>
      <c r="R321" s="437"/>
      <c r="S321" s="437"/>
      <c r="T321" s="437"/>
      <c r="U321" s="437"/>
      <c r="V321" s="437"/>
      <c r="W321" s="437"/>
      <c r="X321" s="437"/>
      <c r="Y321" s="437"/>
      <c r="Z321" s="437"/>
      <c r="AA321" s="437"/>
      <c r="AB321" s="437"/>
      <c r="AC321" s="437"/>
      <c r="AD321" s="437"/>
      <c r="AE321" s="437"/>
      <c r="AF321" s="437"/>
      <c r="AG321" s="437"/>
      <c r="AH321" s="437"/>
      <c r="AI321" s="437"/>
      <c r="AJ321" s="437"/>
      <c r="AK321" s="437"/>
      <c r="AL321" s="437"/>
      <c r="AM321" s="437"/>
      <c r="AN321" s="437"/>
      <c r="AO321" s="437"/>
      <c r="AP321" s="437"/>
      <c r="AQ321" s="437"/>
      <c r="AR321" s="437"/>
      <c r="AS321" s="437"/>
      <c r="AT321" s="437"/>
      <c r="AU321" s="437"/>
      <c r="AV321" s="437"/>
      <c r="AW321" s="437"/>
      <c r="AX321" s="437"/>
      <c r="AY321" s="437"/>
      <c r="AZ321" s="437"/>
    </row>
    <row r="322" spans="2:52">
      <c r="B322" s="437"/>
      <c r="C322" s="437"/>
      <c r="D322" s="437"/>
      <c r="G322" s="437"/>
      <c r="H322" s="437"/>
      <c r="I322" s="437"/>
      <c r="J322" s="437"/>
      <c r="K322" s="437"/>
      <c r="L322" s="437"/>
      <c r="M322" s="437"/>
      <c r="N322" s="437"/>
      <c r="O322" s="437"/>
      <c r="P322" s="437"/>
      <c r="Q322" s="437"/>
      <c r="R322" s="437"/>
      <c r="S322" s="437"/>
      <c r="T322" s="437"/>
      <c r="U322" s="437"/>
      <c r="V322" s="437"/>
      <c r="W322" s="437"/>
      <c r="X322" s="437"/>
      <c r="Y322" s="437"/>
      <c r="Z322" s="437"/>
      <c r="AA322" s="437"/>
      <c r="AB322" s="437"/>
      <c r="AC322" s="437"/>
      <c r="AD322" s="437"/>
      <c r="AE322" s="437"/>
      <c r="AF322" s="437"/>
      <c r="AG322" s="437"/>
      <c r="AH322" s="437"/>
      <c r="AI322" s="437"/>
      <c r="AJ322" s="437"/>
      <c r="AK322" s="437"/>
      <c r="AL322" s="437"/>
      <c r="AM322" s="437"/>
      <c r="AN322" s="437"/>
      <c r="AO322" s="437"/>
      <c r="AP322" s="437"/>
      <c r="AQ322" s="437"/>
      <c r="AR322" s="437"/>
      <c r="AS322" s="437"/>
      <c r="AT322" s="437"/>
      <c r="AU322" s="437"/>
      <c r="AV322" s="437"/>
      <c r="AW322" s="437"/>
      <c r="AX322" s="437"/>
      <c r="AY322" s="437"/>
      <c r="AZ322" s="437"/>
    </row>
    <row r="323" spans="2:52">
      <c r="B323" s="437"/>
      <c r="C323" s="437"/>
      <c r="D323" s="437"/>
      <c r="G323" s="437"/>
      <c r="H323" s="437"/>
      <c r="I323" s="437"/>
      <c r="J323" s="437"/>
      <c r="K323" s="437"/>
      <c r="L323" s="437"/>
      <c r="M323" s="437"/>
      <c r="N323" s="437"/>
      <c r="O323" s="437"/>
      <c r="P323" s="437"/>
      <c r="Q323" s="437"/>
      <c r="R323" s="437"/>
      <c r="S323" s="437"/>
      <c r="T323" s="437"/>
      <c r="U323" s="437"/>
      <c r="V323" s="437"/>
      <c r="W323" s="437"/>
      <c r="X323" s="437"/>
      <c r="Y323" s="437"/>
      <c r="Z323" s="437"/>
      <c r="AA323" s="437"/>
      <c r="AB323" s="437"/>
      <c r="AC323" s="437"/>
      <c r="AD323" s="437"/>
      <c r="AE323" s="437"/>
      <c r="AF323" s="437"/>
      <c r="AG323" s="437"/>
      <c r="AH323" s="437"/>
      <c r="AI323" s="437"/>
      <c r="AJ323" s="437"/>
      <c r="AK323" s="437"/>
      <c r="AL323" s="437"/>
      <c r="AM323" s="437"/>
      <c r="AN323" s="437"/>
      <c r="AO323" s="437"/>
      <c r="AP323" s="437"/>
      <c r="AQ323" s="437"/>
      <c r="AR323" s="437"/>
      <c r="AS323" s="437"/>
      <c r="AT323" s="437"/>
      <c r="AU323" s="437"/>
      <c r="AV323" s="437"/>
      <c r="AW323" s="437"/>
      <c r="AX323" s="437"/>
      <c r="AY323" s="437"/>
      <c r="AZ323" s="437"/>
    </row>
    <row r="324" spans="2:52">
      <c r="B324" s="437"/>
      <c r="C324" s="437"/>
      <c r="D324" s="437"/>
      <c r="G324" s="437"/>
      <c r="H324" s="437"/>
      <c r="I324" s="437"/>
      <c r="J324" s="437"/>
      <c r="K324" s="437"/>
      <c r="L324" s="437"/>
      <c r="M324" s="437"/>
      <c r="N324" s="437"/>
      <c r="O324" s="437"/>
      <c r="P324" s="437"/>
      <c r="Q324" s="437"/>
      <c r="R324" s="437"/>
      <c r="S324" s="437"/>
      <c r="T324" s="437"/>
      <c r="U324" s="437"/>
      <c r="V324" s="437"/>
      <c r="W324" s="437"/>
      <c r="X324" s="437"/>
      <c r="Y324" s="437"/>
      <c r="Z324" s="437"/>
      <c r="AA324" s="437"/>
      <c r="AB324" s="437"/>
      <c r="AC324" s="437"/>
      <c r="AD324" s="437"/>
      <c r="AE324" s="437"/>
      <c r="AF324" s="437"/>
      <c r="AG324" s="437"/>
      <c r="AH324" s="437"/>
      <c r="AI324" s="437"/>
      <c r="AJ324" s="437"/>
      <c r="AK324" s="437"/>
      <c r="AL324" s="437"/>
      <c r="AM324" s="437"/>
      <c r="AN324" s="437"/>
      <c r="AO324" s="437"/>
      <c r="AP324" s="437"/>
      <c r="AQ324" s="437"/>
      <c r="AR324" s="437"/>
      <c r="AS324" s="437"/>
      <c r="AT324" s="437"/>
      <c r="AU324" s="437"/>
      <c r="AV324" s="437"/>
      <c r="AW324" s="437"/>
      <c r="AX324" s="437"/>
      <c r="AY324" s="437"/>
      <c r="AZ324" s="437"/>
    </row>
    <row r="325" spans="2:52">
      <c r="B325" s="437"/>
      <c r="C325" s="437"/>
      <c r="D325" s="437"/>
      <c r="G325" s="437"/>
      <c r="H325" s="437"/>
      <c r="I325" s="437"/>
      <c r="J325" s="437"/>
      <c r="K325" s="437"/>
      <c r="L325" s="437"/>
      <c r="M325" s="437"/>
      <c r="N325" s="437"/>
      <c r="O325" s="437"/>
      <c r="P325" s="437"/>
      <c r="Q325" s="437"/>
      <c r="R325" s="437"/>
      <c r="S325" s="437"/>
      <c r="T325" s="437"/>
      <c r="U325" s="437"/>
      <c r="V325" s="437"/>
      <c r="W325" s="437"/>
      <c r="X325" s="437"/>
      <c r="Y325" s="437"/>
      <c r="Z325" s="437"/>
      <c r="AA325" s="437"/>
      <c r="AB325" s="437"/>
      <c r="AC325" s="437"/>
      <c r="AD325" s="437"/>
      <c r="AE325" s="437"/>
      <c r="AF325" s="437"/>
      <c r="AG325" s="437"/>
      <c r="AH325" s="437"/>
      <c r="AI325" s="437"/>
      <c r="AJ325" s="437"/>
      <c r="AK325" s="437"/>
      <c r="AL325" s="437"/>
      <c r="AM325" s="437"/>
      <c r="AN325" s="437"/>
      <c r="AO325" s="437"/>
      <c r="AP325" s="437"/>
      <c r="AQ325" s="437"/>
      <c r="AR325" s="437"/>
      <c r="AS325" s="437"/>
      <c r="AT325" s="437"/>
      <c r="AU325" s="437"/>
      <c r="AV325" s="437"/>
      <c r="AW325" s="437"/>
      <c r="AX325" s="437"/>
      <c r="AY325" s="437"/>
      <c r="AZ325" s="437"/>
    </row>
    <row r="326" spans="2:52">
      <c r="B326" s="437"/>
      <c r="C326" s="437"/>
      <c r="D326" s="437"/>
      <c r="G326" s="437"/>
      <c r="H326" s="437"/>
      <c r="I326" s="437"/>
      <c r="J326" s="437"/>
      <c r="K326" s="437"/>
      <c r="L326" s="437"/>
      <c r="M326" s="437"/>
      <c r="N326" s="437"/>
      <c r="O326" s="437"/>
      <c r="P326" s="437"/>
      <c r="Q326" s="437"/>
      <c r="R326" s="437"/>
      <c r="S326" s="437"/>
      <c r="T326" s="437"/>
      <c r="U326" s="437"/>
      <c r="V326" s="437"/>
      <c r="W326" s="437"/>
      <c r="X326" s="437"/>
      <c r="Y326" s="437"/>
      <c r="Z326" s="437"/>
      <c r="AA326" s="437"/>
      <c r="AB326" s="437"/>
      <c r="AC326" s="437"/>
      <c r="AD326" s="437"/>
      <c r="AE326" s="437"/>
      <c r="AF326" s="437"/>
      <c r="AG326" s="437"/>
      <c r="AH326" s="437"/>
      <c r="AI326" s="437"/>
      <c r="AJ326" s="437"/>
      <c r="AK326" s="437"/>
      <c r="AL326" s="437"/>
      <c r="AM326" s="437"/>
      <c r="AN326" s="437"/>
      <c r="AO326" s="437"/>
      <c r="AP326" s="437"/>
      <c r="AQ326" s="437"/>
      <c r="AR326" s="437"/>
      <c r="AS326" s="437"/>
      <c r="AT326" s="437"/>
      <c r="AU326" s="437"/>
      <c r="AV326" s="437"/>
      <c r="AW326" s="437"/>
      <c r="AX326" s="437"/>
      <c r="AY326" s="437"/>
      <c r="AZ326" s="437"/>
    </row>
    <row r="327" spans="2:52">
      <c r="B327" s="437"/>
      <c r="C327" s="437"/>
      <c r="D327" s="437"/>
      <c r="G327" s="437"/>
      <c r="H327" s="437"/>
      <c r="I327" s="437"/>
      <c r="J327" s="437"/>
      <c r="K327" s="437"/>
      <c r="L327" s="437"/>
      <c r="M327" s="437"/>
      <c r="N327" s="437"/>
      <c r="O327" s="437"/>
      <c r="P327" s="437"/>
      <c r="Q327" s="437"/>
      <c r="R327" s="437"/>
      <c r="S327" s="437"/>
      <c r="T327" s="437"/>
      <c r="U327" s="437"/>
      <c r="V327" s="437"/>
      <c r="W327" s="437"/>
      <c r="X327" s="437"/>
      <c r="Y327" s="437"/>
      <c r="Z327" s="437"/>
      <c r="AA327" s="437"/>
      <c r="AB327" s="437"/>
      <c r="AC327" s="437"/>
      <c r="AD327" s="437"/>
      <c r="AE327" s="437"/>
      <c r="AF327" s="437"/>
      <c r="AG327" s="437"/>
      <c r="AH327" s="437"/>
      <c r="AI327" s="437"/>
      <c r="AJ327" s="437"/>
      <c r="AK327" s="437"/>
      <c r="AL327" s="437"/>
      <c r="AM327" s="437"/>
      <c r="AN327" s="437"/>
      <c r="AO327" s="437"/>
      <c r="AP327" s="437"/>
      <c r="AQ327" s="437"/>
      <c r="AR327" s="437"/>
      <c r="AS327" s="437"/>
      <c r="AT327" s="437"/>
      <c r="AU327" s="437"/>
      <c r="AV327" s="437"/>
      <c r="AW327" s="437"/>
      <c r="AX327" s="437"/>
      <c r="AY327" s="437"/>
      <c r="AZ327" s="437"/>
    </row>
    <row r="328" spans="2:52">
      <c r="B328" s="437"/>
      <c r="C328" s="437"/>
      <c r="D328" s="437"/>
      <c r="G328" s="437"/>
      <c r="H328" s="437"/>
      <c r="I328" s="437"/>
      <c r="J328" s="437"/>
      <c r="K328" s="437"/>
      <c r="L328" s="437"/>
      <c r="M328" s="437"/>
      <c r="N328" s="437"/>
      <c r="O328" s="437"/>
      <c r="P328" s="437"/>
      <c r="Q328" s="437"/>
      <c r="R328" s="437"/>
      <c r="S328" s="437"/>
      <c r="T328" s="437"/>
      <c r="U328" s="437"/>
      <c r="V328" s="437"/>
      <c r="W328" s="437"/>
      <c r="X328" s="437"/>
      <c r="Y328" s="437"/>
      <c r="Z328" s="437"/>
      <c r="AA328" s="437"/>
      <c r="AB328" s="437"/>
      <c r="AC328" s="437"/>
      <c r="AD328" s="437"/>
      <c r="AE328" s="437"/>
      <c r="AF328" s="437"/>
      <c r="AG328" s="437"/>
      <c r="AH328" s="437"/>
      <c r="AI328" s="437"/>
      <c r="AJ328" s="437"/>
      <c r="AK328" s="437"/>
      <c r="AL328" s="437"/>
      <c r="AM328" s="437"/>
      <c r="AN328" s="437"/>
      <c r="AO328" s="437"/>
      <c r="AP328" s="437"/>
      <c r="AQ328" s="437"/>
      <c r="AR328" s="437"/>
      <c r="AS328" s="437"/>
      <c r="AT328" s="437"/>
      <c r="AU328" s="437"/>
      <c r="AV328" s="437"/>
      <c r="AW328" s="437"/>
      <c r="AX328" s="437"/>
      <c r="AY328" s="437"/>
      <c r="AZ328" s="437"/>
    </row>
    <row r="329" spans="2:52">
      <c r="B329" s="437"/>
      <c r="C329" s="437"/>
      <c r="D329" s="437"/>
      <c r="G329" s="437"/>
      <c r="H329" s="437"/>
      <c r="I329" s="437"/>
      <c r="J329" s="437"/>
      <c r="K329" s="437"/>
      <c r="L329" s="437"/>
      <c r="M329" s="437"/>
      <c r="N329" s="437"/>
      <c r="O329" s="437"/>
      <c r="P329" s="437"/>
      <c r="Q329" s="437"/>
      <c r="R329" s="437"/>
      <c r="S329" s="437"/>
      <c r="T329" s="437"/>
      <c r="U329" s="437"/>
      <c r="V329" s="437"/>
      <c r="W329" s="437"/>
      <c r="X329" s="437"/>
      <c r="Y329" s="437"/>
      <c r="Z329" s="437"/>
      <c r="AA329" s="437"/>
      <c r="AB329" s="437"/>
      <c r="AC329" s="437"/>
      <c r="AD329" s="437"/>
      <c r="AE329" s="437"/>
      <c r="AF329" s="437"/>
      <c r="AG329" s="437"/>
      <c r="AH329" s="437"/>
      <c r="AI329" s="437"/>
      <c r="AJ329" s="437"/>
      <c r="AK329" s="437"/>
      <c r="AL329" s="437"/>
      <c r="AM329" s="437"/>
      <c r="AN329" s="437"/>
      <c r="AO329" s="437"/>
      <c r="AP329" s="437"/>
      <c r="AQ329" s="437"/>
      <c r="AR329" s="437"/>
      <c r="AS329" s="437"/>
      <c r="AT329" s="437"/>
      <c r="AU329" s="437"/>
      <c r="AV329" s="437"/>
      <c r="AW329" s="437"/>
      <c r="AX329" s="437"/>
      <c r="AY329" s="437"/>
      <c r="AZ329" s="437"/>
    </row>
    <row r="330" spans="2:52">
      <c r="B330" s="437"/>
      <c r="C330" s="437"/>
      <c r="D330" s="437"/>
      <c r="G330" s="437"/>
      <c r="H330" s="437"/>
      <c r="I330" s="437"/>
      <c r="J330" s="437"/>
      <c r="K330" s="437"/>
      <c r="L330" s="437"/>
      <c r="M330" s="437"/>
      <c r="N330" s="437"/>
      <c r="O330" s="437"/>
      <c r="P330" s="437"/>
      <c r="Q330" s="437"/>
      <c r="R330" s="437"/>
      <c r="S330" s="437"/>
      <c r="T330" s="437"/>
      <c r="U330" s="437"/>
      <c r="V330" s="437"/>
      <c r="W330" s="437"/>
      <c r="X330" s="437"/>
      <c r="Y330" s="437"/>
      <c r="Z330" s="437"/>
      <c r="AA330" s="437"/>
      <c r="AB330" s="437"/>
      <c r="AC330" s="437"/>
      <c r="AD330" s="437"/>
      <c r="AE330" s="437"/>
      <c r="AF330" s="437"/>
      <c r="AG330" s="437"/>
      <c r="AH330" s="437"/>
      <c r="AI330" s="437"/>
      <c r="AJ330" s="437"/>
      <c r="AK330" s="437"/>
      <c r="AL330" s="437"/>
      <c r="AM330" s="437"/>
      <c r="AN330" s="437"/>
      <c r="AO330" s="437"/>
      <c r="AP330" s="437"/>
      <c r="AQ330" s="437"/>
      <c r="AR330" s="437"/>
      <c r="AS330" s="437"/>
      <c r="AT330" s="437"/>
      <c r="AU330" s="437"/>
      <c r="AV330" s="437"/>
      <c r="AW330" s="437"/>
      <c r="AX330" s="437"/>
      <c r="AY330" s="437"/>
      <c r="AZ330" s="437"/>
    </row>
    <row r="331" spans="2:52">
      <c r="B331" s="437"/>
      <c r="C331" s="437"/>
      <c r="D331" s="437"/>
      <c r="G331" s="437"/>
      <c r="H331" s="437"/>
      <c r="I331" s="437"/>
      <c r="J331" s="437"/>
      <c r="K331" s="437"/>
      <c r="L331" s="437"/>
      <c r="M331" s="437"/>
      <c r="N331" s="437"/>
      <c r="O331" s="437"/>
      <c r="P331" s="437"/>
      <c r="Q331" s="437"/>
      <c r="R331" s="437"/>
      <c r="S331" s="437"/>
      <c r="T331" s="437"/>
      <c r="U331" s="437"/>
      <c r="V331" s="437"/>
      <c r="W331" s="437"/>
      <c r="X331" s="437"/>
      <c r="Y331" s="437"/>
      <c r="Z331" s="437"/>
      <c r="AA331" s="437"/>
      <c r="AB331" s="437"/>
      <c r="AC331" s="437"/>
      <c r="AD331" s="437"/>
      <c r="AE331" s="437"/>
      <c r="AF331" s="437"/>
      <c r="AG331" s="437"/>
      <c r="AH331" s="437"/>
      <c r="AI331" s="437"/>
      <c r="AJ331" s="437"/>
      <c r="AK331" s="437"/>
      <c r="AL331" s="437"/>
      <c r="AM331" s="437"/>
      <c r="AN331" s="437"/>
      <c r="AO331" s="437"/>
      <c r="AP331" s="437"/>
      <c r="AQ331" s="437"/>
      <c r="AR331" s="437"/>
      <c r="AS331" s="437"/>
      <c r="AT331" s="437"/>
      <c r="AU331" s="437"/>
      <c r="AV331" s="437"/>
      <c r="AW331" s="437"/>
      <c r="AX331" s="437"/>
      <c r="AY331" s="437"/>
      <c r="AZ331" s="437"/>
    </row>
    <row r="332" spans="2:52">
      <c r="B332" s="437"/>
      <c r="C332" s="437"/>
      <c r="D332" s="437"/>
      <c r="G332" s="437"/>
      <c r="H332" s="437"/>
      <c r="I332" s="437"/>
      <c r="J332" s="437"/>
      <c r="K332" s="437"/>
      <c r="L332" s="437"/>
      <c r="M332" s="437"/>
      <c r="N332" s="437"/>
      <c r="O332" s="437"/>
      <c r="P332" s="437"/>
      <c r="Q332" s="437"/>
      <c r="R332" s="437"/>
      <c r="S332" s="437"/>
      <c r="T332" s="437"/>
      <c r="U332" s="437"/>
      <c r="V332" s="437"/>
      <c r="W332" s="437"/>
      <c r="X332" s="437"/>
      <c r="Y332" s="437"/>
      <c r="Z332" s="437"/>
      <c r="AA332" s="437"/>
      <c r="AB332" s="437"/>
      <c r="AC332" s="437"/>
      <c r="AD332" s="437"/>
      <c r="AE332" s="437"/>
      <c r="AF332" s="437"/>
      <c r="AG332" s="437"/>
      <c r="AH332" s="437"/>
      <c r="AI332" s="437"/>
      <c r="AJ332" s="437"/>
      <c r="AK332" s="437"/>
      <c r="AL332" s="437"/>
      <c r="AM332" s="437"/>
      <c r="AN332" s="437"/>
      <c r="AO332" s="437"/>
      <c r="AP332" s="437"/>
      <c r="AQ332" s="437"/>
      <c r="AR332" s="437"/>
      <c r="AS332" s="437"/>
      <c r="AT332" s="437"/>
      <c r="AU332" s="437"/>
      <c r="AV332" s="437"/>
      <c r="AW332" s="437"/>
      <c r="AX332" s="437"/>
      <c r="AY332" s="437"/>
      <c r="AZ332" s="437"/>
    </row>
    <row r="333" spans="2:52">
      <c r="B333" s="437"/>
      <c r="C333" s="437"/>
      <c r="D333" s="437"/>
      <c r="G333" s="437"/>
      <c r="H333" s="437"/>
      <c r="I333" s="437"/>
      <c r="J333" s="437"/>
      <c r="K333" s="437"/>
      <c r="L333" s="437"/>
      <c r="M333" s="437"/>
      <c r="N333" s="437"/>
      <c r="O333" s="437"/>
      <c r="P333" s="437"/>
      <c r="Q333" s="437"/>
      <c r="R333" s="437"/>
      <c r="S333" s="437"/>
      <c r="T333" s="437"/>
      <c r="U333" s="437"/>
      <c r="V333" s="437"/>
      <c r="W333" s="437"/>
      <c r="X333" s="437"/>
      <c r="Y333" s="437"/>
      <c r="Z333" s="437"/>
      <c r="AA333" s="437"/>
      <c r="AB333" s="437"/>
      <c r="AC333" s="437"/>
      <c r="AD333" s="437"/>
      <c r="AE333" s="437"/>
      <c r="AF333" s="437"/>
      <c r="AG333" s="437"/>
      <c r="AH333" s="437"/>
      <c r="AI333" s="437"/>
      <c r="AJ333" s="437"/>
      <c r="AK333" s="437"/>
      <c r="AL333" s="437"/>
      <c r="AM333" s="437"/>
      <c r="AN333" s="437"/>
      <c r="AO333" s="437"/>
      <c r="AP333" s="437"/>
      <c r="AQ333" s="437"/>
      <c r="AR333" s="437"/>
      <c r="AS333" s="437"/>
      <c r="AT333" s="437"/>
      <c r="AU333" s="437"/>
      <c r="AV333" s="437"/>
      <c r="AW333" s="437"/>
      <c r="AX333" s="437"/>
      <c r="AY333" s="437"/>
      <c r="AZ333" s="437"/>
    </row>
    <row r="334" spans="2:52">
      <c r="B334" s="437"/>
      <c r="C334" s="437"/>
      <c r="D334" s="437"/>
      <c r="G334" s="437"/>
      <c r="H334" s="437"/>
      <c r="I334" s="437"/>
      <c r="J334" s="437"/>
      <c r="K334" s="437"/>
      <c r="L334" s="437"/>
      <c r="M334" s="437"/>
      <c r="N334" s="437"/>
      <c r="O334" s="437"/>
      <c r="P334" s="437"/>
      <c r="Q334" s="437"/>
      <c r="R334" s="437"/>
      <c r="S334" s="437"/>
      <c r="T334" s="437"/>
      <c r="U334" s="437"/>
      <c r="V334" s="437"/>
      <c r="W334" s="437"/>
      <c r="X334" s="437"/>
      <c r="Y334" s="437"/>
      <c r="Z334" s="437"/>
      <c r="AA334" s="437"/>
      <c r="AB334" s="437"/>
      <c r="AC334" s="437"/>
      <c r="AD334" s="437"/>
      <c r="AE334" s="437"/>
      <c r="AF334" s="437"/>
      <c r="AG334" s="437"/>
      <c r="AH334" s="437"/>
      <c r="AI334" s="437"/>
      <c r="AJ334" s="437"/>
      <c r="AK334" s="437"/>
      <c r="AL334" s="437"/>
      <c r="AM334" s="437"/>
      <c r="AN334" s="437"/>
      <c r="AO334" s="437"/>
      <c r="AP334" s="437"/>
      <c r="AQ334" s="437"/>
      <c r="AR334" s="437"/>
      <c r="AS334" s="437"/>
      <c r="AT334" s="437"/>
      <c r="AU334" s="437"/>
      <c r="AV334" s="437"/>
      <c r="AW334" s="437"/>
      <c r="AX334" s="437"/>
      <c r="AY334" s="437"/>
      <c r="AZ334" s="437"/>
    </row>
    <row r="335" spans="2:52">
      <c r="B335" s="437"/>
      <c r="C335" s="437"/>
      <c r="D335" s="437"/>
      <c r="G335" s="437"/>
      <c r="H335" s="437"/>
      <c r="I335" s="437"/>
      <c r="J335" s="437"/>
      <c r="K335" s="437"/>
      <c r="L335" s="437"/>
      <c r="M335" s="437"/>
      <c r="N335" s="437"/>
      <c r="O335" s="437"/>
      <c r="P335" s="437"/>
      <c r="Q335" s="437"/>
      <c r="R335" s="437"/>
      <c r="S335" s="437"/>
      <c r="T335" s="437"/>
      <c r="U335" s="437"/>
      <c r="V335" s="437"/>
      <c r="W335" s="437"/>
      <c r="X335" s="437"/>
      <c r="Y335" s="437"/>
      <c r="Z335" s="437"/>
      <c r="AA335" s="437"/>
      <c r="AB335" s="437"/>
      <c r="AC335" s="437"/>
      <c r="AD335" s="437"/>
      <c r="AE335" s="437"/>
      <c r="AF335" s="437"/>
      <c r="AG335" s="437"/>
      <c r="AH335" s="437"/>
      <c r="AI335" s="437"/>
      <c r="AJ335" s="437"/>
      <c r="AK335" s="437"/>
      <c r="AL335" s="437"/>
      <c r="AM335" s="437"/>
      <c r="AN335" s="437"/>
      <c r="AO335" s="437"/>
      <c r="AP335" s="437"/>
      <c r="AQ335" s="437"/>
      <c r="AR335" s="437"/>
      <c r="AS335" s="437"/>
      <c r="AT335" s="437"/>
      <c r="AU335" s="437"/>
      <c r="AV335" s="437"/>
      <c r="AW335" s="437"/>
      <c r="AX335" s="437"/>
      <c r="AY335" s="437"/>
      <c r="AZ335" s="437"/>
    </row>
    <row r="336" spans="2:52">
      <c r="B336" s="437"/>
      <c r="C336" s="437"/>
      <c r="D336" s="437"/>
      <c r="G336" s="437"/>
      <c r="H336" s="437"/>
      <c r="I336" s="437"/>
      <c r="J336" s="437"/>
      <c r="K336" s="437"/>
      <c r="L336" s="437"/>
      <c r="M336" s="437"/>
      <c r="N336" s="437"/>
      <c r="O336" s="437"/>
      <c r="P336" s="437"/>
      <c r="Q336" s="437"/>
      <c r="R336" s="437"/>
      <c r="S336" s="437"/>
      <c r="T336" s="437"/>
      <c r="U336" s="437"/>
      <c r="V336" s="437"/>
      <c r="W336" s="437"/>
      <c r="X336" s="437"/>
      <c r="Y336" s="437"/>
      <c r="Z336" s="437"/>
      <c r="AA336" s="437"/>
      <c r="AB336" s="437"/>
      <c r="AC336" s="437"/>
      <c r="AD336" s="437"/>
      <c r="AE336" s="437"/>
      <c r="AF336" s="437"/>
      <c r="AG336" s="437"/>
      <c r="AH336" s="437"/>
      <c r="AI336" s="437"/>
      <c r="AJ336" s="437"/>
      <c r="AK336" s="437"/>
      <c r="AL336" s="437"/>
      <c r="AM336" s="437"/>
      <c r="AN336" s="437"/>
      <c r="AO336" s="437"/>
      <c r="AP336" s="437"/>
      <c r="AQ336" s="437"/>
      <c r="AR336" s="437"/>
      <c r="AS336" s="437"/>
      <c r="AT336" s="437"/>
      <c r="AU336" s="437"/>
      <c r="AV336" s="437"/>
      <c r="AW336" s="437"/>
      <c r="AX336" s="437"/>
      <c r="AY336" s="437"/>
      <c r="AZ336" s="437"/>
    </row>
    <row r="337" spans="2:52">
      <c r="B337" s="437"/>
      <c r="C337" s="437"/>
      <c r="D337" s="437"/>
      <c r="G337" s="437"/>
      <c r="H337" s="437"/>
      <c r="I337" s="437"/>
      <c r="J337" s="437"/>
      <c r="K337" s="437"/>
      <c r="L337" s="437"/>
      <c r="M337" s="437"/>
      <c r="N337" s="437"/>
      <c r="O337" s="437"/>
      <c r="P337" s="437"/>
      <c r="Q337" s="437"/>
      <c r="R337" s="437"/>
      <c r="S337" s="437"/>
      <c r="T337" s="437"/>
      <c r="U337" s="437"/>
      <c r="V337" s="437"/>
      <c r="W337" s="437"/>
      <c r="X337" s="437"/>
      <c r="Y337" s="437"/>
      <c r="Z337" s="437"/>
      <c r="AA337" s="437"/>
      <c r="AB337" s="437"/>
      <c r="AC337" s="437"/>
      <c r="AD337" s="437"/>
      <c r="AE337" s="437"/>
      <c r="AF337" s="437"/>
      <c r="AG337" s="437"/>
      <c r="AH337" s="437"/>
      <c r="AI337" s="437"/>
      <c r="AJ337" s="437"/>
      <c r="AK337" s="437"/>
      <c r="AL337" s="437"/>
      <c r="AM337" s="437"/>
      <c r="AN337" s="437"/>
      <c r="AO337" s="437"/>
      <c r="AP337" s="437"/>
      <c r="AQ337" s="437"/>
      <c r="AR337" s="437"/>
      <c r="AS337" s="437"/>
      <c r="AT337" s="437"/>
      <c r="AU337" s="437"/>
      <c r="AV337" s="437"/>
      <c r="AW337" s="437"/>
      <c r="AX337" s="437"/>
      <c r="AY337" s="437"/>
      <c r="AZ337" s="437"/>
    </row>
    <row r="338" spans="2:52">
      <c r="B338" s="437"/>
      <c r="C338" s="437"/>
      <c r="D338" s="437"/>
      <c r="G338" s="437"/>
      <c r="H338" s="437"/>
      <c r="I338" s="437"/>
      <c r="J338" s="437"/>
      <c r="K338" s="437"/>
      <c r="L338" s="437"/>
      <c r="M338" s="437"/>
      <c r="N338" s="437"/>
      <c r="O338" s="437"/>
      <c r="P338" s="437"/>
      <c r="Q338" s="437"/>
      <c r="R338" s="437"/>
      <c r="S338" s="437"/>
      <c r="T338" s="437"/>
      <c r="U338" s="437"/>
      <c r="V338" s="437"/>
      <c r="W338" s="437"/>
      <c r="X338" s="437"/>
      <c r="Y338" s="437"/>
      <c r="Z338" s="437"/>
      <c r="AA338" s="437"/>
      <c r="AB338" s="437"/>
      <c r="AC338" s="437"/>
      <c r="AD338" s="437"/>
      <c r="AE338" s="437"/>
      <c r="AF338" s="437"/>
      <c r="AG338" s="437"/>
      <c r="AH338" s="437"/>
      <c r="AI338" s="437"/>
      <c r="AJ338" s="437"/>
      <c r="AK338" s="437"/>
      <c r="AL338" s="437"/>
      <c r="AM338" s="437"/>
      <c r="AN338" s="437"/>
      <c r="AO338" s="437"/>
      <c r="AP338" s="437"/>
      <c r="AQ338" s="437"/>
      <c r="AR338" s="437"/>
      <c r="AS338" s="437"/>
      <c r="AT338" s="437"/>
      <c r="AU338" s="437"/>
      <c r="AV338" s="437"/>
      <c r="AW338" s="437"/>
      <c r="AX338" s="437"/>
      <c r="AY338" s="437"/>
      <c r="AZ338" s="437"/>
    </row>
    <row r="339" spans="2:52">
      <c r="B339" s="437"/>
      <c r="C339" s="437"/>
      <c r="D339" s="437"/>
      <c r="G339" s="437"/>
      <c r="H339" s="437"/>
      <c r="I339" s="437"/>
      <c r="J339" s="437"/>
      <c r="K339" s="437"/>
      <c r="L339" s="437"/>
      <c r="M339" s="437"/>
      <c r="N339" s="437"/>
      <c r="O339" s="437"/>
      <c r="P339" s="437"/>
      <c r="Q339" s="437"/>
      <c r="R339" s="437"/>
      <c r="S339" s="437"/>
      <c r="T339" s="437"/>
      <c r="U339" s="437"/>
      <c r="V339" s="437"/>
      <c r="W339" s="437"/>
      <c r="X339" s="437"/>
      <c r="Y339" s="437"/>
      <c r="Z339" s="437"/>
      <c r="AA339" s="437"/>
      <c r="AB339" s="437"/>
      <c r="AC339" s="437"/>
      <c r="AD339" s="437"/>
      <c r="AE339" s="437"/>
      <c r="AF339" s="437"/>
      <c r="AG339" s="437"/>
      <c r="AH339" s="437"/>
      <c r="AI339" s="437"/>
      <c r="AJ339" s="437"/>
      <c r="AK339" s="437"/>
      <c r="AL339" s="437"/>
      <c r="AM339" s="437"/>
      <c r="AN339" s="437"/>
      <c r="AO339" s="437"/>
      <c r="AP339" s="437"/>
      <c r="AQ339" s="437"/>
      <c r="AR339" s="437"/>
      <c r="AS339" s="437"/>
      <c r="AT339" s="437"/>
      <c r="AU339" s="437"/>
      <c r="AV339" s="437"/>
      <c r="AW339" s="437"/>
      <c r="AX339" s="437"/>
      <c r="AY339" s="437"/>
      <c r="AZ339" s="437"/>
    </row>
    <row r="340" spans="2:52">
      <c r="B340" s="437"/>
      <c r="C340" s="437"/>
      <c r="D340" s="437"/>
      <c r="G340" s="437"/>
      <c r="H340" s="437"/>
      <c r="I340" s="437"/>
      <c r="J340" s="437"/>
      <c r="K340" s="437"/>
      <c r="L340" s="437"/>
      <c r="M340" s="437"/>
      <c r="N340" s="437"/>
      <c r="O340" s="437"/>
      <c r="P340" s="437"/>
      <c r="Q340" s="437"/>
      <c r="R340" s="437"/>
      <c r="S340" s="437"/>
      <c r="T340" s="437"/>
      <c r="U340" s="437"/>
      <c r="V340" s="437"/>
      <c r="W340" s="437"/>
      <c r="X340" s="437"/>
      <c r="Y340" s="437"/>
      <c r="Z340" s="437"/>
      <c r="AA340" s="437"/>
      <c r="AB340" s="437"/>
      <c r="AC340" s="437"/>
      <c r="AD340" s="437"/>
      <c r="AE340" s="437"/>
      <c r="AF340" s="437"/>
      <c r="AG340" s="437"/>
      <c r="AH340" s="437"/>
      <c r="AI340" s="437"/>
      <c r="AJ340" s="437"/>
      <c r="AK340" s="437"/>
      <c r="AL340" s="437"/>
      <c r="AM340" s="437"/>
      <c r="AN340" s="437"/>
      <c r="AO340" s="437"/>
      <c r="AP340" s="437"/>
      <c r="AQ340" s="437"/>
      <c r="AR340" s="437"/>
      <c r="AS340" s="437"/>
      <c r="AT340" s="437"/>
      <c r="AU340" s="437"/>
      <c r="AV340" s="437"/>
      <c r="AW340" s="437"/>
      <c r="AX340" s="437"/>
      <c r="AY340" s="437"/>
      <c r="AZ340" s="437"/>
    </row>
    <row r="341" spans="2:52">
      <c r="B341" s="437"/>
      <c r="C341" s="437"/>
      <c r="D341" s="437"/>
      <c r="G341" s="437"/>
      <c r="H341" s="437"/>
      <c r="I341" s="437"/>
      <c r="J341" s="437"/>
      <c r="K341" s="437"/>
      <c r="L341" s="437"/>
      <c r="M341" s="437"/>
      <c r="N341" s="437"/>
      <c r="O341" s="437"/>
      <c r="P341" s="437"/>
      <c r="Q341" s="437"/>
      <c r="R341" s="437"/>
      <c r="S341" s="437"/>
      <c r="T341" s="437"/>
      <c r="U341" s="437"/>
      <c r="V341" s="437"/>
      <c r="W341" s="437"/>
      <c r="X341" s="437"/>
      <c r="Y341" s="437"/>
      <c r="Z341" s="437"/>
      <c r="AA341" s="437"/>
      <c r="AB341" s="437"/>
      <c r="AC341" s="437"/>
      <c r="AD341" s="437"/>
      <c r="AE341" s="437"/>
      <c r="AF341" s="437"/>
      <c r="AG341" s="437"/>
      <c r="AH341" s="437"/>
      <c r="AI341" s="437"/>
      <c r="AJ341" s="437"/>
      <c r="AK341" s="437"/>
      <c r="AL341" s="437"/>
      <c r="AM341" s="437"/>
      <c r="AN341" s="437"/>
      <c r="AO341" s="437"/>
      <c r="AP341" s="437"/>
      <c r="AQ341" s="437"/>
      <c r="AR341" s="437"/>
      <c r="AS341" s="437"/>
      <c r="AT341" s="437"/>
      <c r="AU341" s="437"/>
      <c r="AV341" s="437"/>
      <c r="AW341" s="437"/>
      <c r="AX341" s="437"/>
      <c r="AY341" s="437"/>
      <c r="AZ341" s="437"/>
    </row>
    <row r="342" spans="2:52">
      <c r="B342" s="437"/>
      <c r="C342" s="437"/>
      <c r="D342" s="437"/>
      <c r="G342" s="437"/>
      <c r="H342" s="437"/>
      <c r="I342" s="437"/>
      <c r="J342" s="437"/>
      <c r="K342" s="437"/>
      <c r="L342" s="437"/>
      <c r="M342" s="437"/>
      <c r="N342" s="437"/>
      <c r="O342" s="437"/>
      <c r="P342" s="437"/>
      <c r="Q342" s="437"/>
      <c r="R342" s="437"/>
      <c r="S342" s="437"/>
      <c r="T342" s="437"/>
      <c r="U342" s="437"/>
      <c r="V342" s="437"/>
      <c r="W342" s="437"/>
      <c r="X342" s="437"/>
      <c r="Y342" s="437"/>
      <c r="Z342" s="437"/>
      <c r="AA342" s="437"/>
      <c r="AB342" s="437"/>
      <c r="AC342" s="437"/>
      <c r="AD342" s="437"/>
      <c r="AE342" s="437"/>
      <c r="AF342" s="437"/>
      <c r="AG342" s="437"/>
      <c r="AH342" s="437"/>
      <c r="AI342" s="437"/>
      <c r="AJ342" s="437"/>
      <c r="AK342" s="437"/>
      <c r="AL342" s="437"/>
      <c r="AM342" s="437"/>
      <c r="AN342" s="437"/>
      <c r="AO342" s="437"/>
      <c r="AP342" s="437"/>
      <c r="AQ342" s="437"/>
      <c r="AR342" s="437"/>
      <c r="AS342" s="437"/>
      <c r="AT342" s="437"/>
      <c r="AU342" s="437"/>
      <c r="AV342" s="437"/>
      <c r="AW342" s="437"/>
      <c r="AX342" s="437"/>
      <c r="AY342" s="437"/>
      <c r="AZ342" s="437"/>
    </row>
    <row r="343" spans="2:52">
      <c r="B343" s="437"/>
      <c r="C343" s="437"/>
      <c r="D343" s="437"/>
      <c r="G343" s="437"/>
      <c r="H343" s="437"/>
      <c r="I343" s="437"/>
      <c r="J343" s="437"/>
      <c r="K343" s="437"/>
      <c r="L343" s="437"/>
      <c r="M343" s="437"/>
      <c r="N343" s="437"/>
      <c r="O343" s="437"/>
      <c r="P343" s="437"/>
      <c r="Q343" s="437"/>
      <c r="R343" s="437"/>
      <c r="S343" s="437"/>
      <c r="T343" s="437"/>
      <c r="U343" s="437"/>
      <c r="V343" s="437"/>
      <c r="W343" s="437"/>
      <c r="X343" s="437"/>
      <c r="Y343" s="437"/>
      <c r="Z343" s="437"/>
      <c r="AA343" s="437"/>
      <c r="AB343" s="437"/>
      <c r="AC343" s="437"/>
      <c r="AD343" s="437"/>
      <c r="AE343" s="437"/>
      <c r="AF343" s="437"/>
      <c r="AG343" s="437"/>
      <c r="AH343" s="437"/>
      <c r="AI343" s="437"/>
      <c r="AJ343" s="437"/>
      <c r="AK343" s="437"/>
      <c r="AL343" s="437"/>
      <c r="AM343" s="437"/>
      <c r="AN343" s="437"/>
      <c r="AO343" s="437"/>
      <c r="AP343" s="437"/>
      <c r="AQ343" s="437"/>
      <c r="AR343" s="437"/>
      <c r="AS343" s="437"/>
      <c r="AT343" s="437"/>
      <c r="AU343" s="437"/>
      <c r="AV343" s="437"/>
      <c r="AW343" s="437"/>
      <c r="AX343" s="437"/>
      <c r="AY343" s="437"/>
      <c r="AZ343" s="437"/>
    </row>
    <row r="344" spans="2:52">
      <c r="B344" s="437"/>
      <c r="C344" s="437"/>
      <c r="D344" s="437"/>
      <c r="G344" s="437"/>
      <c r="H344" s="437"/>
      <c r="I344" s="437"/>
      <c r="J344" s="437"/>
      <c r="K344" s="437"/>
      <c r="L344" s="437"/>
      <c r="M344" s="437"/>
      <c r="N344" s="437"/>
      <c r="O344" s="437"/>
      <c r="P344" s="437"/>
      <c r="Q344" s="437"/>
      <c r="R344" s="437"/>
      <c r="S344" s="437"/>
      <c r="T344" s="437"/>
      <c r="U344" s="437"/>
      <c r="V344" s="437"/>
      <c r="W344" s="437"/>
      <c r="X344" s="437"/>
      <c r="Y344" s="437"/>
      <c r="Z344" s="437"/>
      <c r="AA344" s="437"/>
      <c r="AB344" s="437"/>
      <c r="AC344" s="437"/>
      <c r="AD344" s="437"/>
      <c r="AE344" s="437"/>
      <c r="AF344" s="437"/>
      <c r="AG344" s="437"/>
      <c r="AH344" s="437"/>
      <c r="AI344" s="437"/>
      <c r="AJ344" s="437"/>
      <c r="AK344" s="437"/>
      <c r="AL344" s="437"/>
      <c r="AM344" s="437"/>
      <c r="AN344" s="437"/>
      <c r="AO344" s="437"/>
      <c r="AP344" s="437"/>
      <c r="AQ344" s="437"/>
      <c r="AR344" s="437"/>
      <c r="AS344" s="437"/>
      <c r="AT344" s="437"/>
      <c r="AU344" s="437"/>
      <c r="AV344" s="437"/>
      <c r="AW344" s="437"/>
      <c r="AX344" s="437"/>
      <c r="AY344" s="437"/>
      <c r="AZ344" s="437"/>
    </row>
    <row r="345" spans="2:52">
      <c r="B345" s="437"/>
      <c r="C345" s="437"/>
      <c r="D345" s="437"/>
      <c r="G345" s="437"/>
      <c r="H345" s="437"/>
      <c r="I345" s="437"/>
      <c r="J345" s="437"/>
      <c r="K345" s="437"/>
      <c r="L345" s="437"/>
      <c r="M345" s="437"/>
      <c r="N345" s="437"/>
      <c r="O345" s="437"/>
      <c r="P345" s="437"/>
      <c r="Q345" s="437"/>
      <c r="R345" s="437"/>
      <c r="S345" s="437"/>
      <c r="T345" s="437"/>
      <c r="U345" s="437"/>
      <c r="V345" s="437"/>
      <c r="W345" s="437"/>
      <c r="X345" s="437"/>
      <c r="Y345" s="437"/>
      <c r="Z345" s="437"/>
      <c r="AA345" s="437"/>
      <c r="AB345" s="437"/>
      <c r="AC345" s="437"/>
      <c r="AD345" s="437"/>
      <c r="AE345" s="437"/>
      <c r="AF345" s="437"/>
      <c r="AG345" s="437"/>
      <c r="AH345" s="437"/>
      <c r="AI345" s="437"/>
      <c r="AJ345" s="437"/>
      <c r="AK345" s="437"/>
      <c r="AL345" s="437"/>
      <c r="AM345" s="437"/>
      <c r="AN345" s="437"/>
      <c r="AO345" s="437"/>
      <c r="AP345" s="437"/>
      <c r="AQ345" s="437"/>
      <c r="AR345" s="437"/>
      <c r="AS345" s="437"/>
      <c r="AT345" s="437"/>
      <c r="AU345" s="437"/>
      <c r="AV345" s="437"/>
      <c r="AW345" s="437"/>
      <c r="AX345" s="437"/>
      <c r="AY345" s="437"/>
      <c r="AZ345" s="437"/>
    </row>
    <row r="346" spans="2:52">
      <c r="B346" s="437"/>
      <c r="C346" s="437"/>
      <c r="D346" s="437"/>
      <c r="G346" s="437"/>
      <c r="H346" s="437"/>
      <c r="I346" s="437"/>
      <c r="J346" s="437"/>
      <c r="K346" s="437"/>
      <c r="L346" s="437"/>
      <c r="M346" s="437"/>
      <c r="N346" s="437"/>
      <c r="O346" s="437"/>
      <c r="P346" s="437"/>
      <c r="Q346" s="437"/>
      <c r="R346" s="437"/>
      <c r="S346" s="437"/>
      <c r="T346" s="437"/>
      <c r="U346" s="437"/>
      <c r="V346" s="437"/>
      <c r="W346" s="437"/>
      <c r="X346" s="437"/>
      <c r="Y346" s="437"/>
      <c r="Z346" s="437"/>
      <c r="AA346" s="437"/>
      <c r="AB346" s="437"/>
      <c r="AC346" s="437"/>
      <c r="AD346" s="437"/>
      <c r="AE346" s="437"/>
      <c r="AF346" s="437"/>
      <c r="AG346" s="437"/>
      <c r="AH346" s="437"/>
      <c r="AI346" s="437"/>
      <c r="AJ346" s="437"/>
      <c r="AK346" s="437"/>
      <c r="AL346" s="437"/>
      <c r="AM346" s="437"/>
      <c r="AN346" s="437"/>
      <c r="AO346" s="437"/>
      <c r="AP346" s="437"/>
      <c r="AQ346" s="437"/>
      <c r="AR346" s="437"/>
      <c r="AS346" s="437"/>
      <c r="AT346" s="437"/>
      <c r="AU346" s="437"/>
      <c r="AV346" s="437"/>
      <c r="AW346" s="437"/>
      <c r="AX346" s="437"/>
      <c r="AY346" s="437"/>
      <c r="AZ346" s="437"/>
    </row>
    <row r="347" spans="2:52">
      <c r="B347" s="437"/>
      <c r="C347" s="437"/>
      <c r="D347" s="437"/>
      <c r="G347" s="437"/>
      <c r="H347" s="437"/>
      <c r="I347" s="437"/>
      <c r="J347" s="437"/>
      <c r="K347" s="437"/>
      <c r="L347" s="437"/>
      <c r="M347" s="437"/>
      <c r="N347" s="437"/>
      <c r="O347" s="437"/>
      <c r="P347" s="437"/>
      <c r="Q347" s="437"/>
      <c r="R347" s="437"/>
      <c r="S347" s="437"/>
      <c r="T347" s="437"/>
      <c r="U347" s="437"/>
      <c r="V347" s="437"/>
      <c r="W347" s="437"/>
      <c r="X347" s="437"/>
      <c r="Y347" s="437"/>
      <c r="Z347" s="437"/>
      <c r="AA347" s="437"/>
      <c r="AB347" s="437"/>
      <c r="AC347" s="437"/>
      <c r="AD347" s="437"/>
      <c r="AE347" s="437"/>
      <c r="AF347" s="437"/>
      <c r="AG347" s="437"/>
      <c r="AH347" s="437"/>
      <c r="AI347" s="437"/>
      <c r="AJ347" s="437"/>
      <c r="AK347" s="437"/>
      <c r="AL347" s="437"/>
      <c r="AM347" s="437"/>
      <c r="AN347" s="437"/>
      <c r="AO347" s="437"/>
      <c r="AP347" s="437"/>
      <c r="AQ347" s="437"/>
      <c r="AR347" s="437"/>
      <c r="AS347" s="437"/>
      <c r="AT347" s="437"/>
      <c r="AU347" s="437"/>
      <c r="AV347" s="437"/>
      <c r="AW347" s="437"/>
      <c r="AX347" s="437"/>
      <c r="AY347" s="437"/>
      <c r="AZ347" s="437"/>
    </row>
    <row r="348" spans="2:52">
      <c r="B348" s="437"/>
      <c r="C348" s="437"/>
      <c r="D348" s="437"/>
      <c r="G348" s="437"/>
      <c r="H348" s="437"/>
      <c r="I348" s="437"/>
      <c r="J348" s="437"/>
      <c r="K348" s="437"/>
      <c r="L348" s="437"/>
      <c r="M348" s="437"/>
      <c r="N348" s="437"/>
      <c r="O348" s="437"/>
      <c r="P348" s="437"/>
      <c r="Q348" s="437"/>
      <c r="R348" s="437"/>
      <c r="S348" s="437"/>
      <c r="T348" s="437"/>
      <c r="U348" s="437"/>
      <c r="V348" s="437"/>
      <c r="W348" s="437"/>
      <c r="X348" s="437"/>
      <c r="Y348" s="437"/>
      <c r="Z348" s="437"/>
      <c r="AA348" s="437"/>
      <c r="AB348" s="437"/>
      <c r="AC348" s="437"/>
      <c r="AD348" s="437"/>
      <c r="AE348" s="437"/>
      <c r="AF348" s="437"/>
      <c r="AG348" s="437"/>
      <c r="AH348" s="437"/>
      <c r="AI348" s="437"/>
      <c r="AJ348" s="437"/>
      <c r="AK348" s="437"/>
      <c r="AL348" s="437"/>
      <c r="AM348" s="437"/>
      <c r="AN348" s="437"/>
      <c r="AO348" s="437"/>
      <c r="AP348" s="437"/>
      <c r="AQ348" s="437"/>
      <c r="AR348" s="437"/>
      <c r="AS348" s="437"/>
      <c r="AT348" s="437"/>
      <c r="AU348" s="437"/>
      <c r="AV348" s="437"/>
      <c r="AW348" s="437"/>
      <c r="AX348" s="437"/>
      <c r="AY348" s="437"/>
      <c r="AZ348" s="437"/>
    </row>
    <row r="349" spans="2:52">
      <c r="B349" s="437"/>
      <c r="C349" s="437"/>
      <c r="D349" s="437"/>
      <c r="G349" s="437"/>
      <c r="H349" s="437"/>
      <c r="I349" s="437"/>
      <c r="J349" s="437"/>
      <c r="K349" s="437"/>
      <c r="L349" s="437"/>
      <c r="M349" s="437"/>
      <c r="N349" s="437"/>
      <c r="O349" s="437"/>
      <c r="P349" s="437"/>
      <c r="Q349" s="437"/>
      <c r="R349" s="437"/>
      <c r="S349" s="437"/>
      <c r="T349" s="437"/>
      <c r="U349" s="437"/>
      <c r="V349" s="437"/>
      <c r="W349" s="437"/>
      <c r="X349" s="437"/>
      <c r="Y349" s="437"/>
      <c r="Z349" s="437"/>
      <c r="AA349" s="437"/>
      <c r="AB349" s="437"/>
      <c r="AC349" s="437"/>
      <c r="AD349" s="437"/>
      <c r="AE349" s="437"/>
      <c r="AF349" s="437"/>
      <c r="AG349" s="437"/>
      <c r="AH349" s="437"/>
      <c r="AI349" s="437"/>
      <c r="AJ349" s="437"/>
      <c r="AK349" s="437"/>
      <c r="AL349" s="437"/>
      <c r="AM349" s="437"/>
      <c r="AN349" s="437"/>
      <c r="AO349" s="437"/>
      <c r="AP349" s="437"/>
      <c r="AQ349" s="437"/>
      <c r="AR349" s="437"/>
      <c r="AS349" s="437"/>
      <c r="AT349" s="437"/>
      <c r="AU349" s="437"/>
      <c r="AV349" s="437"/>
      <c r="AW349" s="437"/>
      <c r="AX349" s="437"/>
      <c r="AY349" s="437"/>
      <c r="AZ349" s="437"/>
    </row>
    <row r="350" spans="2:52">
      <c r="B350" s="437"/>
      <c r="C350" s="437"/>
      <c r="D350" s="437"/>
      <c r="G350" s="437"/>
      <c r="H350" s="437"/>
      <c r="I350" s="437"/>
      <c r="J350" s="437"/>
      <c r="K350" s="437"/>
      <c r="L350" s="437"/>
      <c r="M350" s="437"/>
      <c r="N350" s="437"/>
      <c r="O350" s="437"/>
      <c r="P350" s="437"/>
      <c r="Q350" s="437"/>
      <c r="R350" s="437"/>
      <c r="S350" s="437"/>
      <c r="T350" s="437"/>
      <c r="U350" s="437"/>
      <c r="V350" s="437"/>
      <c r="W350" s="437"/>
      <c r="X350" s="437"/>
      <c r="Y350" s="437"/>
      <c r="Z350" s="437"/>
      <c r="AA350" s="437"/>
      <c r="AB350" s="437"/>
      <c r="AC350" s="437"/>
      <c r="AD350" s="437"/>
      <c r="AE350" s="437"/>
      <c r="AF350" s="437"/>
      <c r="AG350" s="437"/>
      <c r="AH350" s="437"/>
      <c r="AI350" s="437"/>
      <c r="AJ350" s="437"/>
      <c r="AK350" s="437"/>
      <c r="AL350" s="437"/>
      <c r="AM350" s="437"/>
      <c r="AN350" s="437"/>
      <c r="AO350" s="437"/>
      <c r="AP350" s="437"/>
      <c r="AQ350" s="437"/>
      <c r="AR350" s="437"/>
      <c r="AS350" s="437"/>
      <c r="AT350" s="437"/>
      <c r="AU350" s="437"/>
      <c r="AV350" s="437"/>
      <c r="AW350" s="437"/>
      <c r="AX350" s="437"/>
      <c r="AY350" s="437"/>
      <c r="AZ350" s="437"/>
    </row>
    <row r="351" spans="2:52">
      <c r="B351" s="437"/>
      <c r="C351" s="437"/>
      <c r="D351" s="437"/>
      <c r="G351" s="437"/>
      <c r="H351" s="437"/>
      <c r="I351" s="437"/>
      <c r="J351" s="437"/>
      <c r="K351" s="437"/>
      <c r="L351" s="437"/>
      <c r="M351" s="437"/>
      <c r="N351" s="437"/>
      <c r="O351" s="437"/>
      <c r="P351" s="437"/>
      <c r="Q351" s="437"/>
      <c r="R351" s="437"/>
      <c r="S351" s="437"/>
      <c r="T351" s="437"/>
      <c r="U351" s="437"/>
      <c r="V351" s="437"/>
      <c r="W351" s="437"/>
      <c r="X351" s="437"/>
      <c r="Y351" s="437"/>
      <c r="Z351" s="437"/>
      <c r="AA351" s="437"/>
      <c r="AB351" s="437"/>
      <c r="AC351" s="437"/>
      <c r="AD351" s="437"/>
      <c r="AE351" s="437"/>
      <c r="AF351" s="437"/>
      <c r="AG351" s="437"/>
      <c r="AH351" s="437"/>
      <c r="AI351" s="437"/>
      <c r="AJ351" s="437"/>
      <c r="AK351" s="437"/>
      <c r="AL351" s="437"/>
      <c r="AM351" s="437"/>
      <c r="AN351" s="437"/>
      <c r="AO351" s="437"/>
      <c r="AP351" s="437"/>
      <c r="AQ351" s="437"/>
      <c r="AR351" s="437"/>
      <c r="AS351" s="437"/>
      <c r="AT351" s="437"/>
      <c r="AU351" s="437"/>
      <c r="AV351" s="437"/>
      <c r="AW351" s="437"/>
      <c r="AX351" s="437"/>
      <c r="AY351" s="437"/>
      <c r="AZ351" s="437"/>
    </row>
    <row r="352" spans="2:52">
      <c r="B352" s="437"/>
      <c r="C352" s="437"/>
      <c r="D352" s="437"/>
      <c r="G352" s="437"/>
      <c r="H352" s="437"/>
      <c r="I352" s="437"/>
      <c r="J352" s="437"/>
      <c r="K352" s="437"/>
      <c r="L352" s="437"/>
      <c r="M352" s="437"/>
      <c r="N352" s="437"/>
      <c r="O352" s="437"/>
      <c r="P352" s="437"/>
      <c r="Q352" s="437"/>
      <c r="R352" s="437"/>
      <c r="S352" s="437"/>
      <c r="T352" s="437"/>
      <c r="U352" s="437"/>
      <c r="V352" s="437"/>
      <c r="W352" s="437"/>
      <c r="X352" s="437"/>
      <c r="Y352" s="437"/>
      <c r="Z352" s="437"/>
      <c r="AA352" s="437"/>
      <c r="AB352" s="437"/>
      <c r="AC352" s="437"/>
      <c r="AD352" s="437"/>
      <c r="AE352" s="437"/>
      <c r="AF352" s="437"/>
      <c r="AG352" s="437"/>
      <c r="AH352" s="437"/>
      <c r="AI352" s="437"/>
      <c r="AJ352" s="437"/>
      <c r="AK352" s="437"/>
      <c r="AL352" s="437"/>
      <c r="AM352" s="437"/>
      <c r="AN352" s="437"/>
      <c r="AO352" s="437"/>
      <c r="AP352" s="437"/>
      <c r="AQ352" s="437"/>
      <c r="AR352" s="437"/>
      <c r="AS352" s="437"/>
      <c r="AT352" s="437"/>
      <c r="AU352" s="437"/>
      <c r="AV352" s="437"/>
      <c r="AW352" s="437"/>
      <c r="AX352" s="437"/>
      <c r="AY352" s="437"/>
      <c r="AZ352" s="437"/>
    </row>
    <row r="353" spans="2:52">
      <c r="B353" s="437"/>
      <c r="C353" s="437"/>
      <c r="D353" s="437"/>
      <c r="G353" s="437"/>
      <c r="H353" s="437"/>
      <c r="I353" s="437"/>
      <c r="J353" s="437"/>
      <c r="K353" s="437"/>
      <c r="L353" s="437"/>
      <c r="M353" s="437"/>
      <c r="N353" s="437"/>
      <c r="O353" s="437"/>
      <c r="P353" s="437"/>
      <c r="Q353" s="437"/>
      <c r="R353" s="437"/>
      <c r="S353" s="437"/>
      <c r="T353" s="437"/>
      <c r="U353" s="437"/>
      <c r="V353" s="437"/>
      <c r="W353" s="437"/>
      <c r="X353" s="437"/>
      <c r="Y353" s="437"/>
      <c r="Z353" s="437"/>
      <c r="AA353" s="437"/>
      <c r="AB353" s="437"/>
      <c r="AC353" s="437"/>
      <c r="AD353" s="437"/>
      <c r="AE353" s="437"/>
      <c r="AF353" s="437"/>
      <c r="AG353" s="437"/>
      <c r="AH353" s="437"/>
      <c r="AI353" s="437"/>
      <c r="AJ353" s="437"/>
      <c r="AK353" s="437"/>
      <c r="AL353" s="437"/>
      <c r="AM353" s="437"/>
      <c r="AN353" s="437"/>
      <c r="AO353" s="437"/>
      <c r="AP353" s="437"/>
      <c r="AQ353" s="437"/>
      <c r="AR353" s="437"/>
      <c r="AS353" s="437"/>
      <c r="AT353" s="437"/>
      <c r="AU353" s="437"/>
      <c r="AV353" s="437"/>
      <c r="AW353" s="437"/>
      <c r="AX353" s="437"/>
      <c r="AY353" s="437"/>
      <c r="AZ353" s="437"/>
    </row>
    <row r="354" spans="2:52">
      <c r="B354" s="437"/>
      <c r="C354" s="437"/>
      <c r="D354" s="437"/>
      <c r="G354" s="437"/>
      <c r="H354" s="437"/>
      <c r="I354" s="437"/>
      <c r="J354" s="437"/>
      <c r="K354" s="437"/>
      <c r="L354" s="437"/>
      <c r="M354" s="437"/>
      <c r="N354" s="437"/>
      <c r="O354" s="437"/>
      <c r="P354" s="437"/>
      <c r="Q354" s="437"/>
      <c r="R354" s="437"/>
      <c r="S354" s="437"/>
      <c r="T354" s="437"/>
      <c r="U354" s="437"/>
      <c r="V354" s="437"/>
      <c r="W354" s="437"/>
      <c r="X354" s="437"/>
      <c r="Y354" s="437"/>
      <c r="Z354" s="437"/>
      <c r="AA354" s="437"/>
      <c r="AB354" s="437"/>
      <c r="AC354" s="437"/>
      <c r="AD354" s="437"/>
      <c r="AE354" s="437"/>
      <c r="AF354" s="437"/>
      <c r="AG354" s="437"/>
      <c r="AH354" s="437"/>
      <c r="AI354" s="437"/>
      <c r="AJ354" s="437"/>
      <c r="AK354" s="437"/>
      <c r="AL354" s="437"/>
      <c r="AM354" s="437"/>
      <c r="AN354" s="437"/>
      <c r="AO354" s="437"/>
      <c r="AP354" s="437"/>
      <c r="AQ354" s="437"/>
      <c r="AR354" s="437"/>
      <c r="AS354" s="437"/>
      <c r="AT354" s="437"/>
      <c r="AU354" s="437"/>
      <c r="AV354" s="437"/>
      <c r="AW354" s="437"/>
      <c r="AX354" s="437"/>
      <c r="AY354" s="437"/>
      <c r="AZ354" s="437"/>
    </row>
    <row r="355" spans="2:52">
      <c r="B355" s="437"/>
      <c r="C355" s="437"/>
      <c r="D355" s="437"/>
      <c r="G355" s="437"/>
      <c r="H355" s="437"/>
      <c r="I355" s="437"/>
      <c r="J355" s="437"/>
      <c r="K355" s="437"/>
      <c r="L355" s="437"/>
      <c r="M355" s="437"/>
      <c r="N355" s="437"/>
      <c r="O355" s="437"/>
      <c r="P355" s="437"/>
      <c r="Q355" s="437"/>
      <c r="R355" s="437"/>
      <c r="S355" s="437"/>
      <c r="T355" s="437"/>
      <c r="U355" s="437"/>
      <c r="V355" s="437"/>
      <c r="W355" s="437"/>
      <c r="X355" s="437"/>
      <c r="Y355" s="437"/>
      <c r="Z355" s="437"/>
      <c r="AA355" s="437"/>
      <c r="AB355" s="437"/>
      <c r="AC355" s="437"/>
      <c r="AD355" s="437"/>
      <c r="AE355" s="437"/>
      <c r="AF355" s="437"/>
      <c r="AG355" s="437"/>
      <c r="AH355" s="437"/>
      <c r="AI355" s="437"/>
      <c r="AJ355" s="437"/>
      <c r="AK355" s="437"/>
      <c r="AL355" s="437"/>
      <c r="AM355" s="437"/>
      <c r="AN355" s="437"/>
      <c r="AO355" s="437"/>
      <c r="AP355" s="437"/>
      <c r="AQ355" s="437"/>
      <c r="AR355" s="437"/>
      <c r="AS355" s="437"/>
      <c r="AT355" s="437"/>
      <c r="AU355" s="437"/>
      <c r="AV355" s="437"/>
      <c r="AW355" s="437"/>
      <c r="AX355" s="437"/>
      <c r="AY355" s="437"/>
      <c r="AZ355" s="437"/>
    </row>
    <row r="356" spans="2:52">
      <c r="B356" s="437"/>
      <c r="C356" s="437"/>
      <c r="D356" s="437"/>
      <c r="G356" s="437"/>
      <c r="H356" s="437"/>
      <c r="I356" s="437"/>
      <c r="J356" s="437"/>
      <c r="K356" s="437"/>
      <c r="L356" s="437"/>
      <c r="M356" s="437"/>
      <c r="N356" s="437"/>
      <c r="O356" s="437"/>
      <c r="P356" s="437"/>
      <c r="Q356" s="437"/>
      <c r="R356" s="437"/>
      <c r="S356" s="437"/>
      <c r="T356" s="437"/>
      <c r="U356" s="437"/>
      <c r="V356" s="437"/>
      <c r="W356" s="437"/>
      <c r="X356" s="437"/>
      <c r="Y356" s="437"/>
      <c r="Z356" s="437"/>
      <c r="AA356" s="437"/>
      <c r="AB356" s="437"/>
      <c r="AC356" s="437"/>
      <c r="AD356" s="437"/>
      <c r="AE356" s="437"/>
      <c r="AF356" s="437"/>
      <c r="AG356" s="437"/>
      <c r="AH356" s="437"/>
      <c r="AI356" s="437"/>
      <c r="AJ356" s="437"/>
      <c r="AK356" s="437"/>
      <c r="AL356" s="437"/>
      <c r="AM356" s="437"/>
      <c r="AN356" s="437"/>
      <c r="AO356" s="437"/>
      <c r="AP356" s="437"/>
      <c r="AQ356" s="437"/>
      <c r="AR356" s="437"/>
      <c r="AS356" s="437"/>
      <c r="AT356" s="437"/>
      <c r="AU356" s="437"/>
      <c r="AV356" s="437"/>
      <c r="AW356" s="437"/>
      <c r="AX356" s="437"/>
      <c r="AY356" s="437"/>
      <c r="AZ356" s="437"/>
    </row>
    <row r="357" spans="2:52">
      <c r="B357" s="437"/>
      <c r="C357" s="437"/>
      <c r="D357" s="437"/>
      <c r="G357" s="437"/>
      <c r="H357" s="437"/>
      <c r="I357" s="437"/>
      <c r="J357" s="437"/>
      <c r="K357" s="437"/>
      <c r="L357" s="437"/>
      <c r="M357" s="437"/>
      <c r="N357" s="437"/>
      <c r="O357" s="437"/>
      <c r="P357" s="437"/>
      <c r="Q357" s="437"/>
      <c r="R357" s="437"/>
      <c r="S357" s="437"/>
      <c r="T357" s="437"/>
      <c r="U357" s="437"/>
      <c r="V357" s="437"/>
      <c r="W357" s="437"/>
      <c r="X357" s="437"/>
      <c r="Y357" s="437"/>
      <c r="Z357" s="437"/>
      <c r="AA357" s="437"/>
      <c r="AB357" s="437"/>
      <c r="AC357" s="437"/>
      <c r="AD357" s="437"/>
      <c r="AE357" s="437"/>
      <c r="AF357" s="437"/>
      <c r="AG357" s="437"/>
      <c r="AH357" s="437"/>
      <c r="AI357" s="437"/>
      <c r="AJ357" s="437"/>
      <c r="AK357" s="437"/>
      <c r="AL357" s="437"/>
      <c r="AM357" s="437"/>
      <c r="AN357" s="437"/>
      <c r="AO357" s="437"/>
      <c r="AP357" s="437"/>
      <c r="AQ357" s="437"/>
      <c r="AR357" s="437"/>
      <c r="AS357" s="437"/>
      <c r="AT357" s="437"/>
      <c r="AU357" s="437"/>
      <c r="AV357" s="437"/>
      <c r="AW357" s="437"/>
      <c r="AX357" s="437"/>
      <c r="AY357" s="437"/>
      <c r="AZ357" s="437"/>
    </row>
    <row r="358" spans="2:52">
      <c r="B358" s="437"/>
      <c r="C358" s="437"/>
      <c r="D358" s="437"/>
      <c r="G358" s="437"/>
      <c r="H358" s="437"/>
      <c r="I358" s="437"/>
      <c r="J358" s="437"/>
      <c r="K358" s="437"/>
      <c r="L358" s="437"/>
      <c r="M358" s="437"/>
      <c r="N358" s="437"/>
      <c r="O358" s="437"/>
      <c r="P358" s="437"/>
      <c r="Q358" s="437"/>
      <c r="R358" s="437"/>
      <c r="S358" s="437"/>
      <c r="T358" s="437"/>
      <c r="U358" s="437"/>
      <c r="V358" s="437"/>
      <c r="W358" s="437"/>
      <c r="X358" s="437"/>
      <c r="Y358" s="437"/>
      <c r="Z358" s="437"/>
      <c r="AA358" s="437"/>
      <c r="AB358" s="437"/>
      <c r="AC358" s="437"/>
      <c r="AD358" s="437"/>
      <c r="AE358" s="437"/>
      <c r="AF358" s="437"/>
      <c r="AG358" s="437"/>
      <c r="AH358" s="437"/>
      <c r="AI358" s="437"/>
      <c r="AJ358" s="437"/>
      <c r="AK358" s="437"/>
      <c r="AL358" s="437"/>
      <c r="AM358" s="437"/>
      <c r="AN358" s="437"/>
      <c r="AO358" s="437"/>
      <c r="AP358" s="437"/>
      <c r="AQ358" s="437"/>
      <c r="AR358" s="437"/>
      <c r="AS358" s="437"/>
      <c r="AT358" s="437"/>
      <c r="AU358" s="437"/>
      <c r="AV358" s="437"/>
      <c r="AW358" s="437"/>
      <c r="AX358" s="437"/>
      <c r="AY358" s="437"/>
      <c r="AZ358" s="437"/>
    </row>
    <row r="359" spans="2:52">
      <c r="B359" s="437"/>
      <c r="C359" s="437"/>
      <c r="D359" s="437"/>
      <c r="G359" s="437"/>
      <c r="H359" s="437"/>
      <c r="I359" s="437"/>
      <c r="J359" s="437"/>
      <c r="K359" s="437"/>
      <c r="L359" s="437"/>
      <c r="M359" s="437"/>
      <c r="N359" s="437"/>
      <c r="O359" s="437"/>
      <c r="P359" s="437"/>
      <c r="Q359" s="437"/>
      <c r="R359" s="437"/>
      <c r="S359" s="437"/>
      <c r="T359" s="437"/>
      <c r="U359" s="437"/>
      <c r="V359" s="437"/>
      <c r="W359" s="437"/>
      <c r="X359" s="437"/>
      <c r="Y359" s="437"/>
      <c r="Z359" s="437"/>
      <c r="AA359" s="437"/>
      <c r="AB359" s="437"/>
      <c r="AC359" s="437"/>
      <c r="AD359" s="437"/>
      <c r="AE359" s="437"/>
      <c r="AF359" s="437"/>
      <c r="AG359" s="437"/>
      <c r="AH359" s="437"/>
      <c r="AI359" s="437"/>
      <c r="AJ359" s="437"/>
      <c r="AK359" s="437"/>
      <c r="AL359" s="437"/>
      <c r="AM359" s="437"/>
      <c r="AN359" s="437"/>
      <c r="AO359" s="437"/>
      <c r="AP359" s="437"/>
      <c r="AQ359" s="437"/>
      <c r="AR359" s="437"/>
      <c r="AS359" s="437"/>
      <c r="AT359" s="437"/>
      <c r="AU359" s="437"/>
      <c r="AV359" s="437"/>
      <c r="AW359" s="437"/>
      <c r="AX359" s="437"/>
      <c r="AY359" s="437"/>
      <c r="AZ359" s="437"/>
    </row>
    <row r="360" spans="2:52">
      <c r="B360" s="437"/>
      <c r="C360" s="437"/>
      <c r="D360" s="437"/>
      <c r="G360" s="437"/>
      <c r="H360" s="437"/>
      <c r="I360" s="437"/>
      <c r="J360" s="437"/>
      <c r="K360" s="437"/>
      <c r="L360" s="437"/>
      <c r="M360" s="437"/>
      <c r="N360" s="437"/>
      <c r="O360" s="437"/>
      <c r="P360" s="437"/>
      <c r="Q360" s="437"/>
      <c r="R360" s="437"/>
      <c r="S360" s="437"/>
      <c r="T360" s="437"/>
      <c r="U360" s="437"/>
      <c r="V360" s="437"/>
      <c r="W360" s="437"/>
      <c r="X360" s="437"/>
      <c r="Y360" s="437"/>
      <c r="Z360" s="437"/>
      <c r="AA360" s="437"/>
      <c r="AB360" s="437"/>
      <c r="AC360" s="437"/>
      <c r="AD360" s="437"/>
      <c r="AE360" s="437"/>
      <c r="AF360" s="437"/>
      <c r="AG360" s="437"/>
      <c r="AH360" s="437"/>
      <c r="AI360" s="437"/>
      <c r="AJ360" s="437"/>
      <c r="AK360" s="437"/>
      <c r="AL360" s="437"/>
      <c r="AM360" s="437"/>
      <c r="AN360" s="437"/>
      <c r="AO360" s="437"/>
      <c r="AP360" s="437"/>
      <c r="AQ360" s="437"/>
      <c r="AR360" s="437"/>
      <c r="AS360" s="437"/>
      <c r="AT360" s="437"/>
      <c r="AU360" s="437"/>
      <c r="AV360" s="437"/>
      <c r="AW360" s="437"/>
      <c r="AX360" s="437"/>
      <c r="AY360" s="437"/>
      <c r="AZ360" s="437"/>
    </row>
    <row r="361" spans="2:52">
      <c r="B361" s="437"/>
      <c r="C361" s="437"/>
      <c r="D361" s="437"/>
      <c r="G361" s="437"/>
      <c r="H361" s="437"/>
      <c r="I361" s="437"/>
      <c r="J361" s="437"/>
      <c r="K361" s="437"/>
      <c r="L361" s="437"/>
      <c r="M361" s="437"/>
      <c r="N361" s="437"/>
      <c r="O361" s="437"/>
      <c r="P361" s="437"/>
      <c r="Q361" s="437"/>
      <c r="R361" s="437"/>
      <c r="S361" s="437"/>
      <c r="T361" s="437"/>
      <c r="U361" s="437"/>
      <c r="V361" s="437"/>
      <c r="W361" s="437"/>
      <c r="X361" s="437"/>
      <c r="Y361" s="437"/>
      <c r="Z361" s="437"/>
      <c r="AA361" s="437"/>
      <c r="AB361" s="437"/>
      <c r="AC361" s="437"/>
      <c r="AD361" s="437"/>
      <c r="AE361" s="437"/>
      <c r="AF361" s="437"/>
      <c r="AG361" s="437"/>
      <c r="AH361" s="437"/>
      <c r="AI361" s="437"/>
      <c r="AJ361" s="437"/>
      <c r="AK361" s="437"/>
      <c r="AL361" s="437"/>
      <c r="AM361" s="437"/>
      <c r="AN361" s="437"/>
      <c r="AO361" s="437"/>
      <c r="AP361" s="437"/>
      <c r="AQ361" s="437"/>
      <c r="AR361" s="437"/>
      <c r="AS361" s="437"/>
      <c r="AT361" s="437"/>
      <c r="AU361" s="437"/>
      <c r="AV361" s="437"/>
      <c r="AW361" s="437"/>
      <c r="AX361" s="437"/>
      <c r="AY361" s="437"/>
      <c r="AZ361" s="437"/>
    </row>
    <row r="362" spans="2:52">
      <c r="B362" s="437"/>
      <c r="C362" s="437"/>
      <c r="D362" s="437"/>
      <c r="G362" s="437"/>
      <c r="H362" s="437"/>
      <c r="I362" s="437"/>
      <c r="J362" s="437"/>
      <c r="K362" s="437"/>
      <c r="L362" s="437"/>
      <c r="M362" s="437"/>
      <c r="N362" s="437"/>
      <c r="O362" s="437"/>
      <c r="P362" s="437"/>
      <c r="Q362" s="437"/>
      <c r="R362" s="437"/>
      <c r="S362" s="437"/>
      <c r="T362" s="437"/>
      <c r="U362" s="437"/>
      <c r="V362" s="437"/>
      <c r="W362" s="437"/>
      <c r="X362" s="437"/>
      <c r="Y362" s="437"/>
      <c r="Z362" s="437"/>
      <c r="AA362" s="437"/>
      <c r="AB362" s="437"/>
      <c r="AC362" s="437"/>
      <c r="AD362" s="437"/>
      <c r="AE362" s="437"/>
      <c r="AF362" s="437"/>
      <c r="AG362" s="437"/>
      <c r="AH362" s="437"/>
      <c r="AI362" s="437"/>
      <c r="AJ362" s="437"/>
      <c r="AK362" s="437"/>
      <c r="AL362" s="437"/>
      <c r="AM362" s="437"/>
      <c r="AN362" s="437"/>
      <c r="AO362" s="437"/>
      <c r="AP362" s="437"/>
      <c r="AQ362" s="437"/>
      <c r="AR362" s="437"/>
      <c r="AS362" s="437"/>
      <c r="AT362" s="437"/>
      <c r="AU362" s="437"/>
      <c r="AV362" s="437"/>
      <c r="AW362" s="437"/>
      <c r="AX362" s="437"/>
      <c r="AY362" s="437"/>
      <c r="AZ362" s="437"/>
    </row>
    <row r="363" spans="2:52">
      <c r="B363" s="437"/>
      <c r="C363" s="437"/>
      <c r="D363" s="437"/>
      <c r="G363" s="437"/>
      <c r="H363" s="437"/>
      <c r="I363" s="437"/>
      <c r="J363" s="437"/>
      <c r="K363" s="437"/>
      <c r="L363" s="437"/>
      <c r="M363" s="437"/>
      <c r="N363" s="437"/>
      <c r="O363" s="437"/>
      <c r="P363" s="437"/>
      <c r="Q363" s="437"/>
      <c r="R363" s="437"/>
      <c r="S363" s="437"/>
      <c r="T363" s="437"/>
      <c r="U363" s="437"/>
      <c r="V363" s="437"/>
      <c r="W363" s="437"/>
      <c r="X363" s="437"/>
      <c r="Y363" s="437"/>
      <c r="Z363" s="437"/>
      <c r="AA363" s="437"/>
      <c r="AB363" s="437"/>
      <c r="AC363" s="437"/>
      <c r="AD363" s="437"/>
      <c r="AE363" s="437"/>
      <c r="AF363" s="437"/>
      <c r="AG363" s="437"/>
      <c r="AH363" s="437"/>
      <c r="AI363" s="437"/>
      <c r="AJ363" s="437"/>
      <c r="AK363" s="437"/>
      <c r="AL363" s="437"/>
      <c r="AM363" s="437"/>
      <c r="AN363" s="437"/>
      <c r="AO363" s="437"/>
      <c r="AP363" s="437"/>
      <c r="AQ363" s="437"/>
      <c r="AR363" s="437"/>
      <c r="AS363" s="437"/>
      <c r="AT363" s="437"/>
      <c r="AU363" s="437"/>
      <c r="AV363" s="437"/>
      <c r="AW363" s="437"/>
      <c r="AX363" s="437"/>
      <c r="AY363" s="437"/>
      <c r="AZ363" s="437"/>
    </row>
    <row r="364" spans="2:52">
      <c r="B364" s="437"/>
      <c r="C364" s="437"/>
      <c r="D364" s="437"/>
      <c r="G364" s="437"/>
      <c r="H364" s="437"/>
      <c r="I364" s="437"/>
      <c r="J364" s="437"/>
      <c r="K364" s="437"/>
      <c r="L364" s="437"/>
      <c r="M364" s="437"/>
      <c r="N364" s="437"/>
      <c r="O364" s="437"/>
      <c r="P364" s="437"/>
      <c r="Q364" s="437"/>
      <c r="R364" s="437"/>
      <c r="S364" s="437"/>
      <c r="T364" s="437"/>
      <c r="U364" s="437"/>
      <c r="V364" s="437"/>
      <c r="W364" s="437"/>
      <c r="X364" s="437"/>
      <c r="Y364" s="437"/>
      <c r="Z364" s="437"/>
      <c r="AA364" s="437"/>
      <c r="AB364" s="437"/>
      <c r="AC364" s="437"/>
      <c r="AD364" s="437"/>
      <c r="AE364" s="437"/>
      <c r="AF364" s="437"/>
      <c r="AG364" s="437"/>
      <c r="AH364" s="437"/>
      <c r="AI364" s="437"/>
      <c r="AJ364" s="437"/>
      <c r="AK364" s="437"/>
      <c r="AL364" s="437"/>
      <c r="AM364" s="437"/>
      <c r="AN364" s="437"/>
      <c r="AO364" s="437"/>
      <c r="AP364" s="437"/>
      <c r="AQ364" s="437"/>
      <c r="AR364" s="437"/>
      <c r="AS364" s="437"/>
      <c r="AT364" s="437"/>
      <c r="AU364" s="437"/>
      <c r="AV364" s="437"/>
      <c r="AW364" s="437"/>
      <c r="AX364" s="437"/>
      <c r="AY364" s="437"/>
      <c r="AZ364" s="437"/>
    </row>
    <row r="365" spans="2:52">
      <c r="B365" s="437"/>
      <c r="C365" s="437"/>
      <c r="D365" s="437"/>
      <c r="G365" s="437"/>
      <c r="H365" s="437"/>
      <c r="I365" s="437"/>
      <c r="J365" s="437"/>
      <c r="K365" s="437"/>
      <c r="L365" s="437"/>
      <c r="M365" s="437"/>
      <c r="N365" s="437"/>
      <c r="O365" s="437"/>
      <c r="P365" s="437"/>
      <c r="Q365" s="437"/>
      <c r="R365" s="437"/>
      <c r="S365" s="437"/>
      <c r="T365" s="437"/>
      <c r="U365" s="437"/>
      <c r="V365" s="437"/>
      <c r="W365" s="437"/>
      <c r="X365" s="437"/>
      <c r="Y365" s="437"/>
      <c r="Z365" s="437"/>
      <c r="AA365" s="437"/>
      <c r="AB365" s="437"/>
      <c r="AC365" s="437"/>
      <c r="AD365" s="437"/>
      <c r="AE365" s="437"/>
      <c r="AF365" s="437"/>
      <c r="AG365" s="437"/>
      <c r="AH365" s="437"/>
      <c r="AI365" s="437"/>
      <c r="AJ365" s="437"/>
      <c r="AK365" s="437"/>
      <c r="AL365" s="437"/>
      <c r="AM365" s="437"/>
      <c r="AN365" s="437"/>
      <c r="AO365" s="437"/>
      <c r="AP365" s="437"/>
      <c r="AQ365" s="437"/>
      <c r="AR365" s="437"/>
      <c r="AS365" s="437"/>
      <c r="AT365" s="437"/>
      <c r="AU365" s="437"/>
      <c r="AV365" s="437"/>
      <c r="AW365" s="437"/>
      <c r="AX365" s="437"/>
      <c r="AY365" s="437"/>
      <c r="AZ365" s="437"/>
    </row>
    <row r="366" spans="2:52">
      <c r="B366" s="437"/>
      <c r="C366" s="437"/>
      <c r="D366" s="437"/>
      <c r="G366" s="437"/>
      <c r="H366" s="437"/>
      <c r="I366" s="437"/>
      <c r="J366" s="437"/>
      <c r="K366" s="437"/>
      <c r="L366" s="437"/>
      <c r="M366" s="437"/>
      <c r="N366" s="437"/>
      <c r="O366" s="437"/>
      <c r="P366" s="437"/>
      <c r="Q366" s="437"/>
      <c r="R366" s="437"/>
      <c r="S366" s="437"/>
      <c r="T366" s="437"/>
      <c r="U366" s="437"/>
      <c r="V366" s="437"/>
      <c r="W366" s="437"/>
      <c r="X366" s="437"/>
      <c r="Y366" s="437"/>
      <c r="Z366" s="437"/>
      <c r="AA366" s="437"/>
      <c r="AB366" s="437"/>
      <c r="AC366" s="437"/>
      <c r="AD366" s="437"/>
      <c r="AE366" s="437"/>
      <c r="AF366" s="437"/>
      <c r="AG366" s="437"/>
      <c r="AH366" s="437"/>
      <c r="AI366" s="437"/>
      <c r="AJ366" s="437"/>
      <c r="AK366" s="437"/>
      <c r="AL366" s="437"/>
      <c r="AM366" s="437"/>
      <c r="AN366" s="437"/>
      <c r="AO366" s="437"/>
      <c r="AP366" s="437"/>
      <c r="AQ366" s="437"/>
      <c r="AR366" s="437"/>
      <c r="AS366" s="437"/>
      <c r="AT366" s="437"/>
      <c r="AU366" s="437"/>
      <c r="AV366" s="437"/>
      <c r="AW366" s="437"/>
      <c r="AX366" s="437"/>
      <c r="AY366" s="437"/>
      <c r="AZ366" s="437"/>
    </row>
    <row r="367" spans="2:52">
      <c r="B367" s="437"/>
      <c r="C367" s="437"/>
      <c r="D367" s="437"/>
      <c r="G367" s="437"/>
      <c r="H367" s="437"/>
      <c r="I367" s="437"/>
      <c r="J367" s="437"/>
      <c r="K367" s="437"/>
      <c r="L367" s="437"/>
      <c r="M367" s="437"/>
      <c r="N367" s="437"/>
      <c r="O367" s="437"/>
      <c r="P367" s="437"/>
      <c r="Q367" s="437"/>
      <c r="R367" s="437"/>
      <c r="S367" s="437"/>
      <c r="T367" s="437"/>
      <c r="U367" s="437"/>
      <c r="V367" s="437"/>
      <c r="W367" s="437"/>
      <c r="X367" s="437"/>
      <c r="Y367" s="437"/>
      <c r="Z367" s="437"/>
      <c r="AA367" s="437"/>
      <c r="AB367" s="437"/>
      <c r="AC367" s="437"/>
      <c r="AD367" s="437"/>
      <c r="AE367" s="437"/>
      <c r="AF367" s="437"/>
      <c r="AG367" s="437"/>
      <c r="AH367" s="437"/>
      <c r="AI367" s="437"/>
      <c r="AJ367" s="437"/>
      <c r="AK367" s="437"/>
      <c r="AL367" s="437"/>
      <c r="AM367" s="437"/>
      <c r="AN367" s="437"/>
      <c r="AO367" s="437"/>
      <c r="AP367" s="437"/>
      <c r="AQ367" s="437"/>
      <c r="AR367" s="437"/>
      <c r="AS367" s="437"/>
      <c r="AT367" s="437"/>
      <c r="AU367" s="437"/>
      <c r="AV367" s="437"/>
      <c r="AW367" s="437"/>
      <c r="AX367" s="437"/>
      <c r="AY367" s="437"/>
      <c r="AZ367" s="437"/>
    </row>
    <row r="368" spans="2:52">
      <c r="B368" s="437"/>
      <c r="C368" s="437"/>
      <c r="D368" s="437"/>
      <c r="G368" s="437"/>
      <c r="H368" s="437"/>
      <c r="I368" s="437"/>
      <c r="J368" s="437"/>
      <c r="K368" s="437"/>
      <c r="L368" s="437"/>
      <c r="M368" s="437"/>
      <c r="N368" s="437"/>
      <c r="O368" s="437"/>
      <c r="P368" s="437"/>
      <c r="Q368" s="437"/>
      <c r="R368" s="437"/>
      <c r="S368" s="437"/>
      <c r="T368" s="437"/>
      <c r="U368" s="437"/>
      <c r="V368" s="437"/>
      <c r="W368" s="437"/>
      <c r="X368" s="437"/>
      <c r="Y368" s="437"/>
      <c r="Z368" s="437"/>
      <c r="AA368" s="437"/>
      <c r="AB368" s="437"/>
      <c r="AC368" s="437"/>
      <c r="AD368" s="437"/>
      <c r="AE368" s="437"/>
      <c r="AF368" s="437"/>
      <c r="AG368" s="437"/>
      <c r="AH368" s="437"/>
      <c r="AI368" s="437"/>
      <c r="AJ368" s="437"/>
      <c r="AK368" s="437"/>
      <c r="AL368" s="437"/>
      <c r="AM368" s="437"/>
      <c r="AN368" s="437"/>
      <c r="AO368" s="437"/>
      <c r="AP368" s="437"/>
      <c r="AQ368" s="437"/>
      <c r="AR368" s="437"/>
      <c r="AS368" s="437"/>
      <c r="AT368" s="437"/>
      <c r="AU368" s="437"/>
      <c r="AV368" s="437"/>
      <c r="AW368" s="437"/>
      <c r="AX368" s="437"/>
      <c r="AY368" s="437"/>
      <c r="AZ368" s="437"/>
    </row>
    <row r="369" spans="2:52">
      <c r="B369" s="437"/>
      <c r="C369" s="437"/>
      <c r="D369" s="437"/>
      <c r="G369" s="437"/>
      <c r="H369" s="437"/>
      <c r="I369" s="437"/>
      <c r="J369" s="437"/>
      <c r="K369" s="437"/>
      <c r="L369" s="437"/>
      <c r="M369" s="437"/>
      <c r="N369" s="437"/>
      <c r="O369" s="437"/>
      <c r="P369" s="437"/>
      <c r="Q369" s="437"/>
      <c r="R369" s="437"/>
      <c r="S369" s="437"/>
      <c r="T369" s="437"/>
      <c r="U369" s="437"/>
      <c r="V369" s="437"/>
      <c r="W369" s="437"/>
      <c r="X369" s="437"/>
      <c r="Y369" s="437"/>
      <c r="Z369" s="437"/>
      <c r="AA369" s="437"/>
      <c r="AB369" s="437"/>
      <c r="AC369" s="437"/>
      <c r="AD369" s="437"/>
      <c r="AE369" s="437"/>
      <c r="AF369" s="437"/>
      <c r="AG369" s="437"/>
      <c r="AH369" s="437"/>
      <c r="AI369" s="437"/>
      <c r="AJ369" s="437"/>
      <c r="AK369" s="437"/>
      <c r="AL369" s="437"/>
      <c r="AM369" s="437"/>
      <c r="AN369" s="437"/>
      <c r="AO369" s="437"/>
      <c r="AP369" s="437"/>
      <c r="AQ369" s="437"/>
      <c r="AR369" s="437"/>
      <c r="AS369" s="437"/>
      <c r="AT369" s="437"/>
      <c r="AU369" s="437"/>
      <c r="AV369" s="437"/>
      <c r="AW369" s="437"/>
      <c r="AX369" s="437"/>
      <c r="AY369" s="437"/>
      <c r="AZ369" s="437"/>
    </row>
    <row r="370" spans="2:52">
      <c r="B370" s="437"/>
      <c r="C370" s="437"/>
      <c r="D370" s="437"/>
      <c r="G370" s="437"/>
      <c r="H370" s="437"/>
      <c r="I370" s="437"/>
      <c r="J370" s="437"/>
      <c r="K370" s="437"/>
      <c r="L370" s="437"/>
      <c r="M370" s="437"/>
      <c r="N370" s="437"/>
      <c r="O370" s="437"/>
      <c r="P370" s="437"/>
      <c r="Q370" s="437"/>
      <c r="R370" s="437"/>
      <c r="S370" s="437"/>
      <c r="T370" s="437"/>
      <c r="U370" s="437"/>
      <c r="V370" s="437"/>
      <c r="W370" s="437"/>
      <c r="X370" s="437"/>
      <c r="Y370" s="437"/>
      <c r="Z370" s="437"/>
      <c r="AA370" s="437"/>
      <c r="AB370" s="437"/>
      <c r="AC370" s="437"/>
      <c r="AD370" s="437"/>
      <c r="AE370" s="437"/>
      <c r="AF370" s="437"/>
      <c r="AG370" s="437"/>
      <c r="AH370" s="437"/>
      <c r="AI370" s="437"/>
      <c r="AJ370" s="437"/>
      <c r="AK370" s="437"/>
      <c r="AL370" s="437"/>
      <c r="AM370" s="437"/>
      <c r="AN370" s="437"/>
      <c r="AO370" s="437"/>
      <c r="AP370" s="437"/>
      <c r="AQ370" s="437"/>
      <c r="AR370" s="437"/>
      <c r="AS370" s="437"/>
      <c r="AT370" s="437"/>
      <c r="AU370" s="437"/>
      <c r="AV370" s="437"/>
      <c r="AW370" s="437"/>
      <c r="AX370" s="437"/>
      <c r="AY370" s="437"/>
      <c r="AZ370" s="437"/>
    </row>
    <row r="371" spans="2:52">
      <c r="B371" s="437"/>
      <c r="C371" s="437"/>
      <c r="D371" s="437"/>
      <c r="G371" s="437"/>
      <c r="H371" s="437"/>
      <c r="I371" s="437"/>
      <c r="J371" s="437"/>
      <c r="K371" s="437"/>
      <c r="L371" s="437"/>
      <c r="M371" s="437"/>
      <c r="N371" s="437"/>
      <c r="O371" s="437"/>
      <c r="P371" s="437"/>
      <c r="Q371" s="437"/>
      <c r="R371" s="437"/>
      <c r="S371" s="437"/>
      <c r="T371" s="437"/>
      <c r="U371" s="437"/>
      <c r="V371" s="437"/>
      <c r="W371" s="437"/>
      <c r="X371" s="437"/>
      <c r="Y371" s="437"/>
      <c r="Z371" s="437"/>
      <c r="AA371" s="437"/>
      <c r="AB371" s="437"/>
      <c r="AC371" s="437"/>
      <c r="AD371" s="437"/>
      <c r="AE371" s="437"/>
      <c r="AF371" s="437"/>
      <c r="AG371" s="437"/>
      <c r="AH371" s="437"/>
      <c r="AI371" s="437"/>
      <c r="AJ371" s="437"/>
      <c r="AK371" s="437"/>
      <c r="AL371" s="437"/>
      <c r="AM371" s="437"/>
      <c r="AN371" s="437"/>
      <c r="AO371" s="437"/>
      <c r="AP371" s="437"/>
      <c r="AQ371" s="437"/>
      <c r="AR371" s="437"/>
      <c r="AS371" s="437"/>
      <c r="AT371" s="437"/>
      <c r="AU371" s="437"/>
      <c r="AV371" s="437"/>
      <c r="AW371" s="437"/>
      <c r="AX371" s="437"/>
      <c r="AY371" s="437"/>
      <c r="AZ371" s="437"/>
    </row>
    <row r="372" spans="2:52">
      <c r="B372" s="437"/>
      <c r="C372" s="437"/>
      <c r="D372" s="437"/>
      <c r="G372" s="437"/>
      <c r="H372" s="437"/>
      <c r="I372" s="437"/>
      <c r="J372" s="437"/>
      <c r="K372" s="437"/>
      <c r="L372" s="437"/>
      <c r="M372" s="437"/>
      <c r="N372" s="437"/>
      <c r="O372" s="437"/>
      <c r="P372" s="437"/>
      <c r="Q372" s="437"/>
      <c r="R372" s="437"/>
      <c r="S372" s="437"/>
      <c r="T372" s="437"/>
      <c r="U372" s="437"/>
      <c r="V372" s="437"/>
      <c r="W372" s="437"/>
      <c r="X372" s="437"/>
      <c r="Y372" s="437"/>
      <c r="Z372" s="437"/>
      <c r="AA372" s="437"/>
      <c r="AB372" s="437"/>
      <c r="AC372" s="437"/>
      <c r="AD372" s="437"/>
      <c r="AE372" s="437"/>
      <c r="AF372" s="437"/>
      <c r="AG372" s="437"/>
      <c r="AH372" s="437"/>
      <c r="AI372" s="437"/>
      <c r="AJ372" s="437"/>
      <c r="AK372" s="437"/>
      <c r="AL372" s="437"/>
      <c r="AM372" s="437"/>
      <c r="AN372" s="437"/>
      <c r="AO372" s="437"/>
      <c r="AP372" s="437"/>
      <c r="AQ372" s="437"/>
      <c r="AR372" s="437"/>
      <c r="AS372" s="437"/>
      <c r="AT372" s="437"/>
      <c r="AU372" s="437"/>
      <c r="AV372" s="437"/>
      <c r="AW372" s="437"/>
      <c r="AX372" s="437"/>
      <c r="AY372" s="437"/>
      <c r="AZ372" s="437"/>
    </row>
    <row r="373" spans="2:52">
      <c r="B373" s="437"/>
      <c r="C373" s="437"/>
      <c r="D373" s="437"/>
      <c r="G373" s="437"/>
      <c r="H373" s="437"/>
      <c r="I373" s="437"/>
      <c r="J373" s="437"/>
      <c r="K373" s="437"/>
      <c r="L373" s="437"/>
      <c r="M373" s="437"/>
      <c r="N373" s="437"/>
      <c r="O373" s="437"/>
      <c r="P373" s="437"/>
      <c r="Q373" s="437"/>
      <c r="R373" s="437"/>
      <c r="S373" s="437"/>
      <c r="T373" s="437"/>
      <c r="U373" s="437"/>
      <c r="V373" s="437"/>
      <c r="W373" s="437"/>
      <c r="X373" s="437"/>
      <c r="Y373" s="437"/>
      <c r="Z373" s="437"/>
      <c r="AA373" s="437"/>
      <c r="AB373" s="437"/>
      <c r="AC373" s="437"/>
      <c r="AD373" s="437"/>
      <c r="AE373" s="437"/>
      <c r="AF373" s="437"/>
      <c r="AG373" s="437"/>
      <c r="AH373" s="437"/>
      <c r="AI373" s="437"/>
      <c r="AJ373" s="437"/>
      <c r="AK373" s="437"/>
      <c r="AL373" s="437"/>
      <c r="AM373" s="437"/>
      <c r="AN373" s="437"/>
      <c r="AO373" s="437"/>
      <c r="AP373" s="437"/>
      <c r="AQ373" s="437"/>
      <c r="AR373" s="437"/>
      <c r="AS373" s="437"/>
      <c r="AT373" s="437"/>
      <c r="AU373" s="437"/>
      <c r="AV373" s="437"/>
      <c r="AW373" s="437"/>
      <c r="AX373" s="437"/>
      <c r="AY373" s="437"/>
      <c r="AZ373" s="437"/>
    </row>
    <row r="374" spans="2:52">
      <c r="B374" s="437"/>
      <c r="C374" s="437"/>
      <c r="D374" s="437"/>
      <c r="G374" s="437"/>
      <c r="H374" s="437"/>
      <c r="I374" s="437"/>
      <c r="J374" s="437"/>
      <c r="K374" s="437"/>
      <c r="L374" s="437"/>
      <c r="M374" s="437"/>
      <c r="N374" s="437"/>
      <c r="O374" s="437"/>
      <c r="P374" s="437"/>
      <c r="Q374" s="437"/>
      <c r="R374" s="437"/>
      <c r="S374" s="437"/>
      <c r="T374" s="437"/>
      <c r="U374" s="437"/>
      <c r="V374" s="437"/>
      <c r="W374" s="437"/>
      <c r="X374" s="437"/>
      <c r="Y374" s="437"/>
      <c r="Z374" s="437"/>
      <c r="AA374" s="437"/>
      <c r="AB374" s="437"/>
      <c r="AC374" s="437"/>
      <c r="AD374" s="437"/>
      <c r="AE374" s="437"/>
      <c r="AF374" s="437"/>
      <c r="AG374" s="437"/>
      <c r="AH374" s="437"/>
      <c r="AI374" s="437"/>
      <c r="AJ374" s="437"/>
      <c r="AK374" s="437"/>
      <c r="AL374" s="437"/>
      <c r="AM374" s="437"/>
      <c r="AN374" s="437"/>
      <c r="AO374" s="437"/>
      <c r="AP374" s="437"/>
      <c r="AQ374" s="437"/>
      <c r="AR374" s="437"/>
      <c r="AS374" s="437"/>
      <c r="AT374" s="437"/>
      <c r="AU374" s="437"/>
      <c r="AV374" s="437"/>
      <c r="AW374" s="437"/>
      <c r="AX374" s="437"/>
      <c r="AY374" s="437"/>
      <c r="AZ374" s="437"/>
    </row>
    <row r="375" spans="2:52">
      <c r="B375" s="437"/>
      <c r="C375" s="437"/>
      <c r="D375" s="437"/>
      <c r="G375" s="437"/>
      <c r="H375" s="437"/>
      <c r="I375" s="437"/>
      <c r="J375" s="437"/>
      <c r="K375" s="437"/>
      <c r="L375" s="437"/>
      <c r="M375" s="437"/>
      <c r="N375" s="437"/>
      <c r="O375" s="437"/>
      <c r="P375" s="437"/>
      <c r="Q375" s="437"/>
      <c r="R375" s="437"/>
      <c r="S375" s="437"/>
      <c r="T375" s="437"/>
      <c r="U375" s="437"/>
      <c r="V375" s="437"/>
      <c r="W375" s="437"/>
      <c r="X375" s="437"/>
      <c r="Y375" s="437"/>
      <c r="Z375" s="437"/>
      <c r="AA375" s="437"/>
      <c r="AB375" s="437"/>
      <c r="AC375" s="437"/>
      <c r="AD375" s="437"/>
      <c r="AE375" s="437"/>
      <c r="AF375" s="437"/>
      <c r="AG375" s="437"/>
      <c r="AH375" s="437"/>
      <c r="AI375" s="437"/>
      <c r="AJ375" s="437"/>
      <c r="AK375" s="437"/>
      <c r="AL375" s="437"/>
      <c r="AM375" s="437"/>
      <c r="AN375" s="437"/>
      <c r="AO375" s="437"/>
      <c r="AP375" s="437"/>
      <c r="AQ375" s="437"/>
      <c r="AR375" s="437"/>
      <c r="AS375" s="437"/>
      <c r="AT375" s="437"/>
      <c r="AU375" s="437"/>
      <c r="AV375" s="437"/>
      <c r="AW375" s="437"/>
      <c r="AX375" s="437"/>
      <c r="AY375" s="437"/>
      <c r="AZ375" s="437"/>
    </row>
    <row r="376" spans="2:52">
      <c r="B376" s="437"/>
      <c r="C376" s="437"/>
      <c r="D376" s="437"/>
      <c r="G376" s="437"/>
      <c r="H376" s="437"/>
      <c r="I376" s="437"/>
      <c r="J376" s="437"/>
      <c r="K376" s="437"/>
      <c r="L376" s="437"/>
      <c r="M376" s="437"/>
      <c r="N376" s="437"/>
      <c r="O376" s="437"/>
      <c r="P376" s="437"/>
      <c r="Q376" s="437"/>
      <c r="R376" s="437"/>
      <c r="S376" s="437"/>
      <c r="T376" s="437"/>
      <c r="U376" s="437"/>
      <c r="V376" s="437"/>
      <c r="W376" s="437"/>
      <c r="X376" s="437"/>
      <c r="Y376" s="437"/>
      <c r="Z376" s="437"/>
      <c r="AA376" s="437"/>
      <c r="AB376" s="437"/>
      <c r="AC376" s="437"/>
      <c r="AD376" s="437"/>
      <c r="AE376" s="437"/>
      <c r="AF376" s="437"/>
      <c r="AG376" s="437"/>
      <c r="AH376" s="437"/>
      <c r="AI376" s="437"/>
      <c r="AJ376" s="437"/>
      <c r="AK376" s="437"/>
      <c r="AL376" s="437"/>
      <c r="AM376" s="437"/>
      <c r="AN376" s="437"/>
      <c r="AO376" s="437"/>
      <c r="AP376" s="437"/>
      <c r="AQ376" s="437"/>
      <c r="AR376" s="437"/>
      <c r="AS376" s="437"/>
      <c r="AT376" s="437"/>
      <c r="AU376" s="437"/>
      <c r="AV376" s="437"/>
      <c r="AW376" s="437"/>
      <c r="AX376" s="437"/>
      <c r="AY376" s="437"/>
      <c r="AZ376" s="437"/>
    </row>
    <row r="377" spans="2:52">
      <c r="B377" s="437"/>
      <c r="C377" s="437"/>
      <c r="D377" s="437"/>
      <c r="G377" s="437"/>
      <c r="H377" s="437"/>
      <c r="I377" s="437"/>
      <c r="J377" s="437"/>
      <c r="K377" s="437"/>
      <c r="L377" s="437"/>
      <c r="M377" s="437"/>
      <c r="N377" s="437"/>
      <c r="O377" s="437"/>
      <c r="P377" s="437"/>
      <c r="Q377" s="437"/>
      <c r="R377" s="437"/>
      <c r="S377" s="437"/>
      <c r="T377" s="437"/>
      <c r="U377" s="437"/>
      <c r="V377" s="437"/>
      <c r="W377" s="437"/>
      <c r="X377" s="437"/>
      <c r="Y377" s="437"/>
      <c r="Z377" s="437"/>
      <c r="AA377" s="437"/>
      <c r="AB377" s="437"/>
      <c r="AC377" s="437"/>
      <c r="AD377" s="437"/>
      <c r="AE377" s="437"/>
      <c r="AF377" s="437"/>
      <c r="AG377" s="437"/>
      <c r="AH377" s="437"/>
      <c r="AI377" s="437"/>
      <c r="AJ377" s="437"/>
      <c r="AK377" s="437"/>
      <c r="AL377" s="437"/>
      <c r="AM377" s="437"/>
      <c r="AN377" s="437"/>
      <c r="AO377" s="437"/>
      <c r="AP377" s="437"/>
      <c r="AQ377" s="437"/>
      <c r="AR377" s="437"/>
      <c r="AS377" s="437"/>
      <c r="AT377" s="437"/>
      <c r="AU377" s="437"/>
      <c r="AV377" s="437"/>
      <c r="AW377" s="437"/>
      <c r="AX377" s="437"/>
      <c r="AY377" s="437"/>
      <c r="AZ377" s="437"/>
    </row>
    <row r="378" spans="2:52">
      <c r="B378" s="437"/>
      <c r="C378" s="437"/>
      <c r="D378" s="437"/>
      <c r="G378" s="437"/>
      <c r="H378" s="437"/>
      <c r="I378" s="437"/>
      <c r="J378" s="437"/>
      <c r="K378" s="437"/>
      <c r="L378" s="437"/>
      <c r="M378" s="437"/>
      <c r="N378" s="437"/>
      <c r="O378" s="437"/>
      <c r="P378" s="437"/>
      <c r="Q378" s="437"/>
      <c r="R378" s="437"/>
      <c r="S378" s="437"/>
      <c r="T378" s="437"/>
      <c r="U378" s="437"/>
      <c r="V378" s="437"/>
      <c r="W378" s="437"/>
      <c r="X378" s="437"/>
      <c r="Y378" s="437"/>
      <c r="Z378" s="437"/>
      <c r="AA378" s="437"/>
      <c r="AB378" s="437"/>
      <c r="AC378" s="437"/>
      <c r="AD378" s="437"/>
      <c r="AE378" s="437"/>
      <c r="AF378" s="437"/>
      <c r="AG378" s="437"/>
      <c r="AH378" s="437"/>
      <c r="AI378" s="437"/>
      <c r="AJ378" s="437"/>
      <c r="AK378" s="437"/>
      <c r="AL378" s="437"/>
      <c r="AM378" s="437"/>
      <c r="AN378" s="437"/>
      <c r="AO378" s="437"/>
      <c r="AP378" s="437"/>
      <c r="AQ378" s="437"/>
      <c r="AR378" s="437"/>
      <c r="AS378" s="437"/>
      <c r="AT378" s="437"/>
      <c r="AU378" s="437"/>
      <c r="AV378" s="437"/>
      <c r="AW378" s="437"/>
      <c r="AX378" s="437"/>
      <c r="AY378" s="437"/>
      <c r="AZ378" s="437"/>
    </row>
    <row r="379" spans="2:52">
      <c r="B379" s="437"/>
      <c r="C379" s="437"/>
      <c r="D379" s="437"/>
      <c r="G379" s="437"/>
      <c r="H379" s="437"/>
      <c r="I379" s="437"/>
      <c r="J379" s="437"/>
      <c r="K379" s="437"/>
      <c r="L379" s="437"/>
      <c r="M379" s="437"/>
      <c r="N379" s="437"/>
      <c r="O379" s="437"/>
      <c r="P379" s="437"/>
      <c r="Q379" s="437"/>
      <c r="R379" s="437"/>
      <c r="S379" s="437"/>
      <c r="T379" s="437"/>
      <c r="U379" s="437"/>
      <c r="V379" s="437"/>
      <c r="W379" s="437"/>
      <c r="X379" s="437"/>
      <c r="Y379" s="437"/>
      <c r="Z379" s="437"/>
      <c r="AA379" s="437"/>
      <c r="AB379" s="437"/>
      <c r="AC379" s="437"/>
      <c r="AD379" s="437"/>
      <c r="AE379" s="437"/>
      <c r="AF379" s="437"/>
      <c r="AG379" s="437"/>
      <c r="AH379" s="437"/>
      <c r="AI379" s="437"/>
      <c r="AJ379" s="437"/>
      <c r="AK379" s="437"/>
      <c r="AL379" s="437"/>
      <c r="AM379" s="437"/>
      <c r="AN379" s="437"/>
      <c r="AO379" s="437"/>
      <c r="AP379" s="437"/>
      <c r="AQ379" s="437"/>
      <c r="AR379" s="437"/>
      <c r="AS379" s="437"/>
      <c r="AT379" s="437"/>
      <c r="AU379" s="437"/>
      <c r="AV379" s="437"/>
      <c r="AW379" s="437"/>
      <c r="AX379" s="437"/>
      <c r="AY379" s="437"/>
      <c r="AZ379" s="437"/>
    </row>
    <row r="380" spans="2:52">
      <c r="B380" s="437"/>
      <c r="C380" s="437"/>
      <c r="D380" s="437"/>
      <c r="G380" s="437"/>
      <c r="H380" s="437"/>
      <c r="I380" s="437"/>
      <c r="J380" s="437"/>
      <c r="K380" s="437"/>
      <c r="L380" s="437"/>
      <c r="M380" s="437"/>
      <c r="N380" s="437"/>
      <c r="O380" s="437"/>
      <c r="P380" s="437"/>
      <c r="Q380" s="437"/>
      <c r="R380" s="437"/>
      <c r="S380" s="437"/>
      <c r="T380" s="437"/>
      <c r="U380" s="437"/>
      <c r="V380" s="437"/>
      <c r="W380" s="437"/>
      <c r="X380" s="437"/>
      <c r="Y380" s="437"/>
      <c r="Z380" s="437"/>
      <c r="AA380" s="437"/>
      <c r="AB380" s="437"/>
      <c r="AC380" s="437"/>
      <c r="AD380" s="437"/>
      <c r="AE380" s="437"/>
      <c r="AF380" s="437"/>
      <c r="AG380" s="437"/>
      <c r="AH380" s="437"/>
      <c r="AI380" s="437"/>
      <c r="AJ380" s="437"/>
      <c r="AK380" s="437"/>
      <c r="AL380" s="437"/>
      <c r="AM380" s="437"/>
      <c r="AN380" s="437"/>
      <c r="AO380" s="437"/>
      <c r="AP380" s="437"/>
      <c r="AQ380" s="437"/>
      <c r="AR380" s="437"/>
      <c r="AS380" s="437"/>
      <c r="AT380" s="437"/>
      <c r="AU380" s="437"/>
      <c r="AV380" s="437"/>
      <c r="AW380" s="437"/>
      <c r="AX380" s="437"/>
      <c r="AY380" s="437"/>
      <c r="AZ380" s="437"/>
    </row>
    <row r="381" spans="2:52">
      <c r="B381" s="437"/>
      <c r="C381" s="437"/>
      <c r="D381" s="437"/>
      <c r="G381" s="437"/>
      <c r="H381" s="437"/>
      <c r="I381" s="437"/>
      <c r="J381" s="437"/>
      <c r="K381" s="437"/>
      <c r="L381" s="437"/>
      <c r="M381" s="437"/>
      <c r="N381" s="437"/>
      <c r="O381" s="437"/>
      <c r="P381" s="437"/>
      <c r="Q381" s="437"/>
      <c r="R381" s="437"/>
      <c r="S381" s="437"/>
      <c r="T381" s="437"/>
      <c r="U381" s="437"/>
      <c r="V381" s="437"/>
      <c r="W381" s="437"/>
      <c r="X381" s="437"/>
      <c r="Y381" s="437"/>
      <c r="Z381" s="437"/>
      <c r="AA381" s="437"/>
      <c r="AB381" s="437"/>
      <c r="AC381" s="437"/>
      <c r="AD381" s="437"/>
      <c r="AE381" s="437"/>
      <c r="AF381" s="437"/>
      <c r="AG381" s="437"/>
      <c r="AH381" s="437"/>
      <c r="AI381" s="437"/>
      <c r="AJ381" s="437"/>
      <c r="AK381" s="437"/>
      <c r="AL381" s="437"/>
      <c r="AM381" s="437"/>
      <c r="AN381" s="437"/>
      <c r="AO381" s="437"/>
      <c r="AP381" s="437"/>
      <c r="AQ381" s="437"/>
      <c r="AR381" s="437"/>
      <c r="AS381" s="437"/>
      <c r="AT381" s="437"/>
      <c r="AU381" s="437"/>
      <c r="AV381" s="437"/>
      <c r="AW381" s="437"/>
      <c r="AX381" s="437"/>
      <c r="AY381" s="437"/>
      <c r="AZ381" s="437"/>
    </row>
    <row r="382" spans="2:52">
      <c r="B382" s="437"/>
      <c r="C382" s="437"/>
      <c r="D382" s="437"/>
      <c r="G382" s="437"/>
      <c r="H382" s="437"/>
      <c r="I382" s="437"/>
      <c r="J382" s="437"/>
      <c r="K382" s="437"/>
      <c r="L382" s="437"/>
      <c r="M382" s="437"/>
      <c r="N382" s="437"/>
      <c r="O382" s="437"/>
      <c r="P382" s="437"/>
      <c r="Q382" s="437"/>
      <c r="R382" s="437"/>
      <c r="S382" s="437"/>
      <c r="T382" s="437"/>
      <c r="U382" s="437"/>
      <c r="V382" s="437"/>
      <c r="W382" s="437"/>
      <c r="X382" s="437"/>
      <c r="Y382" s="437"/>
      <c r="Z382" s="437"/>
      <c r="AA382" s="437"/>
      <c r="AB382" s="437"/>
      <c r="AC382" s="437"/>
      <c r="AD382" s="437"/>
      <c r="AE382" s="437"/>
      <c r="AF382" s="437"/>
      <c r="AG382" s="437"/>
      <c r="AH382" s="437"/>
      <c r="AI382" s="437"/>
      <c r="AJ382" s="437"/>
      <c r="AK382" s="437"/>
      <c r="AL382" s="437"/>
      <c r="AM382" s="437"/>
      <c r="AN382" s="437"/>
      <c r="AO382" s="437"/>
      <c r="AP382" s="437"/>
      <c r="AQ382" s="437"/>
      <c r="AR382" s="437"/>
      <c r="AS382" s="437"/>
      <c r="AT382" s="437"/>
      <c r="AU382" s="437"/>
      <c r="AV382" s="437"/>
      <c r="AW382" s="437"/>
      <c r="AX382" s="437"/>
      <c r="AY382" s="437"/>
      <c r="AZ382" s="437"/>
    </row>
    <row r="383" spans="2:52">
      <c r="B383" s="437"/>
      <c r="C383" s="437"/>
      <c r="D383" s="437"/>
      <c r="G383" s="437"/>
      <c r="H383" s="437"/>
      <c r="I383" s="437"/>
      <c r="J383" s="437"/>
      <c r="K383" s="437"/>
      <c r="L383" s="437"/>
      <c r="M383" s="437"/>
      <c r="N383" s="437"/>
      <c r="O383" s="437"/>
      <c r="P383" s="437"/>
      <c r="Q383" s="437"/>
      <c r="R383" s="437"/>
      <c r="S383" s="437"/>
      <c r="T383" s="437"/>
      <c r="U383" s="437"/>
      <c r="V383" s="437"/>
      <c r="W383" s="437"/>
      <c r="X383" s="437"/>
      <c r="Y383" s="437"/>
      <c r="Z383" s="437"/>
      <c r="AA383" s="437"/>
      <c r="AB383" s="437"/>
      <c r="AC383" s="437"/>
      <c r="AD383" s="437"/>
      <c r="AE383" s="437"/>
      <c r="AF383" s="437"/>
      <c r="AG383" s="437"/>
      <c r="AH383" s="437"/>
      <c r="AI383" s="437"/>
      <c r="AJ383" s="437"/>
      <c r="AK383" s="437"/>
      <c r="AL383" s="437"/>
      <c r="AM383" s="437"/>
      <c r="AN383" s="437"/>
      <c r="AO383" s="437"/>
      <c r="AP383" s="437"/>
      <c r="AQ383" s="437"/>
      <c r="AR383" s="437"/>
      <c r="AS383" s="437"/>
      <c r="AT383" s="437"/>
      <c r="AU383" s="437"/>
      <c r="AV383" s="437"/>
      <c r="AW383" s="437"/>
      <c r="AX383" s="437"/>
      <c r="AY383" s="437"/>
      <c r="AZ383" s="437"/>
    </row>
    <row r="384" spans="2:52">
      <c r="B384" s="437"/>
      <c r="C384" s="437"/>
      <c r="D384" s="437"/>
      <c r="G384" s="437"/>
      <c r="H384" s="437"/>
      <c r="I384" s="437"/>
      <c r="J384" s="437"/>
      <c r="K384" s="437"/>
      <c r="L384" s="437"/>
      <c r="M384" s="437"/>
      <c r="N384" s="437"/>
      <c r="O384" s="437"/>
      <c r="P384" s="437"/>
      <c r="Q384" s="437"/>
      <c r="R384" s="437"/>
      <c r="S384" s="437"/>
      <c r="T384" s="437"/>
      <c r="U384" s="437"/>
      <c r="V384" s="437"/>
      <c r="W384" s="437"/>
      <c r="X384" s="437"/>
      <c r="Y384" s="437"/>
      <c r="Z384" s="437"/>
      <c r="AA384" s="437"/>
      <c r="AB384" s="437"/>
      <c r="AC384" s="437"/>
      <c r="AD384" s="437"/>
      <c r="AE384" s="437"/>
      <c r="AF384" s="437"/>
      <c r="AG384" s="437"/>
      <c r="AH384" s="437"/>
      <c r="AI384" s="437"/>
      <c r="AJ384" s="437"/>
      <c r="AK384" s="437"/>
      <c r="AL384" s="437"/>
      <c r="AM384" s="437"/>
      <c r="AN384" s="437"/>
      <c r="AO384" s="437"/>
      <c r="AP384" s="437"/>
      <c r="AQ384" s="437"/>
      <c r="AR384" s="437"/>
      <c r="AS384" s="437"/>
      <c r="AT384" s="437"/>
      <c r="AU384" s="437"/>
      <c r="AV384" s="437"/>
      <c r="AW384" s="437"/>
      <c r="AX384" s="437"/>
      <c r="AY384" s="437"/>
      <c r="AZ384" s="437"/>
    </row>
    <row r="385" spans="2:52">
      <c r="B385" s="437"/>
      <c r="C385" s="437"/>
      <c r="D385" s="437"/>
      <c r="G385" s="437"/>
      <c r="H385" s="437"/>
      <c r="I385" s="437"/>
      <c r="J385" s="437"/>
      <c r="K385" s="437"/>
      <c r="L385" s="437"/>
      <c r="M385" s="437"/>
      <c r="N385" s="437"/>
      <c r="O385" s="437"/>
      <c r="P385" s="437"/>
      <c r="Q385" s="437"/>
      <c r="R385" s="437"/>
      <c r="S385" s="437"/>
      <c r="T385" s="437"/>
      <c r="U385" s="437"/>
      <c r="V385" s="437"/>
      <c r="W385" s="437"/>
      <c r="X385" s="437"/>
      <c r="Y385" s="437"/>
      <c r="Z385" s="437"/>
      <c r="AA385" s="437"/>
      <c r="AB385" s="437"/>
      <c r="AC385" s="437"/>
      <c r="AD385" s="437"/>
      <c r="AE385" s="437"/>
      <c r="AF385" s="437"/>
      <c r="AG385" s="437"/>
      <c r="AH385" s="437"/>
      <c r="AI385" s="437"/>
      <c r="AJ385" s="437"/>
      <c r="AK385" s="437"/>
      <c r="AL385" s="437"/>
      <c r="AM385" s="437"/>
      <c r="AN385" s="437"/>
      <c r="AO385" s="437"/>
      <c r="AP385" s="437"/>
      <c r="AQ385" s="437"/>
      <c r="AR385" s="437"/>
      <c r="AS385" s="437"/>
      <c r="AT385" s="437"/>
      <c r="AU385" s="437"/>
      <c r="AV385" s="437"/>
      <c r="AW385" s="437"/>
      <c r="AX385" s="437"/>
      <c r="AY385" s="437"/>
      <c r="AZ385" s="437"/>
    </row>
    <row r="386" spans="2:52">
      <c r="B386" s="437"/>
      <c r="C386" s="437"/>
      <c r="D386" s="437"/>
      <c r="G386" s="437"/>
      <c r="H386" s="437"/>
      <c r="I386" s="437"/>
      <c r="J386" s="437"/>
      <c r="K386" s="437"/>
      <c r="L386" s="437"/>
      <c r="M386" s="437"/>
      <c r="N386" s="437"/>
      <c r="O386" s="437"/>
      <c r="P386" s="437"/>
      <c r="Q386" s="437"/>
      <c r="R386" s="437"/>
      <c r="S386" s="437"/>
      <c r="T386" s="437"/>
      <c r="U386" s="437"/>
      <c r="V386" s="437"/>
      <c r="W386" s="437"/>
      <c r="X386" s="437"/>
      <c r="Y386" s="437"/>
      <c r="Z386" s="437"/>
      <c r="AA386" s="437"/>
      <c r="AB386" s="437"/>
      <c r="AC386" s="437"/>
      <c r="AD386" s="437"/>
      <c r="AE386" s="437"/>
      <c r="AF386" s="437"/>
      <c r="AG386" s="437"/>
      <c r="AH386" s="437"/>
      <c r="AI386" s="437"/>
      <c r="AJ386" s="437"/>
      <c r="AK386" s="437"/>
      <c r="AL386" s="437"/>
      <c r="AM386" s="437"/>
      <c r="AN386" s="437"/>
      <c r="AO386" s="437"/>
      <c r="AP386" s="437"/>
      <c r="AQ386" s="437"/>
      <c r="AR386" s="437"/>
      <c r="AS386" s="437"/>
      <c r="AT386" s="437"/>
      <c r="AU386" s="437"/>
      <c r="AV386" s="437"/>
      <c r="AW386" s="437"/>
      <c r="AX386" s="437"/>
      <c r="AY386" s="437"/>
      <c r="AZ386" s="437"/>
    </row>
    <row r="387" spans="2:52">
      <c r="B387" s="437"/>
      <c r="C387" s="437"/>
      <c r="D387" s="437"/>
      <c r="G387" s="437"/>
      <c r="H387" s="437"/>
      <c r="I387" s="437"/>
      <c r="J387" s="437"/>
      <c r="K387" s="437"/>
      <c r="L387" s="437"/>
      <c r="M387" s="437"/>
      <c r="N387" s="437"/>
      <c r="O387" s="437"/>
      <c r="P387" s="437"/>
      <c r="Q387" s="437"/>
      <c r="R387" s="437"/>
      <c r="S387" s="437"/>
      <c r="T387" s="437"/>
      <c r="U387" s="437"/>
      <c r="V387" s="437"/>
      <c r="W387" s="437"/>
      <c r="X387" s="437"/>
      <c r="Y387" s="437"/>
      <c r="Z387" s="437"/>
      <c r="AA387" s="437"/>
      <c r="AB387" s="437"/>
      <c r="AC387" s="437"/>
      <c r="AD387" s="437"/>
      <c r="AE387" s="437"/>
      <c r="AF387" s="437"/>
      <c r="AG387" s="437"/>
      <c r="AH387" s="437"/>
      <c r="AI387" s="437"/>
      <c r="AJ387" s="437"/>
      <c r="AK387" s="437"/>
      <c r="AL387" s="437"/>
      <c r="AM387" s="437"/>
      <c r="AN387" s="437"/>
      <c r="AO387" s="437"/>
      <c r="AP387" s="437"/>
      <c r="AQ387" s="437"/>
      <c r="AR387" s="437"/>
      <c r="AS387" s="437"/>
      <c r="AT387" s="437"/>
      <c r="AU387" s="437"/>
      <c r="AV387" s="437"/>
      <c r="AW387" s="437"/>
      <c r="AX387" s="437"/>
      <c r="AY387" s="437"/>
      <c r="AZ387" s="437"/>
    </row>
    <row r="388" spans="2:52">
      <c r="B388" s="437"/>
      <c r="C388" s="437"/>
      <c r="D388" s="437"/>
      <c r="G388" s="437"/>
      <c r="H388" s="437"/>
      <c r="I388" s="437"/>
      <c r="J388" s="437"/>
      <c r="K388" s="437"/>
      <c r="L388" s="437"/>
      <c r="M388" s="437"/>
      <c r="N388" s="437"/>
      <c r="O388" s="437"/>
      <c r="P388" s="437"/>
      <c r="Q388" s="437"/>
      <c r="R388" s="437"/>
      <c r="S388" s="437"/>
      <c r="T388" s="437"/>
      <c r="U388" s="437"/>
      <c r="V388" s="437"/>
      <c r="W388" s="437"/>
      <c r="X388" s="437"/>
      <c r="Y388" s="437"/>
      <c r="Z388" s="437"/>
      <c r="AA388" s="437"/>
      <c r="AB388" s="437"/>
      <c r="AC388" s="437"/>
      <c r="AD388" s="437"/>
      <c r="AE388" s="437"/>
      <c r="AF388" s="437"/>
      <c r="AG388" s="437"/>
      <c r="AH388" s="437"/>
      <c r="AI388" s="437"/>
      <c r="AJ388" s="437"/>
      <c r="AK388" s="437"/>
      <c r="AL388" s="437"/>
      <c r="AM388" s="437"/>
      <c r="AN388" s="437"/>
      <c r="AO388" s="437"/>
      <c r="AP388" s="437"/>
      <c r="AQ388" s="437"/>
      <c r="AR388" s="437"/>
      <c r="AS388" s="437"/>
      <c r="AT388" s="437"/>
      <c r="AU388" s="437"/>
      <c r="AV388" s="437"/>
      <c r="AW388" s="437"/>
      <c r="AX388" s="437"/>
      <c r="AY388" s="437"/>
      <c r="AZ388" s="437"/>
    </row>
    <row r="389" spans="2:52">
      <c r="B389" s="437"/>
      <c r="C389" s="437"/>
      <c r="D389" s="437"/>
      <c r="G389" s="437"/>
      <c r="H389" s="437"/>
      <c r="I389" s="437"/>
      <c r="J389" s="437"/>
      <c r="K389" s="437"/>
      <c r="L389" s="437"/>
      <c r="M389" s="437"/>
      <c r="N389" s="437"/>
      <c r="O389" s="437"/>
      <c r="P389" s="437"/>
      <c r="Q389" s="437"/>
      <c r="R389" s="437"/>
      <c r="S389" s="437"/>
      <c r="T389" s="437"/>
      <c r="U389" s="437"/>
      <c r="V389" s="437"/>
      <c r="W389" s="437"/>
      <c r="X389" s="437"/>
      <c r="Y389" s="437"/>
      <c r="Z389" s="437"/>
      <c r="AA389" s="437"/>
      <c r="AB389" s="437"/>
      <c r="AC389" s="437"/>
      <c r="AD389" s="437"/>
      <c r="AE389" s="437"/>
      <c r="AF389" s="437"/>
      <c r="AG389" s="437"/>
      <c r="AH389" s="437"/>
      <c r="AI389" s="437"/>
      <c r="AJ389" s="437"/>
      <c r="AK389" s="437"/>
      <c r="AL389" s="437"/>
      <c r="AM389" s="437"/>
      <c r="AN389" s="437"/>
      <c r="AO389" s="437"/>
      <c r="AP389" s="437"/>
      <c r="AQ389" s="437"/>
      <c r="AR389" s="437"/>
      <c r="AS389" s="437"/>
      <c r="AT389" s="437"/>
      <c r="AU389" s="437"/>
      <c r="AV389" s="437"/>
      <c r="AW389" s="437"/>
      <c r="AX389" s="437"/>
      <c r="AY389" s="437"/>
      <c r="AZ389" s="437"/>
    </row>
    <row r="390" spans="2:52">
      <c r="B390" s="437"/>
      <c r="C390" s="437"/>
      <c r="D390" s="437"/>
      <c r="G390" s="437"/>
      <c r="H390" s="437"/>
      <c r="I390" s="437"/>
      <c r="J390" s="437"/>
      <c r="K390" s="437"/>
      <c r="L390" s="437"/>
      <c r="M390" s="437"/>
      <c r="N390" s="437"/>
      <c r="O390" s="437"/>
      <c r="P390" s="437"/>
      <c r="Q390" s="437"/>
      <c r="R390" s="437"/>
      <c r="S390" s="437"/>
      <c r="T390" s="437"/>
      <c r="U390" s="437"/>
      <c r="V390" s="437"/>
      <c r="W390" s="437"/>
      <c r="X390" s="437"/>
      <c r="Y390" s="437"/>
      <c r="Z390" s="437"/>
      <c r="AA390" s="437"/>
      <c r="AB390" s="437"/>
      <c r="AC390" s="437"/>
      <c r="AD390" s="437"/>
      <c r="AE390" s="437"/>
      <c r="AF390" s="437"/>
      <c r="AG390" s="437"/>
      <c r="AH390" s="437"/>
      <c r="AI390" s="437"/>
      <c r="AJ390" s="437"/>
      <c r="AK390" s="437"/>
      <c r="AL390" s="437"/>
      <c r="AM390" s="437"/>
      <c r="AN390" s="437"/>
      <c r="AO390" s="437"/>
      <c r="AP390" s="437"/>
      <c r="AQ390" s="437"/>
      <c r="AR390" s="437"/>
      <c r="AS390" s="437"/>
      <c r="AT390" s="437"/>
      <c r="AU390" s="437"/>
      <c r="AV390" s="437"/>
      <c r="AW390" s="437"/>
      <c r="AX390" s="437"/>
      <c r="AY390" s="437"/>
      <c r="AZ390" s="437"/>
    </row>
    <row r="391" spans="2:52">
      <c r="B391" s="437"/>
      <c r="C391" s="437"/>
      <c r="D391" s="437"/>
      <c r="G391" s="437"/>
      <c r="H391" s="437"/>
      <c r="I391" s="437"/>
      <c r="J391" s="437"/>
      <c r="K391" s="437"/>
      <c r="L391" s="437"/>
      <c r="M391" s="437"/>
      <c r="N391" s="437"/>
      <c r="O391" s="437"/>
      <c r="P391" s="437"/>
      <c r="Q391" s="437"/>
      <c r="R391" s="437"/>
      <c r="S391" s="437"/>
      <c r="T391" s="437"/>
      <c r="U391" s="437"/>
      <c r="V391" s="437"/>
      <c r="W391" s="437"/>
      <c r="X391" s="437"/>
      <c r="Y391" s="437"/>
      <c r="Z391" s="437"/>
      <c r="AA391" s="437"/>
      <c r="AB391" s="437"/>
      <c r="AC391" s="437"/>
      <c r="AD391" s="437"/>
      <c r="AE391" s="437"/>
      <c r="AF391" s="437"/>
      <c r="AG391" s="437"/>
      <c r="AH391" s="437"/>
      <c r="AI391" s="437"/>
      <c r="AJ391" s="437"/>
      <c r="AK391" s="437"/>
      <c r="AL391" s="437"/>
      <c r="AM391" s="437"/>
      <c r="AN391" s="437"/>
      <c r="AO391" s="437"/>
      <c r="AP391" s="437"/>
      <c r="AQ391" s="437"/>
      <c r="AR391" s="437"/>
      <c r="AS391" s="437"/>
      <c r="AT391" s="437"/>
      <c r="AU391" s="437"/>
      <c r="AV391" s="437"/>
      <c r="AW391" s="437"/>
      <c r="AX391" s="437"/>
      <c r="AY391" s="437"/>
      <c r="AZ391" s="437"/>
    </row>
    <row r="392" spans="2:52">
      <c r="B392" s="437"/>
      <c r="C392" s="437"/>
      <c r="D392" s="437"/>
      <c r="G392" s="437"/>
      <c r="H392" s="437"/>
      <c r="I392" s="437"/>
      <c r="J392" s="437"/>
      <c r="K392" s="437"/>
      <c r="L392" s="437"/>
      <c r="M392" s="437"/>
      <c r="N392" s="437"/>
      <c r="O392" s="437"/>
      <c r="P392" s="437"/>
      <c r="Q392" s="437"/>
      <c r="R392" s="437"/>
      <c r="S392" s="437"/>
      <c r="T392" s="437"/>
      <c r="U392" s="437"/>
      <c r="V392" s="437"/>
      <c r="W392" s="437"/>
      <c r="X392" s="437"/>
      <c r="Y392" s="437"/>
      <c r="Z392" s="437"/>
      <c r="AA392" s="437"/>
      <c r="AB392" s="437"/>
      <c r="AC392" s="437"/>
      <c r="AD392" s="437"/>
      <c r="AE392" s="437"/>
      <c r="AF392" s="437"/>
      <c r="AG392" s="437"/>
      <c r="AH392" s="437"/>
      <c r="AI392" s="437"/>
      <c r="AJ392" s="437"/>
      <c r="AK392" s="437"/>
      <c r="AL392" s="437"/>
      <c r="AM392" s="437"/>
      <c r="AN392" s="437"/>
      <c r="AO392" s="437"/>
      <c r="AP392" s="437"/>
      <c r="AQ392" s="437"/>
      <c r="AR392" s="437"/>
      <c r="AS392" s="437"/>
      <c r="AT392" s="437"/>
      <c r="AU392" s="437"/>
      <c r="AV392" s="437"/>
      <c r="AW392" s="437"/>
      <c r="AX392" s="437"/>
      <c r="AY392" s="437"/>
      <c r="AZ392" s="437"/>
    </row>
    <row r="393" spans="2:52">
      <c r="B393" s="437"/>
      <c r="C393" s="437"/>
      <c r="D393" s="437"/>
      <c r="G393" s="437"/>
      <c r="H393" s="437"/>
      <c r="I393" s="437"/>
      <c r="J393" s="437"/>
      <c r="K393" s="437"/>
      <c r="L393" s="437"/>
      <c r="M393" s="437"/>
      <c r="N393" s="437"/>
      <c r="O393" s="437"/>
      <c r="P393" s="437"/>
      <c r="Q393" s="437"/>
      <c r="R393" s="437"/>
      <c r="S393" s="437"/>
      <c r="T393" s="437"/>
      <c r="U393" s="437"/>
      <c r="V393" s="437"/>
      <c r="W393" s="437"/>
      <c r="X393" s="437"/>
      <c r="Y393" s="437"/>
      <c r="Z393" s="437"/>
      <c r="AA393" s="437"/>
      <c r="AB393" s="437"/>
      <c r="AC393" s="437"/>
      <c r="AD393" s="437"/>
      <c r="AE393" s="437"/>
      <c r="AF393" s="437"/>
      <c r="AG393" s="437"/>
      <c r="AH393" s="437"/>
      <c r="AI393" s="437"/>
      <c r="AJ393" s="437"/>
      <c r="AK393" s="437"/>
      <c r="AL393" s="437"/>
      <c r="AM393" s="437"/>
      <c r="AN393" s="437"/>
      <c r="AO393" s="437"/>
      <c r="AP393" s="437"/>
      <c r="AQ393" s="437"/>
      <c r="AR393" s="437"/>
      <c r="AS393" s="437"/>
      <c r="AT393" s="437"/>
      <c r="AU393" s="437"/>
      <c r="AV393" s="437"/>
      <c r="AW393" s="437"/>
      <c r="AX393" s="437"/>
      <c r="AY393" s="437"/>
      <c r="AZ393" s="437"/>
    </row>
    <row r="394" spans="2:52">
      <c r="B394" s="437"/>
      <c r="C394" s="437"/>
      <c r="D394" s="437"/>
      <c r="G394" s="437"/>
      <c r="H394" s="437"/>
      <c r="I394" s="437"/>
      <c r="J394" s="437"/>
      <c r="K394" s="437"/>
      <c r="L394" s="437"/>
      <c r="M394" s="437"/>
      <c r="N394" s="437"/>
      <c r="O394" s="437"/>
      <c r="P394" s="437"/>
      <c r="Q394" s="437"/>
      <c r="R394" s="437"/>
      <c r="S394" s="437"/>
      <c r="T394" s="437"/>
      <c r="U394" s="437"/>
      <c r="V394" s="437"/>
      <c r="W394" s="437"/>
      <c r="X394" s="437"/>
      <c r="Y394" s="437"/>
      <c r="Z394" s="437"/>
      <c r="AA394" s="437"/>
      <c r="AB394" s="437"/>
      <c r="AC394" s="437"/>
      <c r="AD394" s="437"/>
      <c r="AE394" s="437"/>
      <c r="AF394" s="437"/>
      <c r="AG394" s="437"/>
      <c r="AH394" s="437"/>
      <c r="AI394" s="437"/>
      <c r="AJ394" s="437"/>
      <c r="AK394" s="437"/>
      <c r="AL394" s="437"/>
      <c r="AM394" s="437"/>
      <c r="AN394" s="437"/>
      <c r="AO394" s="437"/>
      <c r="AP394" s="437"/>
      <c r="AQ394" s="437"/>
      <c r="AR394" s="437"/>
      <c r="AS394" s="437"/>
      <c r="AT394" s="437"/>
      <c r="AU394" s="437"/>
      <c r="AV394" s="437"/>
      <c r="AW394" s="437"/>
      <c r="AX394" s="437"/>
      <c r="AY394" s="437"/>
      <c r="AZ394" s="437"/>
    </row>
    <row r="395" spans="2:52">
      <c r="B395" s="437"/>
      <c r="C395" s="437"/>
      <c r="D395" s="437"/>
      <c r="G395" s="437"/>
      <c r="H395" s="437"/>
      <c r="I395" s="437"/>
      <c r="J395" s="437"/>
      <c r="K395" s="437"/>
      <c r="L395" s="437"/>
      <c r="M395" s="437"/>
      <c r="N395" s="437"/>
      <c r="O395" s="437"/>
      <c r="P395" s="437"/>
      <c r="Q395" s="437"/>
      <c r="R395" s="437"/>
      <c r="S395" s="437"/>
      <c r="T395" s="437"/>
      <c r="U395" s="437"/>
      <c r="V395" s="437"/>
      <c r="W395" s="437"/>
      <c r="X395" s="437"/>
      <c r="Y395" s="437"/>
      <c r="Z395" s="437"/>
      <c r="AA395" s="437"/>
      <c r="AB395" s="437"/>
      <c r="AC395" s="437"/>
      <c r="AD395" s="437"/>
      <c r="AE395" s="437"/>
      <c r="AF395" s="437"/>
      <c r="AG395" s="437"/>
      <c r="AH395" s="437"/>
      <c r="AI395" s="437"/>
      <c r="AJ395" s="437"/>
      <c r="AK395" s="437"/>
      <c r="AL395" s="437"/>
      <c r="AM395" s="437"/>
      <c r="AN395" s="437"/>
      <c r="AO395" s="437"/>
      <c r="AP395" s="437"/>
      <c r="AQ395" s="437"/>
      <c r="AR395" s="437"/>
      <c r="AS395" s="437"/>
      <c r="AT395" s="437"/>
      <c r="AU395" s="437"/>
      <c r="AV395" s="437"/>
      <c r="AW395" s="437"/>
      <c r="AX395" s="437"/>
      <c r="AY395" s="437"/>
      <c r="AZ395" s="437"/>
    </row>
    <row r="396" spans="2:52">
      <c r="B396" s="437"/>
      <c r="C396" s="437"/>
      <c r="D396" s="437"/>
      <c r="G396" s="437"/>
      <c r="H396" s="437"/>
      <c r="I396" s="437"/>
      <c r="J396" s="437"/>
      <c r="K396" s="437"/>
      <c r="L396" s="437"/>
      <c r="M396" s="437"/>
      <c r="N396" s="437"/>
      <c r="O396" s="437"/>
      <c r="P396" s="437"/>
      <c r="Q396" s="437"/>
      <c r="R396" s="437"/>
      <c r="S396" s="437"/>
      <c r="T396" s="437"/>
      <c r="U396" s="437"/>
      <c r="V396" s="437"/>
      <c r="W396" s="437"/>
      <c r="X396" s="437"/>
      <c r="Y396" s="437"/>
      <c r="Z396" s="437"/>
      <c r="AA396" s="437"/>
      <c r="AB396" s="437"/>
      <c r="AC396" s="437"/>
      <c r="AD396" s="437"/>
      <c r="AE396" s="437"/>
      <c r="AF396" s="437"/>
      <c r="AG396" s="437"/>
      <c r="AH396" s="437"/>
      <c r="AI396" s="437"/>
      <c r="AJ396" s="437"/>
      <c r="AK396" s="437"/>
      <c r="AL396" s="437"/>
      <c r="AM396" s="437"/>
      <c r="AN396" s="437"/>
      <c r="AO396" s="437"/>
      <c r="AP396" s="437"/>
      <c r="AQ396" s="437"/>
      <c r="AR396" s="437"/>
      <c r="AS396" s="437"/>
      <c r="AT396" s="437"/>
      <c r="AU396" s="437"/>
      <c r="AV396" s="437"/>
      <c r="AW396" s="437"/>
      <c r="AX396" s="437"/>
      <c r="AY396" s="437"/>
      <c r="AZ396" s="437"/>
    </row>
    <row r="397" spans="2:52">
      <c r="B397" s="437"/>
      <c r="C397" s="437"/>
      <c r="D397" s="437"/>
      <c r="G397" s="437"/>
      <c r="H397" s="437"/>
      <c r="I397" s="437"/>
      <c r="J397" s="437"/>
      <c r="K397" s="437"/>
      <c r="L397" s="437"/>
      <c r="M397" s="437"/>
      <c r="N397" s="437"/>
      <c r="O397" s="437"/>
      <c r="P397" s="437"/>
      <c r="Q397" s="437"/>
      <c r="R397" s="437"/>
      <c r="S397" s="437"/>
      <c r="T397" s="437"/>
      <c r="U397" s="437"/>
      <c r="V397" s="437"/>
      <c r="W397" s="437"/>
      <c r="X397" s="437"/>
      <c r="Y397" s="437"/>
      <c r="Z397" s="437"/>
      <c r="AA397" s="437"/>
      <c r="AB397" s="437"/>
      <c r="AC397" s="437"/>
      <c r="AD397" s="437"/>
      <c r="AE397" s="437"/>
      <c r="AF397" s="437"/>
      <c r="AG397" s="437"/>
      <c r="AH397" s="437"/>
      <c r="AI397" s="437"/>
      <c r="AJ397" s="437"/>
      <c r="AK397" s="437"/>
      <c r="AL397" s="437"/>
      <c r="AM397" s="437"/>
      <c r="AN397" s="437"/>
      <c r="AO397" s="437"/>
      <c r="AP397" s="437"/>
      <c r="AQ397" s="437"/>
      <c r="AR397" s="437"/>
      <c r="AS397" s="437"/>
      <c r="AT397" s="437"/>
      <c r="AU397" s="437"/>
      <c r="AV397" s="437"/>
      <c r="AW397" s="437"/>
      <c r="AX397" s="437"/>
      <c r="AY397" s="437"/>
      <c r="AZ397" s="437"/>
    </row>
    <row r="398" spans="2:52">
      <c r="B398" s="437"/>
      <c r="C398" s="437"/>
      <c r="D398" s="437"/>
      <c r="G398" s="437"/>
      <c r="H398" s="437"/>
      <c r="I398" s="437"/>
      <c r="J398" s="437"/>
      <c r="K398" s="437"/>
      <c r="L398" s="437"/>
      <c r="M398" s="437"/>
      <c r="N398" s="437"/>
      <c r="O398" s="437"/>
      <c r="P398" s="437"/>
      <c r="Q398" s="437"/>
      <c r="R398" s="437"/>
      <c r="S398" s="437"/>
      <c r="T398" s="437"/>
      <c r="U398" s="437"/>
      <c r="V398" s="437"/>
      <c r="W398" s="437"/>
      <c r="X398" s="437"/>
      <c r="Y398" s="437"/>
      <c r="Z398" s="437"/>
      <c r="AA398" s="437"/>
      <c r="AB398" s="437"/>
      <c r="AC398" s="437"/>
      <c r="AD398" s="437"/>
      <c r="AE398" s="437"/>
      <c r="AF398" s="437"/>
      <c r="AG398" s="437"/>
      <c r="AH398" s="437"/>
      <c r="AI398" s="437"/>
      <c r="AJ398" s="437"/>
      <c r="AK398" s="437"/>
      <c r="AL398" s="437"/>
      <c r="AM398" s="437"/>
      <c r="AN398" s="437"/>
      <c r="AO398" s="437"/>
      <c r="AP398" s="437"/>
      <c r="AQ398" s="437"/>
      <c r="AR398" s="437"/>
      <c r="AS398" s="437"/>
      <c r="AT398" s="437"/>
      <c r="AU398" s="437"/>
      <c r="AV398" s="437"/>
      <c r="AW398" s="437"/>
      <c r="AX398" s="437"/>
      <c r="AY398" s="437"/>
      <c r="AZ398" s="437"/>
    </row>
    <row r="399" spans="2:52">
      <c r="B399" s="437"/>
      <c r="C399" s="437"/>
      <c r="D399" s="437"/>
      <c r="G399" s="437"/>
      <c r="H399" s="437"/>
      <c r="I399" s="437"/>
      <c r="J399" s="437"/>
      <c r="K399" s="437"/>
      <c r="L399" s="437"/>
      <c r="M399" s="437"/>
      <c r="N399" s="437"/>
      <c r="O399" s="437"/>
      <c r="P399" s="437"/>
      <c r="Q399" s="437"/>
      <c r="R399" s="437"/>
      <c r="S399" s="437"/>
      <c r="T399" s="437"/>
      <c r="U399" s="437"/>
      <c r="V399" s="437"/>
      <c r="W399" s="437"/>
      <c r="X399" s="437"/>
      <c r="Y399" s="437"/>
      <c r="Z399" s="437"/>
      <c r="AA399" s="437"/>
      <c r="AB399" s="437"/>
      <c r="AC399" s="437"/>
      <c r="AD399" s="437"/>
      <c r="AE399" s="437"/>
      <c r="AF399" s="437"/>
      <c r="AG399" s="437"/>
      <c r="AH399" s="437"/>
      <c r="AI399" s="437"/>
      <c r="AJ399" s="437"/>
      <c r="AK399" s="437"/>
      <c r="AL399" s="437"/>
      <c r="AM399" s="437"/>
      <c r="AN399" s="437"/>
      <c r="AO399" s="437"/>
      <c r="AP399" s="437"/>
      <c r="AQ399" s="437"/>
      <c r="AR399" s="437"/>
      <c r="AS399" s="437"/>
      <c r="AT399" s="437"/>
      <c r="AU399" s="437"/>
      <c r="AV399" s="437"/>
      <c r="AW399" s="437"/>
      <c r="AX399" s="437"/>
      <c r="AY399" s="437"/>
      <c r="AZ399" s="437"/>
    </row>
    <row r="400" spans="2:52">
      <c r="B400" s="437"/>
      <c r="C400" s="437"/>
      <c r="D400" s="437"/>
      <c r="G400" s="437"/>
      <c r="H400" s="437"/>
      <c r="I400" s="437"/>
      <c r="J400" s="437"/>
      <c r="K400" s="437"/>
      <c r="L400" s="437"/>
      <c r="M400" s="437"/>
      <c r="N400" s="437"/>
      <c r="O400" s="437"/>
      <c r="P400" s="437"/>
      <c r="Q400" s="437"/>
      <c r="R400" s="437"/>
      <c r="S400" s="437"/>
      <c r="T400" s="437"/>
      <c r="U400" s="437"/>
      <c r="V400" s="437"/>
      <c r="W400" s="437"/>
      <c r="X400" s="437"/>
      <c r="Y400" s="437"/>
      <c r="Z400" s="437"/>
      <c r="AA400" s="437"/>
      <c r="AB400" s="437"/>
      <c r="AC400" s="437"/>
      <c r="AD400" s="437"/>
      <c r="AE400" s="437"/>
      <c r="AF400" s="437"/>
      <c r="AG400" s="437"/>
      <c r="AH400" s="437"/>
      <c r="AI400" s="437"/>
      <c r="AJ400" s="437"/>
      <c r="AK400" s="437"/>
      <c r="AL400" s="437"/>
      <c r="AM400" s="437"/>
      <c r="AN400" s="437"/>
      <c r="AO400" s="437"/>
      <c r="AP400" s="437"/>
      <c r="AQ400" s="437"/>
      <c r="AR400" s="437"/>
      <c r="AS400" s="437"/>
      <c r="AT400" s="437"/>
      <c r="AU400" s="437"/>
      <c r="AV400" s="437"/>
      <c r="AW400" s="437"/>
      <c r="AX400" s="437"/>
      <c r="AY400" s="437"/>
      <c r="AZ400" s="437"/>
    </row>
    <row r="401" spans="2:52">
      <c r="B401" s="437"/>
      <c r="C401" s="437"/>
      <c r="D401" s="437"/>
      <c r="G401" s="437"/>
      <c r="H401" s="437"/>
      <c r="I401" s="437"/>
      <c r="J401" s="437"/>
      <c r="K401" s="437"/>
      <c r="L401" s="437"/>
      <c r="M401" s="437"/>
      <c r="N401" s="437"/>
      <c r="O401" s="437"/>
      <c r="P401" s="437"/>
      <c r="Q401" s="437"/>
      <c r="R401" s="437"/>
      <c r="S401" s="437"/>
      <c r="T401" s="437"/>
      <c r="U401" s="437"/>
      <c r="V401" s="437"/>
      <c r="W401" s="437"/>
      <c r="X401" s="437"/>
      <c r="Y401" s="437"/>
      <c r="Z401" s="437"/>
      <c r="AA401" s="437"/>
      <c r="AB401" s="437"/>
      <c r="AC401" s="437"/>
      <c r="AD401" s="437"/>
      <c r="AE401" s="437"/>
      <c r="AF401" s="437"/>
      <c r="AG401" s="437"/>
      <c r="AH401" s="437"/>
      <c r="AI401" s="437"/>
      <c r="AJ401" s="437"/>
      <c r="AK401" s="437"/>
      <c r="AL401" s="437"/>
      <c r="AM401" s="437"/>
      <c r="AN401" s="437"/>
      <c r="AO401" s="437"/>
      <c r="AP401" s="437"/>
      <c r="AQ401" s="437"/>
      <c r="AR401" s="437"/>
      <c r="AS401" s="437"/>
      <c r="AT401" s="437"/>
      <c r="AU401" s="437"/>
      <c r="AV401" s="437"/>
      <c r="AW401" s="437"/>
      <c r="AX401" s="437"/>
      <c r="AY401" s="437"/>
      <c r="AZ401" s="437"/>
    </row>
    <row r="402" spans="2:52">
      <c r="B402" s="437"/>
      <c r="C402" s="437"/>
      <c r="D402" s="437"/>
      <c r="G402" s="437"/>
      <c r="H402" s="437"/>
      <c r="I402" s="437"/>
      <c r="J402" s="437"/>
      <c r="K402" s="437"/>
      <c r="L402" s="437"/>
      <c r="M402" s="437"/>
      <c r="N402" s="437"/>
      <c r="O402" s="437"/>
      <c r="P402" s="437"/>
      <c r="Q402" s="437"/>
      <c r="R402" s="437"/>
      <c r="S402" s="437"/>
      <c r="T402" s="437"/>
      <c r="U402" s="437"/>
      <c r="V402" s="437"/>
      <c r="W402" s="437"/>
      <c r="X402" s="437"/>
      <c r="Y402" s="437"/>
      <c r="Z402" s="437"/>
      <c r="AA402" s="437"/>
      <c r="AB402" s="437"/>
      <c r="AC402" s="437"/>
      <c r="AD402" s="437"/>
      <c r="AE402" s="437"/>
      <c r="AF402" s="437"/>
      <c r="AG402" s="437"/>
      <c r="AH402" s="437"/>
      <c r="AI402" s="437"/>
      <c r="AJ402" s="437"/>
      <c r="AK402" s="437"/>
      <c r="AL402" s="437"/>
      <c r="AM402" s="437"/>
      <c r="AN402" s="437"/>
      <c r="AO402" s="437"/>
      <c r="AP402" s="437"/>
      <c r="AQ402" s="437"/>
      <c r="AR402" s="437"/>
      <c r="AS402" s="437"/>
      <c r="AT402" s="437"/>
      <c r="AU402" s="437"/>
      <c r="AV402" s="437"/>
      <c r="AW402" s="437"/>
      <c r="AX402" s="437"/>
      <c r="AY402" s="437"/>
      <c r="AZ402" s="437"/>
    </row>
    <row r="403" spans="2:52">
      <c r="B403" s="437"/>
      <c r="C403" s="437"/>
      <c r="D403" s="437"/>
      <c r="G403" s="437"/>
      <c r="H403" s="437"/>
      <c r="I403" s="437"/>
      <c r="J403" s="437"/>
      <c r="K403" s="437"/>
      <c r="L403" s="437"/>
      <c r="M403" s="437"/>
      <c r="N403" s="437"/>
      <c r="O403" s="437"/>
      <c r="P403" s="437"/>
      <c r="Q403" s="437"/>
      <c r="R403" s="437"/>
      <c r="S403" s="437"/>
      <c r="T403" s="437"/>
      <c r="U403" s="437"/>
      <c r="V403" s="437"/>
      <c r="W403" s="437"/>
      <c r="X403" s="437"/>
      <c r="Y403" s="437"/>
      <c r="Z403" s="437"/>
      <c r="AA403" s="437"/>
      <c r="AB403" s="437"/>
      <c r="AC403" s="437"/>
      <c r="AD403" s="437"/>
      <c r="AE403" s="437"/>
      <c r="AF403" s="437"/>
      <c r="AG403" s="437"/>
      <c r="AH403" s="437"/>
      <c r="AI403" s="437"/>
      <c r="AJ403" s="437"/>
      <c r="AK403" s="437"/>
      <c r="AL403" s="437"/>
      <c r="AM403" s="437"/>
      <c r="AN403" s="437"/>
      <c r="AO403" s="437"/>
      <c r="AP403" s="437"/>
      <c r="AQ403" s="437"/>
      <c r="AR403" s="437"/>
      <c r="AS403" s="437"/>
      <c r="AT403" s="437"/>
      <c r="AU403" s="437"/>
      <c r="AV403" s="437"/>
      <c r="AW403" s="437"/>
      <c r="AX403" s="437"/>
      <c r="AY403" s="437"/>
      <c r="AZ403" s="437"/>
    </row>
    <row r="404" spans="2:52">
      <c r="B404" s="437"/>
      <c r="C404" s="437"/>
      <c r="D404" s="437"/>
      <c r="G404" s="437"/>
      <c r="H404" s="437"/>
      <c r="I404" s="437"/>
      <c r="J404" s="437"/>
      <c r="K404" s="437"/>
      <c r="L404" s="437"/>
      <c r="M404" s="437"/>
      <c r="N404" s="437"/>
      <c r="O404" s="437"/>
      <c r="P404" s="437"/>
      <c r="Q404" s="437"/>
      <c r="R404" s="437"/>
      <c r="S404" s="437"/>
      <c r="T404" s="437"/>
      <c r="U404" s="437"/>
      <c r="V404" s="437"/>
      <c r="W404" s="437"/>
      <c r="X404" s="437"/>
      <c r="Y404" s="437"/>
      <c r="Z404" s="437"/>
      <c r="AA404" s="437"/>
      <c r="AB404" s="437"/>
      <c r="AC404" s="437"/>
      <c r="AD404" s="437"/>
      <c r="AE404" s="437"/>
      <c r="AF404" s="437"/>
      <c r="AG404" s="437"/>
      <c r="AH404" s="437"/>
      <c r="AI404" s="437"/>
      <c r="AJ404" s="437"/>
      <c r="AK404" s="437"/>
      <c r="AL404" s="437"/>
      <c r="AM404" s="437"/>
      <c r="AN404" s="437"/>
      <c r="AO404" s="437"/>
      <c r="AP404" s="437"/>
      <c r="AQ404" s="437"/>
      <c r="AR404" s="437"/>
      <c r="AS404" s="437"/>
      <c r="AT404" s="437"/>
      <c r="AU404" s="437"/>
      <c r="AV404" s="437"/>
      <c r="AW404" s="437"/>
      <c r="AX404" s="437"/>
      <c r="AY404" s="437"/>
      <c r="AZ404" s="437"/>
    </row>
    <row r="405" spans="2:52">
      <c r="B405" s="437"/>
      <c r="C405" s="437"/>
      <c r="D405" s="437"/>
      <c r="G405" s="437"/>
      <c r="H405" s="437"/>
      <c r="I405" s="437"/>
      <c r="J405" s="437"/>
      <c r="K405" s="437"/>
      <c r="L405" s="437"/>
      <c r="M405" s="437"/>
      <c r="N405" s="437"/>
      <c r="O405" s="437"/>
      <c r="P405" s="437"/>
      <c r="Q405" s="437"/>
      <c r="R405" s="437"/>
      <c r="S405" s="437"/>
      <c r="T405" s="437"/>
      <c r="U405" s="437"/>
      <c r="V405" s="437"/>
      <c r="W405" s="437"/>
      <c r="X405" s="437"/>
      <c r="Y405" s="437"/>
      <c r="Z405" s="437"/>
      <c r="AA405" s="437"/>
      <c r="AB405" s="437"/>
      <c r="AC405" s="437"/>
      <c r="AD405" s="437"/>
      <c r="AE405" s="437"/>
      <c r="AF405" s="437"/>
      <c r="AG405" s="437"/>
      <c r="AH405" s="437"/>
      <c r="AI405" s="437"/>
      <c r="AJ405" s="437"/>
      <c r="AK405" s="437"/>
      <c r="AL405" s="437"/>
      <c r="AM405" s="437"/>
      <c r="AN405" s="437"/>
      <c r="AO405" s="437"/>
      <c r="AP405" s="437"/>
      <c r="AQ405" s="437"/>
      <c r="AR405" s="437"/>
      <c r="AS405" s="437"/>
      <c r="AT405" s="437"/>
      <c r="AU405" s="437"/>
      <c r="AV405" s="437"/>
      <c r="AW405" s="437"/>
      <c r="AX405" s="437"/>
      <c r="AY405" s="437"/>
      <c r="AZ405" s="437"/>
    </row>
    <row r="406" spans="2:52">
      <c r="B406" s="437"/>
      <c r="C406" s="437"/>
      <c r="D406" s="437"/>
      <c r="G406" s="437"/>
      <c r="H406" s="437"/>
      <c r="I406" s="437"/>
      <c r="J406" s="437"/>
      <c r="K406" s="437"/>
      <c r="L406" s="437"/>
      <c r="M406" s="437"/>
      <c r="N406" s="437"/>
      <c r="O406" s="437"/>
      <c r="P406" s="437"/>
      <c r="Q406" s="437"/>
      <c r="R406" s="437"/>
      <c r="S406" s="437"/>
      <c r="T406" s="437"/>
      <c r="U406" s="437"/>
      <c r="V406" s="437"/>
      <c r="W406" s="437"/>
      <c r="X406" s="437"/>
      <c r="Y406" s="437"/>
      <c r="Z406" s="437"/>
      <c r="AA406" s="437"/>
      <c r="AB406" s="437"/>
      <c r="AC406" s="437"/>
      <c r="AD406" s="437"/>
      <c r="AE406" s="437"/>
      <c r="AF406" s="437"/>
      <c r="AG406" s="437"/>
      <c r="AH406" s="437"/>
      <c r="AI406" s="437"/>
      <c r="AJ406" s="437"/>
      <c r="AK406" s="437"/>
      <c r="AL406" s="437"/>
      <c r="AM406" s="437"/>
      <c r="AN406" s="437"/>
      <c r="AO406" s="437"/>
      <c r="AP406" s="437"/>
      <c r="AQ406" s="437"/>
      <c r="AR406" s="437"/>
      <c r="AS406" s="437"/>
      <c r="AT406" s="437"/>
      <c r="AU406" s="437"/>
      <c r="AV406" s="437"/>
      <c r="AW406" s="437"/>
      <c r="AX406" s="437"/>
      <c r="AY406" s="437"/>
      <c r="AZ406" s="437"/>
    </row>
    <row r="407" spans="2:52">
      <c r="B407" s="1"/>
      <c r="C407" s="1"/>
      <c r="D407" s="1"/>
      <c r="E407" s="6"/>
      <c r="F407" s="4"/>
    </row>
    <row r="408" spans="2:52">
      <c r="B408" s="1"/>
      <c r="C408" s="1"/>
      <c r="D408" s="1"/>
      <c r="E408" s="6"/>
      <c r="F408" s="4"/>
    </row>
    <row r="409" spans="2:52">
      <c r="B409" s="1"/>
      <c r="C409" s="1"/>
      <c r="D409" s="1"/>
      <c r="E409" s="6"/>
      <c r="F409" s="4"/>
    </row>
    <row r="410" spans="2:52">
      <c r="B410" s="1"/>
      <c r="C410" s="1"/>
      <c r="D410" s="1"/>
      <c r="E410" s="6"/>
      <c r="F410" s="4"/>
    </row>
    <row r="411" spans="2:52">
      <c r="B411" s="1"/>
      <c r="C411" s="1"/>
      <c r="D411" s="1"/>
      <c r="E411" s="6"/>
      <c r="F411" s="4"/>
    </row>
    <row r="412" spans="2:52">
      <c r="B412" s="1"/>
      <c r="C412" s="1"/>
      <c r="D412" s="1"/>
      <c r="E412" s="6"/>
      <c r="F412" s="4"/>
    </row>
    <row r="413" spans="2:52">
      <c r="B413" s="1"/>
      <c r="C413" s="1"/>
      <c r="D413" s="1"/>
      <c r="E413" s="6"/>
      <c r="F413" s="4"/>
    </row>
    <row r="414" spans="2:52">
      <c r="B414" s="1"/>
      <c r="C414" s="1"/>
      <c r="D414" s="1"/>
      <c r="E414" s="6"/>
      <c r="F414" s="4"/>
    </row>
    <row r="415" spans="2:52">
      <c r="B415" s="1"/>
      <c r="C415" s="1"/>
      <c r="D415" s="1"/>
      <c r="E415" s="6"/>
      <c r="F415" s="4"/>
    </row>
    <row r="416" spans="2:52">
      <c r="B416" s="1"/>
      <c r="C416" s="1"/>
      <c r="D416" s="1"/>
      <c r="E416" s="6"/>
      <c r="F416" s="4"/>
    </row>
    <row r="417" spans="2:6">
      <c r="B417" s="1"/>
      <c r="C417" s="1"/>
      <c r="D417" s="1"/>
      <c r="E417" s="6"/>
      <c r="F417" s="4"/>
    </row>
    <row r="418" spans="2:6">
      <c r="B418" s="1"/>
      <c r="C418" s="1"/>
      <c r="D418" s="1"/>
      <c r="E418" s="6"/>
      <c r="F418" s="4"/>
    </row>
    <row r="419" spans="2:6">
      <c r="B419" s="1"/>
      <c r="C419" s="1"/>
      <c r="D419" s="1"/>
      <c r="E419" s="6"/>
      <c r="F419" s="4"/>
    </row>
    <row r="420" spans="2:6">
      <c r="B420" s="1"/>
      <c r="C420" s="1"/>
      <c r="D420" s="1"/>
      <c r="E420" s="6"/>
      <c r="F420" s="4"/>
    </row>
    <row r="421" spans="2:6">
      <c r="B421" s="1"/>
      <c r="C421" s="1"/>
      <c r="D421" s="1"/>
      <c r="E421" s="6"/>
      <c r="F421" s="4"/>
    </row>
    <row r="422" spans="2:6">
      <c r="B422" s="1"/>
      <c r="C422" s="1"/>
      <c r="D422" s="1"/>
      <c r="E422" s="6"/>
      <c r="F422" s="4"/>
    </row>
    <row r="423" spans="2:6">
      <c r="B423" s="1"/>
      <c r="C423" s="1"/>
      <c r="D423" s="1"/>
      <c r="E423" s="6"/>
      <c r="F423" s="4"/>
    </row>
    <row r="424" spans="2:6">
      <c r="B424" s="1"/>
      <c r="C424" s="1"/>
      <c r="D424" s="1"/>
      <c r="E424" s="6"/>
      <c r="F424" s="4"/>
    </row>
    <row r="425" spans="2:6">
      <c r="B425" s="1"/>
      <c r="C425" s="1"/>
      <c r="D425" s="1"/>
      <c r="E425" s="6"/>
      <c r="F425" s="4"/>
    </row>
    <row r="426" spans="2:6">
      <c r="B426" s="1"/>
      <c r="C426" s="1"/>
      <c r="D426" s="1"/>
      <c r="E426" s="6"/>
      <c r="F426" s="4"/>
    </row>
    <row r="427" spans="2:6">
      <c r="B427" s="1"/>
      <c r="C427" s="1"/>
      <c r="D427" s="1"/>
      <c r="E427" s="6"/>
      <c r="F427" s="4"/>
    </row>
    <row r="428" spans="2:6">
      <c r="B428" s="1"/>
      <c r="C428" s="1"/>
      <c r="D428" s="1"/>
      <c r="E428" s="6"/>
      <c r="F428" s="4"/>
    </row>
    <row r="429" spans="2:6">
      <c r="B429" s="1"/>
      <c r="C429" s="1"/>
      <c r="D429" s="1"/>
      <c r="E429" s="6"/>
      <c r="F429" s="4"/>
    </row>
    <row r="430" spans="2:6">
      <c r="B430" s="1"/>
      <c r="C430" s="1"/>
      <c r="D430" s="1"/>
      <c r="E430" s="6"/>
      <c r="F430" s="4"/>
    </row>
    <row r="431" spans="2:6">
      <c r="B431" s="1"/>
      <c r="C431" s="1"/>
      <c r="D431" s="1"/>
      <c r="E431" s="6"/>
      <c r="F431" s="4"/>
    </row>
    <row r="432" spans="2:6">
      <c r="B432" s="1"/>
      <c r="C432" s="1"/>
      <c r="D432" s="1"/>
      <c r="E432" s="6"/>
      <c r="F432" s="4"/>
    </row>
    <row r="433" spans="2:6">
      <c r="B433" s="1"/>
      <c r="C433" s="1"/>
      <c r="D433" s="1"/>
      <c r="E433" s="6"/>
      <c r="F433" s="4"/>
    </row>
    <row r="434" spans="2:6">
      <c r="B434" s="1"/>
      <c r="C434" s="1"/>
      <c r="D434" s="1"/>
      <c r="E434" s="6"/>
      <c r="F434" s="4"/>
    </row>
    <row r="435" spans="2:6">
      <c r="B435" s="1"/>
      <c r="C435" s="1"/>
      <c r="D435" s="1"/>
      <c r="E435" s="6"/>
      <c r="F435" s="4"/>
    </row>
    <row r="436" spans="2:6">
      <c r="B436" s="1"/>
      <c r="C436" s="1"/>
      <c r="D436" s="1"/>
      <c r="E436" s="6"/>
      <c r="F436" s="4"/>
    </row>
    <row r="437" spans="2:6">
      <c r="B437" s="1"/>
      <c r="C437" s="1"/>
      <c r="D437" s="1"/>
      <c r="E437" s="6"/>
      <c r="F437" s="4"/>
    </row>
    <row r="438" spans="2:6">
      <c r="B438" s="1"/>
      <c r="C438" s="1"/>
      <c r="D438" s="1"/>
      <c r="E438" s="6"/>
      <c r="F438" s="4"/>
    </row>
    <row r="439" spans="2:6">
      <c r="B439" s="1"/>
      <c r="C439" s="1"/>
      <c r="D439" s="1"/>
      <c r="E439" s="6"/>
      <c r="F439" s="4"/>
    </row>
    <row r="440" spans="2:6">
      <c r="B440" s="1"/>
      <c r="C440" s="1"/>
      <c r="D440" s="1"/>
      <c r="E440" s="6"/>
      <c r="F440" s="4"/>
    </row>
    <row r="441" spans="2:6">
      <c r="B441" s="1"/>
      <c r="C441" s="1"/>
      <c r="D441" s="1"/>
      <c r="E441" s="6"/>
      <c r="F441" s="4"/>
    </row>
    <row r="442" spans="2:6">
      <c r="B442" s="1"/>
      <c r="C442" s="1"/>
      <c r="D442" s="1"/>
      <c r="E442" s="6"/>
      <c r="F442" s="4"/>
    </row>
    <row r="443" spans="2:6">
      <c r="B443" s="1"/>
      <c r="C443" s="1"/>
      <c r="D443" s="1"/>
      <c r="E443" s="6"/>
      <c r="F443" s="4"/>
    </row>
    <row r="444" spans="2:6">
      <c r="B444" s="1"/>
      <c r="C444" s="1"/>
      <c r="D444" s="1"/>
      <c r="E444" s="6"/>
      <c r="F444" s="4"/>
    </row>
    <row r="445" spans="2:6">
      <c r="B445" s="1"/>
      <c r="C445" s="1"/>
      <c r="D445" s="1"/>
      <c r="E445" s="6"/>
      <c r="F445" s="4"/>
    </row>
    <row r="446" spans="2:6">
      <c r="B446" s="1"/>
      <c r="C446" s="1"/>
      <c r="D446" s="1"/>
      <c r="E446" s="6"/>
      <c r="F446" s="4"/>
    </row>
    <row r="447" spans="2:6">
      <c r="B447" s="1"/>
      <c r="C447" s="1"/>
      <c r="D447" s="1"/>
      <c r="E447" s="6"/>
      <c r="F447" s="4"/>
    </row>
    <row r="448" spans="2:6">
      <c r="B448" s="1"/>
      <c r="C448" s="1"/>
      <c r="D448" s="1"/>
      <c r="E448" s="6"/>
      <c r="F448" s="4"/>
    </row>
    <row r="449" spans="2:6">
      <c r="B449" s="1"/>
      <c r="C449" s="1"/>
      <c r="D449" s="1"/>
      <c r="E449" s="6"/>
      <c r="F449" s="4"/>
    </row>
    <row r="450" spans="2:6">
      <c r="B450" s="1"/>
      <c r="C450" s="1"/>
      <c r="D450" s="1"/>
      <c r="E450" s="6"/>
      <c r="F450" s="4"/>
    </row>
    <row r="451" spans="2:6">
      <c r="B451" s="1"/>
      <c r="C451" s="1"/>
      <c r="D451" s="1"/>
      <c r="E451" s="6"/>
      <c r="F451" s="4"/>
    </row>
    <row r="452" spans="2:6">
      <c r="B452" s="1"/>
      <c r="C452" s="1"/>
      <c r="D452" s="1"/>
      <c r="E452" s="6"/>
      <c r="F452" s="4"/>
    </row>
    <row r="453" spans="2:6">
      <c r="B453" s="1"/>
      <c r="C453" s="1"/>
      <c r="D453" s="1"/>
      <c r="E453" s="6"/>
      <c r="F453" s="4"/>
    </row>
    <row r="454" spans="2:6">
      <c r="B454" s="1"/>
      <c r="C454" s="1"/>
      <c r="D454" s="1"/>
      <c r="E454" s="6"/>
      <c r="F454" s="4"/>
    </row>
    <row r="455" spans="2:6">
      <c r="B455" s="1"/>
      <c r="C455" s="1"/>
      <c r="D455" s="1"/>
      <c r="E455" s="6"/>
      <c r="F455" s="4"/>
    </row>
    <row r="456" spans="2:6">
      <c r="B456" s="1"/>
      <c r="C456" s="1"/>
      <c r="D456" s="1"/>
      <c r="E456" s="6"/>
      <c r="F456" s="4"/>
    </row>
    <row r="457" spans="2:6">
      <c r="B457" s="1"/>
      <c r="C457" s="1"/>
      <c r="D457" s="1"/>
      <c r="E457" s="6"/>
      <c r="F457" s="4"/>
    </row>
    <row r="458" spans="2:6">
      <c r="B458" s="1"/>
      <c r="C458" s="1"/>
      <c r="D458" s="1"/>
      <c r="E458" s="6"/>
      <c r="F458" s="4"/>
    </row>
    <row r="459" spans="2:6">
      <c r="B459" s="1"/>
      <c r="C459" s="1"/>
      <c r="D459" s="1"/>
      <c r="E459" s="6"/>
      <c r="F459" s="4"/>
    </row>
    <row r="460" spans="2:6">
      <c r="B460" s="1"/>
      <c r="C460" s="1"/>
      <c r="D460" s="1"/>
      <c r="E460" s="6"/>
      <c r="F460" s="4"/>
    </row>
    <row r="461" spans="2:6">
      <c r="B461" s="1"/>
      <c r="C461" s="1"/>
      <c r="D461" s="1"/>
      <c r="E461" s="6"/>
      <c r="F461" s="4"/>
    </row>
    <row r="462" spans="2:6">
      <c r="B462" s="1"/>
      <c r="C462" s="1"/>
      <c r="D462" s="1"/>
      <c r="E462" s="6"/>
      <c r="F462" s="4"/>
    </row>
    <row r="463" spans="2:6">
      <c r="B463" s="1"/>
      <c r="C463" s="1"/>
      <c r="D463" s="1"/>
      <c r="E463" s="6"/>
      <c r="F463" s="4"/>
    </row>
    <row r="464" spans="2:6">
      <c r="B464" s="1"/>
      <c r="C464" s="1"/>
      <c r="D464" s="1"/>
      <c r="E464" s="6"/>
      <c r="F464" s="4"/>
    </row>
    <row r="465" spans="2:6">
      <c r="B465" s="1"/>
      <c r="C465" s="1"/>
      <c r="D465" s="1"/>
      <c r="E465" s="6"/>
      <c r="F465" s="4"/>
    </row>
    <row r="466" spans="2:6">
      <c r="B466" s="1"/>
      <c r="C466" s="1"/>
      <c r="D466" s="1"/>
      <c r="E466" s="6"/>
      <c r="F466" s="4"/>
    </row>
    <row r="467" spans="2:6">
      <c r="B467" s="1"/>
      <c r="C467" s="1"/>
      <c r="D467" s="1"/>
      <c r="E467" s="6"/>
      <c r="F467" s="4"/>
    </row>
    <row r="468" spans="2:6">
      <c r="B468" s="1"/>
      <c r="C468" s="1"/>
      <c r="D468" s="1"/>
      <c r="E468" s="6"/>
      <c r="F468" s="4"/>
    </row>
    <row r="469" spans="2:6">
      <c r="B469" s="1"/>
      <c r="C469" s="1"/>
      <c r="D469" s="1"/>
      <c r="E469" s="6"/>
      <c r="F469" s="4"/>
    </row>
    <row r="470" spans="2:6">
      <c r="B470" s="1"/>
      <c r="C470" s="1"/>
      <c r="D470" s="1"/>
      <c r="E470" s="6"/>
      <c r="F470" s="4"/>
    </row>
    <row r="471" spans="2:6">
      <c r="B471" s="1"/>
      <c r="C471" s="1"/>
      <c r="D471" s="1"/>
      <c r="E471" s="6"/>
      <c r="F471" s="4"/>
    </row>
    <row r="472" spans="2:6">
      <c r="B472" s="1"/>
      <c r="C472" s="1"/>
      <c r="D472" s="1"/>
      <c r="E472" s="6"/>
      <c r="F472" s="4"/>
    </row>
    <row r="473" spans="2:6">
      <c r="B473" s="1"/>
      <c r="C473" s="1"/>
      <c r="D473" s="1"/>
      <c r="E473" s="6"/>
      <c r="F473" s="4"/>
    </row>
    <row r="474" spans="2:6">
      <c r="B474" s="1"/>
      <c r="C474" s="1"/>
      <c r="D474" s="1"/>
      <c r="E474" s="6"/>
      <c r="F474" s="4"/>
    </row>
    <row r="475" spans="2:6">
      <c r="B475" s="1"/>
      <c r="C475" s="1"/>
      <c r="D475" s="1"/>
      <c r="E475" s="6"/>
      <c r="F475" s="4"/>
    </row>
    <row r="476" spans="2:6">
      <c r="B476" s="1"/>
      <c r="C476" s="1"/>
      <c r="D476" s="1"/>
      <c r="E476" s="6"/>
      <c r="F476" s="4"/>
    </row>
    <row r="477" spans="2:6">
      <c r="B477" s="1"/>
      <c r="C477" s="1"/>
      <c r="D477" s="1"/>
      <c r="E477" s="6"/>
      <c r="F477" s="4"/>
    </row>
    <row r="478" spans="2:6">
      <c r="B478" s="1"/>
      <c r="C478" s="1"/>
      <c r="D478" s="1"/>
      <c r="E478" s="6"/>
      <c r="F478" s="4"/>
    </row>
    <row r="479" spans="2:6">
      <c r="B479" s="1"/>
      <c r="C479" s="1"/>
      <c r="D479" s="1"/>
      <c r="E479" s="6"/>
      <c r="F479" s="4"/>
    </row>
    <row r="480" spans="2:6">
      <c r="B480" s="1"/>
      <c r="C480" s="1"/>
      <c r="D480" s="1"/>
      <c r="E480" s="6"/>
      <c r="F480" s="4"/>
    </row>
    <row r="481" spans="2:6">
      <c r="B481" s="1"/>
      <c r="C481" s="1"/>
      <c r="D481" s="1"/>
      <c r="E481" s="6"/>
      <c r="F481" s="4"/>
    </row>
    <row r="482" spans="2:6">
      <c r="B482" s="1"/>
      <c r="C482" s="1"/>
      <c r="D482" s="1"/>
      <c r="E482" s="6"/>
      <c r="F482" s="4"/>
    </row>
    <row r="483" spans="2:6">
      <c r="B483" s="1"/>
      <c r="C483" s="1"/>
      <c r="D483" s="1"/>
      <c r="E483" s="6"/>
      <c r="F483" s="4"/>
    </row>
    <row r="484" spans="2:6">
      <c r="B484" s="1"/>
      <c r="C484" s="1"/>
      <c r="D484" s="1"/>
      <c r="E484" s="6"/>
      <c r="F484" s="4"/>
    </row>
    <row r="485" spans="2:6">
      <c r="B485" s="1"/>
      <c r="C485" s="1"/>
      <c r="D485" s="1"/>
      <c r="E485" s="6"/>
      <c r="F485" s="4"/>
    </row>
    <row r="486" spans="2:6">
      <c r="B486" s="1"/>
      <c r="C486" s="1"/>
      <c r="D486" s="1"/>
      <c r="E486" s="6"/>
      <c r="F486" s="4"/>
    </row>
    <row r="487" spans="2:6">
      <c r="B487" s="1"/>
      <c r="C487" s="1"/>
      <c r="D487" s="1"/>
      <c r="E487" s="6"/>
      <c r="F487" s="4"/>
    </row>
    <row r="488" spans="2:6">
      <c r="B488" s="1"/>
      <c r="C488" s="1"/>
      <c r="D488" s="1"/>
      <c r="E488" s="6"/>
      <c r="F488" s="4"/>
    </row>
    <row r="489" spans="2:6">
      <c r="B489" s="1"/>
      <c r="C489" s="1"/>
      <c r="D489" s="1"/>
      <c r="E489" s="6"/>
      <c r="F489" s="4"/>
    </row>
    <row r="490" spans="2:6">
      <c r="B490" s="1"/>
      <c r="C490" s="1"/>
      <c r="D490" s="1"/>
      <c r="E490" s="6"/>
      <c r="F490" s="4"/>
    </row>
    <row r="491" spans="2:6">
      <c r="B491" s="1"/>
      <c r="C491" s="1"/>
      <c r="D491" s="1"/>
      <c r="E491" s="6"/>
      <c r="F491" s="4"/>
    </row>
    <row r="492" spans="2:6">
      <c r="B492" s="1"/>
      <c r="C492" s="1"/>
      <c r="D492" s="1"/>
      <c r="E492" s="6"/>
      <c r="F492" s="4"/>
    </row>
    <row r="493" spans="2:6">
      <c r="B493" s="1"/>
      <c r="C493" s="1"/>
      <c r="D493" s="1"/>
      <c r="E493" s="6"/>
      <c r="F493" s="4"/>
    </row>
    <row r="494" spans="2:6">
      <c r="B494" s="1"/>
      <c r="C494" s="1"/>
      <c r="D494" s="1"/>
      <c r="E494" s="6"/>
      <c r="F494" s="4"/>
    </row>
    <row r="495" spans="2:6">
      <c r="B495" s="1"/>
      <c r="C495" s="1"/>
      <c r="D495" s="1"/>
      <c r="E495" s="6"/>
      <c r="F495" s="4"/>
    </row>
    <row r="496" spans="2:6">
      <c r="B496" s="1"/>
      <c r="C496" s="1"/>
      <c r="D496" s="1"/>
      <c r="E496" s="6"/>
      <c r="F496" s="4"/>
    </row>
    <row r="497" spans="2:6">
      <c r="B497" s="1"/>
      <c r="C497" s="1"/>
      <c r="D497" s="1"/>
      <c r="E497" s="6"/>
      <c r="F497" s="4"/>
    </row>
    <row r="498" spans="2:6">
      <c r="B498" s="1"/>
      <c r="C498" s="1"/>
      <c r="D498" s="1"/>
      <c r="E498" s="6"/>
      <c r="F498" s="4"/>
    </row>
    <row r="499" spans="2:6">
      <c r="B499" s="1"/>
      <c r="C499" s="1"/>
      <c r="D499" s="1"/>
      <c r="E499" s="6"/>
      <c r="F499" s="4"/>
    </row>
    <row r="500" spans="2:6">
      <c r="B500" s="1"/>
      <c r="C500" s="1"/>
      <c r="D500" s="1"/>
      <c r="E500" s="6"/>
      <c r="F500" s="4"/>
    </row>
    <row r="501" spans="2:6">
      <c r="B501" s="1"/>
      <c r="C501" s="1"/>
      <c r="D501" s="1"/>
      <c r="E501" s="6"/>
      <c r="F501" s="4"/>
    </row>
    <row r="502" spans="2:6">
      <c r="B502" s="1"/>
      <c r="C502" s="1"/>
      <c r="D502" s="1"/>
      <c r="E502" s="6"/>
      <c r="F502" s="4"/>
    </row>
    <row r="503" spans="2:6">
      <c r="B503" s="1"/>
      <c r="C503" s="1"/>
      <c r="D503" s="1"/>
      <c r="E503" s="6"/>
      <c r="F503" s="4"/>
    </row>
    <row r="504" spans="2:6">
      <c r="B504" s="1"/>
      <c r="C504" s="1"/>
      <c r="D504" s="1"/>
      <c r="E504" s="6"/>
      <c r="F504" s="4"/>
    </row>
    <row r="505" spans="2:6">
      <c r="B505" s="1"/>
      <c r="C505" s="1"/>
      <c r="D505" s="1"/>
      <c r="E505" s="6"/>
      <c r="F505" s="4"/>
    </row>
    <row r="506" spans="2:6">
      <c r="B506" s="1"/>
      <c r="C506" s="1"/>
      <c r="D506" s="1"/>
      <c r="E506" s="6"/>
      <c r="F506" s="4"/>
    </row>
    <row r="507" spans="2:6">
      <c r="B507" s="1"/>
      <c r="C507" s="1"/>
      <c r="D507" s="1"/>
      <c r="E507" s="6"/>
      <c r="F507" s="4"/>
    </row>
    <row r="508" spans="2:6">
      <c r="B508" s="1"/>
      <c r="C508" s="1"/>
      <c r="D508" s="1"/>
      <c r="E508" s="6"/>
      <c r="F508" s="4"/>
    </row>
    <row r="509" spans="2:6">
      <c r="B509" s="1"/>
      <c r="C509" s="1"/>
      <c r="D509" s="1"/>
      <c r="E509" s="6"/>
      <c r="F509" s="4"/>
    </row>
    <row r="510" spans="2:6">
      <c r="B510" s="1"/>
      <c r="C510" s="1"/>
      <c r="D510" s="1"/>
      <c r="E510" s="6"/>
      <c r="F510" s="4"/>
    </row>
    <row r="511" spans="2:6">
      <c r="B511" s="1"/>
      <c r="C511" s="1"/>
      <c r="D511" s="1"/>
      <c r="E511" s="6"/>
      <c r="F511" s="4"/>
    </row>
    <row r="512" spans="2:6">
      <c r="B512" s="1"/>
      <c r="C512" s="1"/>
      <c r="D512" s="1"/>
      <c r="E512" s="6"/>
      <c r="F512" s="4"/>
    </row>
    <row r="513" spans="2:6">
      <c r="B513" s="1"/>
      <c r="C513" s="1"/>
      <c r="D513" s="1"/>
      <c r="E513" s="6"/>
      <c r="F513" s="4"/>
    </row>
    <row r="514" spans="2:6">
      <c r="B514" s="1"/>
      <c r="C514" s="1"/>
      <c r="D514" s="1"/>
      <c r="E514" s="6"/>
      <c r="F514" s="4"/>
    </row>
    <row r="515" spans="2:6">
      <c r="B515" s="1"/>
      <c r="C515" s="1"/>
      <c r="D515" s="1"/>
      <c r="E515" s="6"/>
      <c r="F515" s="4"/>
    </row>
    <row r="516" spans="2:6">
      <c r="B516" s="1"/>
      <c r="C516" s="1"/>
      <c r="D516" s="1"/>
      <c r="E516" s="6"/>
      <c r="F516" s="4"/>
    </row>
    <row r="517" spans="2:6">
      <c r="B517" s="1"/>
      <c r="C517" s="1"/>
      <c r="D517" s="1"/>
      <c r="E517" s="6"/>
      <c r="F517" s="4"/>
    </row>
    <row r="518" spans="2:6">
      <c r="B518" s="1"/>
      <c r="C518" s="1"/>
      <c r="D518" s="1"/>
      <c r="E518" s="6"/>
      <c r="F518" s="4"/>
    </row>
    <row r="519" spans="2:6">
      <c r="B519" s="1"/>
      <c r="C519" s="1"/>
      <c r="D519" s="1"/>
      <c r="E519" s="6"/>
      <c r="F519" s="4"/>
    </row>
    <row r="520" spans="2:6">
      <c r="B520" s="1"/>
      <c r="C520" s="1"/>
      <c r="D520" s="1"/>
      <c r="E520" s="6"/>
      <c r="F520" s="4"/>
    </row>
    <row r="521" spans="2:6">
      <c r="B521" s="1"/>
      <c r="C521" s="1"/>
      <c r="D521" s="1"/>
      <c r="E521" s="6"/>
      <c r="F521" s="4"/>
    </row>
    <row r="522" spans="2:6">
      <c r="B522" s="1"/>
      <c r="C522" s="1"/>
      <c r="D522" s="1"/>
      <c r="E522" s="6"/>
      <c r="F522" s="4"/>
    </row>
    <row r="523" spans="2:6">
      <c r="B523" s="1"/>
      <c r="C523" s="1"/>
      <c r="D523" s="1"/>
      <c r="E523" s="6"/>
      <c r="F523" s="4"/>
    </row>
    <row r="524" spans="2:6">
      <c r="B524" s="1"/>
      <c r="C524" s="1"/>
      <c r="D524" s="1"/>
      <c r="E524" s="6"/>
      <c r="F524" s="4"/>
    </row>
    <row r="525" spans="2:6">
      <c r="B525" s="1"/>
      <c r="C525" s="1"/>
      <c r="D525" s="1"/>
      <c r="E525" s="6"/>
      <c r="F525" s="4"/>
    </row>
    <row r="526" spans="2:6">
      <c r="B526" s="1"/>
      <c r="C526" s="1"/>
      <c r="D526" s="1"/>
      <c r="E526" s="6"/>
      <c r="F526" s="4"/>
    </row>
    <row r="527" spans="2:6">
      <c r="B527" s="1"/>
      <c r="C527" s="1"/>
      <c r="D527" s="1"/>
      <c r="E527" s="6"/>
      <c r="F527" s="4"/>
    </row>
    <row r="528" spans="2:6">
      <c r="B528" s="1"/>
      <c r="C528" s="1"/>
      <c r="D528" s="1"/>
      <c r="E528" s="6"/>
      <c r="F528" s="4"/>
    </row>
    <row r="529" spans="2:6">
      <c r="B529" s="1"/>
      <c r="C529" s="1"/>
      <c r="D529" s="1"/>
      <c r="E529" s="6"/>
      <c r="F529" s="4"/>
    </row>
    <row r="530" spans="2:6">
      <c r="B530" s="1"/>
      <c r="C530" s="1"/>
      <c r="D530" s="1"/>
      <c r="E530" s="6"/>
      <c r="F530" s="4"/>
    </row>
    <row r="531" spans="2:6">
      <c r="B531" s="1"/>
      <c r="C531" s="1"/>
      <c r="D531" s="1"/>
      <c r="E531" s="6"/>
      <c r="F531" s="4"/>
    </row>
    <row r="532" spans="2:6">
      <c r="B532" s="1"/>
      <c r="C532" s="1"/>
      <c r="D532" s="1"/>
      <c r="E532" s="6"/>
      <c r="F532" s="4"/>
    </row>
    <row r="533" spans="2:6">
      <c r="B533" s="1"/>
      <c r="C533" s="1"/>
      <c r="D533" s="1"/>
      <c r="E533" s="6"/>
      <c r="F533" s="4"/>
    </row>
    <row r="534" spans="2:6">
      <c r="B534" s="1"/>
      <c r="C534" s="1"/>
      <c r="D534" s="1"/>
      <c r="E534" s="6"/>
      <c r="F534" s="4"/>
    </row>
    <row r="535" spans="2:6">
      <c r="B535" s="1"/>
      <c r="C535" s="1"/>
      <c r="D535" s="1"/>
      <c r="E535" s="6"/>
      <c r="F535" s="4"/>
    </row>
    <row r="536" spans="2:6">
      <c r="B536" s="1"/>
      <c r="C536" s="1"/>
      <c r="D536" s="1"/>
      <c r="E536" s="6"/>
      <c r="F536" s="4"/>
    </row>
    <row r="537" spans="2:6">
      <c r="B537" s="1"/>
      <c r="C537" s="1"/>
      <c r="D537" s="1"/>
      <c r="E537" s="6"/>
      <c r="F537" s="4"/>
    </row>
    <row r="538" spans="2:6">
      <c r="B538" s="1"/>
      <c r="C538" s="1"/>
      <c r="D538" s="1"/>
      <c r="E538" s="6"/>
      <c r="F538" s="4"/>
    </row>
    <row r="539" spans="2:6">
      <c r="B539" s="1"/>
      <c r="C539" s="1"/>
      <c r="D539" s="1"/>
      <c r="E539" s="6"/>
      <c r="F539" s="4"/>
    </row>
    <row r="540" spans="2:6">
      <c r="B540" s="1"/>
      <c r="C540" s="1"/>
      <c r="D540" s="1"/>
      <c r="E540" s="6"/>
      <c r="F540" s="4"/>
    </row>
    <row r="541" spans="2:6">
      <c r="B541" s="1"/>
      <c r="C541" s="1"/>
      <c r="D541" s="1"/>
      <c r="E541" s="6"/>
      <c r="F541" s="4"/>
    </row>
    <row r="542" spans="2:6">
      <c r="B542" s="1"/>
      <c r="C542" s="1"/>
      <c r="D542" s="1"/>
      <c r="E542" s="6"/>
      <c r="F542" s="4"/>
    </row>
    <row r="543" spans="2:6">
      <c r="B543" s="1"/>
      <c r="C543" s="1"/>
      <c r="D543" s="1"/>
      <c r="E543" s="6"/>
      <c r="F543" s="4"/>
    </row>
    <row r="544" spans="2:6">
      <c r="B544" s="1"/>
      <c r="C544" s="1"/>
      <c r="D544" s="1"/>
      <c r="E544" s="6"/>
      <c r="F544" s="4"/>
    </row>
    <row r="545" spans="2:6">
      <c r="B545" s="1"/>
      <c r="C545" s="1"/>
      <c r="D545" s="1"/>
      <c r="E545" s="6"/>
      <c r="F545" s="4"/>
    </row>
    <row r="546" spans="2:6">
      <c r="B546" s="1"/>
      <c r="C546" s="1"/>
      <c r="D546" s="1"/>
      <c r="E546" s="6"/>
      <c r="F546" s="4"/>
    </row>
    <row r="547" spans="2:6">
      <c r="B547" s="1"/>
      <c r="C547" s="1"/>
      <c r="D547" s="1"/>
      <c r="E547" s="6"/>
      <c r="F547" s="4"/>
    </row>
    <row r="548" spans="2:6">
      <c r="B548" s="1"/>
      <c r="C548" s="1"/>
      <c r="D548" s="1"/>
      <c r="E548" s="6"/>
      <c r="F548" s="4"/>
    </row>
    <row r="549" spans="2:6">
      <c r="B549" s="1"/>
      <c r="C549" s="1"/>
      <c r="D549" s="1"/>
      <c r="E549" s="6"/>
      <c r="F549" s="4"/>
    </row>
    <row r="550" spans="2:6">
      <c r="B550" s="1"/>
      <c r="C550" s="1"/>
      <c r="D550" s="1"/>
      <c r="E550" s="6"/>
      <c r="F550" s="4"/>
    </row>
    <row r="551" spans="2:6">
      <c r="B551" s="1"/>
      <c r="C551" s="1"/>
      <c r="D551" s="1"/>
      <c r="E551" s="6"/>
      <c r="F551" s="4"/>
    </row>
    <row r="552" spans="2:6">
      <c r="B552" s="1"/>
      <c r="C552" s="1"/>
      <c r="D552" s="1"/>
      <c r="E552" s="6"/>
      <c r="F552" s="4"/>
    </row>
    <row r="553" spans="2:6">
      <c r="B553" s="1"/>
      <c r="C553" s="1"/>
      <c r="D553" s="1"/>
      <c r="E553" s="6"/>
      <c r="F553" s="4"/>
    </row>
    <row r="554" spans="2:6">
      <c r="B554" s="1"/>
      <c r="C554" s="1"/>
      <c r="D554" s="1"/>
      <c r="E554" s="6"/>
      <c r="F554" s="4"/>
    </row>
    <row r="555" spans="2:6">
      <c r="B555" s="1"/>
      <c r="C555" s="1"/>
      <c r="D555" s="1"/>
      <c r="E555" s="6"/>
      <c r="F555" s="4"/>
    </row>
    <row r="556" spans="2:6">
      <c r="B556" s="1"/>
      <c r="C556" s="1"/>
      <c r="D556" s="1"/>
      <c r="E556" s="6"/>
      <c r="F556" s="4"/>
    </row>
    <row r="557" spans="2:6">
      <c r="B557" s="1"/>
      <c r="C557" s="1"/>
      <c r="D557" s="1"/>
      <c r="E557" s="6"/>
      <c r="F557" s="4"/>
    </row>
    <row r="558" spans="2:6">
      <c r="B558" s="1"/>
      <c r="C558" s="1"/>
      <c r="D558" s="1"/>
      <c r="E558" s="6"/>
      <c r="F558" s="4"/>
    </row>
    <row r="559" spans="2:6">
      <c r="B559" s="1"/>
      <c r="C559" s="1"/>
      <c r="D559" s="1"/>
      <c r="E559" s="6"/>
      <c r="F559" s="4"/>
    </row>
    <row r="560" spans="2:6">
      <c r="B560" s="1"/>
      <c r="C560" s="1"/>
      <c r="D560" s="1"/>
      <c r="E560" s="6"/>
      <c r="F560" s="4"/>
    </row>
    <row r="561" spans="2:6">
      <c r="B561" s="1"/>
      <c r="C561" s="1"/>
      <c r="D561" s="1"/>
      <c r="E561" s="6"/>
      <c r="F561" s="4"/>
    </row>
    <row r="562" spans="2:6">
      <c r="B562" s="1"/>
      <c r="C562" s="1"/>
      <c r="D562" s="1"/>
      <c r="E562" s="6"/>
      <c r="F562" s="4"/>
    </row>
    <row r="563" spans="2:6">
      <c r="B563" s="1"/>
      <c r="C563" s="1"/>
      <c r="D563" s="1"/>
      <c r="E563" s="6"/>
      <c r="F563" s="4"/>
    </row>
    <row r="564" spans="2:6">
      <c r="B564" s="1"/>
      <c r="C564" s="1"/>
      <c r="D564" s="1"/>
      <c r="E564" s="6"/>
      <c r="F564" s="4"/>
    </row>
    <row r="565" spans="2:6">
      <c r="B565" s="1"/>
      <c r="C565" s="1"/>
      <c r="D565" s="1"/>
      <c r="E565" s="6"/>
      <c r="F565" s="4"/>
    </row>
    <row r="566" spans="2:6">
      <c r="B566" s="1"/>
      <c r="C566" s="1"/>
      <c r="D566" s="1"/>
      <c r="E566" s="6"/>
      <c r="F566" s="4"/>
    </row>
    <row r="567" spans="2:6">
      <c r="B567" s="1"/>
      <c r="C567" s="1"/>
      <c r="D567" s="1"/>
      <c r="E567" s="6"/>
      <c r="F567" s="4"/>
    </row>
    <row r="568" spans="2:6">
      <c r="B568" s="1"/>
      <c r="C568" s="1"/>
      <c r="D568" s="1"/>
      <c r="E568" s="6"/>
      <c r="F568" s="4"/>
    </row>
    <row r="569" spans="2:6">
      <c r="B569" s="1"/>
      <c r="C569" s="1"/>
      <c r="D569" s="1"/>
      <c r="E569" s="6"/>
      <c r="F569" s="4"/>
    </row>
    <row r="570" spans="2:6">
      <c r="B570" s="1"/>
      <c r="C570" s="1"/>
      <c r="D570" s="1"/>
      <c r="E570" s="6"/>
      <c r="F570" s="4"/>
    </row>
    <row r="571" spans="2:6">
      <c r="B571" s="1"/>
      <c r="C571" s="1"/>
      <c r="D571" s="1"/>
      <c r="E571" s="6"/>
      <c r="F571" s="4"/>
    </row>
    <row r="572" spans="2:6">
      <c r="B572" s="1"/>
      <c r="C572" s="1"/>
      <c r="D572" s="1"/>
      <c r="E572" s="6"/>
      <c r="F572" s="4"/>
    </row>
    <row r="573" spans="2:6">
      <c r="B573" s="1"/>
      <c r="C573" s="1"/>
      <c r="D573" s="1"/>
      <c r="E573" s="6"/>
      <c r="F573" s="4"/>
    </row>
    <row r="574" spans="2:6">
      <c r="B574" s="1"/>
      <c r="C574" s="1"/>
      <c r="D574" s="1"/>
      <c r="E574" s="6"/>
      <c r="F574" s="4"/>
    </row>
    <row r="575" spans="2:6">
      <c r="B575" s="1"/>
      <c r="C575" s="1"/>
      <c r="D575" s="1"/>
      <c r="E575" s="6"/>
      <c r="F575" s="4"/>
    </row>
    <row r="576" spans="2:6">
      <c r="B576" s="1"/>
      <c r="C576" s="1"/>
      <c r="D576" s="1"/>
      <c r="E576" s="6"/>
      <c r="F576" s="4"/>
    </row>
    <row r="577" spans="2:6">
      <c r="B577" s="1"/>
      <c r="C577" s="1"/>
      <c r="D577" s="1"/>
      <c r="E577" s="6"/>
      <c r="F577" s="4"/>
    </row>
    <row r="578" spans="2:6">
      <c r="B578" s="1"/>
      <c r="C578" s="1"/>
      <c r="D578" s="1"/>
      <c r="E578" s="6"/>
      <c r="F578" s="4"/>
    </row>
    <row r="579" spans="2:6">
      <c r="B579" s="1"/>
      <c r="C579" s="1"/>
      <c r="D579" s="1"/>
      <c r="E579" s="6"/>
      <c r="F579" s="4"/>
    </row>
    <row r="580" spans="2:6">
      <c r="B580" s="1"/>
      <c r="C580" s="1"/>
      <c r="D580" s="1"/>
      <c r="E580" s="6"/>
      <c r="F580" s="4"/>
    </row>
    <row r="581" spans="2:6">
      <c r="B581" s="1"/>
      <c r="C581" s="1"/>
      <c r="D581" s="1"/>
      <c r="E581" s="6"/>
      <c r="F581" s="4"/>
    </row>
    <row r="582" spans="2:6">
      <c r="B582" s="1"/>
      <c r="C582" s="1"/>
      <c r="D582" s="1"/>
      <c r="E582" s="6"/>
      <c r="F582" s="4"/>
    </row>
    <row r="583" spans="2:6">
      <c r="B583" s="1"/>
      <c r="C583" s="1"/>
      <c r="D583" s="1"/>
      <c r="E583" s="6"/>
      <c r="F583" s="4"/>
    </row>
    <row r="584" spans="2:6">
      <c r="B584" s="1"/>
      <c r="C584" s="1"/>
      <c r="D584" s="1"/>
      <c r="E584" s="6"/>
      <c r="F584" s="4"/>
    </row>
    <row r="585" spans="2:6">
      <c r="B585" s="1"/>
      <c r="C585" s="1"/>
      <c r="D585" s="1"/>
      <c r="E585" s="6"/>
      <c r="F585" s="4"/>
    </row>
    <row r="586" spans="2:6">
      <c r="B586" s="1"/>
      <c r="C586" s="1"/>
      <c r="D586" s="1"/>
      <c r="E586" s="6"/>
      <c r="F586" s="4"/>
    </row>
    <row r="587" spans="2:6">
      <c r="B587" s="1"/>
      <c r="C587" s="1"/>
      <c r="D587" s="1"/>
      <c r="E587" s="6"/>
      <c r="F587" s="4"/>
    </row>
    <row r="588" spans="2:6">
      <c r="B588" s="1"/>
      <c r="C588" s="1"/>
      <c r="D588" s="1"/>
      <c r="E588" s="6"/>
      <c r="F588" s="4"/>
    </row>
    <row r="589" spans="2:6">
      <c r="B589" s="1"/>
      <c r="C589" s="1"/>
      <c r="D589" s="1"/>
      <c r="E589" s="6"/>
      <c r="F589" s="4"/>
    </row>
    <row r="590" spans="2:6">
      <c r="B590" s="1"/>
      <c r="C590" s="1"/>
      <c r="D590" s="1"/>
      <c r="E590" s="6"/>
      <c r="F590" s="4"/>
    </row>
    <row r="591" spans="2:6">
      <c r="B591" s="1"/>
      <c r="C591" s="1"/>
      <c r="D591" s="1"/>
      <c r="E591" s="6"/>
      <c r="F591" s="4"/>
    </row>
    <row r="592" spans="2:6">
      <c r="B592" s="1"/>
      <c r="C592" s="1"/>
      <c r="D592" s="1"/>
      <c r="E592" s="6"/>
      <c r="F592" s="4"/>
    </row>
    <row r="593" spans="2:6">
      <c r="B593" s="1"/>
      <c r="C593" s="1"/>
      <c r="D593" s="1"/>
      <c r="E593" s="6"/>
      <c r="F593" s="4"/>
    </row>
    <row r="594" spans="2:6">
      <c r="B594" s="1"/>
      <c r="C594" s="1"/>
      <c r="D594" s="1"/>
      <c r="E594" s="6"/>
      <c r="F594" s="4"/>
    </row>
    <row r="595" spans="2:6">
      <c r="B595" s="1"/>
      <c r="C595" s="1"/>
      <c r="D595" s="1"/>
      <c r="E595" s="6"/>
      <c r="F595" s="4"/>
    </row>
    <row r="596" spans="2:6">
      <c r="B596" s="1"/>
      <c r="C596" s="1"/>
      <c r="D596" s="1"/>
      <c r="E596" s="6"/>
      <c r="F596" s="4"/>
    </row>
    <row r="597" spans="2:6">
      <c r="B597" s="1"/>
      <c r="C597" s="1"/>
      <c r="D597" s="1"/>
      <c r="E597" s="6"/>
      <c r="F597" s="4"/>
    </row>
    <row r="598" spans="2:6">
      <c r="B598" s="1"/>
      <c r="C598" s="1"/>
      <c r="D598" s="1"/>
      <c r="E598" s="6"/>
      <c r="F598" s="4"/>
    </row>
    <row r="599" spans="2:6">
      <c r="B599" s="1"/>
      <c r="C599" s="1"/>
      <c r="D599" s="1"/>
      <c r="E599" s="6"/>
      <c r="F599" s="4"/>
    </row>
    <row r="600" spans="2:6">
      <c r="B600" s="1"/>
      <c r="C600" s="1"/>
      <c r="D600" s="1"/>
      <c r="E600" s="6"/>
      <c r="F600" s="4"/>
    </row>
    <row r="601" spans="2:6">
      <c r="B601" s="1"/>
      <c r="C601" s="1"/>
      <c r="D601" s="1"/>
      <c r="E601" s="6"/>
      <c r="F601" s="4"/>
    </row>
    <row r="602" spans="2:6">
      <c r="B602" s="1"/>
      <c r="C602" s="1"/>
      <c r="D602" s="1"/>
      <c r="E602" s="6"/>
      <c r="F602" s="4"/>
    </row>
    <row r="603" spans="2:6">
      <c r="B603" s="1"/>
      <c r="C603" s="1"/>
      <c r="D603" s="1"/>
      <c r="E603" s="6"/>
      <c r="F603" s="4"/>
    </row>
    <row r="604" spans="2:6">
      <c r="B604" s="1"/>
      <c r="C604" s="1"/>
      <c r="D604" s="1"/>
      <c r="E604" s="6"/>
      <c r="F604" s="4"/>
    </row>
    <row r="605" spans="2:6">
      <c r="B605" s="1"/>
      <c r="C605" s="1"/>
      <c r="D605" s="1"/>
      <c r="E605" s="6"/>
      <c r="F605" s="4"/>
    </row>
    <row r="606" spans="2:6">
      <c r="B606" s="1"/>
      <c r="C606" s="1"/>
      <c r="D606" s="1"/>
      <c r="E606" s="6"/>
      <c r="F606" s="4"/>
    </row>
    <row r="607" spans="2:6">
      <c r="B607" s="1"/>
      <c r="C607" s="1"/>
      <c r="D607" s="1"/>
      <c r="E607" s="6"/>
      <c r="F607" s="4"/>
    </row>
    <row r="608" spans="2:6">
      <c r="B608" s="1"/>
      <c r="C608" s="1"/>
      <c r="D608" s="1"/>
      <c r="E608" s="6"/>
      <c r="F608" s="4"/>
    </row>
    <row r="609" spans="2:6">
      <c r="B609" s="1"/>
      <c r="C609" s="1"/>
      <c r="D609" s="1"/>
      <c r="E609" s="6"/>
      <c r="F609" s="4"/>
    </row>
    <row r="610" spans="2:6">
      <c r="B610" s="1"/>
      <c r="C610" s="1"/>
      <c r="D610" s="1"/>
      <c r="E610" s="6"/>
      <c r="F610" s="4"/>
    </row>
    <row r="611" spans="2:6">
      <c r="B611" s="1"/>
      <c r="C611" s="1"/>
      <c r="D611" s="1"/>
      <c r="E611" s="6"/>
      <c r="F611" s="4"/>
    </row>
    <row r="612" spans="2:6">
      <c r="B612" s="1"/>
      <c r="C612" s="1"/>
      <c r="D612" s="1"/>
      <c r="E612" s="6"/>
      <c r="F612" s="4"/>
    </row>
    <row r="613" spans="2:6">
      <c r="B613" s="1"/>
      <c r="C613" s="1"/>
      <c r="D613" s="1"/>
      <c r="E613" s="6"/>
      <c r="F613" s="4"/>
    </row>
    <row r="614" spans="2:6">
      <c r="B614" s="1"/>
      <c r="C614" s="1"/>
      <c r="D614" s="1"/>
      <c r="E614" s="6"/>
      <c r="F614" s="4"/>
    </row>
    <row r="615" spans="2:6">
      <c r="B615" s="1"/>
      <c r="C615" s="1"/>
      <c r="D615" s="1"/>
      <c r="E615" s="6"/>
      <c r="F615" s="4"/>
    </row>
    <row r="616" spans="2:6">
      <c r="B616" s="1"/>
      <c r="C616" s="1"/>
      <c r="D616" s="1"/>
      <c r="E616" s="6"/>
      <c r="F616" s="4"/>
    </row>
    <row r="617" spans="2:6">
      <c r="B617" s="1"/>
      <c r="C617" s="1"/>
      <c r="D617" s="1"/>
      <c r="E617" s="6"/>
      <c r="F617" s="4"/>
    </row>
    <row r="618" spans="2:6">
      <c r="B618" s="1"/>
      <c r="C618" s="1"/>
      <c r="D618" s="1"/>
      <c r="E618" s="6"/>
      <c r="F618" s="4"/>
    </row>
    <row r="619" spans="2:6">
      <c r="B619" s="1"/>
      <c r="C619" s="1"/>
      <c r="D619" s="1"/>
      <c r="E619" s="6"/>
      <c r="F619" s="4"/>
    </row>
    <row r="620" spans="2:6">
      <c r="B620" s="1"/>
      <c r="C620" s="1"/>
      <c r="D620" s="1"/>
      <c r="E620" s="6"/>
      <c r="F620" s="4"/>
    </row>
    <row r="621" spans="2:6">
      <c r="B621" s="1"/>
      <c r="C621" s="1"/>
      <c r="D621" s="1"/>
      <c r="E621" s="6"/>
      <c r="F621" s="4"/>
    </row>
    <row r="622" spans="2:6">
      <c r="B622" s="1"/>
      <c r="C622" s="1"/>
      <c r="D622" s="1"/>
      <c r="E622" s="6"/>
      <c r="F622" s="4"/>
    </row>
    <row r="623" spans="2:6">
      <c r="B623" s="1"/>
      <c r="C623" s="1"/>
      <c r="D623" s="1"/>
      <c r="E623" s="6"/>
      <c r="F623" s="4"/>
    </row>
    <row r="624" spans="2:6">
      <c r="B624" s="1"/>
      <c r="C624" s="1"/>
      <c r="D624" s="1"/>
      <c r="E624" s="6"/>
      <c r="F624" s="4"/>
    </row>
    <row r="625" spans="2:6">
      <c r="B625" s="1"/>
      <c r="C625" s="1"/>
      <c r="D625" s="1"/>
      <c r="E625" s="6"/>
      <c r="F625" s="4"/>
    </row>
    <row r="626" spans="2:6">
      <c r="B626" s="1"/>
      <c r="C626" s="1"/>
      <c r="D626" s="1"/>
      <c r="E626" s="6"/>
      <c r="F626" s="4"/>
    </row>
    <row r="627" spans="2:6">
      <c r="B627" s="1"/>
      <c r="C627" s="1"/>
      <c r="D627" s="1"/>
      <c r="E627" s="6"/>
      <c r="F627" s="4"/>
    </row>
    <row r="628" spans="2:6">
      <c r="B628" s="1"/>
      <c r="C628" s="1"/>
      <c r="D628" s="1"/>
      <c r="E628" s="6"/>
      <c r="F628" s="4"/>
    </row>
    <row r="629" spans="2:6">
      <c r="B629" s="1"/>
      <c r="C629" s="1"/>
      <c r="D629" s="1"/>
      <c r="E629" s="6"/>
      <c r="F629" s="4"/>
    </row>
    <row r="630" spans="2:6">
      <c r="B630" s="1"/>
      <c r="C630" s="1"/>
      <c r="D630" s="1"/>
      <c r="E630" s="6"/>
      <c r="F630" s="4"/>
    </row>
    <row r="631" spans="2:6">
      <c r="B631" s="1"/>
      <c r="C631" s="1"/>
      <c r="D631" s="1"/>
      <c r="E631" s="6"/>
      <c r="F631" s="4"/>
    </row>
    <row r="632" spans="2:6">
      <c r="B632" s="1"/>
      <c r="C632" s="1"/>
      <c r="D632" s="1"/>
      <c r="E632" s="6"/>
      <c r="F632" s="4"/>
    </row>
    <row r="633" spans="2:6">
      <c r="B633" s="1"/>
      <c r="C633" s="1"/>
      <c r="D633" s="1"/>
      <c r="E633" s="6"/>
      <c r="F633" s="4"/>
    </row>
    <row r="634" spans="2:6">
      <c r="B634" s="1"/>
      <c r="C634" s="1"/>
      <c r="D634" s="1"/>
      <c r="E634" s="6"/>
      <c r="F634" s="4"/>
    </row>
    <row r="635" spans="2:6">
      <c r="B635" s="1"/>
      <c r="C635" s="1"/>
      <c r="D635" s="1"/>
      <c r="E635" s="6"/>
      <c r="F635" s="4"/>
    </row>
    <row r="636" spans="2:6">
      <c r="B636" s="1"/>
      <c r="C636" s="1"/>
      <c r="D636" s="1"/>
      <c r="E636" s="6"/>
      <c r="F636" s="4"/>
    </row>
    <row r="637" spans="2:6">
      <c r="B637" s="1"/>
      <c r="C637" s="1"/>
      <c r="D637" s="1"/>
      <c r="E637" s="6"/>
      <c r="F637" s="4"/>
    </row>
    <row r="638" spans="2:6">
      <c r="B638" s="1"/>
      <c r="C638" s="1"/>
      <c r="D638" s="1"/>
      <c r="E638" s="6"/>
      <c r="F638" s="4"/>
    </row>
    <row r="639" spans="2:6">
      <c r="B639" s="1"/>
      <c r="C639" s="1"/>
      <c r="D639" s="1"/>
      <c r="E639" s="6"/>
      <c r="F639" s="4"/>
    </row>
    <row r="640" spans="2:6">
      <c r="B640" s="1"/>
      <c r="C640" s="1"/>
      <c r="D640" s="1"/>
      <c r="E640" s="6"/>
      <c r="F640" s="4"/>
    </row>
    <row r="641" spans="2:6">
      <c r="B641" s="1"/>
      <c r="C641" s="1"/>
      <c r="D641" s="1"/>
      <c r="E641" s="6"/>
      <c r="F641" s="4"/>
    </row>
    <row r="642" spans="2:6">
      <c r="B642" s="1"/>
      <c r="C642" s="1"/>
      <c r="D642" s="1"/>
      <c r="E642" s="6"/>
      <c r="F642" s="4"/>
    </row>
    <row r="643" spans="2:6">
      <c r="B643" s="1"/>
      <c r="C643" s="1"/>
      <c r="D643" s="1"/>
      <c r="E643" s="6"/>
      <c r="F643" s="4"/>
    </row>
    <row r="644" spans="2:6">
      <c r="B644" s="1"/>
      <c r="C644" s="1"/>
      <c r="D644" s="1"/>
      <c r="E644" s="6"/>
      <c r="F644" s="4"/>
    </row>
    <row r="645" spans="2:6">
      <c r="B645" s="1"/>
      <c r="C645" s="1"/>
      <c r="D645" s="1"/>
      <c r="E645" s="6"/>
      <c r="F645" s="4"/>
    </row>
    <row r="646" spans="2:6">
      <c r="B646" s="1"/>
      <c r="C646" s="1"/>
      <c r="D646" s="1"/>
      <c r="E646" s="6"/>
      <c r="F646" s="4"/>
    </row>
    <row r="647" spans="2:6">
      <c r="B647" s="1"/>
      <c r="C647" s="1"/>
      <c r="D647" s="1"/>
      <c r="E647" s="6"/>
      <c r="F647" s="4"/>
    </row>
    <row r="648" spans="2:6">
      <c r="B648" s="1"/>
      <c r="C648" s="1"/>
      <c r="D648" s="1"/>
      <c r="E648" s="6"/>
      <c r="F648" s="4"/>
    </row>
    <row r="649" spans="2:6">
      <c r="B649" s="1"/>
      <c r="C649" s="1"/>
      <c r="D649" s="1"/>
      <c r="E649" s="6"/>
      <c r="F649" s="4"/>
    </row>
    <row r="650" spans="2:6">
      <c r="B650" s="1"/>
      <c r="C650" s="1"/>
      <c r="D650" s="1"/>
      <c r="E650" s="6"/>
      <c r="F650" s="4"/>
    </row>
    <row r="651" spans="2:6">
      <c r="B651" s="1"/>
      <c r="C651" s="1"/>
      <c r="D651" s="1"/>
      <c r="E651" s="6"/>
      <c r="F651" s="4"/>
    </row>
    <row r="652" spans="2:6">
      <c r="B652" s="1"/>
      <c r="C652" s="1"/>
      <c r="D652" s="1"/>
      <c r="E652" s="6"/>
      <c r="F652" s="4"/>
    </row>
    <row r="653" spans="2:6">
      <c r="B653" s="1"/>
      <c r="C653" s="1"/>
      <c r="D653" s="1"/>
      <c r="E653" s="6"/>
      <c r="F653" s="4"/>
    </row>
    <row r="654" spans="2:6">
      <c r="B654" s="1"/>
      <c r="C654" s="1"/>
      <c r="D654" s="1"/>
      <c r="E654" s="6"/>
      <c r="F654" s="4"/>
    </row>
    <row r="655" spans="2:6">
      <c r="B655" s="1"/>
      <c r="C655" s="1"/>
      <c r="D655" s="1"/>
      <c r="E655" s="6"/>
      <c r="F655" s="4"/>
    </row>
    <row r="656" spans="2:6">
      <c r="B656" s="1"/>
      <c r="C656" s="1"/>
      <c r="D656" s="1"/>
      <c r="E656" s="6"/>
      <c r="F656" s="4"/>
    </row>
    <row r="657" spans="2:6">
      <c r="B657" s="1"/>
      <c r="C657" s="1"/>
      <c r="D657" s="1"/>
      <c r="E657" s="6"/>
      <c r="F657" s="4"/>
    </row>
    <row r="658" spans="2:6">
      <c r="B658" s="1"/>
      <c r="C658" s="1"/>
      <c r="D658" s="1"/>
      <c r="E658" s="6"/>
      <c r="F658" s="4"/>
    </row>
    <row r="659" spans="2:6">
      <c r="B659" s="1"/>
      <c r="C659" s="1"/>
      <c r="D659" s="1"/>
      <c r="E659" s="6"/>
      <c r="F659" s="4"/>
    </row>
    <row r="660" spans="2:6">
      <c r="B660" s="1"/>
      <c r="C660" s="1"/>
      <c r="D660" s="1"/>
      <c r="E660" s="6"/>
      <c r="F660" s="4"/>
    </row>
    <row r="661" spans="2:6">
      <c r="B661" s="1"/>
      <c r="C661" s="1"/>
      <c r="D661" s="1"/>
      <c r="E661" s="6"/>
      <c r="F661" s="4"/>
    </row>
    <row r="662" spans="2:6">
      <c r="B662" s="1"/>
      <c r="C662" s="1"/>
      <c r="D662" s="1"/>
      <c r="E662" s="6"/>
      <c r="F662" s="4"/>
    </row>
    <row r="663" spans="2:6">
      <c r="B663" s="1"/>
      <c r="C663" s="1"/>
      <c r="D663" s="1"/>
      <c r="E663" s="6"/>
      <c r="F663" s="4"/>
    </row>
    <row r="664" spans="2:6">
      <c r="B664" s="1"/>
      <c r="C664" s="1"/>
      <c r="D664" s="1"/>
      <c r="E664" s="6"/>
      <c r="F664" s="4"/>
    </row>
    <row r="665" spans="2:6">
      <c r="B665" s="1"/>
      <c r="C665" s="1"/>
      <c r="D665" s="1"/>
      <c r="E665" s="6"/>
      <c r="F665" s="4"/>
    </row>
    <row r="666" spans="2:6">
      <c r="B666" s="1"/>
      <c r="C666" s="1"/>
      <c r="D666" s="1"/>
      <c r="E666" s="6"/>
      <c r="F666" s="4"/>
    </row>
    <row r="667" spans="2:6">
      <c r="B667" s="1"/>
      <c r="C667" s="1"/>
      <c r="D667" s="1"/>
      <c r="E667" s="6"/>
      <c r="F667" s="4"/>
    </row>
    <row r="668" spans="2:6">
      <c r="B668" s="1"/>
      <c r="C668" s="1"/>
      <c r="D668" s="1"/>
      <c r="E668" s="6"/>
      <c r="F668" s="4"/>
    </row>
    <row r="669" spans="2:6">
      <c r="B669" s="1"/>
      <c r="C669" s="1"/>
      <c r="D669" s="1"/>
      <c r="E669" s="6"/>
      <c r="F669" s="4"/>
    </row>
    <row r="670" spans="2:6">
      <c r="B670" s="1"/>
      <c r="C670" s="1"/>
      <c r="D670" s="1"/>
      <c r="E670" s="6"/>
      <c r="F670" s="4"/>
    </row>
    <row r="671" spans="2:6">
      <c r="B671" s="1"/>
      <c r="C671" s="1"/>
      <c r="D671" s="1"/>
      <c r="E671" s="6"/>
      <c r="F671" s="4"/>
    </row>
    <row r="672" spans="2:6">
      <c r="B672" s="1"/>
      <c r="C672" s="1"/>
      <c r="D672" s="1"/>
      <c r="E672" s="6"/>
      <c r="F672" s="4"/>
    </row>
    <row r="673" spans="2:6">
      <c r="B673" s="1"/>
      <c r="C673" s="1"/>
      <c r="D673" s="1"/>
      <c r="E673" s="6"/>
      <c r="F673" s="4"/>
    </row>
    <row r="674" spans="2:6">
      <c r="B674" s="1"/>
      <c r="C674" s="1"/>
      <c r="D674" s="1"/>
      <c r="E674" s="6"/>
      <c r="F674" s="4"/>
    </row>
    <row r="675" spans="2:6">
      <c r="B675" s="1"/>
      <c r="C675" s="1"/>
      <c r="D675" s="1"/>
      <c r="E675" s="6"/>
      <c r="F675" s="4"/>
    </row>
    <row r="676" spans="2:6">
      <c r="B676" s="1"/>
      <c r="C676" s="1"/>
      <c r="D676" s="1"/>
      <c r="E676" s="6"/>
      <c r="F676" s="4"/>
    </row>
    <row r="677" spans="2:6">
      <c r="B677" s="1"/>
      <c r="C677" s="1"/>
      <c r="D677" s="1"/>
      <c r="E677" s="6"/>
      <c r="F677" s="4"/>
    </row>
    <row r="678" spans="2:6">
      <c r="B678" s="1"/>
      <c r="C678" s="1"/>
      <c r="D678" s="1"/>
      <c r="E678" s="6"/>
      <c r="F678" s="4"/>
    </row>
    <row r="679" spans="2:6">
      <c r="B679" s="1"/>
      <c r="C679" s="1"/>
      <c r="D679" s="1"/>
      <c r="E679" s="6"/>
      <c r="F679" s="4"/>
    </row>
    <row r="680" spans="2:6">
      <c r="B680" s="1"/>
      <c r="C680" s="1"/>
      <c r="D680" s="1"/>
      <c r="E680" s="6"/>
      <c r="F680" s="4"/>
    </row>
    <row r="681" spans="2:6">
      <c r="B681" s="1"/>
      <c r="C681" s="1"/>
      <c r="D681" s="1"/>
      <c r="E681" s="6"/>
      <c r="F681" s="4"/>
    </row>
    <row r="682" spans="2:6">
      <c r="B682" s="1"/>
      <c r="C682" s="1"/>
      <c r="D682" s="1"/>
      <c r="E682" s="6"/>
      <c r="F682" s="4"/>
    </row>
    <row r="683" spans="2:6">
      <c r="B683" s="1"/>
      <c r="C683" s="1"/>
      <c r="D683" s="1"/>
      <c r="E683" s="6"/>
      <c r="F683" s="4"/>
    </row>
    <row r="684" spans="2:6">
      <c r="B684" s="1"/>
      <c r="C684" s="1"/>
      <c r="D684" s="1"/>
      <c r="E684" s="6"/>
      <c r="F684" s="4"/>
    </row>
    <row r="685" spans="2:6">
      <c r="B685" s="1"/>
      <c r="C685" s="1"/>
      <c r="D685" s="1"/>
      <c r="E685" s="6"/>
      <c r="F685" s="4"/>
    </row>
    <row r="686" spans="2:6">
      <c r="B686" s="1"/>
      <c r="C686" s="1"/>
      <c r="D686" s="1"/>
      <c r="E686" s="6"/>
      <c r="F686" s="4"/>
    </row>
    <row r="687" spans="2:6">
      <c r="B687" s="1"/>
      <c r="C687" s="1"/>
      <c r="D687" s="1"/>
      <c r="E687" s="6"/>
      <c r="F687" s="4"/>
    </row>
    <row r="688" spans="2:6">
      <c r="B688" s="1"/>
      <c r="C688" s="1"/>
      <c r="D688" s="1"/>
      <c r="E688" s="6"/>
      <c r="F688" s="4"/>
    </row>
    <row r="689" spans="2:6">
      <c r="B689" s="1"/>
      <c r="C689" s="1"/>
      <c r="D689" s="1"/>
      <c r="E689" s="6"/>
      <c r="F689" s="4"/>
    </row>
    <row r="690" spans="2:6">
      <c r="B690" s="1"/>
      <c r="C690" s="1"/>
      <c r="D690" s="1"/>
      <c r="E690" s="6"/>
      <c r="F690" s="4"/>
    </row>
    <row r="691" spans="2:6">
      <c r="B691" s="1"/>
      <c r="C691" s="1"/>
      <c r="D691" s="1"/>
      <c r="E691" s="6"/>
      <c r="F691" s="4"/>
    </row>
    <row r="692" spans="2:6">
      <c r="B692" s="1"/>
      <c r="C692" s="1"/>
      <c r="D692" s="1"/>
      <c r="E692" s="6"/>
      <c r="F692" s="4"/>
    </row>
    <row r="693" spans="2:6">
      <c r="B693" s="1"/>
      <c r="C693" s="1"/>
      <c r="D693" s="1"/>
      <c r="E693" s="6"/>
      <c r="F693" s="4"/>
    </row>
    <row r="694" spans="2:6">
      <c r="B694" s="1"/>
      <c r="C694" s="1"/>
      <c r="D694" s="1"/>
      <c r="E694" s="6"/>
      <c r="F694" s="4"/>
    </row>
    <row r="695" spans="2:6">
      <c r="B695" s="1"/>
      <c r="C695" s="1"/>
      <c r="D695" s="1"/>
      <c r="E695" s="6"/>
      <c r="F695" s="4"/>
    </row>
    <row r="696" spans="2:6">
      <c r="B696" s="1"/>
      <c r="C696" s="1"/>
      <c r="D696" s="1"/>
      <c r="E696" s="6"/>
      <c r="F696" s="4"/>
    </row>
    <row r="697" spans="2:6">
      <c r="B697" s="1"/>
      <c r="C697" s="1"/>
      <c r="D697" s="1"/>
      <c r="E697" s="6"/>
      <c r="F697" s="4"/>
    </row>
    <row r="698" spans="2:6">
      <c r="B698" s="1"/>
      <c r="C698" s="1"/>
      <c r="D698" s="1"/>
      <c r="E698" s="6"/>
      <c r="F698" s="4"/>
    </row>
    <row r="699" spans="2:6">
      <c r="B699" s="1"/>
      <c r="C699" s="1"/>
      <c r="D699" s="1"/>
      <c r="E699" s="6"/>
      <c r="F699" s="4"/>
    </row>
    <row r="700" spans="2:6">
      <c r="B700" s="1"/>
      <c r="C700" s="1"/>
      <c r="D700" s="1"/>
      <c r="E700" s="6"/>
      <c r="F700" s="4"/>
    </row>
    <row r="701" spans="2:6">
      <c r="B701" s="1"/>
      <c r="C701" s="1"/>
      <c r="D701" s="1"/>
      <c r="E701" s="6"/>
      <c r="F701" s="4"/>
    </row>
    <row r="702" spans="2:6">
      <c r="B702" s="1"/>
      <c r="C702" s="1"/>
      <c r="D702" s="1"/>
      <c r="E702" s="6"/>
      <c r="F702" s="4"/>
    </row>
    <row r="703" spans="2:6">
      <c r="B703" s="1"/>
      <c r="C703" s="1"/>
      <c r="D703" s="1"/>
      <c r="E703" s="6"/>
      <c r="F703" s="4"/>
    </row>
    <row r="704" spans="2:6">
      <c r="B704" s="1"/>
      <c r="C704" s="1"/>
      <c r="D704" s="1"/>
      <c r="E704" s="6"/>
      <c r="F704" s="4"/>
    </row>
    <row r="705" spans="2:6">
      <c r="B705" s="1"/>
      <c r="C705" s="1"/>
      <c r="D705" s="1"/>
      <c r="E705" s="6"/>
      <c r="F705" s="4"/>
    </row>
    <row r="706" spans="2:6">
      <c r="B706" s="1"/>
      <c r="C706" s="1"/>
      <c r="D706" s="1"/>
      <c r="E706" s="6"/>
      <c r="F706" s="4"/>
    </row>
    <row r="707" spans="2:6">
      <c r="B707" s="1"/>
      <c r="C707" s="1"/>
      <c r="D707" s="1"/>
      <c r="E707" s="6"/>
      <c r="F707" s="4"/>
    </row>
    <row r="708" spans="2:6">
      <c r="B708" s="1"/>
      <c r="C708" s="1"/>
      <c r="D708" s="1"/>
      <c r="E708" s="6"/>
      <c r="F708" s="4"/>
    </row>
    <row r="709" spans="2:6">
      <c r="B709" s="1"/>
      <c r="C709" s="1"/>
      <c r="D709" s="1"/>
      <c r="E709" s="6"/>
      <c r="F709" s="4"/>
    </row>
    <row r="710" spans="2:6">
      <c r="B710" s="1"/>
      <c r="C710" s="1"/>
      <c r="D710" s="1"/>
      <c r="E710" s="6"/>
      <c r="F710" s="4"/>
    </row>
    <row r="711" spans="2:6">
      <c r="B711" s="1"/>
      <c r="C711" s="1"/>
      <c r="D711" s="1"/>
      <c r="E711" s="6"/>
      <c r="F711" s="4"/>
    </row>
    <row r="712" spans="2:6">
      <c r="B712" s="1"/>
      <c r="C712" s="1"/>
      <c r="D712" s="1"/>
      <c r="E712" s="6"/>
      <c r="F712" s="4"/>
    </row>
    <row r="713" spans="2:6">
      <c r="B713" s="1"/>
      <c r="C713" s="1"/>
      <c r="D713" s="1"/>
      <c r="E713" s="6"/>
      <c r="F713" s="4"/>
    </row>
    <row r="714" spans="2:6">
      <c r="B714" s="1"/>
      <c r="C714" s="1"/>
      <c r="D714" s="1"/>
      <c r="E714" s="6"/>
      <c r="F714" s="4"/>
    </row>
    <row r="715" spans="2:6">
      <c r="B715" s="1"/>
      <c r="C715" s="1"/>
      <c r="D715" s="1"/>
      <c r="E715" s="6"/>
      <c r="F715" s="4"/>
    </row>
    <row r="716" spans="2:6">
      <c r="B716" s="1"/>
      <c r="C716" s="1"/>
      <c r="D716" s="1"/>
      <c r="E716" s="6"/>
      <c r="F716" s="4"/>
    </row>
    <row r="717" spans="2:6">
      <c r="B717" s="1"/>
      <c r="C717" s="1"/>
      <c r="D717" s="1"/>
      <c r="E717" s="6"/>
      <c r="F717" s="4"/>
    </row>
    <row r="718" spans="2:6">
      <c r="B718" s="1"/>
      <c r="C718" s="1"/>
      <c r="D718" s="1"/>
      <c r="E718" s="6"/>
      <c r="F718" s="4"/>
    </row>
    <row r="719" spans="2:6">
      <c r="B719" s="1"/>
      <c r="C719" s="1"/>
      <c r="D719" s="1"/>
      <c r="E719" s="6"/>
      <c r="F719" s="4"/>
    </row>
    <row r="720" spans="2:6">
      <c r="B720" s="1"/>
      <c r="C720" s="1"/>
      <c r="D720" s="1"/>
      <c r="E720" s="6"/>
      <c r="F720" s="4"/>
    </row>
    <row r="721" spans="2:6">
      <c r="B721" s="1"/>
      <c r="C721" s="1"/>
      <c r="D721" s="1"/>
      <c r="E721" s="6"/>
      <c r="F721" s="4"/>
    </row>
    <row r="722" spans="2:6">
      <c r="B722" s="1"/>
      <c r="C722" s="1"/>
      <c r="D722" s="1"/>
      <c r="E722" s="6"/>
      <c r="F722" s="4"/>
    </row>
    <row r="723" spans="2:6">
      <c r="B723" s="1"/>
      <c r="C723" s="1"/>
      <c r="D723" s="1"/>
      <c r="E723" s="6"/>
      <c r="F723" s="4"/>
    </row>
    <row r="724" spans="2:6">
      <c r="B724" s="1"/>
      <c r="C724" s="1"/>
      <c r="D724" s="1"/>
      <c r="E724" s="6"/>
      <c r="F724" s="4"/>
    </row>
    <row r="725" spans="2:6">
      <c r="B725" s="1"/>
      <c r="C725" s="1"/>
      <c r="D725" s="1"/>
      <c r="E725" s="6"/>
      <c r="F725" s="4"/>
    </row>
    <row r="726" spans="2:6">
      <c r="B726" s="1"/>
      <c r="C726" s="1"/>
      <c r="D726" s="1"/>
      <c r="E726" s="6"/>
      <c r="F726" s="4"/>
    </row>
    <row r="727" spans="2:6">
      <c r="B727" s="1"/>
      <c r="C727" s="1"/>
      <c r="D727" s="1"/>
      <c r="E727" s="6"/>
      <c r="F727" s="4"/>
    </row>
    <row r="728" spans="2:6">
      <c r="B728" s="1"/>
      <c r="C728" s="1"/>
      <c r="D728" s="1"/>
      <c r="E728" s="6"/>
      <c r="F728" s="4"/>
    </row>
    <row r="729" spans="2:6">
      <c r="B729" s="1"/>
      <c r="C729" s="1"/>
      <c r="D729" s="1"/>
      <c r="E729" s="6"/>
      <c r="F729" s="4"/>
    </row>
    <row r="730" spans="2:6">
      <c r="B730" s="1"/>
      <c r="C730" s="1"/>
      <c r="D730" s="1"/>
      <c r="E730" s="6"/>
      <c r="F730" s="4"/>
    </row>
    <row r="731" spans="2:6">
      <c r="B731" s="1"/>
      <c r="C731" s="1"/>
      <c r="D731" s="1"/>
      <c r="E731" s="6"/>
      <c r="F731" s="4"/>
    </row>
    <row r="732" spans="2:6">
      <c r="B732" s="1"/>
      <c r="C732" s="1"/>
      <c r="D732" s="1"/>
      <c r="E732" s="6"/>
      <c r="F732" s="4"/>
    </row>
    <row r="733" spans="2:6">
      <c r="B733" s="1"/>
      <c r="C733" s="1"/>
      <c r="D733" s="1"/>
      <c r="E733" s="6"/>
      <c r="F733" s="4"/>
    </row>
    <row r="734" spans="2:6">
      <c r="B734" s="1"/>
      <c r="C734" s="1"/>
      <c r="D734" s="1"/>
      <c r="E734" s="6"/>
      <c r="F734" s="4"/>
    </row>
    <row r="735" spans="2:6">
      <c r="B735" s="1"/>
      <c r="C735" s="1"/>
      <c r="D735" s="1"/>
      <c r="E735" s="6"/>
      <c r="F735" s="4"/>
    </row>
    <row r="736" spans="2:6">
      <c r="B736" s="1"/>
      <c r="C736" s="1"/>
      <c r="D736" s="1"/>
      <c r="E736" s="6"/>
      <c r="F736" s="4"/>
    </row>
    <row r="737" spans="2:6">
      <c r="B737" s="1"/>
      <c r="C737" s="1"/>
      <c r="D737" s="1"/>
      <c r="E737" s="6"/>
      <c r="F737" s="4"/>
    </row>
    <row r="738" spans="2:6">
      <c r="B738" s="1"/>
      <c r="C738" s="1"/>
      <c r="D738" s="1"/>
      <c r="E738" s="6"/>
      <c r="F738" s="4"/>
    </row>
    <row r="739" spans="2:6">
      <c r="B739" s="1"/>
      <c r="C739" s="1"/>
      <c r="D739" s="1"/>
      <c r="E739" s="6"/>
      <c r="F739" s="4"/>
    </row>
    <row r="740" spans="2:6">
      <c r="B740" s="1"/>
      <c r="C740" s="1"/>
      <c r="D740" s="1"/>
      <c r="E740" s="6"/>
      <c r="F740" s="4"/>
    </row>
    <row r="741" spans="2:6">
      <c r="B741" s="1"/>
      <c r="C741" s="1"/>
      <c r="D741" s="1"/>
      <c r="E741" s="6"/>
      <c r="F741" s="4"/>
    </row>
    <row r="742" spans="2:6">
      <c r="B742" s="1"/>
      <c r="C742" s="1"/>
      <c r="D742" s="1"/>
      <c r="E742" s="6"/>
      <c r="F742" s="4"/>
    </row>
    <row r="743" spans="2:6">
      <c r="B743" s="1"/>
      <c r="C743" s="1"/>
      <c r="D743" s="1"/>
      <c r="E743" s="6"/>
      <c r="F743" s="4"/>
    </row>
    <row r="744" spans="2:6">
      <c r="B744" s="1"/>
      <c r="C744" s="1"/>
      <c r="D744" s="1"/>
      <c r="E744" s="6"/>
      <c r="F744" s="4"/>
    </row>
    <row r="745" spans="2:6">
      <c r="B745" s="1"/>
      <c r="C745" s="1"/>
      <c r="D745" s="1"/>
      <c r="E745" s="6"/>
      <c r="F745" s="4"/>
    </row>
    <row r="746" spans="2:6">
      <c r="B746" s="1"/>
      <c r="C746" s="1"/>
      <c r="D746" s="1"/>
      <c r="E746" s="6"/>
      <c r="F746" s="4"/>
    </row>
    <row r="747" spans="2:6">
      <c r="B747" s="1"/>
      <c r="C747" s="1"/>
      <c r="D747" s="1"/>
      <c r="E747" s="6"/>
      <c r="F747" s="4"/>
    </row>
    <row r="748" spans="2:6">
      <c r="B748" s="1"/>
      <c r="C748" s="1"/>
      <c r="D748" s="1"/>
      <c r="E748" s="6"/>
      <c r="F748" s="4"/>
    </row>
    <row r="749" spans="2:6">
      <c r="B749" s="1"/>
      <c r="C749" s="1"/>
      <c r="D749" s="1"/>
      <c r="E749" s="6"/>
      <c r="F749" s="4"/>
    </row>
    <row r="750" spans="2:6">
      <c r="B750" s="1"/>
      <c r="C750" s="1"/>
      <c r="D750" s="1"/>
      <c r="E750" s="6"/>
      <c r="F750" s="4"/>
    </row>
    <row r="751" spans="2:6">
      <c r="B751" s="1"/>
      <c r="C751" s="1"/>
      <c r="D751" s="1"/>
      <c r="E751" s="6"/>
      <c r="F751" s="4"/>
    </row>
    <row r="752" spans="2:6">
      <c r="B752" s="1"/>
      <c r="C752" s="1"/>
      <c r="D752" s="1"/>
      <c r="E752" s="6"/>
      <c r="F752" s="4"/>
    </row>
    <row r="753" spans="2:6">
      <c r="B753" s="1"/>
      <c r="C753" s="1"/>
      <c r="D753" s="1"/>
      <c r="E753" s="6"/>
      <c r="F753" s="4"/>
    </row>
    <row r="754" spans="2:6">
      <c r="B754" s="1"/>
      <c r="C754" s="1"/>
      <c r="D754" s="1"/>
      <c r="E754" s="6"/>
      <c r="F754" s="4"/>
    </row>
    <row r="755" spans="2:6">
      <c r="B755" s="1"/>
      <c r="C755" s="1"/>
      <c r="D755" s="1"/>
      <c r="E755" s="6"/>
      <c r="F755" s="4"/>
    </row>
    <row r="756" spans="2:6">
      <c r="B756" s="1"/>
      <c r="C756" s="1"/>
      <c r="D756" s="1"/>
      <c r="E756" s="6"/>
      <c r="F756" s="4"/>
    </row>
    <row r="757" spans="2:6">
      <c r="B757" s="1"/>
      <c r="C757" s="1"/>
      <c r="D757" s="1"/>
      <c r="E757" s="6"/>
      <c r="F757" s="4"/>
    </row>
    <row r="758" spans="2:6">
      <c r="B758" s="1"/>
      <c r="C758" s="1"/>
      <c r="D758" s="1"/>
      <c r="E758" s="6"/>
      <c r="F758" s="4"/>
    </row>
    <row r="759" spans="2:6">
      <c r="B759" s="1"/>
      <c r="C759" s="1"/>
      <c r="D759" s="1"/>
      <c r="E759" s="6"/>
      <c r="F759" s="4"/>
    </row>
    <row r="760" spans="2:6">
      <c r="B760" s="1"/>
      <c r="C760" s="1"/>
      <c r="D760" s="1"/>
      <c r="E760" s="6"/>
      <c r="F760" s="4"/>
    </row>
    <row r="761" spans="2:6">
      <c r="B761" s="1"/>
      <c r="C761" s="1"/>
      <c r="D761" s="1"/>
      <c r="E761" s="6"/>
      <c r="F761" s="4"/>
    </row>
    <row r="762" spans="2:6">
      <c r="B762" s="1"/>
      <c r="C762" s="1"/>
      <c r="D762" s="1"/>
      <c r="E762" s="6"/>
      <c r="F762" s="4"/>
    </row>
    <row r="763" spans="2:6">
      <c r="B763" s="1"/>
      <c r="C763" s="1"/>
      <c r="D763" s="1"/>
      <c r="E763" s="6"/>
      <c r="F763" s="4"/>
    </row>
    <row r="764" spans="2:6">
      <c r="B764" s="1"/>
      <c r="C764" s="1"/>
      <c r="D764" s="1"/>
      <c r="E764" s="6"/>
      <c r="F764" s="4"/>
    </row>
    <row r="765" spans="2:6">
      <c r="B765" s="1"/>
      <c r="C765" s="1"/>
      <c r="D765" s="1"/>
      <c r="E765" s="6"/>
      <c r="F765" s="4"/>
    </row>
    <row r="766" spans="2:6">
      <c r="B766" s="1"/>
      <c r="C766" s="1"/>
      <c r="D766" s="1"/>
      <c r="E766" s="6"/>
      <c r="F766" s="4"/>
    </row>
    <row r="767" spans="2:6">
      <c r="B767" s="1"/>
      <c r="C767" s="1"/>
      <c r="D767" s="1"/>
      <c r="E767" s="6"/>
      <c r="F767" s="4"/>
    </row>
    <row r="768" spans="2:6">
      <c r="B768" s="1"/>
      <c r="C768" s="1"/>
      <c r="D768" s="1"/>
      <c r="E768" s="6"/>
      <c r="F768" s="4"/>
    </row>
    <row r="769" spans="2:6">
      <c r="B769" s="1"/>
      <c r="C769" s="1"/>
      <c r="D769" s="1"/>
      <c r="E769" s="6"/>
      <c r="F769" s="4"/>
    </row>
    <row r="770" spans="2:6">
      <c r="B770" s="1"/>
      <c r="C770" s="1"/>
      <c r="D770" s="1"/>
      <c r="E770" s="6"/>
      <c r="F770" s="4"/>
    </row>
    <row r="771" spans="2:6">
      <c r="B771" s="1"/>
      <c r="C771" s="1"/>
      <c r="D771" s="1"/>
      <c r="E771" s="6"/>
      <c r="F771" s="4"/>
    </row>
    <row r="772" spans="2:6">
      <c r="B772" s="1"/>
      <c r="C772" s="1"/>
      <c r="D772" s="1"/>
      <c r="E772" s="6"/>
      <c r="F772" s="4"/>
    </row>
    <row r="773" spans="2:6">
      <c r="B773" s="1"/>
      <c r="C773" s="1"/>
      <c r="D773" s="1"/>
      <c r="E773" s="6"/>
      <c r="F773" s="4"/>
    </row>
    <row r="774" spans="2:6">
      <c r="B774" s="1"/>
      <c r="C774" s="1"/>
      <c r="D774" s="1"/>
      <c r="E774" s="6"/>
      <c r="F774" s="4"/>
    </row>
    <row r="775" spans="2:6">
      <c r="B775" s="1"/>
      <c r="C775" s="1"/>
      <c r="D775" s="1"/>
      <c r="E775" s="6"/>
      <c r="F775" s="4"/>
    </row>
    <row r="776" spans="2:6">
      <c r="B776" s="1"/>
      <c r="C776" s="1"/>
      <c r="D776" s="1"/>
      <c r="E776" s="6"/>
      <c r="F776" s="4"/>
    </row>
    <row r="777" spans="2:6">
      <c r="B777" s="1"/>
      <c r="C777" s="1"/>
      <c r="D777" s="1"/>
      <c r="E777" s="6"/>
      <c r="F777" s="4"/>
    </row>
    <row r="778" spans="2:6">
      <c r="B778" s="1"/>
      <c r="C778" s="1"/>
      <c r="D778" s="1"/>
      <c r="E778" s="6"/>
      <c r="F778" s="4"/>
    </row>
    <row r="779" spans="2:6">
      <c r="B779" s="1"/>
      <c r="C779" s="1"/>
      <c r="D779" s="1"/>
      <c r="E779" s="6"/>
      <c r="F779" s="4"/>
    </row>
    <row r="780" spans="2:6">
      <c r="B780" s="1"/>
      <c r="C780" s="1"/>
      <c r="D780" s="1"/>
      <c r="E780" s="6"/>
      <c r="F780" s="4"/>
    </row>
    <row r="781" spans="2:6">
      <c r="B781" s="1"/>
      <c r="C781" s="1"/>
      <c r="D781" s="1"/>
      <c r="E781" s="6"/>
      <c r="F781" s="4"/>
    </row>
    <row r="782" spans="2:6">
      <c r="B782" s="1"/>
      <c r="C782" s="1"/>
      <c r="D782" s="1"/>
      <c r="E782" s="6"/>
      <c r="F782" s="4"/>
    </row>
    <row r="783" spans="2:6">
      <c r="B783" s="1"/>
      <c r="C783" s="1"/>
      <c r="D783" s="1"/>
      <c r="E783" s="6"/>
      <c r="F783" s="4"/>
    </row>
    <row r="784" spans="2:6">
      <c r="B784" s="1"/>
      <c r="C784" s="1"/>
      <c r="D784" s="1"/>
      <c r="E784" s="6"/>
      <c r="F784" s="4"/>
    </row>
    <row r="785" spans="2:6">
      <c r="B785" s="1"/>
      <c r="C785" s="1"/>
      <c r="D785" s="1"/>
      <c r="E785" s="6"/>
      <c r="F785" s="4"/>
    </row>
    <row r="786" spans="2:6">
      <c r="B786" s="1"/>
      <c r="C786" s="1"/>
      <c r="D786" s="1"/>
      <c r="E786" s="6"/>
      <c r="F786" s="4"/>
    </row>
    <row r="787" spans="2:6">
      <c r="B787" s="1"/>
      <c r="C787" s="1"/>
      <c r="D787" s="1"/>
      <c r="E787" s="6"/>
      <c r="F787" s="4"/>
    </row>
    <row r="788" spans="2:6">
      <c r="B788" s="1"/>
      <c r="C788" s="1"/>
      <c r="D788" s="1"/>
      <c r="E788" s="6"/>
      <c r="F788" s="4"/>
    </row>
    <row r="789" spans="2:6">
      <c r="B789" s="1"/>
      <c r="C789" s="1"/>
      <c r="D789" s="1"/>
      <c r="E789" s="6"/>
      <c r="F789" s="4"/>
    </row>
    <row r="790" spans="2:6">
      <c r="B790" s="1"/>
      <c r="C790" s="1"/>
      <c r="D790" s="1"/>
      <c r="E790" s="6"/>
      <c r="F790" s="4"/>
    </row>
    <row r="791" spans="2:6">
      <c r="B791" s="1"/>
      <c r="C791" s="1"/>
      <c r="D791" s="1"/>
      <c r="E791" s="6"/>
      <c r="F791" s="4"/>
    </row>
    <row r="792" spans="2:6">
      <c r="B792" s="1"/>
      <c r="C792" s="1"/>
      <c r="D792" s="1"/>
      <c r="E792" s="6"/>
      <c r="F792" s="4"/>
    </row>
    <row r="793" spans="2:6">
      <c r="B793" s="1"/>
      <c r="C793" s="1"/>
      <c r="D793" s="1"/>
      <c r="E793" s="6"/>
      <c r="F793" s="4"/>
    </row>
    <row r="794" spans="2:6">
      <c r="B794" s="1"/>
      <c r="C794" s="1"/>
      <c r="D794" s="1"/>
      <c r="E794" s="6"/>
      <c r="F794" s="4"/>
    </row>
    <row r="795" spans="2:6">
      <c r="B795" s="1"/>
      <c r="C795" s="1"/>
      <c r="D795" s="1"/>
      <c r="E795" s="6"/>
      <c r="F795" s="4"/>
    </row>
    <row r="796" spans="2:6">
      <c r="B796" s="1"/>
      <c r="C796" s="1"/>
      <c r="D796" s="1"/>
      <c r="E796" s="6"/>
      <c r="F796" s="4"/>
    </row>
    <row r="797" spans="2:6">
      <c r="B797" s="1"/>
      <c r="C797" s="1"/>
      <c r="D797" s="1"/>
      <c r="E797" s="6"/>
      <c r="F797" s="4"/>
    </row>
    <row r="798" spans="2:6">
      <c r="B798" s="1"/>
      <c r="C798" s="1"/>
      <c r="D798" s="1"/>
      <c r="E798" s="6"/>
      <c r="F798" s="4"/>
    </row>
    <row r="799" spans="2:6">
      <c r="B799" s="1"/>
      <c r="C799" s="1"/>
      <c r="D799" s="1"/>
      <c r="E799" s="6"/>
      <c r="F799" s="4"/>
    </row>
    <row r="800" spans="2:6">
      <c r="B800" s="1"/>
      <c r="C800" s="1"/>
      <c r="D800" s="1"/>
      <c r="E800" s="6"/>
      <c r="F800" s="4"/>
    </row>
    <row r="801" spans="2:6">
      <c r="B801" s="1"/>
      <c r="C801" s="1"/>
      <c r="D801" s="1"/>
      <c r="E801" s="6"/>
      <c r="F801" s="4"/>
    </row>
    <row r="802" spans="2:6">
      <c r="B802" s="1"/>
      <c r="C802" s="1"/>
      <c r="D802" s="1"/>
      <c r="E802" s="6"/>
      <c r="F802" s="4"/>
    </row>
    <row r="803" spans="2:6">
      <c r="B803" s="1"/>
      <c r="C803" s="1"/>
      <c r="D803" s="1"/>
      <c r="E803" s="6"/>
      <c r="F803" s="4"/>
    </row>
    <row r="804" spans="2:6">
      <c r="B804" s="1"/>
      <c r="C804" s="1"/>
      <c r="D804" s="1"/>
      <c r="E804" s="6"/>
      <c r="F804" s="4"/>
    </row>
    <row r="805" spans="2:6">
      <c r="B805" s="1"/>
      <c r="C805" s="1"/>
      <c r="D805" s="1"/>
      <c r="E805" s="6"/>
      <c r="F805" s="4"/>
    </row>
    <row r="806" spans="2:6">
      <c r="B806" s="1"/>
      <c r="C806" s="1"/>
      <c r="D806" s="1"/>
      <c r="E806" s="6"/>
      <c r="F806" s="4"/>
    </row>
    <row r="807" spans="2:6">
      <c r="B807" s="1"/>
      <c r="C807" s="1"/>
      <c r="D807" s="1"/>
      <c r="E807" s="6"/>
      <c r="F807" s="4"/>
    </row>
    <row r="808" spans="2:6">
      <c r="B808" s="1"/>
      <c r="C808" s="1"/>
      <c r="D808" s="1"/>
      <c r="E808" s="6"/>
      <c r="F808" s="4"/>
    </row>
    <row r="809" spans="2:6">
      <c r="B809" s="1"/>
      <c r="C809" s="1"/>
      <c r="D809" s="1"/>
      <c r="E809" s="6"/>
      <c r="F809" s="4"/>
    </row>
    <row r="810" spans="2:6">
      <c r="B810" s="1"/>
      <c r="C810" s="1"/>
      <c r="D810" s="1"/>
      <c r="E810" s="6"/>
      <c r="F810" s="4"/>
    </row>
    <row r="811" spans="2:6">
      <c r="B811" s="1"/>
      <c r="C811" s="1"/>
      <c r="D811" s="1"/>
      <c r="E811" s="6"/>
      <c r="F811" s="4"/>
    </row>
    <row r="812" spans="2:6">
      <c r="B812" s="1"/>
      <c r="C812" s="1"/>
      <c r="D812" s="1"/>
      <c r="E812" s="6"/>
      <c r="F812" s="4"/>
    </row>
    <row r="813" spans="2:6">
      <c r="B813" s="1"/>
      <c r="C813" s="1"/>
      <c r="D813" s="1"/>
      <c r="E813" s="6"/>
      <c r="F813" s="4"/>
    </row>
    <row r="814" spans="2:6">
      <c r="B814" s="1"/>
      <c r="C814" s="1"/>
      <c r="D814" s="1"/>
      <c r="E814" s="6"/>
      <c r="F814" s="4"/>
    </row>
    <row r="815" spans="2:6">
      <c r="B815" s="1"/>
      <c r="C815" s="1"/>
      <c r="D815" s="1"/>
      <c r="E815" s="6"/>
      <c r="F815" s="4"/>
    </row>
    <row r="816" spans="2:6">
      <c r="B816" s="1"/>
      <c r="C816" s="1"/>
      <c r="D816" s="1"/>
      <c r="E816" s="6"/>
      <c r="F816" s="4"/>
    </row>
    <row r="817" spans="2:6">
      <c r="B817" s="1"/>
      <c r="C817" s="1"/>
      <c r="D817" s="1"/>
      <c r="E817" s="6"/>
      <c r="F817" s="4"/>
    </row>
    <row r="818" spans="2:6">
      <c r="B818" s="1"/>
      <c r="C818" s="1"/>
      <c r="D818" s="1"/>
      <c r="E818" s="6"/>
      <c r="F818" s="4"/>
    </row>
    <row r="819" spans="2:6">
      <c r="B819" s="1"/>
      <c r="C819" s="1"/>
      <c r="D819" s="1"/>
      <c r="E819" s="6"/>
      <c r="F819" s="4"/>
    </row>
    <row r="820" spans="2:6">
      <c r="B820" s="1"/>
      <c r="C820" s="1"/>
      <c r="D820" s="1"/>
      <c r="E820" s="6"/>
      <c r="F820" s="4"/>
    </row>
    <row r="821" spans="2:6">
      <c r="B821" s="1"/>
      <c r="C821" s="1"/>
      <c r="D821" s="1"/>
      <c r="E821" s="6"/>
      <c r="F821" s="4"/>
    </row>
    <row r="822" spans="2:6">
      <c r="B822" s="1"/>
      <c r="C822" s="1"/>
      <c r="D822" s="1"/>
      <c r="E822" s="6"/>
      <c r="F822" s="4"/>
    </row>
    <row r="823" spans="2:6">
      <c r="B823" s="1"/>
      <c r="C823" s="1"/>
      <c r="D823" s="1"/>
      <c r="E823" s="6"/>
      <c r="F823" s="4"/>
    </row>
    <row r="824" spans="2:6">
      <c r="B824" s="1"/>
      <c r="C824" s="1"/>
      <c r="D824" s="1"/>
      <c r="E824" s="6"/>
      <c r="F824" s="4"/>
    </row>
    <row r="825" spans="2:6">
      <c r="B825" s="1"/>
      <c r="C825" s="1"/>
      <c r="D825" s="1"/>
      <c r="E825" s="6"/>
      <c r="F825" s="4"/>
    </row>
    <row r="826" spans="2:6">
      <c r="B826" s="1"/>
      <c r="C826" s="1"/>
      <c r="D826" s="1"/>
      <c r="E826" s="6"/>
      <c r="F826" s="4"/>
    </row>
    <row r="827" spans="2:6">
      <c r="B827" s="1"/>
      <c r="C827" s="1"/>
      <c r="D827" s="1"/>
      <c r="E827" s="6"/>
      <c r="F827" s="4"/>
    </row>
    <row r="828" spans="2:6">
      <c r="B828" s="1"/>
      <c r="C828" s="1"/>
      <c r="D828" s="1"/>
      <c r="E828" s="6"/>
      <c r="F828" s="4"/>
    </row>
    <row r="829" spans="2:6">
      <c r="B829" s="1"/>
      <c r="C829" s="1"/>
      <c r="D829" s="1"/>
      <c r="E829" s="6"/>
      <c r="F829" s="4"/>
    </row>
    <row r="830" spans="2:6">
      <c r="B830" s="1"/>
      <c r="C830" s="1"/>
      <c r="D830" s="1"/>
      <c r="E830" s="6"/>
      <c r="F830" s="4"/>
    </row>
    <row r="831" spans="2:6">
      <c r="B831" s="1"/>
      <c r="C831" s="1"/>
      <c r="D831" s="1"/>
      <c r="E831" s="6"/>
      <c r="F831" s="4"/>
    </row>
    <row r="832" spans="2:6">
      <c r="B832" s="1"/>
      <c r="C832" s="1"/>
      <c r="D832" s="1"/>
      <c r="E832" s="6"/>
      <c r="F832" s="4"/>
    </row>
    <row r="833" spans="2:6">
      <c r="B833" s="1"/>
      <c r="C833" s="1"/>
      <c r="D833" s="1"/>
      <c r="E833" s="6"/>
      <c r="F833" s="4"/>
    </row>
    <row r="834" spans="2:6">
      <c r="B834" s="1"/>
      <c r="C834" s="1"/>
      <c r="D834" s="1"/>
      <c r="E834" s="6"/>
      <c r="F834" s="4"/>
    </row>
    <row r="835" spans="2:6">
      <c r="B835" s="1"/>
      <c r="C835" s="1"/>
      <c r="D835" s="1"/>
      <c r="E835" s="6"/>
      <c r="F835" s="4"/>
    </row>
    <row r="836" spans="2:6">
      <c r="B836" s="1"/>
      <c r="C836" s="1"/>
      <c r="D836" s="1"/>
      <c r="E836" s="6"/>
      <c r="F836" s="4"/>
    </row>
    <row r="837" spans="2:6">
      <c r="B837" s="1"/>
      <c r="C837" s="1"/>
      <c r="D837" s="1"/>
      <c r="E837" s="6"/>
      <c r="F837" s="4"/>
    </row>
    <row r="838" spans="2:6">
      <c r="B838" s="1"/>
      <c r="C838" s="1"/>
      <c r="D838" s="1"/>
      <c r="E838" s="6"/>
      <c r="F838" s="4"/>
    </row>
    <row r="839" spans="2:6">
      <c r="B839" s="1"/>
      <c r="C839" s="1"/>
      <c r="D839" s="1"/>
      <c r="E839" s="6"/>
      <c r="F839" s="4"/>
    </row>
    <row r="840" spans="2:6">
      <c r="B840" s="1"/>
      <c r="C840" s="1"/>
      <c r="D840" s="1"/>
      <c r="E840" s="6"/>
      <c r="F840" s="4"/>
    </row>
    <row r="841" spans="2:6">
      <c r="B841" s="1"/>
      <c r="C841" s="1"/>
      <c r="D841" s="1"/>
      <c r="E841" s="6"/>
      <c r="F841" s="4"/>
    </row>
    <row r="842" spans="2:6">
      <c r="B842" s="1"/>
      <c r="C842" s="1"/>
      <c r="D842" s="1"/>
      <c r="E842" s="6"/>
      <c r="F842" s="4"/>
    </row>
    <row r="843" spans="2:6">
      <c r="B843" s="1"/>
      <c r="C843" s="1"/>
      <c r="D843" s="1"/>
      <c r="E843" s="6"/>
      <c r="F843" s="4"/>
    </row>
    <row r="844" spans="2:6">
      <c r="B844" s="1"/>
      <c r="C844" s="1"/>
      <c r="D844" s="1"/>
      <c r="E844" s="6"/>
      <c r="F844" s="4"/>
    </row>
    <row r="845" spans="2:6">
      <c r="B845" s="1"/>
      <c r="C845" s="1"/>
      <c r="D845" s="1"/>
      <c r="E845" s="6"/>
      <c r="F845" s="4"/>
    </row>
    <row r="846" spans="2:6">
      <c r="B846" s="1"/>
      <c r="C846" s="1"/>
      <c r="D846" s="1"/>
      <c r="E846" s="6"/>
      <c r="F846" s="4"/>
    </row>
    <row r="847" spans="2:6">
      <c r="B847" s="1"/>
      <c r="C847" s="1"/>
      <c r="D847" s="1"/>
      <c r="E847" s="6"/>
      <c r="F847" s="4"/>
    </row>
    <row r="848" spans="2:6">
      <c r="B848" s="1"/>
      <c r="C848" s="1"/>
      <c r="D848" s="1"/>
      <c r="E848" s="6"/>
      <c r="F848" s="4"/>
    </row>
    <row r="849" spans="2:6">
      <c r="B849" s="1"/>
      <c r="C849" s="1"/>
      <c r="D849" s="1"/>
      <c r="E849" s="6"/>
      <c r="F849" s="4"/>
    </row>
    <row r="850" spans="2:6">
      <c r="B850" s="1"/>
      <c r="C850" s="1"/>
      <c r="D850" s="1"/>
      <c r="E850" s="6"/>
      <c r="F850" s="4"/>
    </row>
    <row r="851" spans="2:6">
      <c r="B851" s="1"/>
      <c r="C851" s="1"/>
      <c r="D851" s="1"/>
      <c r="E851" s="6"/>
      <c r="F851" s="4"/>
    </row>
    <row r="852" spans="2:6">
      <c r="B852" s="1"/>
      <c r="C852" s="1"/>
      <c r="D852" s="1"/>
      <c r="E852" s="6"/>
      <c r="F852" s="4"/>
    </row>
    <row r="853" spans="2:6">
      <c r="B853" s="1"/>
      <c r="C853" s="1"/>
      <c r="D853" s="1"/>
      <c r="E853" s="6"/>
      <c r="F853" s="4"/>
    </row>
    <row r="854" spans="2:6">
      <c r="B854" s="1"/>
      <c r="C854" s="1"/>
      <c r="D854" s="1"/>
      <c r="E854" s="6"/>
      <c r="F854" s="4"/>
    </row>
    <row r="855" spans="2:6">
      <c r="B855" s="1"/>
      <c r="C855" s="1"/>
      <c r="D855" s="1"/>
      <c r="E855" s="6"/>
      <c r="F855" s="4"/>
    </row>
    <row r="856" spans="2:6">
      <c r="B856" s="1"/>
      <c r="C856" s="1"/>
      <c r="D856" s="1"/>
      <c r="E856" s="6"/>
      <c r="F856" s="4"/>
    </row>
    <row r="857" spans="2:6">
      <c r="B857" s="1"/>
      <c r="C857" s="1"/>
      <c r="D857" s="1"/>
      <c r="E857" s="6"/>
      <c r="F857" s="4"/>
    </row>
    <row r="858" spans="2:6">
      <c r="B858" s="1"/>
      <c r="C858" s="1"/>
      <c r="D858" s="1"/>
      <c r="E858" s="6"/>
      <c r="F858" s="4"/>
    </row>
    <row r="859" spans="2:6">
      <c r="B859" s="1"/>
      <c r="C859" s="1"/>
      <c r="D859" s="1"/>
      <c r="E859" s="6"/>
      <c r="F859" s="4"/>
    </row>
    <row r="860" spans="2:6">
      <c r="B860" s="1"/>
      <c r="C860" s="1"/>
      <c r="D860" s="1"/>
      <c r="E860" s="6"/>
      <c r="F860" s="4"/>
    </row>
    <row r="861" spans="2:6">
      <c r="B861" s="1"/>
      <c r="C861" s="1"/>
      <c r="D861" s="1"/>
      <c r="E861" s="6"/>
      <c r="F861" s="4"/>
    </row>
    <row r="862" spans="2:6">
      <c r="B862" s="1"/>
      <c r="C862" s="1"/>
      <c r="D862" s="1"/>
      <c r="E862" s="6"/>
      <c r="F862" s="4"/>
    </row>
    <row r="863" spans="2:6">
      <c r="B863" s="1"/>
      <c r="C863" s="1"/>
      <c r="D863" s="1"/>
      <c r="E863" s="6"/>
      <c r="F863" s="4"/>
    </row>
    <row r="864" spans="2:6">
      <c r="B864" s="1"/>
      <c r="C864" s="1"/>
      <c r="D864" s="1"/>
      <c r="E864" s="6"/>
      <c r="F864" s="4"/>
    </row>
    <row r="865" spans="2:6">
      <c r="B865" s="1"/>
      <c r="C865" s="1"/>
      <c r="D865" s="1"/>
      <c r="E865" s="6"/>
      <c r="F865" s="4"/>
    </row>
    <row r="866" spans="2:6">
      <c r="B866" s="1"/>
      <c r="C866" s="1"/>
      <c r="D866" s="1"/>
      <c r="E866" s="6"/>
      <c r="F866" s="4"/>
    </row>
    <row r="867" spans="2:6">
      <c r="B867" s="1"/>
      <c r="C867" s="1"/>
      <c r="D867" s="1"/>
      <c r="E867" s="6"/>
      <c r="F867" s="4"/>
    </row>
    <row r="868" spans="2:6">
      <c r="B868" s="1"/>
      <c r="C868" s="1"/>
      <c r="D868" s="1"/>
      <c r="E868" s="6"/>
      <c r="F868" s="4"/>
    </row>
    <row r="869" spans="2:6">
      <c r="B869" s="1"/>
      <c r="C869" s="1"/>
      <c r="D869" s="1"/>
      <c r="E869" s="6"/>
      <c r="F869" s="4"/>
    </row>
    <row r="870" spans="2:6">
      <c r="B870" s="1"/>
      <c r="C870" s="1"/>
      <c r="D870" s="1"/>
      <c r="E870" s="6"/>
      <c r="F870" s="4"/>
    </row>
    <row r="871" spans="2:6">
      <c r="B871" s="1"/>
      <c r="C871" s="1"/>
      <c r="D871" s="1"/>
      <c r="E871" s="6"/>
      <c r="F871" s="4"/>
    </row>
    <row r="872" spans="2:6">
      <c r="B872" s="1"/>
      <c r="C872" s="1"/>
      <c r="D872" s="1"/>
      <c r="E872" s="6"/>
      <c r="F872" s="4"/>
    </row>
    <row r="873" spans="2:6">
      <c r="B873" s="1"/>
      <c r="C873" s="1"/>
      <c r="D873" s="1"/>
      <c r="E873" s="6"/>
      <c r="F873" s="4"/>
    </row>
    <row r="874" spans="2:6">
      <c r="B874" s="1"/>
      <c r="C874" s="1"/>
      <c r="D874" s="1"/>
      <c r="E874" s="6"/>
      <c r="F874" s="4"/>
    </row>
    <row r="875" spans="2:6">
      <c r="B875" s="1"/>
      <c r="C875" s="1"/>
      <c r="D875" s="1"/>
      <c r="E875" s="6"/>
      <c r="F875" s="4"/>
    </row>
    <row r="876" spans="2:6">
      <c r="B876" s="1"/>
      <c r="C876" s="1"/>
      <c r="D876" s="1"/>
      <c r="E876" s="6"/>
      <c r="F876" s="4"/>
    </row>
    <row r="877" spans="2:6">
      <c r="B877" s="1"/>
      <c r="C877" s="1"/>
      <c r="D877" s="1"/>
      <c r="E877" s="6"/>
      <c r="F877" s="4"/>
    </row>
    <row r="878" spans="2:6">
      <c r="B878" s="1"/>
      <c r="C878" s="1"/>
      <c r="D878" s="1"/>
      <c r="E878" s="6"/>
      <c r="F878" s="4"/>
    </row>
    <row r="879" spans="2:6">
      <c r="B879" s="1"/>
      <c r="C879" s="1"/>
      <c r="D879" s="1"/>
      <c r="E879" s="6"/>
      <c r="F879" s="4"/>
    </row>
    <row r="880" spans="2:6">
      <c r="B880" s="1"/>
      <c r="C880" s="1"/>
      <c r="D880" s="1"/>
      <c r="E880" s="6"/>
      <c r="F880" s="4"/>
    </row>
    <row r="881" spans="2:6">
      <c r="B881" s="1"/>
      <c r="C881" s="1"/>
      <c r="D881" s="1"/>
      <c r="E881" s="6"/>
      <c r="F881" s="4"/>
    </row>
    <row r="882" spans="2:6">
      <c r="B882" s="1"/>
      <c r="C882" s="1"/>
      <c r="D882" s="1"/>
      <c r="E882" s="6"/>
      <c r="F882" s="4"/>
    </row>
    <row r="883" spans="2:6">
      <c r="B883" s="1"/>
      <c r="C883" s="1"/>
      <c r="D883" s="1"/>
      <c r="E883" s="6"/>
      <c r="F883" s="4"/>
    </row>
    <row r="884" spans="2:6">
      <c r="B884" s="1"/>
      <c r="C884" s="1"/>
      <c r="D884" s="1"/>
      <c r="E884" s="6"/>
      <c r="F884" s="4"/>
    </row>
    <row r="885" spans="2:6">
      <c r="B885" s="1"/>
      <c r="C885" s="1"/>
      <c r="D885" s="1"/>
      <c r="E885" s="6"/>
      <c r="F885" s="4"/>
    </row>
    <row r="886" spans="2:6">
      <c r="B886" s="1"/>
      <c r="C886" s="1"/>
      <c r="D886" s="1"/>
      <c r="E886" s="6"/>
      <c r="F886" s="4"/>
    </row>
    <row r="887" spans="2:6">
      <c r="B887" s="1"/>
      <c r="C887" s="1"/>
      <c r="D887" s="1"/>
      <c r="E887" s="6"/>
      <c r="F887" s="4"/>
    </row>
    <row r="888" spans="2:6">
      <c r="B888" s="1"/>
      <c r="C888" s="1"/>
      <c r="D888" s="1"/>
      <c r="E888" s="6"/>
      <c r="F888" s="4"/>
    </row>
    <row r="889" spans="2:6">
      <c r="B889" s="1"/>
      <c r="C889" s="1"/>
      <c r="D889" s="1"/>
      <c r="E889" s="6"/>
      <c r="F889" s="4"/>
    </row>
    <row r="890" spans="2:6">
      <c r="B890" s="1"/>
      <c r="C890" s="1"/>
      <c r="D890" s="1"/>
      <c r="E890" s="6"/>
      <c r="F890" s="4"/>
    </row>
    <row r="891" spans="2:6">
      <c r="B891" s="1"/>
      <c r="C891" s="1"/>
      <c r="D891" s="1"/>
      <c r="E891" s="6"/>
      <c r="F891" s="4"/>
    </row>
    <row r="892" spans="2:6">
      <c r="B892" s="1"/>
      <c r="C892" s="1"/>
      <c r="D892" s="1"/>
      <c r="E892" s="6"/>
      <c r="F892" s="4"/>
    </row>
    <row r="893" spans="2:6">
      <c r="B893" s="1"/>
      <c r="C893" s="1"/>
      <c r="D893" s="1"/>
      <c r="E893" s="6"/>
      <c r="F893" s="4"/>
    </row>
    <row r="894" spans="2:6">
      <c r="B894" s="1"/>
      <c r="C894" s="1"/>
      <c r="D894" s="1"/>
      <c r="E894" s="6"/>
      <c r="F894" s="4"/>
    </row>
    <row r="895" spans="2:6">
      <c r="B895" s="1"/>
      <c r="C895" s="1"/>
      <c r="D895" s="1"/>
      <c r="E895" s="6"/>
      <c r="F895" s="4"/>
    </row>
    <row r="896" spans="2:6">
      <c r="B896" s="1"/>
      <c r="C896" s="1"/>
      <c r="D896" s="1"/>
      <c r="E896" s="6"/>
      <c r="F896" s="4"/>
    </row>
    <row r="897" spans="2:6">
      <c r="B897" s="1"/>
      <c r="C897" s="1"/>
      <c r="D897" s="1"/>
      <c r="E897" s="6"/>
      <c r="F897" s="4"/>
    </row>
    <row r="898" spans="2:6">
      <c r="B898" s="1"/>
      <c r="C898" s="1"/>
      <c r="D898" s="1"/>
      <c r="E898" s="6"/>
      <c r="F898" s="4"/>
    </row>
    <row r="899" spans="2:6">
      <c r="B899" s="1"/>
      <c r="C899" s="1"/>
      <c r="D899" s="1"/>
      <c r="E899" s="6"/>
      <c r="F899" s="4"/>
    </row>
    <row r="900" spans="2:6">
      <c r="B900" s="1"/>
      <c r="C900" s="1"/>
      <c r="D900" s="1"/>
      <c r="E900" s="6"/>
      <c r="F900" s="4"/>
    </row>
    <row r="901" spans="2:6">
      <c r="B901" s="1"/>
      <c r="C901" s="1"/>
      <c r="D901" s="1"/>
      <c r="E901" s="6"/>
      <c r="F901" s="4"/>
    </row>
    <row r="902" spans="2:6">
      <c r="B902" s="1"/>
      <c r="C902" s="1"/>
      <c r="D902" s="1"/>
      <c r="E902" s="6"/>
      <c r="F902" s="4"/>
    </row>
    <row r="903" spans="2:6">
      <c r="B903" s="1"/>
      <c r="C903" s="1"/>
      <c r="D903" s="1"/>
      <c r="E903" s="6"/>
      <c r="F903" s="4"/>
    </row>
    <row r="904" spans="2:6">
      <c r="B904" s="1"/>
      <c r="C904" s="1"/>
      <c r="D904" s="1"/>
      <c r="E904" s="6"/>
      <c r="F904" s="4"/>
    </row>
    <row r="905" spans="2:6">
      <c r="B905" s="1"/>
      <c r="C905" s="1"/>
      <c r="D905" s="1"/>
      <c r="E905" s="6"/>
      <c r="F905" s="4"/>
    </row>
    <row r="906" spans="2:6">
      <c r="B906" s="1"/>
      <c r="C906" s="1"/>
      <c r="D906" s="1"/>
      <c r="E906" s="6"/>
      <c r="F906" s="4"/>
    </row>
    <row r="907" spans="2:6">
      <c r="B907" s="1"/>
      <c r="C907" s="1"/>
      <c r="D907" s="1"/>
      <c r="E907" s="6"/>
      <c r="F907" s="4"/>
    </row>
    <row r="908" spans="2:6">
      <c r="B908" s="1"/>
      <c r="C908" s="1"/>
      <c r="D908" s="1"/>
      <c r="E908" s="6"/>
      <c r="F908" s="4"/>
    </row>
    <row r="909" spans="2:6">
      <c r="B909" s="1"/>
      <c r="C909" s="1"/>
      <c r="D909" s="1"/>
      <c r="E909" s="6"/>
      <c r="F909" s="4"/>
    </row>
    <row r="910" spans="2:6">
      <c r="B910" s="1"/>
      <c r="C910" s="1"/>
      <c r="D910" s="1"/>
      <c r="E910" s="6"/>
      <c r="F910" s="4"/>
    </row>
    <row r="911" spans="2:6">
      <c r="B911" s="1"/>
      <c r="C911" s="1"/>
      <c r="D911" s="1"/>
      <c r="E911" s="6"/>
      <c r="F911" s="4"/>
    </row>
    <row r="912" spans="2:6">
      <c r="B912" s="1"/>
      <c r="C912" s="1"/>
      <c r="D912" s="1"/>
      <c r="E912" s="6"/>
      <c r="F912" s="4"/>
    </row>
    <row r="913" spans="2:6">
      <c r="B913" s="1"/>
      <c r="C913" s="1"/>
      <c r="D913" s="1"/>
      <c r="E913" s="6"/>
      <c r="F913" s="4"/>
    </row>
    <row r="914" spans="2:6">
      <c r="B914" s="1"/>
      <c r="C914" s="1"/>
      <c r="D914" s="1"/>
      <c r="E914" s="6"/>
      <c r="F914" s="4"/>
    </row>
    <row r="915" spans="2:6">
      <c r="B915" s="1"/>
      <c r="C915" s="1"/>
      <c r="D915" s="1"/>
      <c r="E915" s="6"/>
      <c r="F915" s="4"/>
    </row>
    <row r="916" spans="2:6">
      <c r="B916" s="1"/>
      <c r="C916" s="1"/>
      <c r="D916" s="1"/>
      <c r="E916" s="6"/>
      <c r="F916" s="4"/>
    </row>
    <row r="917" spans="2:6">
      <c r="B917" s="1"/>
      <c r="C917" s="1"/>
      <c r="D917" s="1"/>
      <c r="E917" s="6"/>
      <c r="F917" s="4"/>
    </row>
    <row r="918" spans="2:6">
      <c r="B918" s="1"/>
      <c r="C918" s="1"/>
      <c r="D918" s="1"/>
      <c r="E918" s="6"/>
      <c r="F918" s="4"/>
    </row>
    <row r="919" spans="2:6">
      <c r="B919" s="1"/>
      <c r="C919" s="1"/>
      <c r="D919" s="1"/>
      <c r="E919" s="6"/>
      <c r="F919" s="4"/>
    </row>
    <row r="920" spans="2:6">
      <c r="B920" s="1"/>
      <c r="C920" s="1"/>
      <c r="D920" s="1"/>
      <c r="E920" s="6"/>
      <c r="F920" s="4"/>
    </row>
    <row r="921" spans="2:6">
      <c r="B921" s="1"/>
      <c r="C921" s="1"/>
      <c r="D921" s="1"/>
      <c r="E921" s="6"/>
      <c r="F921" s="4"/>
    </row>
    <row r="922" spans="2:6">
      <c r="B922" s="1"/>
      <c r="C922" s="1"/>
      <c r="D922" s="1"/>
      <c r="E922" s="6"/>
      <c r="F922" s="4"/>
    </row>
    <row r="923" spans="2:6">
      <c r="B923" s="1"/>
      <c r="C923" s="1"/>
      <c r="D923" s="1"/>
      <c r="E923" s="6"/>
      <c r="F923" s="4"/>
    </row>
    <row r="924" spans="2:6">
      <c r="B924" s="1"/>
      <c r="C924" s="1"/>
      <c r="D924" s="1"/>
      <c r="E924" s="6"/>
      <c r="F924" s="4"/>
    </row>
    <row r="925" spans="2:6">
      <c r="B925" s="1"/>
      <c r="C925" s="1"/>
      <c r="D925" s="1"/>
      <c r="E925" s="6"/>
      <c r="F925" s="4"/>
    </row>
    <row r="926" spans="2:6">
      <c r="B926" s="1"/>
      <c r="C926" s="1"/>
      <c r="D926" s="1"/>
      <c r="E926" s="6"/>
      <c r="F926" s="4"/>
    </row>
    <row r="927" spans="2:6">
      <c r="B927" s="1"/>
      <c r="C927" s="1"/>
      <c r="D927" s="1"/>
      <c r="E927" s="6"/>
      <c r="F927" s="4"/>
    </row>
    <row r="928" spans="2:6">
      <c r="B928" s="1"/>
      <c r="C928" s="1"/>
      <c r="D928" s="1"/>
      <c r="E928" s="6"/>
      <c r="F928" s="4"/>
    </row>
    <row r="929" spans="2:6">
      <c r="B929" s="1"/>
      <c r="C929" s="1"/>
      <c r="D929" s="1"/>
      <c r="E929" s="6"/>
      <c r="F929" s="4"/>
    </row>
    <row r="930" spans="2:6">
      <c r="B930" s="1"/>
      <c r="C930" s="1"/>
      <c r="D930" s="1"/>
      <c r="E930" s="6"/>
      <c r="F930" s="4"/>
    </row>
    <row r="931" spans="2:6">
      <c r="B931" s="1"/>
      <c r="C931" s="1"/>
      <c r="D931" s="1"/>
      <c r="E931" s="6"/>
      <c r="F931" s="4"/>
    </row>
    <row r="932" spans="2:6">
      <c r="B932" s="1"/>
      <c r="C932" s="1"/>
      <c r="D932" s="1"/>
      <c r="E932" s="6"/>
      <c r="F932" s="4"/>
    </row>
    <row r="933" spans="2:6">
      <c r="B933" s="1"/>
      <c r="C933" s="1"/>
      <c r="D933" s="1"/>
      <c r="E933" s="6"/>
      <c r="F933" s="4"/>
    </row>
    <row r="934" spans="2:6">
      <c r="B934" s="1"/>
      <c r="C934" s="1"/>
      <c r="D934" s="1"/>
      <c r="E934" s="6"/>
      <c r="F934" s="4"/>
    </row>
    <row r="935" spans="2:6">
      <c r="B935" s="1"/>
      <c r="C935" s="1"/>
      <c r="D935" s="1"/>
      <c r="E935" s="6"/>
      <c r="F935" s="4"/>
    </row>
    <row r="936" spans="2:6">
      <c r="B936" s="1"/>
      <c r="C936" s="1"/>
      <c r="D936" s="1"/>
      <c r="E936" s="6"/>
      <c r="F936" s="4"/>
    </row>
    <row r="937" spans="2:6">
      <c r="B937" s="1"/>
      <c r="C937" s="1"/>
      <c r="D937" s="1"/>
      <c r="E937" s="6"/>
      <c r="F937" s="4"/>
    </row>
    <row r="938" spans="2:6">
      <c r="B938" s="1"/>
      <c r="C938" s="1"/>
      <c r="D938" s="1"/>
      <c r="E938" s="6"/>
      <c r="F938" s="4"/>
    </row>
    <row r="939" spans="2:6">
      <c r="B939" s="1"/>
      <c r="C939" s="1"/>
      <c r="D939" s="1"/>
      <c r="E939" s="6"/>
      <c r="F939" s="4"/>
    </row>
    <row r="940" spans="2:6">
      <c r="B940" s="1"/>
      <c r="C940" s="1"/>
      <c r="D940" s="1"/>
      <c r="E940" s="6"/>
      <c r="F940" s="4"/>
    </row>
    <row r="941" spans="2:6">
      <c r="B941" s="1"/>
      <c r="C941" s="1"/>
      <c r="D941" s="1"/>
      <c r="E941" s="6"/>
      <c r="F941" s="4"/>
    </row>
    <row r="942" spans="2:6">
      <c r="B942" s="1"/>
      <c r="C942" s="1"/>
      <c r="D942" s="1"/>
      <c r="E942" s="6"/>
      <c r="F942" s="4"/>
    </row>
    <row r="943" spans="2:6">
      <c r="B943" s="1"/>
      <c r="C943" s="1"/>
      <c r="D943" s="1"/>
      <c r="E943" s="6"/>
      <c r="F943" s="4"/>
    </row>
    <row r="944" spans="2:6">
      <c r="B944" s="1"/>
      <c r="C944" s="1"/>
      <c r="D944" s="1"/>
      <c r="E944" s="6"/>
      <c r="F944" s="4"/>
    </row>
    <row r="945" spans="2:6">
      <c r="B945" s="1"/>
      <c r="C945" s="1"/>
      <c r="D945" s="1"/>
      <c r="E945" s="6"/>
      <c r="F945" s="4"/>
    </row>
    <row r="946" spans="2:6">
      <c r="B946" s="1"/>
      <c r="C946" s="1"/>
      <c r="D946" s="1"/>
      <c r="E946" s="6"/>
      <c r="F946" s="4"/>
    </row>
    <row r="947" spans="2:6">
      <c r="B947" s="1"/>
      <c r="C947" s="1"/>
      <c r="D947" s="1"/>
      <c r="E947" s="6"/>
      <c r="F947" s="4"/>
    </row>
    <row r="948" spans="2:6">
      <c r="B948" s="1"/>
      <c r="C948" s="1"/>
      <c r="D948" s="1"/>
      <c r="E948" s="6"/>
      <c r="F948" s="4"/>
    </row>
    <row r="949" spans="2:6">
      <c r="B949" s="1"/>
      <c r="C949" s="1"/>
      <c r="D949" s="1"/>
      <c r="E949" s="6"/>
      <c r="F949" s="4"/>
    </row>
    <row r="950" spans="2:6">
      <c r="B950" s="1"/>
      <c r="C950" s="1"/>
      <c r="D950" s="1"/>
      <c r="E950" s="6"/>
      <c r="F950" s="4"/>
    </row>
    <row r="951" spans="2:6">
      <c r="B951" s="1"/>
      <c r="C951" s="1"/>
      <c r="D951" s="1"/>
      <c r="E951" s="6"/>
      <c r="F951" s="4"/>
    </row>
    <row r="952" spans="2:6">
      <c r="B952" s="1"/>
      <c r="C952" s="1"/>
      <c r="D952" s="1"/>
      <c r="E952" s="6"/>
      <c r="F952" s="4"/>
    </row>
    <row r="953" spans="2:6">
      <c r="B953" s="1"/>
      <c r="C953" s="1"/>
      <c r="D953" s="1"/>
      <c r="E953" s="6"/>
      <c r="F953" s="4"/>
    </row>
    <row r="954" spans="2:6">
      <c r="B954" s="1"/>
      <c r="C954" s="1"/>
      <c r="D954" s="1"/>
      <c r="E954" s="6"/>
      <c r="F954" s="4"/>
    </row>
    <row r="955" spans="2:6">
      <c r="B955" s="1"/>
      <c r="C955" s="1"/>
      <c r="D955" s="1"/>
      <c r="E955" s="6"/>
      <c r="F955" s="4"/>
    </row>
    <row r="956" spans="2:6">
      <c r="B956" s="1"/>
      <c r="C956" s="1"/>
      <c r="D956" s="1"/>
      <c r="E956" s="6"/>
      <c r="F956" s="4"/>
    </row>
    <row r="957" spans="2:6">
      <c r="B957" s="1"/>
      <c r="C957" s="1"/>
      <c r="D957" s="1"/>
      <c r="E957" s="6"/>
      <c r="F957" s="4"/>
    </row>
    <row r="958" spans="2:6">
      <c r="B958" s="1"/>
      <c r="C958" s="1"/>
      <c r="D958" s="1"/>
      <c r="E958" s="6"/>
      <c r="F958" s="4"/>
    </row>
    <row r="959" spans="2:6">
      <c r="B959" s="1"/>
      <c r="C959" s="1"/>
      <c r="D959" s="1"/>
      <c r="E959" s="6"/>
      <c r="F959" s="4"/>
    </row>
    <row r="960" spans="2:6">
      <c r="B960" s="1"/>
      <c r="C960" s="1"/>
      <c r="D960" s="1"/>
      <c r="E960" s="6"/>
      <c r="F960" s="4"/>
    </row>
    <row r="961" spans="2:6">
      <c r="B961" s="1"/>
      <c r="C961" s="1"/>
      <c r="D961" s="1"/>
      <c r="E961" s="6"/>
      <c r="F961" s="4"/>
    </row>
    <row r="962" spans="2:6">
      <c r="B962" s="1"/>
      <c r="C962" s="1"/>
      <c r="D962" s="1"/>
      <c r="E962" s="6"/>
      <c r="F962" s="4"/>
    </row>
    <row r="963" spans="2:6">
      <c r="B963" s="1"/>
      <c r="C963" s="1"/>
      <c r="D963" s="1"/>
      <c r="E963" s="6"/>
      <c r="F963" s="4"/>
    </row>
    <row r="964" spans="2:6">
      <c r="B964" s="1"/>
      <c r="C964" s="1"/>
      <c r="D964" s="1"/>
      <c r="E964" s="6"/>
      <c r="F964" s="4"/>
    </row>
    <row r="965" spans="2:6">
      <c r="B965" s="1"/>
      <c r="C965" s="1"/>
      <c r="D965" s="1"/>
      <c r="E965" s="6"/>
      <c r="F965" s="4"/>
    </row>
    <row r="966" spans="2:6">
      <c r="B966" s="1"/>
      <c r="C966" s="1"/>
      <c r="D966" s="1"/>
      <c r="E966" s="6"/>
      <c r="F966" s="4"/>
    </row>
    <row r="967" spans="2:6">
      <c r="B967" s="1"/>
      <c r="C967" s="1"/>
      <c r="D967" s="1"/>
      <c r="E967" s="6"/>
      <c r="F967" s="4"/>
    </row>
    <row r="968" spans="2:6">
      <c r="B968" s="1"/>
      <c r="C968" s="1"/>
      <c r="D968" s="1"/>
      <c r="E968" s="6"/>
      <c r="F968" s="4"/>
    </row>
    <row r="969" spans="2:6">
      <c r="B969" s="1"/>
      <c r="C969" s="1"/>
      <c r="D969" s="1"/>
      <c r="E969" s="6"/>
      <c r="F969" s="4"/>
    </row>
    <row r="970" spans="2:6">
      <c r="B970" s="1"/>
      <c r="C970" s="1"/>
      <c r="D970" s="1"/>
      <c r="E970" s="6"/>
      <c r="F970" s="4"/>
    </row>
    <row r="971" spans="2:6">
      <c r="B971" s="1"/>
      <c r="C971" s="1"/>
      <c r="D971" s="1"/>
      <c r="E971" s="6"/>
      <c r="F971" s="4"/>
    </row>
    <row r="972" spans="2:6">
      <c r="B972" s="1"/>
      <c r="C972" s="1"/>
      <c r="D972" s="1"/>
      <c r="E972" s="6"/>
      <c r="F972" s="4"/>
    </row>
    <row r="973" spans="2:6">
      <c r="B973" s="1"/>
      <c r="C973" s="1"/>
      <c r="D973" s="1"/>
      <c r="E973" s="6"/>
      <c r="F973" s="4"/>
    </row>
    <row r="974" spans="2:6">
      <c r="B974" s="1"/>
      <c r="C974" s="1"/>
      <c r="D974" s="1"/>
      <c r="E974" s="6"/>
      <c r="F974" s="4"/>
    </row>
    <row r="975" spans="2:6">
      <c r="B975" s="1"/>
      <c r="C975" s="1"/>
      <c r="D975" s="1"/>
      <c r="E975" s="6"/>
      <c r="F975" s="4"/>
    </row>
    <row r="976" spans="2:6">
      <c r="B976" s="1"/>
      <c r="C976" s="1"/>
      <c r="D976" s="1"/>
      <c r="E976" s="6"/>
      <c r="F976" s="4"/>
    </row>
    <row r="977" spans="2:6">
      <c r="B977" s="1"/>
      <c r="C977" s="1"/>
      <c r="D977" s="1"/>
      <c r="E977" s="6"/>
      <c r="F977" s="4"/>
    </row>
    <row r="978" spans="2:6">
      <c r="B978" s="1"/>
      <c r="C978" s="1"/>
      <c r="D978" s="1"/>
      <c r="E978" s="6"/>
      <c r="F978" s="4"/>
    </row>
    <row r="979" spans="2:6">
      <c r="B979" s="1"/>
      <c r="C979" s="1"/>
      <c r="D979" s="1"/>
      <c r="E979" s="6"/>
      <c r="F979" s="4"/>
    </row>
    <row r="980" spans="2:6">
      <c r="B980" s="1"/>
      <c r="C980" s="1"/>
      <c r="D980" s="1"/>
      <c r="E980" s="6"/>
      <c r="F980" s="4"/>
    </row>
    <row r="981" spans="2:6">
      <c r="B981" s="1"/>
      <c r="C981" s="1"/>
      <c r="D981" s="1"/>
      <c r="E981" s="6"/>
      <c r="F981" s="4"/>
    </row>
    <row r="982" spans="2:6">
      <c r="B982" s="1"/>
      <c r="C982" s="1"/>
      <c r="D982" s="1"/>
      <c r="E982" s="6"/>
      <c r="F982" s="4"/>
    </row>
    <row r="983" spans="2:6">
      <c r="B983" s="1"/>
      <c r="C983" s="1"/>
      <c r="D983" s="1"/>
      <c r="E983" s="6"/>
      <c r="F983" s="4"/>
    </row>
    <row r="984" spans="2:6">
      <c r="B984" s="1"/>
      <c r="C984" s="1"/>
      <c r="D984" s="1"/>
      <c r="E984" s="6"/>
      <c r="F984" s="4"/>
    </row>
    <row r="985" spans="2:6">
      <c r="B985" s="1"/>
      <c r="C985" s="1"/>
      <c r="D985" s="1"/>
      <c r="E985" s="6"/>
      <c r="F985" s="4"/>
    </row>
    <row r="986" spans="2:6">
      <c r="B986" s="1"/>
      <c r="C986" s="1"/>
      <c r="D986" s="1"/>
      <c r="E986" s="6"/>
      <c r="F986" s="4"/>
    </row>
    <row r="987" spans="2:6">
      <c r="B987" s="1"/>
      <c r="C987" s="1"/>
      <c r="D987" s="1"/>
      <c r="E987" s="6"/>
      <c r="F987" s="4"/>
    </row>
    <row r="988" spans="2:6">
      <c r="B988" s="1"/>
      <c r="C988" s="1"/>
      <c r="D988" s="1"/>
      <c r="E988" s="6"/>
      <c r="F988" s="4"/>
    </row>
    <row r="989" spans="2:6">
      <c r="B989" s="1"/>
      <c r="C989" s="1"/>
      <c r="D989" s="1"/>
      <c r="E989" s="6"/>
      <c r="F989" s="4"/>
    </row>
    <row r="990" spans="2:6">
      <c r="B990" s="1"/>
      <c r="C990" s="1"/>
      <c r="D990" s="1"/>
      <c r="E990" s="6"/>
      <c r="F990" s="4"/>
    </row>
    <row r="991" spans="2:6">
      <c r="B991" s="1"/>
      <c r="C991" s="1"/>
      <c r="D991" s="1"/>
      <c r="E991" s="6"/>
      <c r="F991" s="4"/>
    </row>
    <row r="992" spans="2:6">
      <c r="B992" s="1"/>
      <c r="C992" s="1"/>
      <c r="D992" s="1"/>
      <c r="E992" s="6"/>
      <c r="F992" s="4"/>
    </row>
    <row r="993" spans="2:6">
      <c r="B993" s="1"/>
      <c r="C993" s="1"/>
      <c r="D993" s="1"/>
      <c r="E993" s="6"/>
      <c r="F993" s="4"/>
    </row>
    <row r="994" spans="2:6">
      <c r="B994" s="1"/>
      <c r="C994" s="1"/>
      <c r="D994" s="1"/>
      <c r="E994" s="6"/>
      <c r="F994" s="4"/>
    </row>
    <row r="995" spans="2:6">
      <c r="B995" s="1"/>
      <c r="C995" s="1"/>
      <c r="D995" s="1"/>
      <c r="E995" s="6"/>
      <c r="F995" s="4"/>
    </row>
    <row r="996" spans="2:6">
      <c r="B996" s="1"/>
      <c r="C996" s="1"/>
      <c r="D996" s="1"/>
      <c r="E996" s="6"/>
      <c r="F996" s="4"/>
    </row>
    <row r="997" spans="2:6">
      <c r="B997" s="1"/>
      <c r="C997" s="1"/>
      <c r="D997" s="1"/>
      <c r="E997" s="6"/>
      <c r="F997" s="4"/>
    </row>
    <row r="998" spans="2:6">
      <c r="B998" s="1"/>
      <c r="C998" s="1"/>
      <c r="D998" s="1"/>
      <c r="E998" s="6"/>
      <c r="F998" s="4"/>
    </row>
    <row r="999" spans="2:6">
      <c r="B999" s="1"/>
      <c r="C999" s="1"/>
      <c r="D999" s="1"/>
      <c r="E999" s="6"/>
      <c r="F999" s="4"/>
    </row>
    <row r="1000" spans="2:6">
      <c r="B1000" s="1"/>
      <c r="C1000" s="1"/>
      <c r="D1000" s="1"/>
      <c r="E1000" s="6"/>
      <c r="F1000" s="4"/>
    </row>
    <row r="1001" spans="2:6">
      <c r="B1001" s="1"/>
      <c r="C1001" s="1"/>
      <c r="D1001" s="1"/>
      <c r="E1001" s="6"/>
      <c r="F1001" s="4"/>
    </row>
    <row r="1002" spans="2:6">
      <c r="B1002" s="1"/>
      <c r="C1002" s="1"/>
      <c r="D1002" s="1"/>
      <c r="E1002" s="6"/>
      <c r="F1002" s="4"/>
    </row>
    <row r="1003" spans="2:6">
      <c r="B1003" s="1"/>
      <c r="C1003" s="1"/>
      <c r="D1003" s="1"/>
      <c r="E1003" s="6"/>
      <c r="F1003" s="4"/>
    </row>
    <row r="1004" spans="2:6">
      <c r="B1004" s="1"/>
      <c r="C1004" s="1"/>
      <c r="D1004" s="1"/>
      <c r="E1004" s="6"/>
      <c r="F1004" s="4"/>
    </row>
    <row r="1005" spans="2:6">
      <c r="B1005" s="1"/>
      <c r="C1005" s="1"/>
      <c r="D1005" s="1"/>
      <c r="E1005" s="6"/>
      <c r="F1005" s="4"/>
    </row>
    <row r="1006" spans="2:6">
      <c r="B1006" s="1"/>
      <c r="C1006" s="1"/>
      <c r="D1006" s="1"/>
      <c r="E1006" s="6"/>
      <c r="F1006" s="4"/>
    </row>
    <row r="1007" spans="2:6">
      <c r="B1007" s="1"/>
      <c r="C1007" s="1"/>
      <c r="D1007" s="1"/>
      <c r="E1007" s="6"/>
      <c r="F1007" s="4"/>
    </row>
    <row r="1008" spans="2:6">
      <c r="B1008" s="1"/>
      <c r="C1008" s="1"/>
      <c r="D1008" s="1"/>
      <c r="E1008" s="6"/>
      <c r="F1008" s="4"/>
    </row>
    <row r="1009" spans="2:6">
      <c r="B1009" s="1"/>
      <c r="C1009" s="1"/>
      <c r="D1009" s="1"/>
      <c r="E1009" s="6"/>
      <c r="F1009" s="4"/>
    </row>
    <row r="1010" spans="2:6">
      <c r="B1010" s="1"/>
      <c r="C1010" s="1"/>
      <c r="D1010" s="1"/>
      <c r="E1010" s="6"/>
      <c r="F1010" s="4"/>
    </row>
    <row r="1011" spans="2:6">
      <c r="B1011" s="1"/>
      <c r="C1011" s="1"/>
      <c r="D1011" s="1"/>
      <c r="E1011" s="6"/>
      <c r="F1011" s="4"/>
    </row>
    <row r="1012" spans="2:6">
      <c r="B1012" s="1"/>
      <c r="C1012" s="1"/>
      <c r="D1012" s="1"/>
      <c r="E1012" s="6"/>
      <c r="F1012" s="4"/>
    </row>
    <row r="1013" spans="2:6">
      <c r="B1013" s="1"/>
      <c r="C1013" s="1"/>
      <c r="D1013" s="1"/>
      <c r="E1013" s="6"/>
      <c r="F1013" s="4"/>
    </row>
    <row r="1014" spans="2:6">
      <c r="B1014" s="1"/>
      <c r="C1014" s="1"/>
      <c r="D1014" s="1"/>
      <c r="E1014" s="6"/>
      <c r="F1014" s="4"/>
    </row>
    <row r="1015" spans="2:6">
      <c r="B1015" s="1"/>
      <c r="C1015" s="1"/>
      <c r="D1015" s="1"/>
      <c r="E1015" s="6"/>
      <c r="F1015" s="4"/>
    </row>
    <row r="1016" spans="2:6">
      <c r="B1016" s="1"/>
      <c r="C1016" s="1"/>
      <c r="D1016" s="1"/>
      <c r="E1016" s="6"/>
      <c r="F1016" s="4"/>
    </row>
    <row r="1017" spans="2:6">
      <c r="B1017" s="1"/>
      <c r="C1017" s="1"/>
      <c r="D1017" s="1"/>
      <c r="E1017" s="6"/>
      <c r="F1017" s="4"/>
    </row>
    <row r="1018" spans="2:6">
      <c r="B1018" s="1"/>
      <c r="C1018" s="1"/>
      <c r="D1018" s="1"/>
      <c r="E1018" s="6"/>
      <c r="F1018" s="4"/>
    </row>
    <row r="1019" spans="2:6">
      <c r="B1019" s="1"/>
      <c r="C1019" s="1"/>
      <c r="D1019" s="1"/>
      <c r="E1019" s="6"/>
      <c r="F1019" s="4"/>
    </row>
    <row r="1020" spans="2:6">
      <c r="B1020" s="1"/>
      <c r="C1020" s="1"/>
      <c r="D1020" s="1"/>
      <c r="E1020" s="6"/>
      <c r="F1020" s="4"/>
    </row>
    <row r="1021" spans="2:6">
      <c r="B1021" s="1"/>
      <c r="C1021" s="1"/>
      <c r="D1021" s="1"/>
      <c r="E1021" s="6"/>
      <c r="F1021" s="4"/>
    </row>
    <row r="1022" spans="2:6">
      <c r="B1022" s="1"/>
      <c r="C1022" s="1"/>
      <c r="D1022" s="1"/>
      <c r="E1022" s="6"/>
      <c r="F1022" s="4"/>
    </row>
    <row r="1023" spans="2:6">
      <c r="B1023" s="1"/>
      <c r="C1023" s="1"/>
      <c r="D1023" s="1"/>
      <c r="E1023" s="6"/>
      <c r="F1023" s="4"/>
    </row>
    <row r="1024" spans="2:6">
      <c r="B1024" s="1"/>
      <c r="C1024" s="1"/>
      <c r="D1024" s="1"/>
      <c r="E1024" s="6"/>
      <c r="F1024" s="4"/>
    </row>
    <row r="1025" spans="2:6">
      <c r="B1025" s="1"/>
      <c r="C1025" s="1"/>
      <c r="D1025" s="1"/>
      <c r="E1025" s="6"/>
      <c r="F1025" s="4"/>
    </row>
    <row r="1026" spans="2:6">
      <c r="B1026" s="1"/>
      <c r="C1026" s="1"/>
      <c r="D1026" s="1"/>
      <c r="E1026" s="6"/>
      <c r="F1026" s="4"/>
    </row>
    <row r="1027" spans="2:6">
      <c r="B1027" s="1"/>
      <c r="C1027" s="1"/>
      <c r="D1027" s="1"/>
      <c r="E1027" s="6"/>
      <c r="F1027" s="4"/>
    </row>
    <row r="1028" spans="2:6">
      <c r="B1028" s="1"/>
      <c r="C1028" s="1"/>
      <c r="D1028" s="1"/>
      <c r="E1028" s="6"/>
      <c r="F1028" s="4"/>
    </row>
    <row r="1029" spans="2:6">
      <c r="B1029" s="1"/>
      <c r="C1029" s="1"/>
      <c r="D1029" s="1"/>
      <c r="E1029" s="6"/>
      <c r="F1029" s="4"/>
    </row>
    <row r="1030" spans="2:6">
      <c r="B1030" s="1"/>
      <c r="C1030" s="1"/>
      <c r="D1030" s="1"/>
      <c r="E1030" s="6"/>
      <c r="F1030" s="4"/>
    </row>
    <row r="1031" spans="2:6">
      <c r="B1031" s="1"/>
      <c r="C1031" s="1"/>
      <c r="D1031" s="1"/>
      <c r="E1031" s="6"/>
      <c r="F1031" s="4"/>
    </row>
    <row r="1032" spans="2:6">
      <c r="B1032" s="1"/>
      <c r="C1032" s="1"/>
      <c r="D1032" s="1"/>
      <c r="E1032" s="6"/>
      <c r="F1032" s="4"/>
    </row>
    <row r="1033" spans="2:6">
      <c r="B1033" s="1"/>
      <c r="C1033" s="1"/>
      <c r="D1033" s="1"/>
      <c r="E1033" s="6"/>
      <c r="F1033" s="4"/>
    </row>
    <row r="1034" spans="2:6">
      <c r="B1034" s="1"/>
      <c r="C1034" s="1"/>
      <c r="D1034" s="1"/>
      <c r="E1034" s="6"/>
      <c r="F1034" s="4"/>
    </row>
    <row r="1035" spans="2:6">
      <c r="B1035" s="1"/>
      <c r="C1035" s="1"/>
      <c r="D1035" s="1"/>
      <c r="E1035" s="6"/>
      <c r="F1035" s="4"/>
    </row>
    <row r="1036" spans="2:6">
      <c r="B1036" s="1"/>
      <c r="C1036" s="1"/>
      <c r="D1036" s="1"/>
      <c r="E1036" s="6"/>
      <c r="F1036" s="4"/>
    </row>
    <row r="1037" spans="2:6">
      <c r="B1037" s="1"/>
      <c r="C1037" s="1"/>
      <c r="D1037" s="1"/>
      <c r="E1037" s="6"/>
      <c r="F1037" s="4"/>
    </row>
    <row r="1038" spans="2:6">
      <c r="B1038" s="1"/>
      <c r="C1038" s="1"/>
      <c r="D1038" s="1"/>
      <c r="E1038" s="6"/>
      <c r="F1038" s="4"/>
    </row>
    <row r="1039" spans="2:6">
      <c r="B1039" s="1"/>
      <c r="C1039" s="1"/>
      <c r="D1039" s="1"/>
      <c r="E1039" s="6"/>
      <c r="F1039" s="4"/>
    </row>
    <row r="1040" spans="2:6">
      <c r="B1040" s="1"/>
      <c r="C1040" s="1"/>
      <c r="D1040" s="1"/>
      <c r="E1040" s="6"/>
      <c r="F1040" s="4"/>
    </row>
    <row r="1041" spans="2:6">
      <c r="B1041" s="1"/>
      <c r="C1041" s="1"/>
      <c r="D1041" s="1"/>
      <c r="E1041" s="6"/>
      <c r="F1041" s="4"/>
    </row>
    <row r="1042" spans="2:6">
      <c r="B1042" s="1"/>
      <c r="C1042" s="1"/>
      <c r="D1042" s="1"/>
      <c r="E1042" s="6"/>
      <c r="F1042" s="4"/>
    </row>
    <row r="1043" spans="2:6">
      <c r="B1043" s="1"/>
      <c r="C1043" s="1"/>
      <c r="D1043" s="1"/>
      <c r="E1043" s="6"/>
      <c r="F1043" s="4"/>
    </row>
    <row r="1044" spans="2:6">
      <c r="B1044" s="1"/>
      <c r="C1044" s="1"/>
      <c r="D1044" s="1"/>
      <c r="E1044" s="6"/>
      <c r="F1044" s="4"/>
    </row>
    <row r="1045" spans="2:6">
      <c r="B1045" s="1"/>
      <c r="C1045" s="1"/>
      <c r="D1045" s="1"/>
      <c r="E1045" s="6"/>
      <c r="F1045" s="4"/>
    </row>
    <row r="1046" spans="2:6">
      <c r="B1046" s="1"/>
      <c r="C1046" s="1"/>
      <c r="D1046" s="1"/>
      <c r="E1046" s="6"/>
      <c r="F1046" s="4"/>
    </row>
    <row r="1047" spans="2:6">
      <c r="B1047" s="1"/>
      <c r="C1047" s="1"/>
      <c r="D1047" s="1"/>
      <c r="E1047" s="6"/>
      <c r="F1047" s="4"/>
    </row>
    <row r="1048" spans="2:6">
      <c r="B1048" s="1"/>
      <c r="C1048" s="1"/>
      <c r="D1048" s="1"/>
      <c r="E1048" s="6"/>
      <c r="F1048" s="4"/>
    </row>
    <row r="1049" spans="2:6">
      <c r="B1049" s="1"/>
      <c r="C1049" s="1"/>
      <c r="D1049" s="1"/>
      <c r="E1049" s="6"/>
      <c r="F1049" s="4"/>
    </row>
    <row r="1050" spans="2:6">
      <c r="B1050" s="1"/>
      <c r="C1050" s="1"/>
      <c r="D1050" s="1"/>
      <c r="E1050" s="6"/>
      <c r="F1050" s="4"/>
    </row>
    <row r="1051" spans="2:6">
      <c r="B1051" s="1"/>
      <c r="C1051" s="1"/>
      <c r="D1051" s="1"/>
      <c r="E1051" s="6"/>
      <c r="F1051" s="4"/>
    </row>
    <row r="1052" spans="2:6">
      <c r="B1052" s="1"/>
      <c r="C1052" s="1"/>
      <c r="D1052" s="1"/>
      <c r="E1052" s="6"/>
      <c r="F1052" s="4"/>
    </row>
    <row r="1053" spans="2:6">
      <c r="B1053" s="1"/>
      <c r="C1053" s="1"/>
      <c r="D1053" s="1"/>
      <c r="E1053" s="6"/>
      <c r="F1053" s="4"/>
    </row>
    <row r="1054" spans="2:6">
      <c r="B1054" s="1"/>
      <c r="C1054" s="1"/>
      <c r="D1054" s="1"/>
      <c r="E1054" s="6"/>
      <c r="F1054" s="4"/>
    </row>
    <row r="1055" spans="2:6">
      <c r="B1055" s="1"/>
      <c r="C1055" s="1"/>
      <c r="D1055" s="1"/>
      <c r="E1055" s="6"/>
      <c r="F1055" s="4"/>
    </row>
    <row r="1056" spans="2:6">
      <c r="B1056" s="1"/>
      <c r="C1056" s="1"/>
      <c r="D1056" s="1"/>
      <c r="E1056" s="6"/>
      <c r="F1056" s="4"/>
    </row>
    <row r="1057" spans="2:6">
      <c r="B1057" s="1"/>
      <c r="C1057" s="1"/>
      <c r="D1057" s="1"/>
      <c r="E1057" s="6"/>
      <c r="F1057" s="4"/>
    </row>
    <row r="1058" spans="2:6">
      <c r="B1058" s="1"/>
      <c r="C1058" s="1"/>
      <c r="D1058" s="1"/>
      <c r="E1058" s="6"/>
      <c r="F1058" s="4"/>
    </row>
    <row r="1059" spans="2:6">
      <c r="B1059" s="1"/>
      <c r="C1059" s="1"/>
      <c r="D1059" s="1"/>
      <c r="E1059" s="6"/>
      <c r="F1059" s="4"/>
    </row>
    <row r="1060" spans="2:6">
      <c r="B1060" s="1"/>
      <c r="C1060" s="1"/>
      <c r="D1060" s="1"/>
      <c r="E1060" s="6"/>
      <c r="F1060" s="4"/>
    </row>
    <row r="1061" spans="2:6">
      <c r="B1061" s="1"/>
      <c r="C1061" s="1"/>
      <c r="D1061" s="1"/>
      <c r="E1061" s="6"/>
      <c r="F1061" s="4"/>
    </row>
    <row r="1062" spans="2:6">
      <c r="B1062" s="1"/>
      <c r="C1062" s="1"/>
      <c r="D1062" s="1"/>
      <c r="E1062" s="6"/>
      <c r="F1062" s="4"/>
    </row>
    <row r="1063" spans="2:6">
      <c r="B1063" s="1"/>
      <c r="C1063" s="1"/>
      <c r="D1063" s="1"/>
      <c r="E1063" s="6"/>
      <c r="F1063" s="4"/>
    </row>
    <row r="1064" spans="2:6">
      <c r="B1064" s="1"/>
      <c r="C1064" s="1"/>
      <c r="D1064" s="1"/>
      <c r="E1064" s="6"/>
      <c r="F1064" s="4"/>
    </row>
    <row r="1065" spans="2:6">
      <c r="B1065" s="1"/>
      <c r="C1065" s="1"/>
      <c r="D1065" s="1"/>
      <c r="E1065" s="6"/>
      <c r="F1065" s="4"/>
    </row>
    <row r="1066" spans="2:6">
      <c r="B1066" s="1"/>
      <c r="C1066" s="1"/>
      <c r="D1066" s="1"/>
      <c r="E1066" s="6"/>
      <c r="F1066" s="4"/>
    </row>
    <row r="1067" spans="2:6">
      <c r="B1067" s="1"/>
      <c r="C1067" s="1"/>
      <c r="D1067" s="1"/>
      <c r="E1067" s="6"/>
      <c r="F1067" s="4"/>
    </row>
    <row r="1068" spans="2:6">
      <c r="B1068" s="1"/>
      <c r="C1068" s="1"/>
      <c r="D1068" s="1"/>
      <c r="E1068" s="6"/>
      <c r="F1068" s="4"/>
    </row>
    <row r="1069" spans="2:6">
      <c r="B1069" s="1"/>
      <c r="C1069" s="1"/>
      <c r="D1069" s="1"/>
      <c r="E1069" s="6"/>
      <c r="F1069" s="4"/>
    </row>
    <row r="1070" spans="2:6">
      <c r="B1070" s="1"/>
      <c r="C1070" s="1"/>
      <c r="D1070" s="1"/>
      <c r="E1070" s="6"/>
      <c r="F1070" s="4"/>
    </row>
    <row r="1071" spans="2:6">
      <c r="B1071" s="1"/>
      <c r="C1071" s="1"/>
      <c r="D1071" s="1"/>
      <c r="E1071" s="6"/>
      <c r="F1071" s="4"/>
    </row>
    <row r="1072" spans="2:6">
      <c r="B1072" s="1"/>
      <c r="C1072" s="1"/>
      <c r="D1072" s="1"/>
      <c r="E1072" s="6"/>
      <c r="F1072" s="4"/>
    </row>
    <row r="1073" spans="2:6">
      <c r="B1073" s="1"/>
      <c r="C1073" s="1"/>
      <c r="D1073" s="1"/>
      <c r="E1073" s="6"/>
      <c r="F1073" s="4"/>
    </row>
    <row r="1074" spans="2:6">
      <c r="B1074" s="1"/>
      <c r="C1074" s="1"/>
      <c r="D1074" s="1"/>
      <c r="E1074" s="6"/>
      <c r="F1074" s="4"/>
    </row>
    <row r="1075" spans="2:6">
      <c r="B1075" s="1"/>
      <c r="C1075" s="1"/>
      <c r="D1075" s="1"/>
      <c r="E1075" s="6"/>
      <c r="F1075" s="4"/>
    </row>
    <row r="1076" spans="2:6">
      <c r="B1076" s="1"/>
      <c r="C1076" s="1"/>
      <c r="D1076" s="1"/>
      <c r="E1076" s="6"/>
      <c r="F1076" s="4"/>
    </row>
    <row r="1077" spans="2:6">
      <c r="B1077" s="1"/>
      <c r="C1077" s="1"/>
      <c r="D1077" s="1"/>
      <c r="E1077" s="6"/>
      <c r="F1077" s="4"/>
    </row>
    <row r="1078" spans="2:6">
      <c r="B1078" s="1"/>
      <c r="C1078" s="1"/>
      <c r="D1078" s="1"/>
      <c r="E1078" s="6"/>
      <c r="F1078" s="4"/>
    </row>
    <row r="1079" spans="2:6">
      <c r="B1079" s="1"/>
      <c r="C1079" s="1"/>
      <c r="D1079" s="1"/>
      <c r="E1079" s="6"/>
      <c r="F1079" s="4"/>
    </row>
    <row r="1080" spans="2:6">
      <c r="B1080" s="1"/>
      <c r="C1080" s="1"/>
      <c r="D1080" s="1"/>
      <c r="E1080" s="6"/>
      <c r="F1080" s="4"/>
    </row>
    <row r="1081" spans="2:6">
      <c r="B1081" s="1"/>
      <c r="C1081" s="1"/>
      <c r="D1081" s="1"/>
      <c r="E1081" s="6"/>
      <c r="F1081" s="4"/>
    </row>
    <row r="1082" spans="2:6">
      <c r="B1082" s="1"/>
      <c r="C1082" s="1"/>
      <c r="D1082" s="1"/>
      <c r="E1082" s="6"/>
      <c r="F1082" s="4"/>
    </row>
    <row r="1083" spans="2:6">
      <c r="B1083" s="1"/>
      <c r="C1083" s="1"/>
      <c r="D1083" s="1"/>
      <c r="E1083" s="6"/>
      <c r="F1083" s="4"/>
    </row>
    <row r="1084" spans="2:6">
      <c r="B1084" s="1"/>
      <c r="C1084" s="1"/>
      <c r="D1084" s="1"/>
      <c r="E1084" s="6"/>
      <c r="F1084" s="4"/>
    </row>
    <row r="1085" spans="2:6">
      <c r="B1085" s="1"/>
      <c r="C1085" s="1"/>
      <c r="D1085" s="1"/>
      <c r="E1085" s="6"/>
      <c r="F1085" s="4"/>
    </row>
    <row r="1086" spans="2:6">
      <c r="B1086" s="1"/>
      <c r="C1086" s="1"/>
      <c r="D1086" s="1"/>
      <c r="E1086" s="6"/>
      <c r="F1086" s="4"/>
    </row>
    <row r="1087" spans="2:6">
      <c r="B1087" s="1"/>
      <c r="C1087" s="1"/>
      <c r="D1087" s="1"/>
      <c r="E1087" s="6"/>
      <c r="F1087" s="4"/>
    </row>
    <row r="1088" spans="2:6">
      <c r="B1088" s="1"/>
      <c r="C1088" s="1"/>
      <c r="D1088" s="1"/>
      <c r="E1088" s="6"/>
      <c r="F1088" s="4"/>
    </row>
    <row r="1089" spans="2:6">
      <c r="B1089" s="1"/>
      <c r="C1089" s="1"/>
      <c r="D1089" s="1"/>
      <c r="E1089" s="6"/>
      <c r="F1089" s="4"/>
    </row>
    <row r="1090" spans="2:6">
      <c r="B1090" s="1"/>
      <c r="C1090" s="1"/>
      <c r="D1090" s="1"/>
      <c r="E1090" s="6"/>
      <c r="F1090" s="4"/>
    </row>
    <row r="1091" spans="2:6">
      <c r="B1091" s="1"/>
      <c r="C1091" s="1"/>
      <c r="D1091" s="1"/>
      <c r="E1091" s="6"/>
      <c r="F1091" s="4"/>
    </row>
    <row r="1092" spans="2:6">
      <c r="B1092" s="1"/>
      <c r="C1092" s="1"/>
      <c r="D1092" s="1"/>
      <c r="E1092" s="6"/>
      <c r="F1092" s="4"/>
    </row>
    <row r="1093" spans="2:6">
      <c r="B1093" s="1"/>
      <c r="C1093" s="1"/>
      <c r="D1093" s="1"/>
      <c r="E1093" s="6"/>
      <c r="F1093" s="4"/>
    </row>
    <row r="1094" spans="2:6">
      <c r="B1094" s="1"/>
      <c r="C1094" s="1"/>
      <c r="D1094" s="1"/>
      <c r="E1094" s="6"/>
      <c r="F1094" s="4"/>
    </row>
    <row r="1095" spans="2:6">
      <c r="B1095" s="1"/>
      <c r="C1095" s="1"/>
      <c r="D1095" s="1"/>
      <c r="E1095" s="6"/>
      <c r="F1095" s="4"/>
    </row>
    <row r="1096" spans="2:6">
      <c r="B1096" s="1"/>
      <c r="C1096" s="1"/>
      <c r="D1096" s="1"/>
      <c r="E1096" s="6"/>
      <c r="F1096" s="4"/>
    </row>
    <row r="1097" spans="2:6">
      <c r="B1097" s="1"/>
      <c r="C1097" s="1"/>
      <c r="D1097" s="1"/>
      <c r="E1097" s="6"/>
      <c r="F1097" s="4"/>
    </row>
    <row r="1098" spans="2:6">
      <c r="B1098" s="1"/>
      <c r="C1098" s="1"/>
      <c r="D1098" s="1"/>
      <c r="E1098" s="6"/>
      <c r="F1098" s="4"/>
    </row>
    <row r="1099" spans="2:6">
      <c r="B1099" s="1"/>
      <c r="C1099" s="1"/>
      <c r="D1099" s="1"/>
      <c r="E1099" s="6"/>
      <c r="F1099" s="4"/>
    </row>
    <row r="1100" spans="2:6">
      <c r="B1100" s="1"/>
      <c r="C1100" s="1"/>
      <c r="D1100" s="1"/>
      <c r="E1100" s="6"/>
      <c r="F1100" s="4"/>
    </row>
    <row r="1101" spans="2:6">
      <c r="B1101" s="1"/>
      <c r="C1101" s="1"/>
      <c r="D1101" s="1"/>
      <c r="E1101" s="6"/>
      <c r="F1101" s="4"/>
    </row>
    <row r="1102" spans="2:6">
      <c r="B1102" s="1"/>
      <c r="C1102" s="1"/>
      <c r="D1102" s="1"/>
      <c r="E1102" s="6"/>
      <c r="F1102" s="4"/>
    </row>
    <row r="1103" spans="2:6">
      <c r="B1103" s="1"/>
      <c r="C1103" s="1"/>
      <c r="D1103" s="1"/>
      <c r="E1103" s="6"/>
      <c r="F1103" s="4"/>
    </row>
    <row r="1104" spans="2:6">
      <c r="B1104" s="1"/>
      <c r="C1104" s="1"/>
      <c r="D1104" s="1"/>
      <c r="E1104" s="6"/>
      <c r="F1104" s="4"/>
    </row>
    <row r="1105" spans="2:6">
      <c r="B1105" s="1"/>
      <c r="C1105" s="1"/>
      <c r="D1105" s="1"/>
      <c r="E1105" s="6"/>
      <c r="F1105" s="4"/>
    </row>
    <row r="1106" spans="2:6">
      <c r="B1106" s="1"/>
      <c r="C1106" s="1"/>
      <c r="D1106" s="1"/>
      <c r="E1106" s="6"/>
      <c r="F1106" s="4"/>
    </row>
    <row r="1107" spans="2:6">
      <c r="B1107" s="1"/>
      <c r="C1107" s="1"/>
      <c r="D1107" s="1"/>
      <c r="E1107" s="6"/>
      <c r="F1107" s="4"/>
    </row>
    <row r="1108" spans="2:6">
      <c r="B1108" s="1"/>
      <c r="C1108" s="1"/>
      <c r="D1108" s="1"/>
      <c r="E1108" s="6"/>
      <c r="F1108" s="4"/>
    </row>
    <row r="1109" spans="2:6">
      <c r="B1109" s="1"/>
      <c r="C1109" s="1"/>
      <c r="D1109" s="1"/>
      <c r="E1109" s="6"/>
      <c r="F1109" s="4"/>
    </row>
    <row r="1110" spans="2:6">
      <c r="B1110" s="1"/>
      <c r="C1110" s="1"/>
      <c r="D1110" s="1"/>
      <c r="E1110" s="6"/>
      <c r="F1110" s="4"/>
    </row>
    <row r="1111" spans="2:6">
      <c r="B1111" s="1"/>
      <c r="C1111" s="1"/>
      <c r="D1111" s="1"/>
      <c r="E1111" s="6"/>
      <c r="F1111" s="4"/>
    </row>
    <row r="1112" spans="2:6">
      <c r="B1112" s="1"/>
      <c r="C1112" s="1"/>
      <c r="D1112" s="1"/>
      <c r="E1112" s="6"/>
      <c r="F1112" s="4"/>
    </row>
    <row r="1113" spans="2:6">
      <c r="B1113" s="1"/>
      <c r="C1113" s="1"/>
      <c r="D1113" s="1"/>
      <c r="E1113" s="6"/>
      <c r="F1113" s="4"/>
    </row>
    <row r="1114" spans="2:6">
      <c r="B1114" s="1"/>
      <c r="C1114" s="1"/>
      <c r="D1114" s="1"/>
      <c r="E1114" s="6"/>
      <c r="F1114" s="4"/>
    </row>
    <row r="1115" spans="2:6">
      <c r="B1115" s="1"/>
      <c r="C1115" s="1"/>
      <c r="D1115" s="1"/>
      <c r="E1115" s="6"/>
      <c r="F1115" s="4"/>
    </row>
    <row r="1116" spans="2:6">
      <c r="B1116" s="1"/>
      <c r="C1116" s="1"/>
      <c r="D1116" s="1"/>
      <c r="E1116" s="6"/>
      <c r="F1116" s="4"/>
    </row>
    <row r="1117" spans="2:6">
      <c r="B1117" s="1"/>
      <c r="C1117" s="1"/>
      <c r="D1117" s="1"/>
      <c r="E1117" s="6"/>
      <c r="F1117" s="4"/>
    </row>
    <row r="1118" spans="2:6">
      <c r="B1118" s="1"/>
      <c r="C1118" s="1"/>
      <c r="D1118" s="1"/>
      <c r="E1118" s="6"/>
      <c r="F1118" s="4"/>
    </row>
    <row r="1119" spans="2:6">
      <c r="B1119" s="1"/>
      <c r="C1119" s="1"/>
      <c r="D1119" s="1"/>
      <c r="E1119" s="6"/>
      <c r="F1119" s="4"/>
    </row>
    <row r="1120" spans="2:6">
      <c r="B1120" s="1"/>
      <c r="C1120" s="1"/>
      <c r="D1120" s="1"/>
      <c r="E1120" s="6"/>
      <c r="F1120" s="4"/>
    </row>
    <row r="1121" spans="2:6">
      <c r="B1121" s="1"/>
      <c r="C1121" s="1"/>
      <c r="D1121" s="1"/>
      <c r="E1121" s="6"/>
      <c r="F1121" s="4"/>
    </row>
    <row r="1122" spans="2:6">
      <c r="B1122" s="1"/>
      <c r="C1122" s="1"/>
      <c r="D1122" s="1"/>
      <c r="E1122" s="6"/>
      <c r="F1122" s="4"/>
    </row>
    <row r="1123" spans="2:6">
      <c r="B1123" s="1"/>
      <c r="C1123" s="1"/>
      <c r="D1123" s="1"/>
      <c r="E1123" s="6"/>
      <c r="F1123" s="4"/>
    </row>
    <row r="1124" spans="2:6">
      <c r="B1124" s="1"/>
      <c r="C1124" s="1"/>
      <c r="D1124" s="1"/>
      <c r="E1124" s="6"/>
      <c r="F1124" s="4"/>
    </row>
    <row r="1125" spans="2:6">
      <c r="B1125" s="1"/>
      <c r="C1125" s="1"/>
      <c r="D1125" s="1"/>
      <c r="E1125" s="6"/>
      <c r="F1125" s="4"/>
    </row>
    <row r="1126" spans="2:6">
      <c r="B1126" s="1"/>
      <c r="C1126" s="1"/>
      <c r="D1126" s="1"/>
      <c r="E1126" s="6"/>
      <c r="F1126" s="4"/>
    </row>
    <row r="1127" spans="2:6">
      <c r="B1127" s="1"/>
      <c r="C1127" s="1"/>
      <c r="D1127" s="1"/>
      <c r="E1127" s="6"/>
      <c r="F1127" s="4"/>
    </row>
    <row r="1128" spans="2:6">
      <c r="B1128" s="1"/>
      <c r="C1128" s="1"/>
      <c r="D1128" s="1"/>
      <c r="E1128" s="6"/>
      <c r="F1128" s="4"/>
    </row>
    <row r="1129" spans="2:6">
      <c r="B1129" s="1"/>
      <c r="C1129" s="1"/>
      <c r="D1129" s="1"/>
      <c r="E1129" s="6"/>
      <c r="F1129" s="4"/>
    </row>
    <row r="1130" spans="2:6">
      <c r="B1130" s="1"/>
      <c r="C1130" s="1"/>
      <c r="D1130" s="1"/>
      <c r="E1130" s="6"/>
      <c r="F1130" s="4"/>
    </row>
    <row r="1131" spans="2:6">
      <c r="B1131" s="1"/>
      <c r="C1131" s="1"/>
      <c r="D1131" s="1"/>
      <c r="E1131" s="6"/>
      <c r="F1131" s="4"/>
    </row>
    <row r="1132" spans="2:6">
      <c r="B1132" s="1"/>
      <c r="C1132" s="1"/>
      <c r="D1132" s="1"/>
      <c r="E1132" s="6"/>
      <c r="F1132" s="4"/>
    </row>
    <row r="1133" spans="2:6">
      <c r="B1133" s="1"/>
      <c r="C1133" s="1"/>
      <c r="D1133" s="1"/>
      <c r="E1133" s="6"/>
      <c r="F1133" s="4"/>
    </row>
    <row r="1134" spans="2:6">
      <c r="B1134" s="1"/>
      <c r="C1134" s="1"/>
      <c r="D1134" s="1"/>
      <c r="E1134" s="6"/>
      <c r="F1134" s="4"/>
    </row>
    <row r="1135" spans="2:6">
      <c r="B1135" s="1"/>
      <c r="C1135" s="1"/>
      <c r="D1135" s="1"/>
      <c r="E1135" s="6"/>
      <c r="F1135" s="4"/>
    </row>
    <row r="1136" spans="2:6">
      <c r="B1136" s="1"/>
      <c r="C1136" s="1"/>
      <c r="D1136" s="1"/>
      <c r="E1136" s="6"/>
      <c r="F1136" s="4"/>
    </row>
    <row r="1137" spans="2:6">
      <c r="B1137" s="1"/>
      <c r="C1137" s="1"/>
      <c r="D1137" s="1"/>
      <c r="E1137" s="6"/>
      <c r="F1137" s="4"/>
    </row>
    <row r="1138" spans="2:6">
      <c r="B1138" s="1"/>
      <c r="C1138" s="1"/>
      <c r="D1138" s="1"/>
      <c r="E1138" s="6"/>
      <c r="F1138" s="4"/>
    </row>
    <row r="1139" spans="2:6">
      <c r="B1139" s="1"/>
      <c r="C1139" s="1"/>
      <c r="D1139" s="1"/>
      <c r="E1139" s="6"/>
      <c r="F1139" s="4"/>
    </row>
    <row r="1140" spans="2:6">
      <c r="B1140" s="1"/>
      <c r="C1140" s="1"/>
      <c r="D1140" s="1"/>
      <c r="E1140" s="6"/>
      <c r="F1140" s="4"/>
    </row>
    <row r="1141" spans="2:6">
      <c r="B1141" s="1"/>
      <c r="C1141" s="1"/>
      <c r="D1141" s="1"/>
      <c r="E1141" s="6"/>
      <c r="F1141" s="4"/>
    </row>
    <row r="1142" spans="2:6">
      <c r="B1142" s="1"/>
      <c r="C1142" s="1"/>
      <c r="D1142" s="1"/>
      <c r="E1142" s="6"/>
      <c r="F1142" s="4"/>
    </row>
    <row r="1143" spans="2:6">
      <c r="B1143" s="1"/>
      <c r="C1143" s="1"/>
      <c r="D1143" s="1"/>
      <c r="E1143" s="6"/>
      <c r="F1143" s="4"/>
    </row>
    <row r="1144" spans="2:6">
      <c r="B1144" s="1"/>
      <c r="C1144" s="1"/>
      <c r="D1144" s="1"/>
      <c r="E1144" s="6"/>
      <c r="F1144" s="4"/>
    </row>
    <row r="1145" spans="2:6">
      <c r="B1145" s="1"/>
      <c r="C1145" s="1"/>
      <c r="D1145" s="1"/>
      <c r="E1145" s="6"/>
      <c r="F1145" s="4"/>
    </row>
    <row r="1146" spans="2:6">
      <c r="B1146" s="1"/>
      <c r="C1146" s="1"/>
      <c r="D1146" s="1"/>
      <c r="E1146" s="6"/>
      <c r="F1146" s="4"/>
    </row>
    <row r="1147" spans="2:6">
      <c r="B1147" s="1"/>
      <c r="C1147" s="1"/>
      <c r="D1147" s="1"/>
      <c r="E1147" s="6"/>
      <c r="F1147" s="4"/>
    </row>
    <row r="1148" spans="2:6">
      <c r="B1148" s="1"/>
      <c r="C1148" s="1"/>
      <c r="D1148" s="1"/>
      <c r="E1148" s="6"/>
      <c r="F1148" s="4"/>
    </row>
    <row r="1149" spans="2:6">
      <c r="B1149" s="1"/>
      <c r="C1149" s="1"/>
      <c r="D1149" s="1"/>
      <c r="E1149" s="6"/>
      <c r="F1149" s="4"/>
    </row>
    <row r="1150" spans="2:6">
      <c r="B1150" s="1"/>
      <c r="C1150" s="1"/>
      <c r="D1150" s="1"/>
      <c r="E1150" s="6"/>
      <c r="F1150" s="4"/>
    </row>
    <row r="1151" spans="2:6">
      <c r="B1151" s="1"/>
      <c r="C1151" s="1"/>
      <c r="D1151" s="1"/>
      <c r="E1151" s="6"/>
      <c r="F1151" s="4"/>
    </row>
    <row r="1152" spans="2:6">
      <c r="B1152" s="1"/>
      <c r="C1152" s="1"/>
      <c r="D1152" s="1"/>
      <c r="E1152" s="6"/>
      <c r="F1152" s="4"/>
    </row>
    <row r="1153" spans="2:6">
      <c r="B1153" s="1"/>
      <c r="C1153" s="1"/>
      <c r="D1153" s="1"/>
      <c r="E1153" s="6"/>
      <c r="F1153" s="4"/>
    </row>
    <row r="1154" spans="2:6">
      <c r="B1154" s="1"/>
      <c r="C1154" s="1"/>
      <c r="D1154" s="1"/>
      <c r="E1154" s="6"/>
      <c r="F1154" s="4"/>
    </row>
    <row r="1155" spans="2:6">
      <c r="B1155" s="1"/>
      <c r="C1155" s="1"/>
      <c r="D1155" s="1"/>
      <c r="E1155" s="6"/>
      <c r="F1155" s="4"/>
    </row>
    <row r="1156" spans="2:6">
      <c r="B1156" s="1"/>
      <c r="C1156" s="1"/>
      <c r="D1156" s="1"/>
      <c r="E1156" s="6"/>
      <c r="F1156" s="4"/>
    </row>
    <row r="1157" spans="2:6">
      <c r="B1157" s="1"/>
      <c r="C1157" s="1"/>
      <c r="D1157" s="1"/>
      <c r="E1157" s="6"/>
      <c r="F1157" s="4"/>
    </row>
    <row r="1158" spans="2:6">
      <c r="B1158" s="1"/>
      <c r="C1158" s="1"/>
      <c r="D1158" s="1"/>
      <c r="E1158" s="6"/>
      <c r="F1158" s="4"/>
    </row>
    <row r="1159" spans="2:6">
      <c r="B1159" s="1"/>
      <c r="C1159" s="1"/>
      <c r="D1159" s="1"/>
      <c r="E1159" s="6"/>
      <c r="F1159" s="4"/>
    </row>
    <row r="1160" spans="2:6">
      <c r="B1160" s="1"/>
      <c r="C1160" s="1"/>
      <c r="D1160" s="1"/>
      <c r="E1160" s="6"/>
      <c r="F1160" s="4"/>
    </row>
    <row r="1161" spans="2:6">
      <c r="B1161" s="1"/>
      <c r="C1161" s="1"/>
      <c r="D1161" s="1"/>
      <c r="E1161" s="6"/>
      <c r="F1161" s="4"/>
    </row>
    <row r="1162" spans="2:6">
      <c r="B1162" s="1"/>
      <c r="C1162" s="1"/>
      <c r="D1162" s="1"/>
      <c r="E1162" s="6"/>
      <c r="F1162" s="4"/>
    </row>
    <row r="1163" spans="2:6">
      <c r="B1163" s="1"/>
      <c r="C1163" s="1"/>
      <c r="D1163" s="1"/>
      <c r="E1163" s="6"/>
      <c r="F1163" s="4"/>
    </row>
    <row r="1164" spans="2:6">
      <c r="B1164" s="1"/>
      <c r="C1164" s="1"/>
      <c r="D1164" s="1"/>
      <c r="E1164" s="6"/>
      <c r="F1164" s="4"/>
    </row>
    <row r="1165" spans="2:6">
      <c r="B1165" s="1"/>
      <c r="C1165" s="1"/>
      <c r="D1165" s="1"/>
      <c r="E1165" s="6"/>
      <c r="F1165" s="4"/>
    </row>
    <row r="1166" spans="2:6">
      <c r="B1166" s="1"/>
      <c r="C1166" s="1"/>
      <c r="D1166" s="1"/>
      <c r="E1166" s="6"/>
      <c r="F1166" s="4"/>
    </row>
    <row r="1167" spans="2:6">
      <c r="B1167" s="1"/>
      <c r="C1167" s="1"/>
      <c r="D1167" s="1"/>
      <c r="E1167" s="6"/>
      <c r="F1167" s="4"/>
    </row>
    <row r="1168" spans="2:6">
      <c r="B1168" s="1"/>
      <c r="C1168" s="1"/>
      <c r="D1168" s="1"/>
      <c r="E1168" s="6"/>
      <c r="F1168" s="4"/>
    </row>
    <row r="1169" spans="2:6">
      <c r="B1169" s="1"/>
      <c r="C1169" s="1"/>
      <c r="D1169" s="1"/>
      <c r="E1169" s="6"/>
      <c r="F1169" s="4"/>
    </row>
    <row r="1170" spans="2:6">
      <c r="B1170" s="1"/>
      <c r="C1170" s="1"/>
      <c r="D1170" s="1"/>
      <c r="E1170" s="6"/>
      <c r="F1170" s="4"/>
    </row>
    <row r="1171" spans="2:6">
      <c r="B1171" s="1"/>
      <c r="C1171" s="1"/>
      <c r="D1171" s="1"/>
      <c r="E1171" s="6"/>
      <c r="F1171" s="4"/>
    </row>
    <row r="1172" spans="2:6">
      <c r="B1172" s="1"/>
      <c r="C1172" s="1"/>
      <c r="D1172" s="1"/>
      <c r="E1172" s="6"/>
      <c r="F1172" s="4"/>
    </row>
    <row r="1173" spans="2:6">
      <c r="B1173" s="1"/>
      <c r="C1173" s="1"/>
      <c r="D1173" s="1"/>
      <c r="E1173" s="6"/>
      <c r="F1173" s="4"/>
    </row>
    <row r="1174" spans="2:6">
      <c r="B1174" s="1"/>
      <c r="C1174" s="1"/>
      <c r="D1174" s="1"/>
      <c r="E1174" s="6"/>
      <c r="F1174" s="4"/>
    </row>
    <row r="1175" spans="2:6">
      <c r="B1175" s="1"/>
      <c r="C1175" s="1"/>
      <c r="D1175" s="1"/>
      <c r="E1175" s="6"/>
      <c r="F1175" s="4"/>
    </row>
    <row r="1176" spans="2:6">
      <c r="B1176" s="1"/>
      <c r="C1176" s="1"/>
      <c r="D1176" s="1"/>
      <c r="E1176" s="6"/>
      <c r="F1176" s="4"/>
    </row>
    <row r="1177" spans="2:6">
      <c r="B1177" s="1"/>
      <c r="C1177" s="1"/>
      <c r="D1177" s="1"/>
      <c r="E1177" s="6"/>
      <c r="F1177" s="4"/>
    </row>
    <row r="1178" spans="2:6">
      <c r="B1178" s="1"/>
      <c r="C1178" s="1"/>
      <c r="D1178" s="1"/>
      <c r="E1178" s="6"/>
      <c r="F1178" s="4"/>
    </row>
    <row r="1179" spans="2:6">
      <c r="B1179" s="1"/>
      <c r="C1179" s="1"/>
      <c r="D1179" s="1"/>
      <c r="E1179" s="6"/>
      <c r="F1179" s="4"/>
    </row>
    <row r="1180" spans="2:6">
      <c r="B1180" s="1"/>
      <c r="C1180" s="1"/>
      <c r="D1180" s="1"/>
      <c r="E1180" s="6"/>
      <c r="F1180" s="4"/>
    </row>
    <row r="1181" spans="2:6">
      <c r="B1181" s="1"/>
      <c r="C1181" s="1"/>
      <c r="D1181" s="1"/>
      <c r="E1181" s="6"/>
      <c r="F1181" s="4"/>
    </row>
    <row r="1182" spans="2:6">
      <c r="B1182" s="1"/>
      <c r="C1182" s="1"/>
      <c r="D1182" s="1"/>
      <c r="E1182" s="6"/>
      <c r="F1182" s="4"/>
    </row>
    <row r="1183" spans="2:6">
      <c r="B1183" s="1"/>
      <c r="C1183" s="1"/>
      <c r="D1183" s="1"/>
      <c r="E1183" s="6"/>
      <c r="F1183" s="4"/>
    </row>
    <row r="1184" spans="2:6">
      <c r="B1184" s="1"/>
      <c r="C1184" s="1"/>
      <c r="D1184" s="1"/>
      <c r="E1184" s="6"/>
      <c r="F1184" s="4"/>
    </row>
    <row r="1185" spans="2:6">
      <c r="B1185" s="1"/>
      <c r="C1185" s="1"/>
      <c r="D1185" s="1"/>
      <c r="E1185" s="6"/>
      <c r="F1185" s="4"/>
    </row>
    <row r="1186" spans="2:6">
      <c r="B1186" s="1"/>
      <c r="C1186" s="1"/>
      <c r="D1186" s="1"/>
      <c r="E1186" s="6"/>
      <c r="F1186" s="4"/>
    </row>
    <row r="1187" spans="2:6">
      <c r="B1187" s="1"/>
      <c r="C1187" s="1"/>
      <c r="D1187" s="1"/>
      <c r="E1187" s="6"/>
      <c r="F1187" s="4"/>
    </row>
    <row r="1188" spans="2:6">
      <c r="B1188" s="1"/>
      <c r="C1188" s="1"/>
      <c r="D1188" s="1"/>
      <c r="E1188" s="6"/>
      <c r="F1188" s="4"/>
    </row>
    <row r="1189" spans="2:6">
      <c r="B1189" s="1"/>
      <c r="C1189" s="1"/>
      <c r="D1189" s="1"/>
      <c r="E1189" s="6"/>
      <c r="F1189" s="4"/>
    </row>
    <row r="1190" spans="2:6">
      <c r="B1190" s="1"/>
      <c r="C1190" s="1"/>
      <c r="D1190" s="1"/>
      <c r="E1190" s="6"/>
      <c r="F1190" s="4"/>
    </row>
    <row r="1191" spans="2:6">
      <c r="B1191" s="1"/>
      <c r="C1191" s="1"/>
      <c r="D1191" s="1"/>
      <c r="E1191" s="6"/>
      <c r="F1191" s="4"/>
    </row>
    <row r="1192" spans="2:6">
      <c r="B1192" s="1"/>
      <c r="C1192" s="1"/>
      <c r="D1192" s="1"/>
      <c r="E1192" s="6"/>
      <c r="F1192" s="4"/>
    </row>
    <row r="1193" spans="2:6">
      <c r="B1193" s="1"/>
      <c r="C1193" s="1"/>
      <c r="D1193" s="1"/>
      <c r="E1193" s="6"/>
      <c r="F1193" s="4"/>
    </row>
    <row r="1194" spans="2:6">
      <c r="B1194" s="1"/>
      <c r="C1194" s="1"/>
      <c r="D1194" s="1"/>
      <c r="E1194" s="6"/>
      <c r="F1194" s="4"/>
    </row>
    <row r="1195" spans="2:6">
      <c r="B1195" s="1"/>
      <c r="C1195" s="1"/>
      <c r="D1195" s="1"/>
      <c r="E1195" s="6"/>
      <c r="F1195" s="4"/>
    </row>
    <row r="1196" spans="2:6">
      <c r="B1196" s="1"/>
      <c r="C1196" s="1"/>
      <c r="D1196" s="1"/>
      <c r="E1196" s="6"/>
      <c r="F1196" s="4"/>
    </row>
    <row r="1197" spans="2:6">
      <c r="B1197" s="1"/>
      <c r="C1197" s="1"/>
      <c r="D1197" s="1"/>
      <c r="E1197" s="6"/>
      <c r="F1197" s="4"/>
    </row>
    <row r="1198" spans="2:6">
      <c r="B1198" s="1"/>
      <c r="C1198" s="1"/>
      <c r="D1198" s="1"/>
      <c r="E1198" s="6"/>
      <c r="F1198" s="4"/>
    </row>
    <row r="1199" spans="2:6">
      <c r="B1199" s="1"/>
      <c r="C1199" s="1"/>
      <c r="D1199" s="1"/>
      <c r="E1199" s="6"/>
      <c r="F1199" s="4"/>
    </row>
    <row r="1200" spans="2:6">
      <c r="B1200" s="1"/>
      <c r="C1200" s="1"/>
      <c r="D1200" s="1"/>
      <c r="E1200" s="6"/>
      <c r="F1200" s="4"/>
    </row>
    <row r="1201" spans="2:6">
      <c r="B1201" s="1"/>
      <c r="C1201" s="1"/>
      <c r="D1201" s="1"/>
      <c r="E1201" s="6"/>
      <c r="F1201" s="4"/>
    </row>
    <row r="1202" spans="2:6">
      <c r="B1202" s="1"/>
      <c r="C1202" s="1"/>
      <c r="D1202" s="1"/>
      <c r="E1202" s="6"/>
      <c r="F1202" s="4"/>
    </row>
    <row r="1203" spans="2:6">
      <c r="B1203" s="1"/>
      <c r="C1203" s="1"/>
      <c r="D1203" s="1"/>
      <c r="E1203" s="6"/>
      <c r="F1203" s="4"/>
    </row>
    <row r="1204" spans="2:6">
      <c r="B1204" s="1"/>
      <c r="C1204" s="1"/>
      <c r="D1204" s="1"/>
      <c r="E1204" s="6"/>
      <c r="F1204" s="4"/>
    </row>
    <row r="1205" spans="2:6">
      <c r="B1205" s="1"/>
      <c r="C1205" s="1"/>
      <c r="D1205" s="1"/>
      <c r="E1205" s="6"/>
      <c r="F1205" s="4"/>
    </row>
    <row r="1206" spans="2:6">
      <c r="B1206" s="1"/>
      <c r="C1206" s="1"/>
      <c r="D1206" s="1"/>
      <c r="E1206" s="6"/>
      <c r="F1206" s="4"/>
    </row>
    <row r="1207" spans="2:6">
      <c r="B1207" s="1"/>
      <c r="C1207" s="1"/>
      <c r="D1207" s="1"/>
      <c r="E1207" s="6"/>
      <c r="F1207" s="4"/>
    </row>
    <row r="1208" spans="2:6">
      <c r="B1208" s="1"/>
      <c r="C1208" s="1"/>
      <c r="D1208" s="1"/>
      <c r="E1208" s="6"/>
      <c r="F1208" s="4"/>
    </row>
    <row r="1209" spans="2:6">
      <c r="B1209" s="1"/>
      <c r="C1209" s="1"/>
      <c r="D1209" s="1"/>
      <c r="E1209" s="6"/>
      <c r="F1209" s="4"/>
    </row>
    <row r="1210" spans="2:6">
      <c r="B1210" s="1"/>
      <c r="C1210" s="1"/>
      <c r="D1210" s="1"/>
      <c r="E1210" s="6"/>
      <c r="F1210" s="4"/>
    </row>
    <row r="1211" spans="2:6">
      <c r="B1211" s="1"/>
      <c r="C1211" s="1"/>
      <c r="D1211" s="1"/>
      <c r="E1211" s="6"/>
      <c r="F1211" s="4"/>
    </row>
    <row r="1212" spans="2:6">
      <c r="B1212" s="1"/>
      <c r="C1212" s="1"/>
      <c r="D1212" s="1"/>
      <c r="E1212" s="6"/>
      <c r="F1212" s="4"/>
    </row>
    <row r="1213" spans="2:6">
      <c r="B1213" s="1"/>
      <c r="C1213" s="1"/>
      <c r="D1213" s="1"/>
      <c r="E1213" s="6"/>
      <c r="F1213" s="4"/>
    </row>
    <row r="1214" spans="2:6">
      <c r="B1214" s="1"/>
      <c r="C1214" s="1"/>
      <c r="D1214" s="1"/>
      <c r="E1214" s="6"/>
      <c r="F1214" s="4"/>
    </row>
    <row r="1215" spans="2:6">
      <c r="B1215" s="1"/>
      <c r="C1215" s="1"/>
      <c r="D1215" s="1"/>
      <c r="E1215" s="6"/>
      <c r="F1215" s="4"/>
    </row>
    <row r="1216" spans="2:6">
      <c r="B1216" s="1"/>
      <c r="C1216" s="1"/>
      <c r="D1216" s="1"/>
      <c r="E1216" s="6"/>
      <c r="F1216" s="4"/>
    </row>
    <row r="1217" spans="2:6">
      <c r="B1217" s="1"/>
      <c r="C1217" s="1"/>
      <c r="D1217" s="1"/>
      <c r="E1217" s="6"/>
      <c r="F1217" s="4"/>
    </row>
    <row r="1218" spans="2:6">
      <c r="B1218" s="1"/>
      <c r="C1218" s="1"/>
      <c r="D1218" s="1"/>
      <c r="E1218" s="6"/>
      <c r="F1218" s="4"/>
    </row>
    <row r="1219" spans="2:6">
      <c r="B1219" s="1"/>
      <c r="C1219" s="1"/>
      <c r="D1219" s="1"/>
      <c r="E1219" s="6"/>
      <c r="F1219" s="4"/>
    </row>
    <row r="1220" spans="2:6">
      <c r="B1220" s="1"/>
      <c r="C1220" s="1"/>
      <c r="D1220" s="1"/>
      <c r="E1220" s="6"/>
      <c r="F1220" s="4"/>
    </row>
    <row r="1221" spans="2:6">
      <c r="B1221" s="1"/>
      <c r="C1221" s="1"/>
      <c r="D1221" s="1"/>
      <c r="E1221" s="6"/>
      <c r="F1221" s="4"/>
    </row>
    <row r="1222" spans="2:6">
      <c r="B1222" s="1"/>
      <c r="C1222" s="1"/>
      <c r="D1222" s="1"/>
      <c r="E1222" s="6"/>
      <c r="F1222" s="4"/>
    </row>
    <row r="1223" spans="2:6">
      <c r="B1223" s="1"/>
      <c r="C1223" s="1"/>
      <c r="D1223" s="1"/>
      <c r="E1223" s="6"/>
      <c r="F1223" s="4"/>
    </row>
    <row r="1224" spans="2:6">
      <c r="B1224" s="1"/>
      <c r="C1224" s="1"/>
      <c r="D1224" s="1"/>
      <c r="E1224" s="6"/>
      <c r="F1224" s="4"/>
    </row>
    <row r="1225" spans="2:6">
      <c r="B1225" s="1"/>
      <c r="C1225" s="1"/>
      <c r="D1225" s="1"/>
      <c r="E1225" s="6"/>
      <c r="F1225" s="4"/>
    </row>
    <row r="1226" spans="2:6">
      <c r="B1226" s="1"/>
      <c r="C1226" s="1"/>
      <c r="D1226" s="1"/>
      <c r="E1226" s="6"/>
      <c r="F1226" s="4"/>
    </row>
    <row r="1227" spans="2:6">
      <c r="B1227" s="1"/>
      <c r="C1227" s="1"/>
      <c r="D1227" s="1"/>
      <c r="E1227" s="6"/>
      <c r="F1227" s="4"/>
    </row>
    <row r="1228" spans="2:6">
      <c r="B1228" s="1"/>
      <c r="C1228" s="1"/>
      <c r="D1228" s="1"/>
      <c r="E1228" s="6"/>
      <c r="F1228" s="4"/>
    </row>
    <row r="1229" spans="2:6">
      <c r="B1229" s="1"/>
      <c r="C1229" s="1"/>
      <c r="D1229" s="1"/>
      <c r="E1229" s="6"/>
      <c r="F1229" s="4"/>
    </row>
    <row r="1230" spans="2:6">
      <c r="B1230" s="1"/>
      <c r="C1230" s="1"/>
      <c r="D1230" s="1"/>
      <c r="E1230" s="6"/>
      <c r="F1230" s="4"/>
    </row>
    <row r="1231" spans="2:6">
      <c r="B1231" s="1"/>
      <c r="C1231" s="1"/>
      <c r="D1231" s="1"/>
      <c r="E1231" s="6"/>
      <c r="F1231" s="4"/>
    </row>
    <row r="1232" spans="2:6">
      <c r="B1232" s="1"/>
      <c r="C1232" s="1"/>
      <c r="D1232" s="1"/>
      <c r="E1232" s="6"/>
      <c r="F1232" s="4"/>
    </row>
    <row r="1233" spans="2:6">
      <c r="B1233" s="1"/>
      <c r="C1233" s="1"/>
      <c r="D1233" s="1"/>
      <c r="E1233" s="6"/>
      <c r="F1233" s="4"/>
    </row>
    <row r="1234" spans="2:6">
      <c r="B1234" s="1"/>
      <c r="C1234" s="1"/>
      <c r="D1234" s="1"/>
      <c r="E1234" s="6"/>
      <c r="F1234" s="4"/>
    </row>
    <row r="1235" spans="2:6">
      <c r="B1235" s="1"/>
      <c r="C1235" s="1"/>
      <c r="D1235" s="1"/>
      <c r="E1235" s="6"/>
      <c r="F1235" s="4"/>
    </row>
    <row r="1236" spans="2:6">
      <c r="B1236" s="1"/>
      <c r="C1236" s="1"/>
      <c r="D1236" s="1"/>
      <c r="E1236" s="6"/>
      <c r="F1236" s="4"/>
    </row>
    <row r="1237" spans="2:6">
      <c r="B1237" s="1"/>
      <c r="C1237" s="1"/>
      <c r="D1237" s="1"/>
      <c r="E1237" s="6"/>
      <c r="F1237" s="4"/>
    </row>
    <row r="1238" spans="2:6">
      <c r="B1238" s="1"/>
      <c r="C1238" s="1"/>
      <c r="D1238" s="1"/>
      <c r="E1238" s="6"/>
      <c r="F1238" s="4"/>
    </row>
    <row r="1239" spans="2:6">
      <c r="B1239" s="1"/>
      <c r="C1239" s="1"/>
      <c r="D1239" s="1"/>
      <c r="E1239" s="6"/>
      <c r="F1239" s="4"/>
    </row>
    <row r="1240" spans="2:6">
      <c r="B1240" s="1"/>
      <c r="C1240" s="1"/>
      <c r="D1240" s="1"/>
      <c r="E1240" s="6"/>
      <c r="F1240" s="4"/>
    </row>
    <row r="1241" spans="2:6">
      <c r="B1241" s="1"/>
      <c r="C1241" s="1"/>
      <c r="D1241" s="1"/>
      <c r="E1241" s="6"/>
      <c r="F1241" s="4"/>
    </row>
    <row r="1242" spans="2:6">
      <c r="B1242" s="1"/>
      <c r="C1242" s="1"/>
      <c r="D1242" s="1"/>
      <c r="E1242" s="6"/>
      <c r="F1242" s="4"/>
    </row>
    <row r="1243" spans="2:6">
      <c r="B1243" s="1"/>
      <c r="C1243" s="1"/>
      <c r="D1243" s="1"/>
      <c r="E1243" s="6"/>
      <c r="F1243" s="4"/>
    </row>
    <row r="1244" spans="2:6">
      <c r="B1244" s="1"/>
      <c r="C1244" s="1"/>
      <c r="D1244" s="1"/>
      <c r="E1244" s="6"/>
      <c r="F1244" s="4"/>
    </row>
    <row r="1245" spans="2:6">
      <c r="B1245" s="1"/>
      <c r="C1245" s="1"/>
      <c r="D1245" s="1"/>
      <c r="E1245" s="6"/>
      <c r="F1245" s="4"/>
    </row>
    <row r="1246" spans="2:6">
      <c r="B1246" s="1"/>
      <c r="C1246" s="1"/>
      <c r="D1246" s="1"/>
      <c r="E1246" s="6"/>
      <c r="F1246" s="4"/>
    </row>
    <row r="1247" spans="2:6">
      <c r="B1247" s="1"/>
      <c r="C1247" s="1"/>
      <c r="D1247" s="1"/>
      <c r="E1247" s="6"/>
      <c r="F1247" s="4"/>
    </row>
    <row r="1248" spans="2:6">
      <c r="B1248" s="1"/>
      <c r="C1248" s="1"/>
      <c r="D1248" s="1"/>
      <c r="E1248" s="6"/>
      <c r="F1248" s="4"/>
    </row>
    <row r="1249" spans="2:6">
      <c r="B1249" s="1"/>
      <c r="C1249" s="1"/>
      <c r="D1249" s="1"/>
      <c r="E1249" s="6"/>
      <c r="F1249" s="4"/>
    </row>
    <row r="1250" spans="2:6">
      <c r="B1250" s="1"/>
      <c r="C1250" s="1"/>
      <c r="D1250" s="1"/>
      <c r="E1250" s="6"/>
      <c r="F1250" s="4"/>
    </row>
    <row r="1251" spans="2:6">
      <c r="B1251" s="1"/>
      <c r="C1251" s="1"/>
      <c r="D1251" s="1"/>
      <c r="E1251" s="6"/>
      <c r="F1251" s="4"/>
    </row>
    <row r="1252" spans="2:6">
      <c r="B1252" s="1"/>
      <c r="C1252" s="1"/>
      <c r="D1252" s="1"/>
      <c r="E1252" s="6"/>
      <c r="F1252" s="4"/>
    </row>
    <row r="1253" spans="2:6">
      <c r="B1253" s="1"/>
      <c r="C1253" s="1"/>
      <c r="D1253" s="1"/>
      <c r="E1253" s="6"/>
      <c r="F1253" s="4"/>
    </row>
    <row r="1254" spans="2:6">
      <c r="B1254" s="1"/>
      <c r="C1254" s="1"/>
      <c r="D1254" s="1"/>
      <c r="E1254" s="6"/>
      <c r="F1254" s="4"/>
    </row>
    <row r="1255" spans="2:6">
      <c r="B1255" s="1"/>
      <c r="C1255" s="1"/>
      <c r="D1255" s="1"/>
      <c r="E1255" s="6"/>
      <c r="F1255" s="4"/>
    </row>
    <row r="1256" spans="2:6">
      <c r="B1256" s="1"/>
      <c r="C1256" s="1"/>
      <c r="D1256" s="1"/>
      <c r="E1256" s="6"/>
      <c r="F1256" s="4"/>
    </row>
    <row r="1257" spans="2:6">
      <c r="B1257" s="1"/>
      <c r="C1257" s="1"/>
      <c r="D1257" s="1"/>
      <c r="E1257" s="6"/>
      <c r="F1257" s="4"/>
    </row>
    <row r="1258" spans="2:6">
      <c r="B1258" s="1"/>
      <c r="C1258" s="1"/>
      <c r="D1258" s="1"/>
      <c r="E1258" s="6"/>
      <c r="F1258" s="4"/>
    </row>
    <row r="1259" spans="2:6">
      <c r="B1259" s="1"/>
      <c r="C1259" s="1"/>
      <c r="D1259" s="1"/>
      <c r="E1259" s="6"/>
      <c r="F1259" s="4"/>
    </row>
    <row r="1260" spans="2:6">
      <c r="B1260" s="1"/>
      <c r="C1260" s="1"/>
      <c r="D1260" s="1"/>
      <c r="E1260" s="6"/>
      <c r="F1260" s="4"/>
    </row>
    <row r="1261" spans="2:6">
      <c r="B1261" s="1"/>
      <c r="C1261" s="1"/>
      <c r="D1261" s="1"/>
      <c r="E1261" s="6"/>
      <c r="F1261" s="4"/>
    </row>
    <row r="1262" spans="2:6">
      <c r="B1262" s="1"/>
      <c r="C1262" s="1"/>
      <c r="D1262" s="1"/>
      <c r="E1262" s="6"/>
      <c r="F1262" s="4"/>
    </row>
    <row r="1263" spans="2:6">
      <c r="B1263" s="1"/>
      <c r="C1263" s="1"/>
      <c r="D1263" s="1"/>
      <c r="E1263" s="6"/>
      <c r="F1263" s="4"/>
    </row>
    <row r="1264" spans="2:6">
      <c r="B1264" s="1"/>
      <c r="C1264" s="1"/>
      <c r="D1264" s="1"/>
      <c r="E1264" s="6"/>
      <c r="F1264" s="4"/>
    </row>
    <row r="1265" spans="2:6">
      <c r="B1265" s="1"/>
      <c r="C1265" s="1"/>
      <c r="D1265" s="1"/>
      <c r="E1265" s="6"/>
      <c r="F1265" s="4"/>
    </row>
    <row r="1266" spans="2:6">
      <c r="B1266" s="1"/>
      <c r="C1266" s="1"/>
      <c r="D1266" s="1"/>
      <c r="E1266" s="6"/>
      <c r="F1266" s="4"/>
    </row>
    <row r="1267" spans="2:6">
      <c r="B1267" s="1"/>
      <c r="C1267" s="1"/>
      <c r="D1267" s="1"/>
      <c r="E1267" s="6"/>
      <c r="F1267" s="4"/>
    </row>
    <row r="1268" spans="2:6">
      <c r="B1268" s="1"/>
      <c r="C1268" s="1"/>
      <c r="D1268" s="1"/>
      <c r="E1268" s="6"/>
      <c r="F1268" s="4"/>
    </row>
    <row r="1269" spans="2:6">
      <c r="B1269" s="1"/>
      <c r="C1269" s="1"/>
      <c r="D1269" s="1"/>
      <c r="E1269" s="6"/>
      <c r="F1269" s="4"/>
    </row>
    <row r="1270" spans="2:6">
      <c r="B1270" s="1"/>
      <c r="C1270" s="1"/>
      <c r="D1270" s="1"/>
      <c r="E1270" s="6"/>
      <c r="F1270" s="4"/>
    </row>
    <row r="1271" spans="2:6">
      <c r="B1271" s="1"/>
      <c r="C1271" s="1"/>
      <c r="D1271" s="1"/>
      <c r="E1271" s="6"/>
      <c r="F1271" s="4"/>
    </row>
    <row r="1272" spans="2:6">
      <c r="B1272" s="1"/>
      <c r="C1272" s="1"/>
      <c r="D1272" s="1"/>
      <c r="E1272" s="6"/>
      <c r="F1272" s="4"/>
    </row>
    <row r="1273" spans="2:6">
      <c r="B1273" s="1"/>
      <c r="C1273" s="1"/>
      <c r="D1273" s="1"/>
      <c r="E1273" s="6"/>
      <c r="F1273" s="4"/>
    </row>
    <row r="1274" spans="2:6">
      <c r="B1274" s="1"/>
      <c r="C1274" s="1"/>
      <c r="D1274" s="1"/>
      <c r="E1274" s="6"/>
      <c r="F1274" s="4"/>
    </row>
    <row r="1275" spans="2:6">
      <c r="B1275" s="1"/>
      <c r="C1275" s="1"/>
      <c r="D1275" s="1"/>
      <c r="E1275" s="6"/>
      <c r="F1275" s="4"/>
    </row>
    <row r="1276" spans="2:6">
      <c r="B1276" s="1"/>
      <c r="C1276" s="1"/>
      <c r="D1276" s="1"/>
      <c r="E1276" s="6"/>
      <c r="F1276" s="4"/>
    </row>
    <row r="1277" spans="2:6">
      <c r="B1277" s="1"/>
      <c r="C1277" s="1"/>
      <c r="D1277" s="1"/>
      <c r="E1277" s="6"/>
      <c r="F1277" s="4"/>
    </row>
    <row r="1278" spans="2:6">
      <c r="B1278" s="1"/>
      <c r="C1278" s="1"/>
      <c r="D1278" s="1"/>
      <c r="E1278" s="6"/>
      <c r="F1278" s="4"/>
    </row>
    <row r="1279" spans="2:6">
      <c r="B1279" s="1"/>
      <c r="C1279" s="1"/>
      <c r="D1279" s="1"/>
      <c r="E1279" s="6"/>
      <c r="F1279" s="4"/>
    </row>
    <row r="1280" spans="2:6">
      <c r="B1280" s="1"/>
      <c r="C1280" s="1"/>
      <c r="D1280" s="1"/>
      <c r="E1280" s="6"/>
      <c r="F1280" s="4"/>
    </row>
    <row r="1281" spans="2:6">
      <c r="B1281" s="1"/>
      <c r="C1281" s="1"/>
      <c r="D1281" s="1"/>
      <c r="E1281" s="6"/>
      <c r="F1281" s="4"/>
    </row>
    <row r="1282" spans="2:6">
      <c r="B1282" s="1"/>
      <c r="C1282" s="1"/>
      <c r="D1282" s="1"/>
      <c r="E1282" s="6"/>
      <c r="F1282" s="4"/>
    </row>
    <row r="1283" spans="2:6">
      <c r="B1283" s="1"/>
      <c r="C1283" s="1"/>
      <c r="D1283" s="1"/>
      <c r="E1283" s="6"/>
      <c r="F1283" s="4"/>
    </row>
    <row r="1284" spans="2:6">
      <c r="B1284" s="1"/>
      <c r="C1284" s="1"/>
      <c r="D1284" s="1"/>
      <c r="E1284" s="6"/>
      <c r="F1284" s="4"/>
    </row>
    <row r="1285" spans="2:6">
      <c r="B1285" s="1"/>
      <c r="C1285" s="1"/>
      <c r="D1285" s="1"/>
      <c r="E1285" s="6"/>
      <c r="F1285" s="4"/>
    </row>
    <row r="1286" spans="2:6">
      <c r="B1286" s="1"/>
      <c r="C1286" s="1"/>
      <c r="D1286" s="1"/>
      <c r="E1286" s="6"/>
      <c r="F1286" s="4"/>
    </row>
    <row r="1287" spans="2:6">
      <c r="B1287" s="1"/>
      <c r="C1287" s="1"/>
      <c r="D1287" s="1"/>
      <c r="E1287" s="6"/>
      <c r="F1287" s="4"/>
    </row>
    <row r="1288" spans="2:6">
      <c r="B1288" s="1"/>
      <c r="C1288" s="1"/>
      <c r="D1288" s="1"/>
      <c r="E1288" s="6"/>
      <c r="F1288" s="4"/>
    </row>
    <row r="1289" spans="2:6">
      <c r="B1289" s="1"/>
      <c r="C1289" s="1"/>
      <c r="D1289" s="1"/>
      <c r="E1289" s="6"/>
      <c r="F1289" s="4"/>
    </row>
    <row r="1290" spans="2:6">
      <c r="B1290" s="1"/>
      <c r="C1290" s="1"/>
      <c r="D1290" s="1"/>
      <c r="E1290" s="6"/>
      <c r="F1290" s="4"/>
    </row>
    <row r="1291" spans="2:6">
      <c r="B1291" s="1"/>
      <c r="C1291" s="1"/>
      <c r="D1291" s="1"/>
      <c r="E1291" s="6"/>
      <c r="F1291" s="4"/>
    </row>
    <row r="1292" spans="2:6">
      <c r="B1292" s="1"/>
      <c r="C1292" s="1"/>
      <c r="D1292" s="1"/>
      <c r="E1292" s="6"/>
      <c r="F1292" s="4"/>
    </row>
    <row r="1293" spans="2:6">
      <c r="B1293" s="1"/>
      <c r="C1293" s="1"/>
      <c r="D1293" s="1"/>
      <c r="E1293" s="6"/>
      <c r="F1293" s="4"/>
    </row>
    <row r="1294" spans="2:6">
      <c r="B1294" s="1"/>
      <c r="C1294" s="1"/>
      <c r="D1294" s="1"/>
      <c r="E1294" s="6"/>
      <c r="F1294" s="4"/>
    </row>
    <row r="1295" spans="2:6">
      <c r="B1295" s="1"/>
      <c r="C1295" s="1"/>
      <c r="D1295" s="1"/>
      <c r="E1295" s="6"/>
      <c r="F1295" s="4"/>
    </row>
    <row r="1296" spans="2:6">
      <c r="B1296" s="1"/>
      <c r="C1296" s="1"/>
      <c r="D1296" s="1"/>
      <c r="E1296" s="6"/>
      <c r="F1296" s="4"/>
    </row>
    <row r="1297" spans="2:6">
      <c r="B1297" s="1"/>
      <c r="C1297" s="1"/>
      <c r="D1297" s="1"/>
      <c r="E1297" s="6"/>
      <c r="F1297" s="4"/>
    </row>
    <row r="1298" spans="2:6">
      <c r="B1298" s="1"/>
      <c r="C1298" s="1"/>
      <c r="D1298" s="1"/>
      <c r="E1298" s="6"/>
      <c r="F1298" s="4"/>
    </row>
    <row r="1299" spans="2:6">
      <c r="B1299" s="1"/>
      <c r="C1299" s="1"/>
      <c r="D1299" s="1"/>
      <c r="E1299" s="6"/>
      <c r="F1299" s="4"/>
    </row>
    <row r="1300" spans="2:6">
      <c r="B1300" s="1"/>
      <c r="C1300" s="1"/>
      <c r="D1300" s="1"/>
      <c r="E1300" s="6"/>
      <c r="F1300" s="4"/>
    </row>
    <row r="1301" spans="2:6">
      <c r="B1301" s="1"/>
      <c r="C1301" s="1"/>
      <c r="D1301" s="1"/>
      <c r="E1301" s="6"/>
      <c r="F1301" s="4"/>
    </row>
    <row r="1302" spans="2:6">
      <c r="B1302" s="1"/>
      <c r="C1302" s="1"/>
      <c r="D1302" s="1"/>
      <c r="E1302" s="6"/>
      <c r="F1302" s="4"/>
    </row>
    <row r="1303" spans="2:6">
      <c r="B1303" s="1"/>
      <c r="C1303" s="1"/>
      <c r="D1303" s="1"/>
      <c r="E1303" s="6"/>
      <c r="F1303" s="4"/>
    </row>
    <row r="1304" spans="2:6">
      <c r="B1304" s="1"/>
      <c r="C1304" s="1"/>
      <c r="D1304" s="1"/>
      <c r="E1304" s="6"/>
      <c r="F1304" s="4"/>
    </row>
    <row r="1305" spans="2:6">
      <c r="B1305" s="1"/>
      <c r="C1305" s="1"/>
      <c r="D1305" s="1"/>
      <c r="E1305" s="6"/>
      <c r="F1305" s="4"/>
    </row>
    <row r="1306" spans="2:6">
      <c r="B1306" s="1"/>
      <c r="C1306" s="1"/>
      <c r="D1306" s="1"/>
      <c r="E1306" s="6"/>
      <c r="F1306" s="4"/>
    </row>
    <row r="1307" spans="2:6">
      <c r="B1307" s="1"/>
      <c r="C1307" s="1"/>
      <c r="D1307" s="1"/>
      <c r="E1307" s="6"/>
      <c r="F1307" s="4"/>
    </row>
    <row r="1308" spans="2:6">
      <c r="B1308" s="1"/>
      <c r="C1308" s="1"/>
      <c r="D1308" s="1"/>
      <c r="E1308" s="6"/>
      <c r="F1308" s="4"/>
    </row>
    <row r="1309" spans="2:6">
      <c r="B1309" s="1"/>
      <c r="C1309" s="1"/>
      <c r="D1309" s="1"/>
      <c r="E1309" s="6"/>
      <c r="F1309" s="4"/>
    </row>
    <row r="1310" spans="2:6">
      <c r="B1310" s="1"/>
      <c r="C1310" s="1"/>
      <c r="D1310" s="1"/>
      <c r="E1310" s="6"/>
      <c r="F1310" s="4"/>
    </row>
    <row r="1311" spans="2:6">
      <c r="B1311" s="1"/>
      <c r="C1311" s="1"/>
      <c r="D1311" s="1"/>
      <c r="E1311" s="6"/>
      <c r="F1311" s="4"/>
    </row>
    <row r="1312" spans="2:6">
      <c r="B1312" s="1"/>
      <c r="C1312" s="1"/>
      <c r="D1312" s="1"/>
      <c r="E1312" s="6"/>
      <c r="F1312" s="4"/>
    </row>
    <row r="1313" spans="2:6">
      <c r="B1313" s="1"/>
      <c r="C1313" s="1"/>
      <c r="D1313" s="1"/>
      <c r="E1313" s="6"/>
      <c r="F1313" s="4"/>
    </row>
    <row r="1314" spans="2:6">
      <c r="B1314" s="1"/>
      <c r="C1314" s="1"/>
      <c r="D1314" s="1"/>
      <c r="E1314" s="6"/>
      <c r="F1314" s="4"/>
    </row>
    <row r="1315" spans="2:6">
      <c r="B1315" s="1"/>
      <c r="C1315" s="1"/>
      <c r="D1315" s="1"/>
      <c r="E1315" s="6"/>
      <c r="F1315" s="4"/>
    </row>
    <row r="1316" spans="2:6">
      <c r="B1316" s="1"/>
      <c r="C1316" s="1"/>
      <c r="D1316" s="1"/>
      <c r="E1316" s="6"/>
      <c r="F1316" s="4"/>
    </row>
    <row r="1317" spans="2:6">
      <c r="B1317" s="1"/>
      <c r="C1317" s="1"/>
      <c r="D1317" s="1"/>
      <c r="E1317" s="6"/>
      <c r="F1317" s="4"/>
    </row>
    <row r="1318" spans="2:6">
      <c r="B1318" s="1"/>
      <c r="C1318" s="1"/>
      <c r="D1318" s="1"/>
      <c r="E1318" s="6"/>
      <c r="F1318" s="4"/>
    </row>
    <row r="1319" spans="2:6">
      <c r="B1319" s="1"/>
      <c r="C1319" s="1"/>
      <c r="D1319" s="1"/>
      <c r="E1319" s="6"/>
      <c r="F1319" s="4"/>
    </row>
    <row r="1320" spans="2:6">
      <c r="B1320" s="1"/>
      <c r="C1320" s="1"/>
      <c r="D1320" s="1"/>
      <c r="E1320" s="6"/>
      <c r="F1320" s="4"/>
    </row>
    <row r="1321" spans="2:6">
      <c r="B1321" s="1"/>
      <c r="C1321" s="1"/>
      <c r="D1321" s="1"/>
      <c r="E1321" s="6"/>
      <c r="F1321" s="4"/>
    </row>
    <row r="1322" spans="2:6">
      <c r="B1322" s="1"/>
      <c r="C1322" s="1"/>
      <c r="D1322" s="1"/>
      <c r="E1322" s="6"/>
      <c r="F1322" s="4"/>
    </row>
    <row r="1323" spans="2:6">
      <c r="B1323" s="1"/>
      <c r="C1323" s="1"/>
      <c r="D1323" s="1"/>
      <c r="E1323" s="6"/>
      <c r="F1323" s="4"/>
    </row>
    <row r="1324" spans="2:6">
      <c r="B1324" s="1"/>
      <c r="C1324" s="1"/>
      <c r="D1324" s="1"/>
      <c r="E1324" s="6"/>
      <c r="F1324" s="4"/>
    </row>
    <row r="1325" spans="2:6">
      <c r="B1325" s="1"/>
      <c r="C1325" s="1"/>
      <c r="D1325" s="1"/>
      <c r="E1325" s="6"/>
      <c r="F1325" s="4"/>
    </row>
    <row r="1326" spans="2:6">
      <c r="B1326" s="1"/>
      <c r="C1326" s="1"/>
      <c r="D1326" s="1"/>
      <c r="E1326" s="6"/>
      <c r="F1326" s="4"/>
    </row>
    <row r="1327" spans="2:6">
      <c r="B1327" s="1"/>
      <c r="C1327" s="1"/>
      <c r="D1327" s="1"/>
      <c r="E1327" s="6"/>
      <c r="F1327" s="4"/>
    </row>
    <row r="1328" spans="2:6">
      <c r="B1328" s="1"/>
      <c r="C1328" s="1"/>
      <c r="D1328" s="1"/>
      <c r="E1328" s="6"/>
      <c r="F1328" s="4"/>
    </row>
    <row r="1329" spans="2:6">
      <c r="B1329" s="1"/>
      <c r="C1329" s="1"/>
      <c r="D1329" s="1"/>
      <c r="E1329" s="6"/>
      <c r="F1329" s="4"/>
    </row>
    <row r="1330" spans="2:6">
      <c r="B1330" s="1"/>
      <c r="C1330" s="1"/>
      <c r="D1330" s="1"/>
      <c r="E1330" s="6"/>
      <c r="F1330" s="4"/>
    </row>
    <row r="1331" spans="2:6">
      <c r="B1331" s="1"/>
      <c r="C1331" s="1"/>
      <c r="D1331" s="1"/>
      <c r="E1331" s="6"/>
      <c r="F1331" s="4"/>
    </row>
    <row r="1332" spans="2:6">
      <c r="B1332" s="1"/>
      <c r="C1332" s="1"/>
      <c r="D1332" s="1"/>
      <c r="E1332" s="6"/>
      <c r="F1332" s="4"/>
    </row>
    <row r="1333" spans="2:6">
      <c r="B1333" s="1"/>
      <c r="C1333" s="1"/>
      <c r="D1333" s="1"/>
      <c r="E1333" s="6"/>
      <c r="F1333" s="4"/>
    </row>
    <row r="1334" spans="2:6">
      <c r="B1334" s="1"/>
      <c r="C1334" s="1"/>
      <c r="D1334" s="1"/>
      <c r="E1334" s="6"/>
      <c r="F1334" s="4"/>
    </row>
    <row r="1335" spans="2:6">
      <c r="B1335" s="1"/>
      <c r="C1335" s="1"/>
      <c r="D1335" s="1"/>
      <c r="E1335" s="6"/>
      <c r="F1335" s="4"/>
    </row>
    <row r="1336" spans="2:6">
      <c r="B1336" s="1"/>
      <c r="C1336" s="1"/>
      <c r="D1336" s="1"/>
      <c r="E1336" s="6"/>
      <c r="F1336" s="4"/>
    </row>
    <row r="1337" spans="2:6">
      <c r="B1337" s="1"/>
      <c r="C1337" s="1"/>
      <c r="D1337" s="1"/>
      <c r="E1337" s="6"/>
      <c r="F1337" s="4"/>
    </row>
    <row r="1338" spans="2:6">
      <c r="B1338" s="1"/>
      <c r="C1338" s="1"/>
      <c r="D1338" s="1"/>
      <c r="E1338" s="6"/>
      <c r="F1338" s="4"/>
    </row>
    <row r="1339" spans="2:6">
      <c r="B1339" s="1"/>
      <c r="C1339" s="1"/>
      <c r="D1339" s="1"/>
      <c r="E1339" s="6"/>
      <c r="F1339" s="4"/>
    </row>
    <row r="1340" spans="2:6">
      <c r="B1340" s="1"/>
      <c r="C1340" s="1"/>
      <c r="D1340" s="1"/>
      <c r="E1340" s="6"/>
      <c r="F1340" s="4"/>
    </row>
    <row r="1341" spans="2:6">
      <c r="B1341" s="1"/>
      <c r="C1341" s="1"/>
      <c r="D1341" s="1"/>
      <c r="E1341" s="6"/>
      <c r="F1341" s="4"/>
    </row>
    <row r="1342" spans="2:6">
      <c r="B1342" s="1"/>
      <c r="C1342" s="1"/>
      <c r="D1342" s="1"/>
      <c r="E1342" s="6"/>
      <c r="F1342" s="4"/>
    </row>
    <row r="1343" spans="2:6">
      <c r="B1343" s="1"/>
      <c r="C1343" s="1"/>
      <c r="D1343" s="1"/>
      <c r="E1343" s="6"/>
      <c r="F1343" s="4"/>
    </row>
    <row r="1344" spans="2:6">
      <c r="B1344" s="1"/>
      <c r="C1344" s="1"/>
      <c r="D1344" s="1"/>
      <c r="E1344" s="6"/>
      <c r="F1344" s="4"/>
    </row>
    <row r="1345" spans="2:6">
      <c r="B1345" s="1"/>
      <c r="C1345" s="1"/>
      <c r="D1345" s="1"/>
      <c r="E1345" s="6"/>
      <c r="F1345" s="4"/>
    </row>
    <row r="1346" spans="2:6">
      <c r="B1346" s="1"/>
      <c r="C1346" s="1"/>
      <c r="D1346" s="1"/>
      <c r="E1346" s="6"/>
      <c r="F1346" s="4"/>
    </row>
    <row r="1347" spans="2:6">
      <c r="B1347" s="1"/>
      <c r="C1347" s="1"/>
      <c r="D1347" s="1"/>
      <c r="E1347" s="6"/>
      <c r="F1347" s="4"/>
    </row>
    <row r="1348" spans="2:6">
      <c r="B1348" s="1"/>
      <c r="C1348" s="1"/>
      <c r="D1348" s="1"/>
      <c r="E1348" s="6"/>
      <c r="F1348" s="4"/>
    </row>
    <row r="1349" spans="2:6">
      <c r="B1349" s="1"/>
      <c r="C1349" s="1"/>
      <c r="D1349" s="1"/>
      <c r="E1349" s="6"/>
      <c r="F1349" s="4"/>
    </row>
    <row r="1350" spans="2:6">
      <c r="B1350" s="1"/>
      <c r="C1350" s="1"/>
      <c r="D1350" s="1"/>
      <c r="E1350" s="6"/>
      <c r="F1350" s="4"/>
    </row>
    <row r="1351" spans="2:6">
      <c r="B1351" s="1"/>
      <c r="C1351" s="1"/>
      <c r="D1351" s="1"/>
      <c r="E1351" s="6"/>
      <c r="F1351" s="4"/>
    </row>
    <row r="1352" spans="2:6">
      <c r="B1352" s="1"/>
      <c r="C1352" s="1"/>
      <c r="D1352" s="1"/>
      <c r="E1352" s="6"/>
      <c r="F1352" s="4"/>
    </row>
    <row r="1353" spans="2:6">
      <c r="B1353" s="1"/>
      <c r="C1353" s="1"/>
      <c r="D1353" s="1"/>
      <c r="E1353" s="6"/>
      <c r="F1353" s="4"/>
    </row>
    <row r="1354" spans="2:6">
      <c r="B1354" s="1"/>
      <c r="C1354" s="1"/>
      <c r="D1354" s="1"/>
      <c r="E1354" s="6"/>
      <c r="F1354" s="4"/>
    </row>
    <row r="1355" spans="2:6">
      <c r="B1355" s="1"/>
      <c r="C1355" s="1"/>
      <c r="D1355" s="1"/>
      <c r="E1355" s="6"/>
      <c r="F1355" s="4"/>
    </row>
    <row r="1356" spans="2:6">
      <c r="B1356" s="1"/>
      <c r="C1356" s="1"/>
      <c r="D1356" s="1"/>
      <c r="E1356" s="6"/>
      <c r="F1356" s="4"/>
    </row>
    <row r="1357" spans="2:6">
      <c r="B1357" s="1"/>
      <c r="C1357" s="1"/>
      <c r="D1357" s="1"/>
      <c r="E1357" s="6"/>
      <c r="F1357" s="4"/>
    </row>
    <row r="1358" spans="2:6">
      <c r="B1358" s="1"/>
      <c r="C1358" s="1"/>
      <c r="D1358" s="1"/>
      <c r="E1358" s="6"/>
      <c r="F1358" s="4"/>
    </row>
    <row r="1359" spans="2:6">
      <c r="B1359" s="1"/>
      <c r="C1359" s="1"/>
      <c r="D1359" s="1"/>
      <c r="E1359" s="6"/>
      <c r="F1359" s="4"/>
    </row>
    <row r="1360" spans="2:6">
      <c r="B1360" s="1"/>
      <c r="C1360" s="1"/>
      <c r="D1360" s="1"/>
      <c r="E1360" s="6"/>
      <c r="F1360" s="4"/>
    </row>
    <row r="1361" spans="2:6">
      <c r="B1361" s="1"/>
      <c r="C1361" s="1"/>
      <c r="D1361" s="1"/>
      <c r="E1361" s="6"/>
      <c r="F1361" s="4"/>
    </row>
    <row r="1362" spans="2:6">
      <c r="B1362" s="1"/>
      <c r="C1362" s="1"/>
      <c r="D1362" s="1"/>
      <c r="E1362" s="6"/>
      <c r="F1362" s="4"/>
    </row>
    <row r="1363" spans="2:6">
      <c r="B1363" s="1"/>
      <c r="C1363" s="1"/>
      <c r="D1363" s="1"/>
      <c r="E1363" s="6"/>
      <c r="F1363" s="4"/>
    </row>
    <row r="1364" spans="2:6">
      <c r="B1364" s="1"/>
      <c r="C1364" s="1"/>
      <c r="D1364" s="1"/>
      <c r="E1364" s="6"/>
      <c r="F1364" s="4"/>
    </row>
    <row r="1365" spans="2:6">
      <c r="B1365" s="1"/>
      <c r="C1365" s="1"/>
      <c r="D1365" s="1"/>
      <c r="E1365" s="6"/>
      <c r="F1365" s="4"/>
    </row>
    <row r="1366" spans="2:6">
      <c r="B1366" s="1"/>
      <c r="C1366" s="1"/>
      <c r="D1366" s="1"/>
      <c r="E1366" s="6"/>
      <c r="F1366" s="4"/>
    </row>
    <row r="1367" spans="2:6">
      <c r="B1367" s="1"/>
      <c r="C1367" s="1"/>
      <c r="D1367" s="1"/>
      <c r="E1367" s="6"/>
      <c r="F1367" s="4"/>
    </row>
    <row r="1368" spans="2:6">
      <c r="B1368" s="1"/>
      <c r="C1368" s="1"/>
      <c r="D1368" s="1"/>
      <c r="E1368" s="6"/>
      <c r="F1368" s="4"/>
    </row>
    <row r="1369" spans="2:6">
      <c r="B1369" s="1"/>
      <c r="C1369" s="1"/>
      <c r="D1369" s="1"/>
      <c r="E1369" s="6"/>
      <c r="F1369" s="4"/>
    </row>
    <row r="1370" spans="2:6">
      <c r="B1370" s="1"/>
      <c r="C1370" s="1"/>
      <c r="D1370" s="1"/>
      <c r="E1370" s="6"/>
      <c r="F1370" s="4"/>
    </row>
    <row r="1371" spans="2:6">
      <c r="B1371" s="1"/>
      <c r="C1371" s="1"/>
      <c r="D1371" s="1"/>
      <c r="E1371" s="6"/>
      <c r="F1371" s="4"/>
    </row>
    <row r="1372" spans="2:6">
      <c r="B1372" s="1"/>
      <c r="C1372" s="1"/>
      <c r="D1372" s="1"/>
      <c r="E1372" s="6"/>
      <c r="F1372" s="4"/>
    </row>
    <row r="1373" spans="2:6">
      <c r="B1373" s="1"/>
      <c r="C1373" s="1"/>
      <c r="D1373" s="1"/>
      <c r="E1373" s="6"/>
      <c r="F1373" s="4"/>
    </row>
    <row r="1374" spans="2:6">
      <c r="B1374" s="1"/>
      <c r="C1374" s="1"/>
      <c r="D1374" s="1"/>
      <c r="E1374" s="6"/>
      <c r="F1374" s="4"/>
    </row>
    <row r="1375" spans="2:6">
      <c r="B1375" s="1"/>
      <c r="C1375" s="1"/>
      <c r="D1375" s="1"/>
      <c r="E1375" s="6"/>
      <c r="F1375" s="4"/>
    </row>
    <row r="1376" spans="2:6">
      <c r="B1376" s="1"/>
      <c r="C1376" s="1"/>
      <c r="D1376" s="1"/>
      <c r="E1376" s="6"/>
      <c r="F1376" s="4"/>
    </row>
    <row r="1377" spans="2:6">
      <c r="B1377" s="1"/>
      <c r="C1377" s="1"/>
      <c r="D1377" s="1"/>
      <c r="E1377" s="6"/>
      <c r="F1377" s="4"/>
    </row>
    <row r="1378" spans="2:6">
      <c r="B1378" s="1"/>
      <c r="C1378" s="1"/>
      <c r="D1378" s="1"/>
      <c r="E1378" s="6"/>
      <c r="F1378" s="4"/>
    </row>
    <row r="1379" spans="2:6">
      <c r="B1379" s="1"/>
      <c r="C1379" s="1"/>
      <c r="D1379" s="1"/>
      <c r="E1379" s="6"/>
      <c r="F1379" s="4"/>
    </row>
    <row r="1380" spans="2:6">
      <c r="B1380" s="1"/>
      <c r="C1380" s="1"/>
      <c r="D1380" s="1"/>
      <c r="E1380" s="6"/>
      <c r="F1380" s="4"/>
    </row>
    <row r="1381" spans="2:6">
      <c r="B1381" s="1"/>
      <c r="C1381" s="1"/>
      <c r="D1381" s="1"/>
      <c r="E1381" s="6"/>
      <c r="F1381" s="4"/>
    </row>
    <row r="1382" spans="2:6">
      <c r="B1382" s="1"/>
      <c r="C1382" s="1"/>
      <c r="D1382" s="1"/>
      <c r="E1382" s="6"/>
      <c r="F1382" s="4"/>
    </row>
    <row r="1383" spans="2:6">
      <c r="B1383" s="1"/>
      <c r="C1383" s="1"/>
      <c r="D1383" s="1"/>
      <c r="E1383" s="6"/>
      <c r="F1383" s="4"/>
    </row>
    <row r="1384" spans="2:6">
      <c r="B1384" s="1"/>
      <c r="C1384" s="1"/>
      <c r="D1384" s="1"/>
      <c r="E1384" s="6"/>
      <c r="F1384" s="4"/>
    </row>
    <row r="1385" spans="2:6">
      <c r="B1385" s="1"/>
      <c r="C1385" s="1"/>
      <c r="D1385" s="1"/>
      <c r="E1385" s="6"/>
      <c r="F1385" s="4"/>
    </row>
    <row r="1386" spans="2:6">
      <c r="B1386" s="1"/>
      <c r="C1386" s="1"/>
      <c r="D1386" s="1"/>
      <c r="E1386" s="6"/>
      <c r="F1386" s="4"/>
    </row>
    <row r="1387" spans="2:6">
      <c r="B1387" s="1"/>
      <c r="C1387" s="1"/>
      <c r="D1387" s="1"/>
      <c r="E1387" s="6"/>
      <c r="F1387" s="4"/>
    </row>
    <row r="1388" spans="2:6">
      <c r="B1388" s="1"/>
      <c r="C1388" s="1"/>
      <c r="D1388" s="1"/>
      <c r="E1388" s="6"/>
      <c r="F1388" s="4"/>
    </row>
    <row r="1389" spans="2:6">
      <c r="B1389" s="1"/>
      <c r="C1389" s="1"/>
      <c r="D1389" s="1"/>
      <c r="E1389" s="6"/>
      <c r="F1389" s="4"/>
    </row>
    <row r="1390" spans="2:6">
      <c r="B1390" s="1"/>
      <c r="C1390" s="1"/>
      <c r="D1390" s="1"/>
      <c r="E1390" s="6"/>
      <c r="F1390" s="4"/>
    </row>
    <row r="1391" spans="2:6">
      <c r="B1391" s="1"/>
      <c r="C1391" s="1"/>
      <c r="D1391" s="1"/>
      <c r="E1391" s="6"/>
      <c r="F1391" s="4"/>
    </row>
    <row r="1392" spans="2:6">
      <c r="B1392" s="1"/>
      <c r="C1392" s="1"/>
      <c r="D1392" s="1"/>
      <c r="E1392" s="6"/>
      <c r="F1392" s="4"/>
    </row>
    <row r="1393" spans="2:6">
      <c r="B1393" s="1"/>
      <c r="C1393" s="1"/>
      <c r="D1393" s="1"/>
      <c r="E1393" s="6"/>
      <c r="F1393" s="4"/>
    </row>
    <row r="1394" spans="2:6">
      <c r="B1394" s="1"/>
      <c r="C1394" s="1"/>
      <c r="D1394" s="1"/>
      <c r="E1394" s="6"/>
      <c r="F1394" s="4"/>
    </row>
    <row r="1395" spans="2:6">
      <c r="B1395" s="1"/>
      <c r="C1395" s="1"/>
      <c r="D1395" s="1"/>
      <c r="E1395" s="6"/>
      <c r="F1395" s="4"/>
    </row>
    <row r="1396" spans="2:6">
      <c r="B1396" s="1"/>
      <c r="C1396" s="1"/>
      <c r="D1396" s="1"/>
      <c r="E1396" s="6"/>
      <c r="F1396" s="4"/>
    </row>
    <row r="1397" spans="2:6">
      <c r="B1397" s="1"/>
      <c r="C1397" s="1"/>
      <c r="D1397" s="1"/>
      <c r="E1397" s="6"/>
      <c r="F1397" s="4"/>
    </row>
    <row r="1398" spans="2:6">
      <c r="B1398" s="1"/>
      <c r="C1398" s="1"/>
      <c r="D1398" s="1"/>
      <c r="E1398" s="6"/>
      <c r="F1398" s="4"/>
    </row>
    <row r="1399" spans="2:6">
      <c r="B1399" s="1"/>
      <c r="C1399" s="1"/>
      <c r="D1399" s="1"/>
      <c r="E1399" s="6"/>
      <c r="F1399" s="4"/>
    </row>
    <row r="1400" spans="2:6">
      <c r="B1400" s="1"/>
      <c r="C1400" s="1"/>
      <c r="D1400" s="1"/>
      <c r="E1400" s="6"/>
      <c r="F1400" s="4"/>
    </row>
    <row r="1401" spans="2:6">
      <c r="B1401" s="1"/>
      <c r="C1401" s="1"/>
      <c r="D1401" s="1"/>
      <c r="E1401" s="6"/>
      <c r="F1401" s="4"/>
    </row>
    <row r="1402" spans="2:6">
      <c r="B1402" s="1"/>
      <c r="C1402" s="1"/>
      <c r="D1402" s="1"/>
      <c r="E1402" s="6"/>
      <c r="F1402" s="4"/>
    </row>
    <row r="1403" spans="2:6">
      <c r="B1403" s="1"/>
      <c r="C1403" s="1"/>
      <c r="D1403" s="1"/>
      <c r="E1403" s="6"/>
      <c r="F1403" s="4"/>
    </row>
    <row r="1404" spans="2:6">
      <c r="B1404" s="1"/>
      <c r="C1404" s="1"/>
      <c r="D1404" s="1"/>
      <c r="E1404" s="6"/>
      <c r="F1404" s="4"/>
    </row>
    <row r="1405" spans="2:6">
      <c r="B1405" s="1"/>
      <c r="C1405" s="1"/>
      <c r="D1405" s="1"/>
      <c r="E1405" s="6"/>
      <c r="F1405" s="4"/>
    </row>
    <row r="1406" spans="2:6">
      <c r="B1406" s="1"/>
      <c r="C1406" s="1"/>
      <c r="D1406" s="1"/>
      <c r="E1406" s="6"/>
      <c r="F1406" s="4"/>
    </row>
    <row r="1407" spans="2:6">
      <c r="B1407" s="1"/>
      <c r="C1407" s="1"/>
      <c r="D1407" s="1"/>
      <c r="E1407" s="6"/>
      <c r="F1407" s="4"/>
    </row>
    <row r="1408" spans="2:6">
      <c r="B1408" s="1"/>
      <c r="C1408" s="1"/>
      <c r="D1408" s="1"/>
      <c r="E1408" s="6"/>
      <c r="F1408" s="4"/>
    </row>
    <row r="1409" spans="2:6">
      <c r="B1409" s="1"/>
      <c r="C1409" s="1"/>
      <c r="D1409" s="1"/>
      <c r="E1409" s="6"/>
      <c r="F1409" s="4"/>
    </row>
    <row r="1410" spans="2:6">
      <c r="B1410" s="1"/>
      <c r="C1410" s="1"/>
      <c r="D1410" s="1"/>
      <c r="E1410" s="6"/>
      <c r="F1410" s="4"/>
    </row>
    <row r="1411" spans="2:6">
      <c r="B1411" s="1"/>
      <c r="C1411" s="1"/>
      <c r="D1411" s="1"/>
      <c r="E1411" s="6"/>
      <c r="F1411" s="4"/>
    </row>
    <row r="1412" spans="2:6">
      <c r="B1412" s="1"/>
      <c r="C1412" s="1"/>
      <c r="D1412" s="1"/>
      <c r="E1412" s="6"/>
      <c r="F1412" s="4"/>
    </row>
    <row r="1413" spans="2:6">
      <c r="B1413" s="1"/>
      <c r="C1413" s="1"/>
      <c r="D1413" s="1"/>
      <c r="E1413" s="6"/>
      <c r="F1413" s="4"/>
    </row>
    <row r="1414" spans="2:6">
      <c r="B1414" s="1"/>
      <c r="C1414" s="1"/>
      <c r="D1414" s="1"/>
      <c r="E1414" s="6"/>
      <c r="F1414" s="4"/>
    </row>
    <row r="1415" spans="2:6">
      <c r="B1415" s="1"/>
      <c r="C1415" s="1"/>
      <c r="D1415" s="1"/>
      <c r="E1415" s="6"/>
      <c r="F1415" s="4"/>
    </row>
    <row r="1416" spans="2:6">
      <c r="B1416" s="1"/>
      <c r="C1416" s="1"/>
      <c r="D1416" s="1"/>
      <c r="E1416" s="6"/>
      <c r="F1416" s="4"/>
    </row>
    <row r="1417" spans="2:6">
      <c r="B1417" s="1"/>
      <c r="C1417" s="1"/>
      <c r="D1417" s="1"/>
      <c r="E1417" s="6"/>
      <c r="F1417" s="4"/>
    </row>
    <row r="1418" spans="2:6">
      <c r="B1418" s="1"/>
      <c r="C1418" s="1"/>
      <c r="D1418" s="1"/>
      <c r="E1418" s="6"/>
      <c r="F1418" s="4"/>
    </row>
    <row r="1419" spans="2:6">
      <c r="B1419" s="1"/>
      <c r="C1419" s="1"/>
      <c r="D1419" s="1"/>
      <c r="E1419" s="6"/>
      <c r="F1419" s="4"/>
    </row>
    <row r="1420" spans="2:6">
      <c r="B1420" s="1"/>
      <c r="C1420" s="1"/>
      <c r="D1420" s="1"/>
      <c r="E1420" s="6"/>
      <c r="F1420" s="4"/>
    </row>
    <row r="1421" spans="2:6">
      <c r="B1421" s="1"/>
      <c r="C1421" s="1"/>
      <c r="D1421" s="1"/>
      <c r="E1421" s="6"/>
      <c r="F1421" s="4"/>
    </row>
    <row r="1422" spans="2:6">
      <c r="B1422" s="1"/>
      <c r="C1422" s="1"/>
      <c r="D1422" s="1"/>
      <c r="E1422" s="6"/>
      <c r="F1422" s="4"/>
    </row>
    <row r="1423" spans="2:6">
      <c r="B1423" s="1"/>
      <c r="C1423" s="1"/>
      <c r="D1423" s="1"/>
      <c r="E1423" s="6"/>
      <c r="F1423" s="4"/>
    </row>
    <row r="1424" spans="2:6">
      <c r="B1424" s="1"/>
      <c r="C1424" s="1"/>
      <c r="D1424" s="1"/>
      <c r="E1424" s="6"/>
      <c r="F1424" s="4"/>
    </row>
    <row r="1425" spans="2:6">
      <c r="B1425" s="1"/>
      <c r="C1425" s="1"/>
      <c r="D1425" s="1"/>
      <c r="E1425" s="6"/>
      <c r="F1425" s="4"/>
    </row>
    <row r="1426" spans="2:6">
      <c r="B1426" s="1"/>
      <c r="C1426" s="1"/>
      <c r="D1426" s="1"/>
      <c r="E1426" s="6"/>
      <c r="F1426" s="4"/>
    </row>
    <row r="1427" spans="2:6">
      <c r="B1427" s="1"/>
      <c r="C1427" s="1"/>
      <c r="D1427" s="1"/>
      <c r="E1427" s="6"/>
      <c r="F1427" s="4"/>
    </row>
    <row r="1428" spans="2:6">
      <c r="B1428" s="1"/>
      <c r="C1428" s="1"/>
      <c r="D1428" s="1"/>
      <c r="E1428" s="6"/>
      <c r="F1428" s="4"/>
    </row>
    <row r="1429" spans="2:6">
      <c r="B1429" s="1"/>
      <c r="C1429" s="1"/>
      <c r="D1429" s="1"/>
      <c r="E1429" s="6"/>
      <c r="F1429" s="4"/>
    </row>
    <row r="1430" spans="2:6">
      <c r="B1430" s="1"/>
      <c r="C1430" s="1"/>
      <c r="D1430" s="1"/>
      <c r="E1430" s="6"/>
      <c r="F1430" s="4"/>
    </row>
    <row r="1431" spans="2:6">
      <c r="B1431" s="1"/>
      <c r="C1431" s="1"/>
      <c r="D1431" s="1"/>
      <c r="E1431" s="6"/>
      <c r="F1431" s="4"/>
    </row>
    <row r="1432" spans="2:6">
      <c r="B1432" s="1"/>
      <c r="C1432" s="1"/>
      <c r="D1432" s="1"/>
      <c r="E1432" s="6"/>
      <c r="F1432" s="4"/>
    </row>
    <row r="1433" spans="2:6">
      <c r="B1433" s="1"/>
      <c r="C1433" s="1"/>
      <c r="D1433" s="1"/>
      <c r="E1433" s="6"/>
      <c r="F1433" s="4"/>
    </row>
    <row r="1434" spans="2:6">
      <c r="B1434" s="1"/>
      <c r="C1434" s="1"/>
      <c r="D1434" s="1"/>
      <c r="E1434" s="6"/>
      <c r="F1434" s="4"/>
    </row>
    <row r="1435" spans="2:6">
      <c r="B1435" s="1"/>
      <c r="C1435" s="1"/>
      <c r="D1435" s="1"/>
      <c r="E1435" s="6"/>
      <c r="F1435" s="4"/>
    </row>
    <row r="1436" spans="2:6">
      <c r="B1436" s="1"/>
      <c r="C1436" s="1"/>
      <c r="D1436" s="1"/>
      <c r="E1436" s="6"/>
      <c r="F1436" s="4"/>
    </row>
    <row r="1437" spans="2:6">
      <c r="B1437" s="1"/>
      <c r="C1437" s="1"/>
      <c r="D1437" s="1"/>
      <c r="E1437" s="6"/>
      <c r="F1437" s="4"/>
    </row>
    <row r="1438" spans="2:6">
      <c r="B1438" s="1"/>
      <c r="C1438" s="1"/>
      <c r="D1438" s="1"/>
      <c r="E1438" s="6"/>
      <c r="F1438" s="4"/>
    </row>
    <row r="1439" spans="2:6">
      <c r="B1439" s="1"/>
      <c r="C1439" s="1"/>
      <c r="D1439" s="1"/>
      <c r="E1439" s="6"/>
      <c r="F1439" s="4"/>
    </row>
    <row r="1440" spans="2:6">
      <c r="B1440" s="1"/>
      <c r="C1440" s="1"/>
      <c r="D1440" s="1"/>
      <c r="E1440" s="6"/>
      <c r="F1440" s="4"/>
    </row>
    <row r="1441" spans="2:6">
      <c r="B1441" s="1"/>
      <c r="C1441" s="1"/>
      <c r="D1441" s="1"/>
      <c r="E1441" s="6"/>
      <c r="F1441" s="4"/>
    </row>
    <row r="1442" spans="2:6">
      <c r="B1442" s="1"/>
      <c r="C1442" s="1"/>
      <c r="D1442" s="1"/>
      <c r="E1442" s="6"/>
      <c r="F1442" s="4"/>
    </row>
    <row r="1443" spans="2:6">
      <c r="B1443" s="1"/>
      <c r="C1443" s="1"/>
      <c r="D1443" s="1"/>
      <c r="E1443" s="6"/>
      <c r="F1443" s="4"/>
    </row>
    <row r="1444" spans="2:6">
      <c r="B1444" s="1"/>
      <c r="C1444" s="1"/>
      <c r="D1444" s="1"/>
      <c r="E1444" s="6"/>
      <c r="F1444" s="4"/>
    </row>
    <row r="1445" spans="2:6">
      <c r="B1445" s="1"/>
      <c r="C1445" s="1"/>
      <c r="D1445" s="1"/>
      <c r="E1445" s="6"/>
      <c r="F1445" s="4"/>
    </row>
    <row r="1446" spans="2:6">
      <c r="B1446" s="1"/>
      <c r="C1446" s="1"/>
      <c r="D1446" s="1"/>
      <c r="E1446" s="6"/>
      <c r="F1446" s="4"/>
    </row>
    <row r="1447" spans="2:6">
      <c r="B1447" s="1"/>
      <c r="C1447" s="1"/>
      <c r="D1447" s="1"/>
      <c r="E1447" s="6"/>
      <c r="F1447" s="4"/>
    </row>
    <row r="1448" spans="2:6">
      <c r="B1448" s="1"/>
      <c r="C1448" s="1"/>
      <c r="D1448" s="1"/>
      <c r="E1448" s="6"/>
      <c r="F1448" s="4"/>
    </row>
    <row r="1449" spans="2:6">
      <c r="B1449" s="1"/>
      <c r="C1449" s="1"/>
      <c r="D1449" s="1"/>
      <c r="E1449" s="6"/>
      <c r="F1449" s="4"/>
    </row>
    <row r="1450" spans="2:6">
      <c r="B1450" s="1"/>
      <c r="C1450" s="1"/>
      <c r="D1450" s="1"/>
      <c r="E1450" s="6"/>
      <c r="F1450" s="4"/>
    </row>
    <row r="1451" spans="2:6">
      <c r="B1451" s="1"/>
      <c r="C1451" s="1"/>
      <c r="D1451" s="1"/>
      <c r="E1451" s="6"/>
      <c r="F1451" s="4"/>
    </row>
    <row r="1452" spans="2:6">
      <c r="B1452" s="1"/>
      <c r="C1452" s="1"/>
      <c r="D1452" s="1"/>
      <c r="E1452" s="6"/>
      <c r="F1452" s="4"/>
    </row>
    <row r="1453" spans="2:6">
      <c r="B1453" s="1"/>
      <c r="C1453" s="1"/>
      <c r="D1453" s="1"/>
      <c r="E1453" s="6"/>
      <c r="F1453" s="4"/>
    </row>
    <row r="1454" spans="2:6">
      <c r="B1454" s="1"/>
      <c r="C1454" s="1"/>
      <c r="D1454" s="1"/>
      <c r="E1454" s="6"/>
      <c r="F1454" s="4"/>
    </row>
    <row r="1455" spans="2:6">
      <c r="B1455" s="1"/>
      <c r="C1455" s="1"/>
      <c r="D1455" s="1"/>
      <c r="E1455" s="6"/>
      <c r="F1455" s="4"/>
    </row>
    <row r="1456" spans="2:6">
      <c r="B1456" s="1"/>
      <c r="C1456" s="1"/>
      <c r="D1456" s="1"/>
      <c r="E1456" s="6"/>
      <c r="F1456" s="4"/>
    </row>
    <row r="1457" spans="2:6">
      <c r="B1457" s="1"/>
      <c r="C1457" s="1"/>
      <c r="D1457" s="1"/>
      <c r="E1457" s="6"/>
      <c r="F1457" s="4"/>
    </row>
    <row r="1458" spans="2:6">
      <c r="B1458" s="1"/>
      <c r="C1458" s="1"/>
      <c r="D1458" s="1"/>
      <c r="E1458" s="6"/>
      <c r="F1458" s="4"/>
    </row>
    <row r="1459" spans="2:6">
      <c r="B1459" s="1"/>
      <c r="C1459" s="1"/>
      <c r="D1459" s="1"/>
      <c r="E1459" s="6"/>
      <c r="F1459" s="4"/>
    </row>
    <row r="1460" spans="2:6">
      <c r="B1460" s="1"/>
      <c r="C1460" s="1"/>
      <c r="D1460" s="1"/>
      <c r="E1460" s="6"/>
      <c r="F1460" s="4"/>
    </row>
    <row r="1461" spans="2:6">
      <c r="B1461" s="1"/>
      <c r="C1461" s="1"/>
      <c r="D1461" s="1"/>
      <c r="E1461" s="6"/>
      <c r="F1461" s="4"/>
    </row>
    <row r="1462" spans="2:6">
      <c r="B1462" s="1"/>
      <c r="C1462" s="1"/>
      <c r="D1462" s="1"/>
      <c r="E1462" s="6"/>
      <c r="F1462" s="4"/>
    </row>
    <row r="1463" spans="2:6">
      <c r="B1463" s="1"/>
      <c r="C1463" s="1"/>
      <c r="D1463" s="1"/>
      <c r="E1463" s="6"/>
      <c r="F1463" s="4"/>
    </row>
    <row r="1464" spans="2:6">
      <c r="B1464" s="1"/>
      <c r="C1464" s="1"/>
      <c r="D1464" s="1"/>
      <c r="E1464" s="6"/>
      <c r="F1464" s="4"/>
    </row>
    <row r="1465" spans="2:6">
      <c r="B1465" s="1"/>
      <c r="C1465" s="1"/>
      <c r="D1465" s="1"/>
      <c r="E1465" s="6"/>
      <c r="F1465" s="4"/>
    </row>
    <row r="1466" spans="2:6">
      <c r="B1466" s="1"/>
      <c r="C1466" s="1"/>
      <c r="D1466" s="1"/>
      <c r="E1466" s="6"/>
      <c r="F1466" s="4"/>
    </row>
    <row r="1467" spans="2:6">
      <c r="B1467" s="1"/>
      <c r="C1467" s="1"/>
      <c r="D1467" s="1"/>
      <c r="E1467" s="6"/>
      <c r="F1467" s="4"/>
    </row>
    <row r="1468" spans="2:6">
      <c r="B1468" s="1"/>
      <c r="C1468" s="1"/>
      <c r="D1468" s="1"/>
      <c r="E1468" s="6"/>
      <c r="F1468" s="4"/>
    </row>
    <row r="1469" spans="2:6">
      <c r="B1469" s="1"/>
      <c r="C1469" s="1"/>
      <c r="D1469" s="1"/>
      <c r="E1469" s="6"/>
      <c r="F1469" s="4"/>
    </row>
    <row r="1470" spans="2:6">
      <c r="B1470" s="1"/>
      <c r="C1470" s="1"/>
      <c r="D1470" s="1"/>
      <c r="E1470" s="6"/>
      <c r="F1470" s="4"/>
    </row>
    <row r="1471" spans="2:6">
      <c r="B1471" s="1"/>
      <c r="C1471" s="1"/>
      <c r="D1471" s="1"/>
      <c r="E1471" s="6"/>
      <c r="F1471" s="4"/>
    </row>
    <row r="1472" spans="2:6">
      <c r="B1472" s="1"/>
      <c r="C1472" s="1"/>
      <c r="D1472" s="1"/>
      <c r="E1472" s="6"/>
      <c r="F1472" s="4"/>
    </row>
    <row r="1473" spans="2:6">
      <c r="B1473" s="1"/>
      <c r="C1473" s="1"/>
      <c r="D1473" s="1"/>
      <c r="E1473" s="6"/>
      <c r="F1473" s="4"/>
    </row>
    <row r="1474" spans="2:6">
      <c r="B1474" s="1"/>
      <c r="C1474" s="1"/>
      <c r="D1474" s="1"/>
      <c r="E1474" s="6"/>
      <c r="F1474" s="4"/>
    </row>
    <row r="1475" spans="2:6">
      <c r="B1475" s="1"/>
      <c r="C1475" s="1"/>
      <c r="D1475" s="1"/>
      <c r="E1475" s="6"/>
      <c r="F1475" s="4"/>
    </row>
    <row r="1476" spans="2:6">
      <c r="B1476" s="1"/>
      <c r="C1476" s="1"/>
      <c r="D1476" s="1"/>
      <c r="E1476" s="6"/>
      <c r="F1476" s="4"/>
    </row>
    <row r="1477" spans="2:6">
      <c r="B1477" s="1"/>
      <c r="C1477" s="1"/>
      <c r="D1477" s="1"/>
      <c r="E1477" s="6"/>
      <c r="F1477" s="4"/>
    </row>
    <row r="1478" spans="2:6">
      <c r="B1478" s="1"/>
      <c r="C1478" s="1"/>
      <c r="D1478" s="1"/>
      <c r="E1478" s="6"/>
      <c r="F1478" s="4"/>
    </row>
    <row r="1479" spans="2:6">
      <c r="B1479" s="1"/>
      <c r="C1479" s="1"/>
      <c r="D1479" s="1"/>
      <c r="E1479" s="6"/>
      <c r="F1479" s="4"/>
    </row>
    <row r="1480" spans="2:6">
      <c r="B1480" s="1"/>
      <c r="C1480" s="1"/>
      <c r="D1480" s="1"/>
      <c r="E1480" s="6"/>
      <c r="F1480" s="4"/>
    </row>
    <row r="1481" spans="2:6">
      <c r="B1481" s="1"/>
      <c r="C1481" s="1"/>
      <c r="D1481" s="1"/>
      <c r="E1481" s="6"/>
      <c r="F1481" s="4"/>
    </row>
    <row r="1482" spans="2:6">
      <c r="B1482" s="1"/>
      <c r="C1482" s="1"/>
      <c r="D1482" s="1"/>
      <c r="E1482" s="6"/>
      <c r="F1482" s="4"/>
    </row>
    <row r="1483" spans="2:6">
      <c r="B1483" s="1"/>
      <c r="C1483" s="1"/>
      <c r="D1483" s="1"/>
      <c r="E1483" s="6"/>
      <c r="F1483" s="4"/>
    </row>
    <row r="1484" spans="2:6">
      <c r="B1484" s="1"/>
      <c r="C1484" s="1"/>
      <c r="D1484" s="1"/>
      <c r="E1484" s="6"/>
      <c r="F1484" s="4"/>
    </row>
    <row r="1485" spans="2:6">
      <c r="B1485" s="1"/>
      <c r="C1485" s="1"/>
      <c r="D1485" s="1"/>
      <c r="E1485" s="6"/>
      <c r="F1485" s="4"/>
    </row>
    <row r="1486" spans="2:6">
      <c r="B1486" s="1"/>
      <c r="C1486" s="1"/>
      <c r="D1486" s="1"/>
      <c r="E1486" s="6"/>
      <c r="F1486" s="4"/>
    </row>
    <row r="1487" spans="2:6">
      <c r="B1487" s="1"/>
      <c r="C1487" s="1"/>
      <c r="D1487" s="1"/>
      <c r="E1487" s="6"/>
      <c r="F1487" s="4"/>
    </row>
    <row r="1488" spans="2:6">
      <c r="B1488" s="1"/>
      <c r="C1488" s="1"/>
      <c r="D1488" s="1"/>
      <c r="E1488" s="6"/>
      <c r="F1488" s="4"/>
    </row>
    <row r="1489" spans="2:6">
      <c r="B1489" s="1"/>
      <c r="C1489" s="1"/>
      <c r="D1489" s="1"/>
      <c r="E1489" s="6"/>
      <c r="F1489" s="4"/>
    </row>
    <row r="1490" spans="2:6">
      <c r="B1490" s="1"/>
      <c r="C1490" s="1"/>
      <c r="D1490" s="1"/>
      <c r="E1490" s="6"/>
      <c r="F1490" s="4"/>
    </row>
    <row r="1491" spans="2:6">
      <c r="B1491" s="1"/>
      <c r="C1491" s="1"/>
      <c r="D1491" s="1"/>
      <c r="E1491" s="6"/>
      <c r="F1491" s="4"/>
    </row>
    <row r="1492" spans="2:6">
      <c r="B1492" s="1"/>
      <c r="C1492" s="1"/>
      <c r="D1492" s="1"/>
      <c r="E1492" s="6"/>
      <c r="F1492" s="4"/>
    </row>
    <row r="1493" spans="2:6">
      <c r="B1493" s="1"/>
      <c r="C1493" s="1"/>
      <c r="D1493" s="1"/>
      <c r="E1493" s="6"/>
      <c r="F1493" s="4"/>
    </row>
    <row r="1494" spans="2:6">
      <c r="B1494" s="1"/>
      <c r="C1494" s="1"/>
      <c r="D1494" s="1"/>
      <c r="E1494" s="6"/>
      <c r="F1494" s="4"/>
    </row>
    <row r="1495" spans="2:6">
      <c r="B1495" s="1"/>
      <c r="C1495" s="1"/>
      <c r="D1495" s="1"/>
      <c r="E1495" s="6"/>
      <c r="F1495" s="4"/>
    </row>
    <row r="1496" spans="2:6">
      <c r="B1496" s="1"/>
      <c r="C1496" s="1"/>
      <c r="D1496" s="1"/>
      <c r="E1496" s="6"/>
      <c r="F1496" s="4"/>
    </row>
    <row r="1497" spans="2:6">
      <c r="B1497" s="1"/>
      <c r="C1497" s="1"/>
      <c r="D1497" s="1"/>
      <c r="E1497" s="6"/>
      <c r="F1497" s="4"/>
    </row>
    <row r="1498" spans="2:6">
      <c r="B1498" s="1"/>
      <c r="C1498" s="1"/>
      <c r="D1498" s="1"/>
      <c r="E1498" s="6"/>
      <c r="F1498" s="4"/>
    </row>
    <row r="1499" spans="2:6">
      <c r="B1499" s="1"/>
      <c r="C1499" s="1"/>
      <c r="D1499" s="1"/>
      <c r="E1499" s="6"/>
      <c r="F1499" s="4"/>
    </row>
    <row r="1500" spans="2:6">
      <c r="B1500" s="1"/>
      <c r="C1500" s="1"/>
      <c r="D1500" s="1"/>
      <c r="E1500" s="6"/>
      <c r="F1500" s="4"/>
    </row>
    <row r="1501" spans="2:6">
      <c r="B1501" s="1"/>
      <c r="C1501" s="1"/>
      <c r="D1501" s="1"/>
      <c r="E1501" s="6"/>
      <c r="F1501" s="4"/>
    </row>
    <row r="1502" spans="2:6">
      <c r="B1502" s="1"/>
      <c r="C1502" s="1"/>
      <c r="D1502" s="1"/>
      <c r="E1502" s="6"/>
      <c r="F1502" s="4"/>
    </row>
    <row r="1503" spans="2:6">
      <c r="B1503" s="1"/>
      <c r="C1503" s="1"/>
      <c r="D1503" s="1"/>
      <c r="E1503" s="6"/>
      <c r="F1503" s="4"/>
    </row>
    <row r="1504" spans="2:6">
      <c r="B1504" s="1"/>
      <c r="C1504" s="1"/>
      <c r="D1504" s="1"/>
      <c r="E1504" s="6"/>
      <c r="F1504" s="4"/>
    </row>
    <row r="1505" spans="2:6">
      <c r="B1505" s="1"/>
      <c r="C1505" s="1"/>
      <c r="D1505" s="1"/>
      <c r="E1505" s="6"/>
      <c r="F1505" s="4"/>
    </row>
    <row r="1506" spans="2:6">
      <c r="B1506" s="1"/>
      <c r="C1506" s="1"/>
      <c r="D1506" s="1"/>
      <c r="E1506" s="6"/>
      <c r="F1506" s="4"/>
    </row>
    <row r="1507" spans="2:6">
      <c r="B1507" s="1"/>
      <c r="C1507" s="1"/>
      <c r="D1507" s="1"/>
      <c r="E1507" s="6"/>
      <c r="F1507" s="4"/>
    </row>
    <row r="1508" spans="2:6">
      <c r="B1508" s="1"/>
      <c r="C1508" s="1"/>
      <c r="D1508" s="1"/>
      <c r="E1508" s="6"/>
      <c r="F1508" s="4"/>
    </row>
    <row r="1509" spans="2:6">
      <c r="B1509" s="1"/>
      <c r="C1509" s="1"/>
      <c r="D1509" s="1"/>
      <c r="E1509" s="6"/>
      <c r="F1509" s="4"/>
    </row>
    <row r="1510" spans="2:6">
      <c r="B1510" s="1"/>
      <c r="C1510" s="1"/>
      <c r="D1510" s="1"/>
      <c r="E1510" s="6"/>
      <c r="F1510" s="4"/>
    </row>
    <row r="1511" spans="2:6">
      <c r="B1511" s="1"/>
      <c r="C1511" s="1"/>
      <c r="D1511" s="1"/>
      <c r="E1511" s="6"/>
      <c r="F1511" s="4"/>
    </row>
    <row r="1512" spans="2:6">
      <c r="B1512" s="1"/>
      <c r="C1512" s="1"/>
      <c r="D1512" s="1"/>
      <c r="E1512" s="6"/>
      <c r="F1512" s="4"/>
    </row>
    <row r="1513" spans="2:6">
      <c r="B1513" s="1"/>
      <c r="C1513" s="1"/>
      <c r="D1513" s="1"/>
      <c r="E1513" s="6"/>
      <c r="F1513" s="4"/>
    </row>
    <row r="1514" spans="2:6">
      <c r="B1514" s="1"/>
      <c r="C1514" s="1"/>
      <c r="D1514" s="1"/>
      <c r="E1514" s="6"/>
      <c r="F1514" s="4"/>
    </row>
    <row r="1515" spans="2:6">
      <c r="B1515" s="1"/>
      <c r="C1515" s="1"/>
      <c r="D1515" s="1"/>
      <c r="E1515" s="6"/>
      <c r="F1515" s="4"/>
    </row>
    <row r="1516" spans="2:6">
      <c r="B1516" s="1"/>
      <c r="C1516" s="1"/>
      <c r="D1516" s="1"/>
      <c r="E1516" s="6"/>
      <c r="F1516" s="4"/>
    </row>
    <row r="1517" spans="2:6">
      <c r="B1517" s="1"/>
      <c r="C1517" s="1"/>
      <c r="D1517" s="1"/>
      <c r="E1517" s="6"/>
      <c r="F1517" s="4"/>
    </row>
    <row r="1518" spans="2:6">
      <c r="B1518" s="1"/>
      <c r="C1518" s="1"/>
      <c r="D1518" s="1"/>
      <c r="E1518" s="6"/>
      <c r="F1518" s="4"/>
    </row>
    <row r="1519" spans="2:6">
      <c r="B1519" s="1"/>
      <c r="C1519" s="1"/>
      <c r="D1519" s="1"/>
      <c r="E1519" s="6"/>
      <c r="F1519" s="4"/>
    </row>
    <row r="1520" spans="2:6">
      <c r="B1520" s="1"/>
      <c r="C1520" s="1"/>
      <c r="D1520" s="1"/>
      <c r="E1520" s="6"/>
      <c r="F1520" s="4"/>
    </row>
    <row r="1521" spans="2:6">
      <c r="B1521" s="1"/>
      <c r="C1521" s="1"/>
      <c r="D1521" s="1"/>
      <c r="E1521" s="6"/>
      <c r="F1521" s="4"/>
    </row>
    <row r="1522" spans="2:6">
      <c r="B1522" s="1"/>
      <c r="C1522" s="1"/>
      <c r="D1522" s="1"/>
      <c r="E1522" s="6"/>
      <c r="F1522" s="4"/>
    </row>
    <row r="1523" spans="2:6">
      <c r="B1523" s="1"/>
      <c r="C1523" s="1"/>
      <c r="D1523" s="1"/>
      <c r="E1523" s="6"/>
      <c r="F1523" s="4"/>
    </row>
    <row r="1524" spans="2:6">
      <c r="B1524" s="1"/>
      <c r="C1524" s="1"/>
      <c r="D1524" s="1"/>
      <c r="E1524" s="6"/>
      <c r="F1524" s="4"/>
    </row>
    <row r="1525" spans="2:6">
      <c r="B1525" s="1"/>
      <c r="C1525" s="1"/>
      <c r="D1525" s="1"/>
      <c r="E1525" s="6"/>
      <c r="F1525" s="4"/>
    </row>
    <row r="1526" spans="2:6">
      <c r="B1526" s="1"/>
      <c r="C1526" s="1"/>
      <c r="D1526" s="1"/>
      <c r="E1526" s="6"/>
      <c r="F1526" s="4"/>
    </row>
    <row r="1527" spans="2:6">
      <c r="B1527" s="1"/>
      <c r="C1527" s="1"/>
      <c r="D1527" s="1"/>
      <c r="E1527" s="6"/>
      <c r="F1527" s="4"/>
    </row>
    <row r="1528" spans="2:6">
      <c r="B1528" s="1"/>
      <c r="C1528" s="1"/>
      <c r="D1528" s="1"/>
      <c r="E1528" s="6"/>
      <c r="F1528" s="4"/>
    </row>
    <row r="1529" spans="2:6">
      <c r="B1529" s="1"/>
      <c r="C1529" s="1"/>
      <c r="D1529" s="1"/>
      <c r="E1529" s="6"/>
      <c r="F1529" s="4"/>
    </row>
    <row r="1530" spans="2:6">
      <c r="B1530" s="1"/>
      <c r="C1530" s="1"/>
      <c r="D1530" s="1"/>
      <c r="E1530" s="6"/>
      <c r="F1530" s="4"/>
    </row>
    <row r="1531" spans="2:6">
      <c r="B1531" s="1"/>
      <c r="C1531" s="1"/>
      <c r="D1531" s="1"/>
      <c r="E1531" s="6"/>
      <c r="F1531" s="4"/>
    </row>
    <row r="1532" spans="2:6">
      <c r="B1532" s="1"/>
      <c r="C1532" s="1"/>
      <c r="D1532" s="1"/>
      <c r="E1532" s="6"/>
      <c r="F1532" s="4"/>
    </row>
    <row r="1533" spans="2:6">
      <c r="B1533" s="1"/>
      <c r="C1533" s="1"/>
      <c r="D1533" s="1"/>
      <c r="E1533" s="6"/>
      <c r="F1533" s="4"/>
    </row>
    <row r="1534" spans="2:6">
      <c r="B1534" s="1"/>
      <c r="C1534" s="1"/>
      <c r="D1534" s="1"/>
      <c r="E1534" s="6"/>
      <c r="F1534" s="4"/>
    </row>
    <row r="1535" spans="2:6">
      <c r="B1535" s="1"/>
      <c r="C1535" s="1"/>
      <c r="D1535" s="1"/>
      <c r="E1535" s="6"/>
      <c r="F1535" s="4"/>
    </row>
    <row r="1536" spans="2:6">
      <c r="B1536" s="1"/>
      <c r="C1536" s="1"/>
      <c r="D1536" s="1"/>
      <c r="E1536" s="6"/>
      <c r="F1536" s="4"/>
    </row>
    <row r="1537" spans="2:6">
      <c r="B1537" s="1"/>
      <c r="C1537" s="1"/>
      <c r="D1537" s="1"/>
      <c r="E1537" s="6"/>
      <c r="F1537" s="4"/>
    </row>
    <row r="1538" spans="2:6">
      <c r="B1538" s="1"/>
      <c r="C1538" s="1"/>
      <c r="D1538" s="1"/>
      <c r="E1538" s="6"/>
      <c r="F1538" s="4"/>
    </row>
    <row r="1539" spans="2:6">
      <c r="B1539" s="1"/>
      <c r="C1539" s="1"/>
      <c r="D1539" s="1"/>
      <c r="E1539" s="6"/>
      <c r="F1539" s="4"/>
    </row>
    <row r="1540" spans="2:6">
      <c r="B1540" s="1"/>
      <c r="C1540" s="1"/>
      <c r="D1540" s="1"/>
      <c r="E1540" s="6"/>
      <c r="F1540" s="4"/>
    </row>
    <row r="1541" spans="2:6">
      <c r="B1541" s="1"/>
      <c r="C1541" s="1"/>
      <c r="D1541" s="1"/>
      <c r="E1541" s="6"/>
      <c r="F1541" s="4"/>
    </row>
    <row r="1542" spans="2:6">
      <c r="B1542" s="1"/>
      <c r="C1542" s="1"/>
      <c r="D1542" s="1"/>
      <c r="E1542" s="6"/>
      <c r="F1542" s="4"/>
    </row>
    <row r="1543" spans="2:6">
      <c r="B1543" s="1"/>
      <c r="C1543" s="1"/>
      <c r="D1543" s="1"/>
      <c r="E1543" s="6"/>
      <c r="F1543" s="4"/>
    </row>
    <row r="1544" spans="2:6">
      <c r="B1544" s="1"/>
      <c r="C1544" s="1"/>
      <c r="D1544" s="1"/>
      <c r="E1544" s="6"/>
      <c r="F1544" s="4"/>
    </row>
    <row r="1545" spans="2:6">
      <c r="B1545" s="1"/>
      <c r="C1545" s="1"/>
      <c r="D1545" s="1"/>
      <c r="E1545" s="6"/>
      <c r="F1545" s="4"/>
    </row>
    <row r="1546" spans="2:6">
      <c r="B1546" s="1"/>
      <c r="C1546" s="1"/>
      <c r="D1546" s="1"/>
      <c r="E1546" s="6"/>
      <c r="F1546" s="4"/>
    </row>
    <row r="1547" spans="2:6">
      <c r="B1547" s="1"/>
      <c r="C1547" s="1"/>
      <c r="D1547" s="1"/>
      <c r="E1547" s="6"/>
      <c r="F1547" s="4"/>
    </row>
    <row r="1548" spans="2:6">
      <c r="B1548" s="1"/>
      <c r="C1548" s="1"/>
      <c r="D1548" s="1"/>
      <c r="E1548" s="6"/>
      <c r="F1548" s="4"/>
    </row>
    <row r="1549" spans="2:6">
      <c r="B1549" s="1"/>
      <c r="C1549" s="1"/>
      <c r="D1549" s="1"/>
      <c r="E1549" s="6"/>
      <c r="F1549" s="4"/>
    </row>
    <row r="1550" spans="2:6">
      <c r="B1550" s="1"/>
      <c r="C1550" s="1"/>
      <c r="D1550" s="1"/>
      <c r="E1550" s="6"/>
      <c r="F1550" s="4"/>
    </row>
    <row r="1551" spans="2:6">
      <c r="B1551" s="1"/>
      <c r="C1551" s="1"/>
      <c r="D1551" s="1"/>
      <c r="E1551" s="6"/>
      <c r="F1551" s="4"/>
    </row>
    <row r="1552" spans="2:6">
      <c r="B1552" s="1"/>
      <c r="C1552" s="1"/>
      <c r="D1552" s="1"/>
      <c r="E1552" s="6"/>
      <c r="F1552" s="4"/>
    </row>
    <row r="1553" spans="2:6">
      <c r="B1553" s="1"/>
      <c r="C1553" s="1"/>
      <c r="D1553" s="1"/>
      <c r="E1553" s="6"/>
      <c r="F1553" s="4"/>
    </row>
    <row r="1554" spans="2:6">
      <c r="B1554" s="1"/>
      <c r="C1554" s="1"/>
      <c r="D1554" s="1"/>
      <c r="E1554" s="6"/>
      <c r="F1554" s="4"/>
    </row>
    <row r="1555" spans="2:6">
      <c r="B1555" s="1"/>
      <c r="C1555" s="1"/>
      <c r="D1555" s="1"/>
      <c r="E1555" s="6"/>
      <c r="F1555" s="4"/>
    </row>
    <row r="1556" spans="2:6">
      <c r="B1556" s="1"/>
      <c r="C1556" s="1"/>
      <c r="D1556" s="1"/>
      <c r="E1556" s="6"/>
      <c r="F1556" s="4"/>
    </row>
    <row r="1557" spans="2:6">
      <c r="B1557" s="1"/>
      <c r="C1557" s="1"/>
      <c r="D1557" s="1"/>
      <c r="E1557" s="6"/>
      <c r="F1557" s="4"/>
    </row>
    <row r="1558" spans="2:6">
      <c r="B1558" s="1"/>
      <c r="C1558" s="1"/>
      <c r="D1558" s="1"/>
      <c r="E1558" s="6"/>
      <c r="F1558" s="4"/>
    </row>
    <row r="1559" spans="2:6">
      <c r="B1559" s="1"/>
      <c r="C1559" s="1"/>
      <c r="D1559" s="1"/>
      <c r="E1559" s="6"/>
      <c r="F1559" s="4"/>
    </row>
    <row r="1560" spans="2:6">
      <c r="B1560" s="1"/>
      <c r="C1560" s="1"/>
      <c r="D1560" s="1"/>
      <c r="E1560" s="6"/>
      <c r="F1560" s="4"/>
    </row>
    <row r="1561" spans="2:6">
      <c r="B1561" s="1"/>
      <c r="C1561" s="1"/>
      <c r="D1561" s="1"/>
      <c r="E1561" s="6"/>
      <c r="F1561" s="4"/>
    </row>
    <row r="1562" spans="2:6">
      <c r="B1562" s="1"/>
      <c r="C1562" s="1"/>
      <c r="D1562" s="1"/>
      <c r="E1562" s="6"/>
      <c r="F1562" s="4"/>
    </row>
    <row r="1563" spans="2:6">
      <c r="B1563" s="1"/>
      <c r="C1563" s="1"/>
      <c r="D1563" s="1"/>
      <c r="E1563" s="6"/>
      <c r="F1563" s="4"/>
    </row>
    <row r="1564" spans="2:6">
      <c r="B1564" s="1"/>
      <c r="C1564" s="1"/>
      <c r="D1564" s="1"/>
      <c r="E1564" s="6"/>
      <c r="F1564" s="4"/>
    </row>
    <row r="1565" spans="2:6">
      <c r="B1565" s="1"/>
      <c r="C1565" s="1"/>
      <c r="D1565" s="1"/>
      <c r="E1565" s="6"/>
      <c r="F1565" s="4"/>
    </row>
    <row r="1566" spans="2:6">
      <c r="B1566" s="1"/>
      <c r="C1566" s="1"/>
      <c r="D1566" s="1"/>
      <c r="E1566" s="6"/>
      <c r="F1566" s="4"/>
    </row>
    <row r="1567" spans="2:6">
      <c r="B1567" s="1"/>
      <c r="C1567" s="1"/>
      <c r="D1567" s="1"/>
      <c r="E1567" s="6"/>
      <c r="F1567" s="4"/>
    </row>
    <row r="1568" spans="2:6">
      <c r="B1568" s="1"/>
      <c r="C1568" s="1"/>
      <c r="D1568" s="1"/>
      <c r="E1568" s="6"/>
      <c r="F1568" s="4"/>
    </row>
    <row r="1569" spans="2:6">
      <c r="B1569" s="1"/>
      <c r="C1569" s="1"/>
      <c r="D1569" s="1"/>
      <c r="E1569" s="6"/>
      <c r="F1569" s="4"/>
    </row>
    <row r="1570" spans="2:6">
      <c r="B1570" s="1"/>
      <c r="C1570" s="1"/>
      <c r="D1570" s="1"/>
      <c r="E1570" s="6"/>
      <c r="F1570" s="4"/>
    </row>
    <row r="1571" spans="2:6">
      <c r="B1571" s="1"/>
      <c r="C1571" s="1"/>
      <c r="D1571" s="1"/>
      <c r="E1571" s="6"/>
      <c r="F1571" s="4"/>
    </row>
    <row r="1572" spans="2:6">
      <c r="B1572" s="1"/>
      <c r="C1572" s="1"/>
      <c r="D1572" s="1"/>
      <c r="E1572" s="6"/>
      <c r="F1572" s="4"/>
    </row>
    <row r="1573" spans="2:6">
      <c r="B1573" s="1"/>
      <c r="C1573" s="1"/>
      <c r="D1573" s="1"/>
      <c r="E1573" s="6"/>
      <c r="F1573" s="4"/>
    </row>
    <row r="1574" spans="2:6">
      <c r="B1574" s="1"/>
      <c r="C1574" s="1"/>
      <c r="D1574" s="1"/>
      <c r="E1574" s="6"/>
      <c r="F1574" s="4"/>
    </row>
    <row r="1575" spans="2:6">
      <c r="B1575" s="1"/>
      <c r="C1575" s="1"/>
      <c r="D1575" s="1"/>
      <c r="E1575" s="6"/>
      <c r="F1575" s="4"/>
    </row>
    <row r="1576" spans="2:6">
      <c r="B1576" s="1"/>
      <c r="C1576" s="1"/>
      <c r="D1576" s="1"/>
      <c r="E1576" s="6"/>
      <c r="F1576" s="4"/>
    </row>
    <row r="1577" spans="2:6">
      <c r="B1577" s="1"/>
      <c r="C1577" s="1"/>
      <c r="D1577" s="1"/>
      <c r="E1577" s="6"/>
      <c r="F1577" s="4"/>
    </row>
    <row r="1578" spans="2:6">
      <c r="B1578" s="1"/>
      <c r="C1578" s="1"/>
      <c r="D1578" s="1"/>
      <c r="E1578" s="6"/>
      <c r="F1578" s="4"/>
    </row>
    <row r="1579" spans="2:6">
      <c r="B1579" s="1"/>
      <c r="C1579" s="1"/>
      <c r="D1579" s="1"/>
      <c r="E1579" s="6"/>
      <c r="F1579" s="4"/>
    </row>
    <row r="1580" spans="2:6">
      <c r="B1580" s="1"/>
      <c r="C1580" s="1"/>
      <c r="D1580" s="1"/>
      <c r="E1580" s="6"/>
      <c r="F1580" s="4"/>
    </row>
    <row r="1581" spans="2:6">
      <c r="B1581" s="1"/>
      <c r="C1581" s="1"/>
      <c r="D1581" s="1"/>
      <c r="E1581" s="6"/>
      <c r="F1581" s="4"/>
    </row>
    <row r="1582" spans="2:6">
      <c r="B1582" s="1"/>
      <c r="C1582" s="1"/>
      <c r="D1582" s="1"/>
      <c r="E1582" s="6"/>
      <c r="F1582" s="4"/>
    </row>
    <row r="1583" spans="2:6">
      <c r="B1583" s="1"/>
      <c r="C1583" s="1"/>
      <c r="D1583" s="1"/>
      <c r="E1583" s="6"/>
      <c r="F1583" s="4"/>
    </row>
    <row r="1584" spans="2:6">
      <c r="B1584" s="1"/>
      <c r="C1584" s="1"/>
      <c r="D1584" s="1"/>
      <c r="E1584" s="6"/>
      <c r="F1584" s="4"/>
    </row>
    <row r="1585" spans="2:6">
      <c r="B1585" s="1"/>
      <c r="C1585" s="1"/>
      <c r="D1585" s="1"/>
      <c r="E1585" s="6"/>
      <c r="F1585" s="4"/>
    </row>
    <row r="1586" spans="2:6">
      <c r="B1586" s="1"/>
      <c r="C1586" s="1"/>
      <c r="D1586" s="1"/>
      <c r="E1586" s="6"/>
      <c r="F1586" s="4"/>
    </row>
    <row r="1587" spans="2:6">
      <c r="B1587" s="1"/>
      <c r="C1587" s="1"/>
      <c r="D1587" s="1"/>
      <c r="E1587" s="6"/>
      <c r="F1587" s="4"/>
    </row>
    <row r="1588" spans="2:6">
      <c r="B1588" s="1"/>
      <c r="C1588" s="1"/>
      <c r="D1588" s="1"/>
      <c r="E1588" s="6"/>
      <c r="F1588" s="4"/>
    </row>
    <row r="1589" spans="2:6">
      <c r="B1589" s="1"/>
      <c r="C1589" s="1"/>
      <c r="D1589" s="1"/>
      <c r="E1589" s="6"/>
      <c r="F1589" s="4"/>
    </row>
    <row r="1590" spans="2:6">
      <c r="B1590" s="1"/>
      <c r="C1590" s="1"/>
      <c r="D1590" s="1"/>
      <c r="E1590" s="6"/>
      <c r="F1590" s="4"/>
    </row>
    <row r="1591" spans="2:6">
      <c r="B1591" s="1"/>
      <c r="C1591" s="1"/>
      <c r="D1591" s="1"/>
      <c r="E1591" s="6"/>
      <c r="F1591" s="4"/>
    </row>
    <row r="1592" spans="2:6">
      <c r="B1592" s="1"/>
      <c r="C1592" s="1"/>
      <c r="D1592" s="1"/>
      <c r="E1592" s="6"/>
      <c r="F1592" s="4"/>
    </row>
    <row r="1593" spans="2:6">
      <c r="B1593" s="1"/>
      <c r="C1593" s="1"/>
      <c r="D1593" s="1"/>
      <c r="E1593" s="6"/>
      <c r="F1593" s="4"/>
    </row>
    <row r="1594" spans="2:6">
      <c r="B1594" s="1"/>
      <c r="C1594" s="1"/>
      <c r="D1594" s="1"/>
      <c r="E1594" s="6"/>
      <c r="F1594" s="4"/>
    </row>
    <row r="1595" spans="2:6">
      <c r="B1595" s="1"/>
      <c r="C1595" s="1"/>
      <c r="D1595" s="1"/>
      <c r="E1595" s="6"/>
      <c r="F1595" s="4"/>
    </row>
    <row r="1596" spans="2:6">
      <c r="B1596" s="1"/>
      <c r="C1596" s="1"/>
      <c r="D1596" s="1"/>
      <c r="E1596" s="6"/>
      <c r="F1596" s="4"/>
    </row>
    <row r="1597" spans="2:6">
      <c r="B1597" s="1"/>
      <c r="C1597" s="1"/>
      <c r="D1597" s="1"/>
      <c r="E1597" s="6"/>
      <c r="F1597" s="4"/>
    </row>
    <row r="1598" spans="2:6">
      <c r="B1598" s="1"/>
      <c r="C1598" s="1"/>
      <c r="D1598" s="1"/>
      <c r="E1598" s="6"/>
      <c r="F1598" s="4"/>
    </row>
    <row r="1599" spans="2:6">
      <c r="B1599" s="1"/>
      <c r="C1599" s="1"/>
      <c r="D1599" s="1"/>
      <c r="E1599" s="6"/>
      <c r="F1599" s="4"/>
    </row>
    <row r="1600" spans="2:6">
      <c r="B1600" s="1"/>
      <c r="C1600" s="1"/>
      <c r="D1600" s="1"/>
      <c r="E1600" s="6"/>
      <c r="F1600" s="4"/>
    </row>
    <row r="1601" spans="2:6">
      <c r="B1601" s="1"/>
      <c r="C1601" s="1"/>
      <c r="D1601" s="1"/>
      <c r="E1601" s="6"/>
      <c r="F1601" s="4"/>
    </row>
    <row r="1602" spans="2:6">
      <c r="B1602" s="1"/>
      <c r="C1602" s="1"/>
      <c r="D1602" s="1"/>
      <c r="E1602" s="6"/>
      <c r="F1602" s="4"/>
    </row>
    <row r="1603" spans="2:6">
      <c r="B1603" s="1"/>
      <c r="C1603" s="1"/>
      <c r="D1603" s="1"/>
      <c r="E1603" s="6"/>
      <c r="F1603" s="4"/>
    </row>
    <row r="1604" spans="2:6">
      <c r="B1604" s="1"/>
      <c r="C1604" s="1"/>
      <c r="D1604" s="1"/>
      <c r="E1604" s="6"/>
      <c r="F1604" s="4"/>
    </row>
    <row r="1605" spans="2:6">
      <c r="B1605" s="1"/>
      <c r="C1605" s="1"/>
      <c r="D1605" s="1"/>
      <c r="E1605" s="6"/>
      <c r="F1605" s="4"/>
    </row>
    <row r="1606" spans="2:6">
      <c r="B1606" s="1"/>
      <c r="C1606" s="1"/>
      <c r="D1606" s="1"/>
      <c r="E1606" s="6"/>
      <c r="F1606" s="4"/>
    </row>
    <row r="1607" spans="2:6">
      <c r="B1607" s="1"/>
      <c r="C1607" s="1"/>
      <c r="D1607" s="1"/>
      <c r="E1607" s="6"/>
      <c r="F1607" s="4"/>
    </row>
    <row r="1608" spans="2:6">
      <c r="B1608" s="1"/>
      <c r="C1608" s="1"/>
      <c r="D1608" s="1"/>
      <c r="E1608" s="6"/>
      <c r="F1608" s="4"/>
    </row>
    <row r="1609" spans="2:6">
      <c r="B1609" s="1"/>
      <c r="C1609" s="1"/>
      <c r="D1609" s="1"/>
      <c r="E1609" s="6"/>
      <c r="F1609" s="4"/>
    </row>
    <row r="1610" spans="2:6">
      <c r="B1610" s="1"/>
      <c r="C1610" s="1"/>
      <c r="D1610" s="1"/>
      <c r="E1610" s="6"/>
      <c r="F1610" s="4"/>
    </row>
    <row r="1611" spans="2:6">
      <c r="B1611" s="1"/>
      <c r="C1611" s="1"/>
      <c r="D1611" s="1"/>
      <c r="E1611" s="6"/>
      <c r="F1611" s="4"/>
    </row>
    <row r="1612" spans="2:6">
      <c r="B1612" s="1"/>
      <c r="C1612" s="1"/>
      <c r="D1612" s="1"/>
      <c r="E1612" s="6"/>
      <c r="F1612" s="4"/>
    </row>
    <row r="1613" spans="2:6">
      <c r="B1613" s="1"/>
      <c r="C1613" s="1"/>
      <c r="D1613" s="1"/>
      <c r="E1613" s="6"/>
      <c r="F1613" s="4"/>
    </row>
    <row r="1614" spans="2:6">
      <c r="B1614" s="1"/>
      <c r="C1614" s="1"/>
      <c r="D1614" s="1"/>
      <c r="E1614" s="6"/>
      <c r="F1614" s="4"/>
    </row>
    <row r="1615" spans="2:6">
      <c r="B1615" s="1"/>
      <c r="C1615" s="1"/>
      <c r="D1615" s="1"/>
      <c r="E1615" s="6"/>
      <c r="F1615" s="4"/>
    </row>
    <row r="1616" spans="2:6">
      <c r="B1616" s="1"/>
      <c r="C1616" s="1"/>
      <c r="D1616" s="1"/>
      <c r="E1616" s="6"/>
      <c r="F1616" s="4"/>
    </row>
    <row r="1617" spans="2:6">
      <c r="B1617" s="1"/>
      <c r="C1617" s="1"/>
      <c r="D1617" s="1"/>
      <c r="E1617" s="6"/>
      <c r="F1617" s="4"/>
    </row>
    <row r="1618" spans="2:6">
      <c r="B1618" s="1"/>
      <c r="C1618" s="1"/>
      <c r="D1618" s="1"/>
      <c r="E1618" s="6"/>
      <c r="F1618" s="4"/>
    </row>
    <row r="1619" spans="2:6">
      <c r="B1619" s="1"/>
      <c r="C1619" s="1"/>
      <c r="D1619" s="1"/>
      <c r="E1619" s="6"/>
      <c r="F1619" s="4"/>
    </row>
    <row r="1620" spans="2:6">
      <c r="B1620" s="1"/>
      <c r="C1620" s="1"/>
      <c r="D1620" s="1"/>
      <c r="E1620" s="6"/>
      <c r="F1620" s="4"/>
    </row>
    <row r="1621" spans="2:6">
      <c r="B1621" s="1"/>
      <c r="C1621" s="1"/>
      <c r="D1621" s="1"/>
      <c r="E1621" s="6"/>
      <c r="F1621" s="4"/>
    </row>
    <row r="1622" spans="2:6">
      <c r="B1622" s="1"/>
      <c r="C1622" s="1"/>
      <c r="D1622" s="1"/>
      <c r="E1622" s="6"/>
      <c r="F1622" s="4"/>
    </row>
    <row r="1623" spans="2:6">
      <c r="B1623" s="1"/>
      <c r="C1623" s="1"/>
      <c r="D1623" s="1"/>
      <c r="E1623" s="6"/>
      <c r="F1623" s="4"/>
    </row>
    <row r="1624" spans="2:6">
      <c r="B1624" s="1"/>
      <c r="C1624" s="1"/>
      <c r="D1624" s="1"/>
      <c r="E1624" s="6"/>
      <c r="F1624" s="4"/>
    </row>
    <row r="1625" spans="2:6">
      <c r="B1625" s="1"/>
      <c r="C1625" s="1"/>
      <c r="D1625" s="1"/>
      <c r="E1625" s="6"/>
      <c r="F1625" s="4"/>
    </row>
    <row r="1626" spans="2:6">
      <c r="B1626" s="1"/>
      <c r="C1626" s="1"/>
      <c r="D1626" s="1"/>
      <c r="E1626" s="6"/>
      <c r="F1626" s="4"/>
    </row>
    <row r="1627" spans="2:6">
      <c r="B1627" s="1"/>
      <c r="C1627" s="1"/>
      <c r="D1627" s="1"/>
      <c r="E1627" s="6"/>
      <c r="F1627" s="4"/>
    </row>
    <row r="1628" spans="2:6">
      <c r="B1628" s="1"/>
      <c r="C1628" s="1"/>
      <c r="D1628" s="1"/>
      <c r="E1628" s="6"/>
      <c r="F1628" s="4"/>
    </row>
    <row r="1629" spans="2:6">
      <c r="B1629" s="1"/>
      <c r="C1629" s="1"/>
      <c r="D1629" s="1"/>
      <c r="E1629" s="6"/>
      <c r="F1629" s="4"/>
    </row>
    <row r="1630" spans="2:6">
      <c r="B1630" s="1"/>
      <c r="C1630" s="1"/>
      <c r="D1630" s="1"/>
      <c r="E1630" s="6"/>
      <c r="F1630" s="4"/>
    </row>
    <row r="1631" spans="2:6">
      <c r="B1631" s="1"/>
      <c r="C1631" s="1"/>
      <c r="D1631" s="1"/>
      <c r="E1631" s="6"/>
      <c r="F1631" s="4"/>
    </row>
    <row r="1632" spans="2:6">
      <c r="B1632" s="1"/>
      <c r="C1632" s="1"/>
      <c r="D1632" s="1"/>
      <c r="E1632" s="6"/>
      <c r="F1632" s="4"/>
    </row>
    <row r="1633" spans="2:6">
      <c r="B1633" s="1"/>
      <c r="C1633" s="1"/>
      <c r="D1633" s="1"/>
      <c r="E1633" s="6"/>
      <c r="F1633" s="4"/>
    </row>
    <row r="1634" spans="2:6">
      <c r="B1634" s="1"/>
      <c r="C1634" s="1"/>
      <c r="D1634" s="1"/>
      <c r="E1634" s="6"/>
      <c r="F1634" s="4"/>
    </row>
    <row r="1635" spans="2:6">
      <c r="B1635" s="1"/>
      <c r="C1635" s="1"/>
      <c r="D1635" s="1"/>
      <c r="E1635" s="6"/>
      <c r="F1635" s="4"/>
    </row>
    <row r="1636" spans="2:6">
      <c r="B1636" s="1"/>
      <c r="C1636" s="1"/>
      <c r="D1636" s="1"/>
      <c r="E1636" s="6"/>
      <c r="F1636" s="4"/>
    </row>
    <row r="1637" spans="2:6">
      <c r="B1637" s="1"/>
      <c r="C1637" s="1"/>
      <c r="D1637" s="1"/>
      <c r="E1637" s="6"/>
      <c r="F1637" s="4"/>
    </row>
    <row r="1638" spans="2:6">
      <c r="B1638" s="1"/>
      <c r="C1638" s="1"/>
      <c r="D1638" s="1"/>
      <c r="E1638" s="6"/>
      <c r="F1638" s="4"/>
    </row>
    <row r="1639" spans="2:6">
      <c r="B1639" s="1"/>
      <c r="C1639" s="1"/>
      <c r="D1639" s="1"/>
      <c r="E1639" s="6"/>
      <c r="F1639" s="4"/>
    </row>
    <row r="1640" spans="2:6">
      <c r="B1640" s="1"/>
      <c r="C1640" s="1"/>
      <c r="D1640" s="1"/>
      <c r="E1640" s="6"/>
      <c r="F1640" s="4"/>
    </row>
    <row r="1641" spans="2:6">
      <c r="B1641" s="1"/>
      <c r="C1641" s="1"/>
      <c r="D1641" s="1"/>
      <c r="E1641" s="6"/>
      <c r="F1641" s="4"/>
    </row>
    <row r="1642" spans="2:6">
      <c r="B1642" s="1"/>
      <c r="C1642" s="1"/>
      <c r="D1642" s="1"/>
      <c r="E1642" s="6"/>
      <c r="F1642" s="4"/>
    </row>
    <row r="1643" spans="2:6">
      <c r="B1643" s="1"/>
      <c r="C1643" s="1"/>
      <c r="D1643" s="1"/>
      <c r="E1643" s="6"/>
      <c r="F1643" s="4"/>
    </row>
    <row r="1644" spans="2:6">
      <c r="B1644" s="1"/>
      <c r="C1644" s="1"/>
      <c r="D1644" s="1"/>
      <c r="E1644" s="6"/>
      <c r="F1644" s="4"/>
    </row>
    <row r="1645" spans="2:6">
      <c r="B1645" s="1"/>
      <c r="C1645" s="1"/>
      <c r="D1645" s="1"/>
      <c r="E1645" s="6"/>
      <c r="F1645" s="4"/>
    </row>
    <row r="1646" spans="2:6">
      <c r="B1646" s="1"/>
      <c r="C1646" s="1"/>
      <c r="D1646" s="1"/>
      <c r="E1646" s="6"/>
      <c r="F1646" s="4"/>
    </row>
    <row r="1647" spans="2:6">
      <c r="B1647" s="1"/>
      <c r="C1647" s="1"/>
      <c r="D1647" s="1"/>
      <c r="E1647" s="6"/>
      <c r="F1647" s="4"/>
    </row>
    <row r="1648" spans="2:6">
      <c r="B1648" s="1"/>
      <c r="C1648" s="1"/>
      <c r="D1648" s="1"/>
      <c r="E1648" s="6"/>
      <c r="F1648" s="4"/>
    </row>
    <row r="1649" spans="2:6">
      <c r="B1649" s="1"/>
      <c r="C1649" s="1"/>
      <c r="D1649" s="1"/>
      <c r="E1649" s="6"/>
      <c r="F1649" s="4"/>
    </row>
    <row r="1650" spans="2:6">
      <c r="B1650" s="1"/>
      <c r="C1650" s="1"/>
      <c r="D1650" s="1"/>
      <c r="E1650" s="6"/>
      <c r="F1650" s="4"/>
    </row>
    <row r="1651" spans="2:6">
      <c r="B1651" s="1"/>
      <c r="C1651" s="1"/>
      <c r="D1651" s="1"/>
      <c r="E1651" s="6"/>
      <c r="F1651" s="4"/>
    </row>
    <row r="1652" spans="2:6">
      <c r="B1652" s="1"/>
      <c r="C1652" s="1"/>
      <c r="D1652" s="1"/>
      <c r="E1652" s="6"/>
      <c r="F1652" s="4"/>
    </row>
    <row r="1653" spans="2:6">
      <c r="B1653" s="1"/>
      <c r="C1653" s="1"/>
      <c r="D1653" s="1"/>
      <c r="E1653" s="6"/>
      <c r="F1653" s="4"/>
    </row>
    <row r="1654" spans="2:6">
      <c r="B1654" s="1"/>
      <c r="C1654" s="1"/>
      <c r="D1654" s="1"/>
      <c r="E1654" s="6"/>
      <c r="F1654" s="4"/>
    </row>
    <row r="1655" spans="2:6">
      <c r="B1655" s="1"/>
      <c r="C1655" s="1"/>
      <c r="D1655" s="1"/>
      <c r="E1655" s="6"/>
      <c r="F1655" s="4"/>
    </row>
    <row r="1656" spans="2:6">
      <c r="B1656" s="1"/>
      <c r="C1656" s="1"/>
      <c r="D1656" s="1"/>
      <c r="E1656" s="6"/>
      <c r="F1656" s="4"/>
    </row>
    <row r="1657" spans="2:6">
      <c r="B1657" s="1"/>
      <c r="C1657" s="1"/>
      <c r="D1657" s="1"/>
      <c r="E1657" s="6"/>
      <c r="F1657" s="4"/>
    </row>
    <row r="1658" spans="2:6">
      <c r="B1658" s="1"/>
      <c r="C1658" s="1"/>
      <c r="D1658" s="1"/>
      <c r="E1658" s="6"/>
      <c r="F1658" s="4"/>
    </row>
    <row r="1659" spans="2:6">
      <c r="B1659" s="1"/>
      <c r="C1659" s="1"/>
      <c r="D1659" s="1"/>
      <c r="E1659" s="6"/>
      <c r="F1659" s="4"/>
    </row>
    <row r="1660" spans="2:6">
      <c r="B1660" s="1"/>
      <c r="C1660" s="1"/>
      <c r="D1660" s="1"/>
      <c r="E1660" s="6"/>
      <c r="F1660" s="4"/>
    </row>
    <row r="1661" spans="2:6">
      <c r="B1661" s="1"/>
      <c r="C1661" s="1"/>
      <c r="D1661" s="1"/>
      <c r="E1661" s="6"/>
      <c r="F1661" s="4"/>
    </row>
    <row r="1662" spans="2:6">
      <c r="B1662" s="1"/>
      <c r="C1662" s="1"/>
      <c r="D1662" s="1"/>
      <c r="E1662" s="6"/>
      <c r="F1662" s="4"/>
    </row>
    <row r="1663" spans="2:6">
      <c r="B1663" s="1"/>
      <c r="C1663" s="1"/>
      <c r="D1663" s="1"/>
      <c r="E1663" s="6"/>
      <c r="F1663" s="4"/>
    </row>
    <row r="1664" spans="2:6">
      <c r="B1664" s="1"/>
      <c r="C1664" s="1"/>
      <c r="D1664" s="1"/>
      <c r="E1664" s="6"/>
      <c r="F1664" s="4"/>
    </row>
    <row r="1665" spans="2:6">
      <c r="B1665" s="1"/>
      <c r="C1665" s="1"/>
      <c r="D1665" s="1"/>
      <c r="E1665" s="6"/>
      <c r="F1665" s="4"/>
    </row>
    <row r="1666" spans="2:6">
      <c r="B1666" s="1"/>
      <c r="C1666" s="1"/>
      <c r="D1666" s="1"/>
      <c r="E1666" s="6"/>
      <c r="F1666" s="4"/>
    </row>
    <row r="1667" spans="2:6">
      <c r="B1667" s="1"/>
      <c r="C1667" s="1"/>
      <c r="D1667" s="1"/>
      <c r="E1667" s="6"/>
      <c r="F1667" s="4"/>
    </row>
    <row r="1668" spans="2:6">
      <c r="B1668" s="1"/>
      <c r="C1668" s="1"/>
      <c r="D1668" s="1"/>
      <c r="E1668" s="6"/>
      <c r="F1668" s="4"/>
    </row>
    <row r="1669" spans="2:6">
      <c r="B1669" s="1"/>
      <c r="C1669" s="1"/>
      <c r="D1669" s="1"/>
      <c r="E1669" s="6"/>
      <c r="F1669" s="4"/>
    </row>
    <row r="1670" spans="2:6">
      <c r="B1670" s="1"/>
      <c r="C1670" s="1"/>
      <c r="D1670" s="1"/>
      <c r="E1670" s="6"/>
      <c r="F1670" s="4"/>
    </row>
    <row r="1671" spans="2:6">
      <c r="B1671" s="1"/>
      <c r="C1671" s="1"/>
      <c r="D1671" s="1"/>
      <c r="E1671" s="6"/>
      <c r="F1671" s="4"/>
    </row>
    <row r="1672" spans="2:6">
      <c r="B1672" s="1"/>
      <c r="C1672" s="1"/>
      <c r="D1672" s="1"/>
      <c r="E1672" s="6"/>
      <c r="F1672" s="4"/>
    </row>
    <row r="1673" spans="2:6">
      <c r="B1673" s="1"/>
      <c r="C1673" s="1"/>
      <c r="D1673" s="1"/>
      <c r="E1673" s="6"/>
      <c r="F1673" s="4"/>
    </row>
    <row r="1674" spans="2:6">
      <c r="B1674" s="1"/>
      <c r="C1674" s="1"/>
      <c r="D1674" s="1"/>
      <c r="E1674" s="6"/>
      <c r="F1674" s="4"/>
    </row>
    <row r="1675" spans="2:6">
      <c r="B1675" s="1"/>
      <c r="C1675" s="1"/>
      <c r="D1675" s="1"/>
      <c r="E1675" s="6"/>
      <c r="F1675" s="4"/>
    </row>
    <row r="1676" spans="2:6">
      <c r="B1676" s="1"/>
      <c r="C1676" s="1"/>
      <c r="D1676" s="1"/>
      <c r="E1676" s="6"/>
      <c r="F1676" s="4"/>
    </row>
    <row r="1677" spans="2:6">
      <c r="B1677" s="1"/>
      <c r="C1677" s="1"/>
      <c r="D1677" s="1"/>
      <c r="E1677" s="6"/>
      <c r="F1677" s="4"/>
    </row>
    <row r="1678" spans="2:6">
      <c r="B1678" s="1"/>
      <c r="C1678" s="1"/>
      <c r="D1678" s="1"/>
      <c r="E1678" s="6"/>
      <c r="F1678" s="4"/>
    </row>
    <row r="1679" spans="2:6">
      <c r="B1679" s="1"/>
      <c r="C1679" s="1"/>
      <c r="D1679" s="1"/>
      <c r="E1679" s="6"/>
      <c r="F1679" s="4"/>
    </row>
    <row r="1680" spans="2:6">
      <c r="B1680" s="1"/>
      <c r="C1680" s="1"/>
      <c r="D1680" s="1"/>
      <c r="E1680" s="6"/>
      <c r="F1680" s="4"/>
    </row>
    <row r="1681" spans="2:6">
      <c r="B1681" s="1"/>
      <c r="C1681" s="1"/>
      <c r="D1681" s="1"/>
      <c r="E1681" s="6"/>
      <c r="F1681" s="4"/>
    </row>
    <row r="1682" spans="2:6">
      <c r="B1682" s="1"/>
      <c r="C1682" s="1"/>
      <c r="D1682" s="1"/>
      <c r="E1682" s="6"/>
      <c r="F1682" s="4"/>
    </row>
    <row r="1683" spans="2:6">
      <c r="B1683" s="1"/>
      <c r="C1683" s="1"/>
      <c r="D1683" s="1"/>
      <c r="E1683" s="6"/>
      <c r="F1683" s="4"/>
    </row>
    <row r="1684" spans="2:6">
      <c r="B1684" s="1"/>
      <c r="C1684" s="1"/>
      <c r="D1684" s="1"/>
      <c r="E1684" s="6"/>
      <c r="F1684" s="4"/>
    </row>
    <row r="1685" spans="2:6">
      <c r="B1685" s="1"/>
      <c r="C1685" s="1"/>
      <c r="D1685" s="1"/>
      <c r="E1685" s="6"/>
      <c r="F1685" s="4"/>
    </row>
    <row r="1686" spans="2:6">
      <c r="B1686" s="1"/>
      <c r="C1686" s="1"/>
      <c r="D1686" s="1"/>
      <c r="E1686" s="6"/>
      <c r="F1686" s="4"/>
    </row>
    <row r="1687" spans="2:6">
      <c r="B1687" s="1"/>
      <c r="C1687" s="1"/>
      <c r="D1687" s="1"/>
      <c r="E1687" s="6"/>
      <c r="F1687" s="4"/>
    </row>
    <row r="1688" spans="2:6">
      <c r="B1688" s="1"/>
      <c r="C1688" s="1"/>
      <c r="D1688" s="1"/>
      <c r="E1688" s="6"/>
      <c r="F1688" s="4"/>
    </row>
    <row r="1689" spans="2:6">
      <c r="B1689" s="1"/>
      <c r="C1689" s="1"/>
      <c r="D1689" s="1"/>
      <c r="E1689" s="6"/>
      <c r="F1689" s="4"/>
    </row>
    <row r="1690" spans="2:6">
      <c r="B1690" s="1"/>
      <c r="C1690" s="1"/>
      <c r="D1690" s="1"/>
      <c r="E1690" s="6"/>
      <c r="F1690" s="4"/>
    </row>
    <row r="1691" spans="2:6">
      <c r="B1691" s="1"/>
      <c r="C1691" s="1"/>
      <c r="D1691" s="1"/>
      <c r="E1691" s="6"/>
      <c r="F1691" s="4"/>
    </row>
    <row r="1692" spans="2:6">
      <c r="B1692" s="1"/>
      <c r="C1692" s="1"/>
      <c r="D1692" s="1"/>
      <c r="E1692" s="6"/>
      <c r="F1692" s="4"/>
    </row>
    <row r="1693" spans="2:6">
      <c r="B1693" s="1"/>
      <c r="C1693" s="1"/>
      <c r="D1693" s="1"/>
      <c r="E1693" s="6"/>
      <c r="F1693" s="4"/>
    </row>
    <row r="1694" spans="2:6">
      <c r="B1694" s="1"/>
      <c r="C1694" s="1"/>
      <c r="D1694" s="1"/>
      <c r="E1694" s="6"/>
      <c r="F1694" s="4"/>
    </row>
    <row r="1695" spans="2:6">
      <c r="B1695" s="1"/>
      <c r="C1695" s="1"/>
      <c r="D1695" s="1"/>
      <c r="E1695" s="6"/>
      <c r="F1695" s="4"/>
    </row>
    <row r="1696" spans="2:6">
      <c r="B1696" s="1"/>
      <c r="C1696" s="1"/>
      <c r="D1696" s="1"/>
      <c r="E1696" s="6"/>
      <c r="F1696" s="4"/>
    </row>
    <row r="1697" spans="2:6">
      <c r="B1697" s="1"/>
      <c r="C1697" s="1"/>
      <c r="D1697" s="1"/>
      <c r="E1697" s="6"/>
      <c r="F1697" s="4"/>
    </row>
    <row r="1698" spans="2:6">
      <c r="B1698" s="1"/>
      <c r="C1698" s="1"/>
      <c r="D1698" s="1"/>
      <c r="E1698" s="6"/>
      <c r="F1698" s="4"/>
    </row>
    <row r="1699" spans="2:6">
      <c r="B1699" s="1"/>
      <c r="C1699" s="1"/>
      <c r="D1699" s="1"/>
      <c r="E1699" s="6"/>
      <c r="F1699" s="4"/>
    </row>
    <row r="1700" spans="2:6">
      <c r="B1700" s="1"/>
      <c r="C1700" s="1"/>
      <c r="D1700" s="1"/>
      <c r="E1700" s="6"/>
      <c r="F1700" s="4"/>
    </row>
    <row r="1701" spans="2:6">
      <c r="B1701" s="1"/>
      <c r="C1701" s="1"/>
      <c r="D1701" s="1"/>
      <c r="E1701" s="6"/>
      <c r="F1701" s="4"/>
    </row>
    <row r="1702" spans="2:6">
      <c r="B1702" s="1"/>
      <c r="C1702" s="1"/>
      <c r="D1702" s="1"/>
      <c r="E1702" s="6"/>
      <c r="F1702" s="4"/>
    </row>
    <row r="1703" spans="2:6">
      <c r="B1703" s="1"/>
      <c r="C1703" s="1"/>
      <c r="D1703" s="1"/>
      <c r="E1703" s="6"/>
      <c r="F1703" s="4"/>
    </row>
    <row r="1704" spans="2:6">
      <c r="B1704" s="1"/>
      <c r="C1704" s="1"/>
      <c r="D1704" s="1"/>
      <c r="E1704" s="6"/>
      <c r="F1704" s="4"/>
    </row>
    <row r="1705" spans="2:6">
      <c r="B1705" s="1"/>
      <c r="C1705" s="1"/>
      <c r="D1705" s="1"/>
      <c r="E1705" s="6"/>
      <c r="F1705" s="4"/>
    </row>
    <row r="1706" spans="2:6">
      <c r="B1706" s="1"/>
      <c r="C1706" s="1"/>
      <c r="D1706" s="1"/>
      <c r="E1706" s="6"/>
      <c r="F1706" s="4"/>
    </row>
    <row r="1707" spans="2:6">
      <c r="B1707" s="1"/>
      <c r="C1707" s="1"/>
      <c r="D1707" s="1"/>
      <c r="E1707" s="6"/>
      <c r="F1707" s="4"/>
    </row>
    <row r="1708" spans="2:6">
      <c r="B1708" s="1"/>
      <c r="C1708" s="1"/>
      <c r="D1708" s="1"/>
      <c r="E1708" s="6"/>
      <c r="F1708" s="4"/>
    </row>
    <row r="1709" spans="2:6">
      <c r="B1709" s="1"/>
      <c r="C1709" s="1"/>
      <c r="D1709" s="1"/>
      <c r="E1709" s="6"/>
      <c r="F1709" s="4"/>
    </row>
    <row r="1710" spans="2:6">
      <c r="B1710" s="1"/>
      <c r="C1710" s="1"/>
      <c r="D1710" s="1"/>
      <c r="E1710" s="6"/>
      <c r="F1710" s="4"/>
    </row>
    <row r="1711" spans="2:6">
      <c r="B1711" s="1"/>
      <c r="C1711" s="1"/>
      <c r="D1711" s="1"/>
      <c r="E1711" s="6"/>
      <c r="F1711" s="4"/>
    </row>
    <row r="1712" spans="2:6">
      <c r="B1712" s="1"/>
      <c r="C1712" s="1"/>
      <c r="D1712" s="1"/>
      <c r="E1712" s="6"/>
      <c r="F1712" s="4"/>
    </row>
    <row r="1713" spans="2:6">
      <c r="B1713" s="1"/>
      <c r="C1713" s="1"/>
      <c r="D1713" s="1"/>
      <c r="E1713" s="6"/>
      <c r="F1713" s="4"/>
    </row>
    <row r="1714" spans="2:6">
      <c r="B1714" s="1"/>
      <c r="C1714" s="1"/>
      <c r="D1714" s="1"/>
      <c r="E1714" s="6"/>
      <c r="F1714" s="4"/>
    </row>
    <row r="1715" spans="2:6">
      <c r="B1715" s="1"/>
      <c r="C1715" s="1"/>
      <c r="D1715" s="1"/>
      <c r="E1715" s="6"/>
      <c r="F1715" s="4"/>
    </row>
    <row r="1716" spans="2:6">
      <c r="B1716" s="1"/>
      <c r="C1716" s="1"/>
      <c r="D1716" s="1"/>
      <c r="E1716" s="6"/>
      <c r="F1716" s="4"/>
    </row>
    <row r="1717" spans="2:6">
      <c r="B1717" s="1"/>
      <c r="C1717" s="1"/>
      <c r="D1717" s="1"/>
      <c r="E1717" s="6"/>
      <c r="F1717" s="4"/>
    </row>
    <row r="1718" spans="2:6">
      <c r="B1718" s="1"/>
      <c r="C1718" s="1"/>
      <c r="D1718" s="1"/>
      <c r="E1718" s="6"/>
      <c r="F1718" s="4"/>
    </row>
    <row r="1719" spans="2:6">
      <c r="B1719" s="1"/>
      <c r="C1719" s="1"/>
      <c r="D1719" s="1"/>
      <c r="E1719" s="6"/>
      <c r="F1719" s="4"/>
    </row>
    <row r="1720" spans="2:6">
      <c r="B1720" s="1"/>
      <c r="C1720" s="1"/>
      <c r="D1720" s="1"/>
      <c r="E1720" s="6"/>
      <c r="F1720" s="4"/>
    </row>
    <row r="1721" spans="2:6">
      <c r="B1721" s="1"/>
      <c r="C1721" s="1"/>
      <c r="D1721" s="1"/>
      <c r="E1721" s="6"/>
      <c r="F1721" s="4"/>
    </row>
    <row r="1722" spans="2:6">
      <c r="B1722" s="1"/>
      <c r="C1722" s="1"/>
      <c r="D1722" s="1"/>
      <c r="E1722" s="6"/>
      <c r="F1722" s="4"/>
    </row>
    <row r="1723" spans="2:6">
      <c r="B1723" s="1"/>
      <c r="C1723" s="1"/>
      <c r="D1723" s="1"/>
      <c r="E1723" s="6"/>
      <c r="F1723" s="4"/>
    </row>
    <row r="1724" spans="2:6">
      <c r="B1724" s="1"/>
      <c r="C1724" s="1"/>
      <c r="D1724" s="1"/>
      <c r="E1724" s="6"/>
      <c r="F1724" s="4"/>
    </row>
    <row r="1725" spans="2:6">
      <c r="B1725" s="1"/>
      <c r="C1725" s="1"/>
      <c r="D1725" s="1"/>
      <c r="E1725" s="6"/>
      <c r="F1725" s="4"/>
    </row>
    <row r="1726" spans="2:6">
      <c r="B1726" s="1"/>
      <c r="C1726" s="1"/>
      <c r="D1726" s="1"/>
      <c r="E1726" s="6"/>
      <c r="F1726" s="4"/>
    </row>
    <row r="1727" spans="2:6">
      <c r="B1727" s="1"/>
      <c r="C1727" s="1"/>
      <c r="D1727" s="1"/>
      <c r="E1727" s="6"/>
      <c r="F1727" s="4"/>
    </row>
    <row r="1728" spans="2:6">
      <c r="B1728" s="1"/>
      <c r="C1728" s="1"/>
      <c r="D1728" s="1"/>
      <c r="E1728" s="6"/>
      <c r="F1728" s="4"/>
    </row>
    <row r="1729" spans="2:6">
      <c r="B1729" s="1"/>
      <c r="C1729" s="1"/>
      <c r="D1729" s="1"/>
      <c r="E1729" s="6"/>
      <c r="F1729" s="4"/>
    </row>
    <row r="1730" spans="2:6">
      <c r="B1730" s="1"/>
      <c r="C1730" s="1"/>
      <c r="D1730" s="1"/>
      <c r="E1730" s="6"/>
      <c r="F1730" s="4"/>
    </row>
    <row r="1731" spans="2:6">
      <c r="B1731" s="1"/>
      <c r="C1731" s="1"/>
      <c r="D1731" s="1"/>
      <c r="E1731" s="6"/>
      <c r="F1731" s="4"/>
    </row>
    <row r="1732" spans="2:6">
      <c r="B1732" s="1"/>
      <c r="C1732" s="1"/>
      <c r="D1732" s="1"/>
      <c r="E1732" s="6"/>
      <c r="F1732" s="4"/>
    </row>
    <row r="1733" spans="2:6">
      <c r="B1733" s="1"/>
      <c r="C1733" s="1"/>
      <c r="D1733" s="1"/>
      <c r="E1733" s="6"/>
      <c r="F1733" s="4"/>
    </row>
    <row r="1734" spans="2:6">
      <c r="B1734" s="1"/>
      <c r="C1734" s="1"/>
      <c r="D1734" s="1"/>
      <c r="E1734" s="6"/>
      <c r="F1734" s="4"/>
    </row>
    <row r="1735" spans="2:6">
      <c r="B1735" s="1"/>
      <c r="C1735" s="1"/>
      <c r="D1735" s="1"/>
      <c r="E1735" s="6"/>
      <c r="F1735" s="4"/>
    </row>
    <row r="1736" spans="2:6">
      <c r="B1736" s="1"/>
      <c r="C1736" s="1"/>
      <c r="D1736" s="1"/>
      <c r="E1736" s="6"/>
      <c r="F1736" s="4"/>
    </row>
    <row r="1737" spans="2:6">
      <c r="B1737" s="1"/>
      <c r="C1737" s="1"/>
      <c r="D1737" s="1"/>
      <c r="E1737" s="6"/>
      <c r="F1737" s="4"/>
    </row>
    <row r="1738" spans="2:6">
      <c r="B1738" s="1"/>
      <c r="C1738" s="1"/>
      <c r="D1738" s="1"/>
      <c r="E1738" s="6"/>
      <c r="F1738" s="4"/>
    </row>
    <row r="1739" spans="2:6">
      <c r="B1739" s="1"/>
      <c r="C1739" s="1"/>
      <c r="D1739" s="1"/>
      <c r="E1739" s="6"/>
      <c r="F1739" s="4"/>
    </row>
    <row r="1740" spans="2:6">
      <c r="B1740" s="1"/>
      <c r="C1740" s="1"/>
      <c r="D1740" s="1"/>
      <c r="E1740" s="6"/>
      <c r="F1740" s="4"/>
    </row>
    <row r="1741" spans="2:6">
      <c r="B1741" s="1"/>
      <c r="C1741" s="1"/>
      <c r="D1741" s="1"/>
      <c r="E1741" s="6"/>
      <c r="F1741" s="4"/>
    </row>
    <row r="1742" spans="2:6">
      <c r="B1742" s="1"/>
      <c r="C1742" s="1"/>
      <c r="D1742" s="1"/>
      <c r="E1742" s="6"/>
      <c r="F1742" s="4"/>
    </row>
    <row r="1743" spans="2:6">
      <c r="B1743" s="1"/>
      <c r="C1743" s="1"/>
      <c r="D1743" s="1"/>
      <c r="E1743" s="6"/>
      <c r="F1743" s="4"/>
    </row>
    <row r="1744" spans="2:6">
      <c r="B1744" s="1"/>
      <c r="C1744" s="1"/>
      <c r="D1744" s="1"/>
      <c r="E1744" s="6"/>
      <c r="F1744" s="4"/>
    </row>
    <row r="1745" spans="2:6">
      <c r="B1745" s="1"/>
      <c r="C1745" s="1"/>
      <c r="D1745" s="1"/>
      <c r="E1745" s="6"/>
      <c r="F1745" s="4"/>
    </row>
    <row r="1746" spans="2:6">
      <c r="B1746" s="1"/>
      <c r="C1746" s="1"/>
      <c r="D1746" s="1"/>
      <c r="E1746" s="6"/>
      <c r="F1746" s="4"/>
    </row>
    <row r="1747" spans="2:6">
      <c r="B1747" s="1"/>
      <c r="C1747" s="1"/>
      <c r="D1747" s="1"/>
      <c r="E1747" s="6"/>
      <c r="F1747" s="4"/>
    </row>
    <row r="1748" spans="2:6">
      <c r="B1748" s="1"/>
      <c r="C1748" s="1"/>
      <c r="D1748" s="1"/>
      <c r="E1748" s="6"/>
      <c r="F1748" s="4"/>
    </row>
    <row r="1749" spans="2:6">
      <c r="B1749" s="1"/>
      <c r="C1749" s="1"/>
      <c r="D1749" s="1"/>
      <c r="E1749" s="6"/>
      <c r="F1749" s="4"/>
    </row>
    <row r="1750" spans="2:6">
      <c r="B1750" s="1"/>
      <c r="C1750" s="1"/>
      <c r="D1750" s="1"/>
      <c r="E1750" s="6"/>
      <c r="F1750" s="4"/>
    </row>
    <row r="1751" spans="2:6">
      <c r="B1751" s="1"/>
      <c r="C1751" s="1"/>
      <c r="D1751" s="1"/>
      <c r="E1751" s="6"/>
      <c r="F1751" s="4"/>
    </row>
    <row r="1752" spans="2:6">
      <c r="B1752" s="1"/>
      <c r="C1752" s="1"/>
      <c r="D1752" s="1"/>
      <c r="E1752" s="6"/>
      <c r="F1752" s="4"/>
    </row>
    <row r="1753" spans="2:6">
      <c r="B1753" s="1"/>
      <c r="C1753" s="1"/>
      <c r="D1753" s="1"/>
      <c r="E1753" s="6"/>
      <c r="F1753" s="4"/>
    </row>
    <row r="1754" spans="2:6">
      <c r="B1754" s="1"/>
      <c r="C1754" s="1"/>
      <c r="D1754" s="1"/>
      <c r="E1754" s="6"/>
      <c r="F1754" s="4"/>
    </row>
    <row r="1755" spans="2:6">
      <c r="B1755" s="1"/>
      <c r="C1755" s="1"/>
      <c r="D1755" s="1"/>
      <c r="E1755" s="6"/>
      <c r="F1755" s="4"/>
    </row>
    <row r="1756" spans="2:6">
      <c r="B1756" s="1"/>
      <c r="C1756" s="1"/>
      <c r="D1756" s="1"/>
      <c r="E1756" s="6"/>
      <c r="F1756" s="4"/>
    </row>
    <row r="1757" spans="2:6">
      <c r="B1757" s="1"/>
      <c r="C1757" s="1"/>
      <c r="D1757" s="1"/>
      <c r="E1757" s="6"/>
      <c r="F1757" s="4"/>
    </row>
    <row r="1758" spans="2:6">
      <c r="B1758" s="1"/>
      <c r="C1758" s="1"/>
      <c r="D1758" s="1"/>
      <c r="E1758" s="6"/>
      <c r="F1758" s="4"/>
    </row>
    <row r="1759" spans="2:6">
      <c r="B1759" s="1"/>
      <c r="C1759" s="1"/>
      <c r="D1759" s="1"/>
      <c r="E1759" s="6"/>
      <c r="F1759" s="4"/>
    </row>
    <row r="1760" spans="2:6">
      <c r="B1760" s="1"/>
      <c r="C1760" s="1"/>
      <c r="D1760" s="1"/>
      <c r="E1760" s="6"/>
      <c r="F1760" s="4"/>
    </row>
    <row r="1761" spans="2:6">
      <c r="B1761" s="1"/>
      <c r="C1761" s="1"/>
      <c r="D1761" s="1"/>
      <c r="E1761" s="6"/>
      <c r="F1761" s="4"/>
    </row>
    <row r="1762" spans="2:6">
      <c r="B1762" s="1"/>
      <c r="C1762" s="1"/>
      <c r="D1762" s="1"/>
      <c r="E1762" s="6"/>
      <c r="F1762" s="4"/>
    </row>
    <row r="1763" spans="2:6">
      <c r="B1763" s="1"/>
      <c r="C1763" s="1"/>
      <c r="D1763" s="1"/>
      <c r="E1763" s="6"/>
      <c r="F1763" s="4"/>
    </row>
    <row r="1764" spans="2:6">
      <c r="B1764" s="1"/>
      <c r="C1764" s="1"/>
      <c r="D1764" s="1"/>
      <c r="E1764" s="6"/>
      <c r="F1764" s="4"/>
    </row>
    <row r="1765" spans="2:6">
      <c r="B1765" s="1"/>
      <c r="C1765" s="1"/>
      <c r="D1765" s="1"/>
      <c r="E1765" s="6"/>
      <c r="F1765" s="4"/>
    </row>
    <row r="1766" spans="2:6">
      <c r="B1766" s="1"/>
      <c r="C1766" s="1"/>
      <c r="D1766" s="1"/>
      <c r="E1766" s="6"/>
      <c r="F1766" s="4"/>
    </row>
    <row r="1767" spans="2:6">
      <c r="B1767" s="1"/>
      <c r="C1767" s="1"/>
      <c r="D1767" s="1"/>
      <c r="E1767" s="6"/>
      <c r="F1767" s="4"/>
    </row>
    <row r="1768" spans="2:6">
      <c r="B1768" s="1"/>
      <c r="C1768" s="1"/>
      <c r="D1768" s="1"/>
      <c r="E1768" s="6"/>
      <c r="F1768" s="4"/>
    </row>
    <row r="1769" spans="2:6">
      <c r="B1769" s="1"/>
      <c r="C1769" s="1"/>
      <c r="D1769" s="1"/>
      <c r="E1769" s="6"/>
      <c r="F1769" s="4"/>
    </row>
    <row r="1770" spans="2:6">
      <c r="B1770" s="1"/>
      <c r="C1770" s="1"/>
      <c r="D1770" s="1"/>
      <c r="E1770" s="6"/>
      <c r="F1770" s="4"/>
    </row>
    <row r="1771" spans="2:6">
      <c r="B1771" s="1"/>
      <c r="C1771" s="1"/>
      <c r="D1771" s="1"/>
      <c r="E1771" s="6"/>
      <c r="F1771" s="4"/>
    </row>
    <row r="1772" spans="2:6">
      <c r="B1772" s="1"/>
      <c r="C1772" s="1"/>
      <c r="D1772" s="1"/>
      <c r="E1772" s="6"/>
      <c r="F1772" s="4"/>
    </row>
    <row r="1773" spans="2:6">
      <c r="B1773" s="1"/>
      <c r="C1773" s="1"/>
      <c r="D1773" s="1"/>
      <c r="E1773" s="6"/>
      <c r="F1773" s="4"/>
    </row>
    <row r="1774" spans="2:6">
      <c r="B1774" s="1"/>
      <c r="C1774" s="1"/>
      <c r="D1774" s="1"/>
      <c r="E1774" s="6"/>
      <c r="F1774" s="4"/>
    </row>
    <row r="1775" spans="2:6">
      <c r="B1775" s="1"/>
      <c r="C1775" s="1"/>
      <c r="D1775" s="1"/>
      <c r="E1775" s="6"/>
      <c r="F1775" s="4"/>
    </row>
    <row r="1776" spans="2:6">
      <c r="B1776" s="1"/>
      <c r="C1776" s="1"/>
      <c r="D1776" s="1"/>
      <c r="E1776" s="6"/>
      <c r="F1776" s="4"/>
    </row>
    <row r="1777" spans="2:6">
      <c r="B1777" s="1"/>
      <c r="C1777" s="1"/>
      <c r="D1777" s="1"/>
      <c r="E1777" s="6"/>
      <c r="F1777" s="4"/>
    </row>
    <row r="1778" spans="2:6">
      <c r="B1778" s="1"/>
      <c r="C1778" s="1"/>
      <c r="D1778" s="1"/>
      <c r="E1778" s="6"/>
      <c r="F1778" s="4"/>
    </row>
    <row r="1779" spans="2:6">
      <c r="B1779" s="1"/>
      <c r="C1779" s="1"/>
      <c r="D1779" s="1"/>
      <c r="E1779" s="6"/>
      <c r="F1779" s="4"/>
    </row>
    <row r="1780" spans="2:6">
      <c r="B1780" s="1"/>
      <c r="C1780" s="1"/>
      <c r="D1780" s="1"/>
      <c r="E1780" s="6"/>
      <c r="F1780" s="4"/>
    </row>
    <row r="1781" spans="2:6">
      <c r="B1781" s="1"/>
      <c r="C1781" s="1"/>
      <c r="D1781" s="1"/>
      <c r="E1781" s="6"/>
      <c r="F1781" s="4"/>
    </row>
    <row r="1782" spans="2:6">
      <c r="B1782" s="1"/>
      <c r="C1782" s="1"/>
      <c r="D1782" s="1"/>
      <c r="E1782" s="6"/>
      <c r="F1782" s="4"/>
    </row>
    <row r="1783" spans="2:6">
      <c r="B1783" s="1"/>
      <c r="C1783" s="1"/>
      <c r="D1783" s="1"/>
      <c r="E1783" s="6"/>
      <c r="F1783" s="4"/>
    </row>
    <row r="1784" spans="2:6">
      <c r="B1784" s="1"/>
      <c r="C1784" s="1"/>
      <c r="D1784" s="1"/>
      <c r="E1784" s="6"/>
      <c r="F1784" s="4"/>
    </row>
    <row r="1785" spans="2:6">
      <c r="B1785" s="1"/>
      <c r="C1785" s="1"/>
      <c r="D1785" s="1"/>
      <c r="E1785" s="6"/>
      <c r="F1785" s="4"/>
    </row>
    <row r="1786" spans="2:6">
      <c r="B1786" s="1"/>
      <c r="C1786" s="1"/>
      <c r="D1786" s="1"/>
      <c r="E1786" s="6"/>
      <c r="F1786" s="4"/>
    </row>
    <row r="1787" spans="2:6">
      <c r="B1787" s="1"/>
      <c r="C1787" s="1"/>
      <c r="D1787" s="1"/>
      <c r="E1787" s="6"/>
      <c r="F1787" s="4"/>
    </row>
    <row r="1788" spans="2:6">
      <c r="B1788" s="1"/>
      <c r="C1788" s="1"/>
      <c r="D1788" s="1"/>
      <c r="E1788" s="6"/>
      <c r="F1788" s="4"/>
    </row>
    <row r="1789" spans="2:6">
      <c r="B1789" s="1"/>
      <c r="C1789" s="1"/>
      <c r="D1789" s="1"/>
      <c r="E1789" s="6"/>
      <c r="F1789" s="4"/>
    </row>
    <row r="1790" spans="2:6">
      <c r="B1790" s="1"/>
      <c r="C1790" s="1"/>
      <c r="D1790" s="1"/>
      <c r="E1790" s="6"/>
      <c r="F1790" s="4"/>
    </row>
    <row r="1791" spans="2:6">
      <c r="B1791" s="1"/>
      <c r="C1791" s="1"/>
      <c r="D1791" s="1"/>
      <c r="E1791" s="6"/>
      <c r="F1791" s="4"/>
    </row>
    <row r="1792" spans="2:6">
      <c r="B1792" s="1"/>
      <c r="C1792" s="1"/>
      <c r="D1792" s="1"/>
      <c r="E1792" s="6"/>
      <c r="F1792" s="4"/>
    </row>
    <row r="1793" spans="2:6">
      <c r="B1793" s="1"/>
      <c r="C1793" s="1"/>
      <c r="D1793" s="1"/>
      <c r="E1793" s="6"/>
      <c r="F1793" s="4"/>
    </row>
    <row r="1794" spans="2:6">
      <c r="B1794" s="1"/>
      <c r="C1794" s="1"/>
      <c r="D1794" s="1"/>
      <c r="E1794" s="6"/>
      <c r="F1794" s="4"/>
    </row>
    <row r="1795" spans="2:6">
      <c r="B1795" s="1"/>
      <c r="C1795" s="1"/>
      <c r="D1795" s="1"/>
      <c r="E1795" s="6"/>
      <c r="F1795" s="4"/>
    </row>
    <row r="1796" spans="2:6">
      <c r="B1796" s="1"/>
      <c r="C1796" s="1"/>
      <c r="D1796" s="1"/>
      <c r="E1796" s="6"/>
      <c r="F1796" s="4"/>
    </row>
    <row r="1797" spans="2:6">
      <c r="B1797" s="1"/>
      <c r="C1797" s="1"/>
      <c r="D1797" s="1"/>
      <c r="E1797" s="6"/>
      <c r="F1797" s="4"/>
    </row>
    <row r="1798" spans="2:6">
      <c r="B1798" s="1"/>
      <c r="C1798" s="1"/>
      <c r="D1798" s="1"/>
      <c r="E1798" s="6"/>
      <c r="F1798" s="4"/>
    </row>
    <row r="1799" spans="2:6">
      <c r="B1799" s="1"/>
      <c r="C1799" s="1"/>
      <c r="D1799" s="1"/>
      <c r="E1799" s="6"/>
      <c r="F1799" s="4"/>
    </row>
    <row r="1800" spans="2:6">
      <c r="B1800" s="1"/>
      <c r="C1800" s="1"/>
      <c r="D1800" s="1"/>
      <c r="E1800" s="6"/>
      <c r="F1800" s="4"/>
    </row>
    <row r="1801" spans="2:6">
      <c r="B1801" s="1"/>
      <c r="C1801" s="1"/>
      <c r="D1801" s="1"/>
      <c r="E1801" s="6"/>
      <c r="F1801" s="4"/>
    </row>
    <row r="1802" spans="2:6">
      <c r="B1802" s="1"/>
      <c r="C1802" s="1"/>
      <c r="D1802" s="1"/>
      <c r="E1802" s="6"/>
      <c r="F1802" s="4"/>
    </row>
    <row r="1803" spans="2:6">
      <c r="B1803" s="1"/>
      <c r="C1803" s="1"/>
      <c r="D1803" s="1"/>
      <c r="E1803" s="6"/>
      <c r="F1803" s="4"/>
    </row>
    <row r="1804" spans="2:6">
      <c r="B1804" s="1"/>
      <c r="C1804" s="1"/>
      <c r="D1804" s="1"/>
      <c r="E1804" s="6"/>
      <c r="F1804" s="4"/>
    </row>
    <row r="1805" spans="2:6">
      <c r="B1805" s="1"/>
      <c r="C1805" s="1"/>
      <c r="D1805" s="1"/>
      <c r="E1805" s="6"/>
      <c r="F1805" s="4"/>
    </row>
    <row r="1806" spans="2:6">
      <c r="B1806" s="1"/>
      <c r="C1806" s="1"/>
      <c r="D1806" s="1"/>
      <c r="E1806" s="6"/>
      <c r="F1806" s="4"/>
    </row>
    <row r="1807" spans="2:6">
      <c r="B1807" s="1"/>
      <c r="C1807" s="1"/>
      <c r="D1807" s="1"/>
      <c r="E1807" s="6"/>
      <c r="F1807" s="4"/>
    </row>
    <row r="1808" spans="2:6">
      <c r="B1808" s="1"/>
      <c r="C1808" s="1"/>
      <c r="D1808" s="1"/>
      <c r="E1808" s="6"/>
      <c r="F1808" s="4"/>
    </row>
    <row r="1809" spans="2:6">
      <c r="B1809" s="1"/>
      <c r="C1809" s="1"/>
      <c r="D1809" s="1"/>
      <c r="E1809" s="6"/>
      <c r="F1809" s="4"/>
    </row>
    <row r="1810" spans="2:6">
      <c r="B1810" s="1"/>
      <c r="C1810" s="1"/>
      <c r="D1810" s="1"/>
      <c r="E1810" s="6"/>
      <c r="F1810" s="4"/>
    </row>
    <row r="1811" spans="2:6">
      <c r="B1811" s="1"/>
      <c r="C1811" s="1"/>
      <c r="D1811" s="1"/>
      <c r="E1811" s="6"/>
      <c r="F1811" s="4"/>
    </row>
    <row r="1812" spans="2:6">
      <c r="B1812" s="1"/>
      <c r="C1812" s="1"/>
      <c r="D1812" s="1"/>
      <c r="E1812" s="6"/>
      <c r="F1812" s="4"/>
    </row>
    <row r="1813" spans="2:6">
      <c r="B1813" s="1"/>
      <c r="C1813" s="1"/>
      <c r="D1813" s="1"/>
      <c r="E1813" s="6"/>
      <c r="F1813" s="4"/>
    </row>
    <row r="1814" spans="2:6">
      <c r="B1814" s="1"/>
      <c r="C1814" s="1"/>
      <c r="D1814" s="1"/>
      <c r="E1814" s="6"/>
      <c r="F1814" s="4"/>
    </row>
    <row r="1815" spans="2:6">
      <c r="B1815" s="1"/>
      <c r="C1815" s="1"/>
      <c r="D1815" s="1"/>
      <c r="E1815" s="6"/>
      <c r="F1815" s="4"/>
    </row>
    <row r="1816" spans="2:6">
      <c r="B1816" s="1"/>
      <c r="C1816" s="1"/>
      <c r="D1816" s="1"/>
      <c r="E1816" s="6"/>
      <c r="F1816" s="4"/>
    </row>
    <row r="1817" spans="2:6">
      <c r="B1817" s="1"/>
      <c r="C1817" s="1"/>
      <c r="D1817" s="1"/>
      <c r="E1817" s="6"/>
      <c r="F1817" s="4"/>
    </row>
    <row r="1818" spans="2:6">
      <c r="B1818" s="1"/>
      <c r="C1818" s="1"/>
      <c r="D1818" s="1"/>
      <c r="E1818" s="6"/>
      <c r="F1818" s="4"/>
    </row>
    <row r="1819" spans="2:6">
      <c r="B1819" s="1"/>
      <c r="C1819" s="1"/>
      <c r="D1819" s="1"/>
      <c r="E1819" s="6"/>
      <c r="F1819" s="4"/>
    </row>
    <row r="1820" spans="2:6">
      <c r="B1820" s="1"/>
      <c r="C1820" s="1"/>
      <c r="D1820" s="1"/>
      <c r="E1820" s="6"/>
      <c r="F1820" s="4"/>
    </row>
    <row r="1821" spans="2:6">
      <c r="B1821" s="1"/>
      <c r="C1821" s="1"/>
      <c r="D1821" s="1"/>
      <c r="E1821" s="6"/>
      <c r="F1821" s="4"/>
    </row>
    <row r="1822" spans="2:6">
      <c r="B1822" s="1"/>
      <c r="C1822" s="1"/>
      <c r="D1822" s="1"/>
      <c r="E1822" s="6"/>
      <c r="F1822" s="4"/>
    </row>
    <row r="1823" spans="2:6">
      <c r="B1823" s="1"/>
      <c r="C1823" s="1"/>
      <c r="D1823" s="1"/>
      <c r="E1823" s="6"/>
      <c r="F1823" s="4"/>
    </row>
    <row r="1824" spans="2:6">
      <c r="B1824" s="1"/>
      <c r="C1824" s="1"/>
      <c r="D1824" s="1"/>
      <c r="E1824" s="6"/>
      <c r="F1824" s="4"/>
    </row>
    <row r="1825" spans="2:6">
      <c r="B1825" s="1"/>
      <c r="C1825" s="1"/>
      <c r="D1825" s="1"/>
      <c r="E1825" s="6"/>
      <c r="F1825" s="4"/>
    </row>
    <row r="1826" spans="2:6">
      <c r="B1826" s="1"/>
      <c r="C1826" s="1"/>
      <c r="D1826" s="1"/>
      <c r="E1826" s="6"/>
      <c r="F1826" s="4"/>
    </row>
    <row r="1827" spans="2:6">
      <c r="B1827" s="1"/>
      <c r="C1827" s="1"/>
      <c r="D1827" s="1"/>
      <c r="E1827" s="6"/>
      <c r="F1827" s="4"/>
    </row>
    <row r="1828" spans="2:6">
      <c r="B1828" s="1"/>
      <c r="C1828" s="1"/>
      <c r="D1828" s="1"/>
      <c r="E1828" s="6"/>
      <c r="F1828" s="4"/>
    </row>
    <row r="1829" spans="2:6">
      <c r="B1829" s="1"/>
      <c r="C1829" s="1"/>
      <c r="D1829" s="1"/>
      <c r="E1829" s="6"/>
      <c r="F1829" s="4"/>
    </row>
    <row r="1830" spans="2:6">
      <c r="B1830" s="1"/>
      <c r="C1830" s="1"/>
      <c r="D1830" s="1"/>
      <c r="E1830" s="6"/>
      <c r="F1830" s="4"/>
    </row>
    <row r="1831" spans="2:6">
      <c r="B1831" s="1"/>
      <c r="C1831" s="1"/>
      <c r="D1831" s="1"/>
      <c r="E1831" s="6"/>
      <c r="F1831" s="4"/>
    </row>
    <row r="1832" spans="2:6">
      <c r="B1832" s="1"/>
      <c r="C1832" s="1"/>
      <c r="D1832" s="1"/>
      <c r="E1832" s="6"/>
      <c r="F1832" s="4"/>
    </row>
    <row r="1833" spans="2:6">
      <c r="B1833" s="1"/>
      <c r="C1833" s="1"/>
      <c r="D1833" s="1"/>
      <c r="E1833" s="6"/>
      <c r="F1833" s="4"/>
    </row>
    <row r="1834" spans="2:6">
      <c r="B1834" s="1"/>
      <c r="C1834" s="1"/>
      <c r="D1834" s="1"/>
      <c r="E1834" s="6"/>
      <c r="F1834" s="4"/>
    </row>
    <row r="1835" spans="2:6">
      <c r="B1835" s="1"/>
      <c r="C1835" s="1"/>
      <c r="D1835" s="1"/>
      <c r="E1835" s="6"/>
      <c r="F1835" s="4"/>
    </row>
    <row r="1836" spans="2:6">
      <c r="B1836" s="1"/>
      <c r="C1836" s="1"/>
      <c r="D1836" s="1"/>
      <c r="E1836" s="6"/>
      <c r="F1836" s="4"/>
    </row>
    <row r="1837" spans="2:6">
      <c r="B1837" s="1"/>
      <c r="C1837" s="1"/>
      <c r="D1837" s="1"/>
      <c r="E1837" s="6"/>
      <c r="F1837" s="4"/>
    </row>
    <row r="1838" spans="2:6">
      <c r="B1838" s="1"/>
      <c r="C1838" s="1"/>
      <c r="D1838" s="1"/>
      <c r="E1838" s="6"/>
      <c r="F1838" s="4"/>
    </row>
    <row r="1839" spans="2:6">
      <c r="B1839" s="1"/>
      <c r="C1839" s="1"/>
      <c r="D1839" s="1"/>
      <c r="E1839" s="6"/>
      <c r="F1839" s="4"/>
    </row>
    <row r="1840" spans="2:6">
      <c r="B1840" s="1"/>
      <c r="C1840" s="1"/>
      <c r="D1840" s="1"/>
      <c r="E1840" s="6"/>
      <c r="F1840" s="4"/>
    </row>
    <row r="1841" spans="2:6">
      <c r="B1841" s="1"/>
      <c r="C1841" s="1"/>
      <c r="D1841" s="1"/>
      <c r="E1841" s="6"/>
      <c r="F1841" s="4"/>
    </row>
    <row r="1842" spans="2:6">
      <c r="B1842" s="1"/>
      <c r="C1842" s="1"/>
      <c r="D1842" s="1"/>
      <c r="E1842" s="6"/>
      <c r="F1842" s="4"/>
    </row>
    <row r="1843" spans="2:6">
      <c r="B1843" s="1"/>
      <c r="C1843" s="1"/>
      <c r="D1843" s="1"/>
      <c r="E1843" s="6"/>
      <c r="F1843" s="4"/>
    </row>
    <row r="1844" spans="2:6">
      <c r="B1844" s="1"/>
      <c r="C1844" s="1"/>
      <c r="D1844" s="1"/>
      <c r="E1844" s="6"/>
      <c r="F1844" s="4"/>
    </row>
    <row r="1845" spans="2:6">
      <c r="B1845" s="1"/>
      <c r="C1845" s="1"/>
      <c r="D1845" s="1"/>
      <c r="E1845" s="6"/>
      <c r="F1845" s="4"/>
    </row>
    <row r="1846" spans="2:6">
      <c r="B1846" s="1"/>
      <c r="C1846" s="1"/>
      <c r="D1846" s="1"/>
      <c r="E1846" s="6"/>
      <c r="F1846" s="4"/>
    </row>
    <row r="1847" spans="2:6">
      <c r="B1847" s="1"/>
      <c r="C1847" s="1"/>
      <c r="D1847" s="1"/>
      <c r="E1847" s="6"/>
      <c r="F1847" s="4"/>
    </row>
    <row r="1848" spans="2:6">
      <c r="B1848" s="1"/>
      <c r="C1848" s="1"/>
      <c r="D1848" s="1"/>
      <c r="E1848" s="6"/>
      <c r="F1848" s="4"/>
    </row>
    <row r="1849" spans="2:6">
      <c r="B1849" s="1"/>
      <c r="C1849" s="1"/>
      <c r="D1849" s="1"/>
      <c r="E1849" s="6"/>
      <c r="F1849" s="4"/>
    </row>
    <row r="1850" spans="2:6">
      <c r="B1850" s="1"/>
      <c r="C1850" s="1"/>
      <c r="D1850" s="1"/>
      <c r="E1850" s="6"/>
      <c r="F1850" s="4"/>
    </row>
    <row r="1851" spans="2:6">
      <c r="B1851" s="1"/>
      <c r="C1851" s="1"/>
      <c r="D1851" s="1"/>
      <c r="E1851" s="6"/>
      <c r="F1851" s="4"/>
    </row>
    <row r="1852" spans="2:6">
      <c r="B1852" s="1"/>
      <c r="C1852" s="1"/>
      <c r="D1852" s="1"/>
      <c r="E1852" s="6"/>
      <c r="F1852" s="4"/>
    </row>
    <row r="1853" spans="2:6">
      <c r="B1853" s="1"/>
      <c r="C1853" s="1"/>
      <c r="D1853" s="1"/>
      <c r="E1853" s="6"/>
      <c r="F1853" s="4"/>
    </row>
    <row r="1854" spans="2:6">
      <c r="B1854" s="1"/>
      <c r="C1854" s="1"/>
      <c r="D1854" s="1"/>
      <c r="E1854" s="6"/>
      <c r="F1854" s="4"/>
    </row>
    <row r="1855" spans="2:6">
      <c r="B1855" s="1"/>
      <c r="C1855" s="1"/>
      <c r="D1855" s="1"/>
      <c r="E1855" s="6"/>
      <c r="F1855" s="4"/>
    </row>
    <row r="1856" spans="2:6">
      <c r="B1856" s="1"/>
      <c r="C1856" s="1"/>
      <c r="D1856" s="1"/>
      <c r="E1856" s="6"/>
      <c r="F1856" s="4"/>
    </row>
    <row r="1857" spans="2:6">
      <c r="B1857" s="1"/>
      <c r="C1857" s="1"/>
      <c r="D1857" s="1"/>
      <c r="E1857" s="6"/>
      <c r="F1857" s="4"/>
    </row>
    <row r="1858" spans="2:6">
      <c r="B1858" s="1"/>
      <c r="C1858" s="1"/>
      <c r="D1858" s="1"/>
      <c r="E1858" s="6"/>
      <c r="F1858" s="4"/>
    </row>
    <row r="1859" spans="2:6">
      <c r="B1859" s="1"/>
      <c r="C1859" s="1"/>
      <c r="D1859" s="1"/>
      <c r="E1859" s="6"/>
      <c r="F1859" s="4"/>
    </row>
    <row r="1860" spans="2:6">
      <c r="B1860" s="1"/>
      <c r="C1860" s="1"/>
      <c r="D1860" s="1"/>
      <c r="E1860" s="6"/>
      <c r="F1860" s="4"/>
    </row>
    <row r="1861" spans="2:6">
      <c r="B1861" s="1"/>
      <c r="C1861" s="1"/>
      <c r="D1861" s="1"/>
      <c r="E1861" s="6"/>
      <c r="F1861" s="4"/>
    </row>
    <row r="1862" spans="2:6">
      <c r="B1862" s="1"/>
      <c r="C1862" s="1"/>
      <c r="D1862" s="1"/>
      <c r="E1862" s="6"/>
      <c r="F1862" s="4"/>
    </row>
    <row r="1863" spans="2:6">
      <c r="B1863" s="1"/>
      <c r="C1863" s="1"/>
      <c r="D1863" s="1"/>
      <c r="E1863" s="6"/>
      <c r="F1863" s="4"/>
    </row>
    <row r="1864" spans="2:6">
      <c r="B1864" s="1"/>
      <c r="C1864" s="1"/>
      <c r="D1864" s="1"/>
      <c r="E1864" s="6"/>
      <c r="F1864" s="4"/>
    </row>
    <row r="1865" spans="2:6">
      <c r="B1865" s="1"/>
      <c r="C1865" s="1"/>
      <c r="D1865" s="1"/>
      <c r="E1865" s="6"/>
      <c r="F1865" s="4"/>
    </row>
    <row r="1866" spans="2:6">
      <c r="B1866" s="1"/>
      <c r="C1866" s="1"/>
      <c r="D1866" s="1"/>
      <c r="E1866" s="6"/>
      <c r="F1866" s="4"/>
    </row>
    <row r="1867" spans="2:6">
      <c r="B1867" s="1"/>
      <c r="C1867" s="1"/>
      <c r="D1867" s="1"/>
      <c r="E1867" s="6"/>
      <c r="F1867" s="4"/>
    </row>
    <row r="1868" spans="2:6">
      <c r="B1868" s="1"/>
      <c r="C1868" s="1"/>
      <c r="D1868" s="1"/>
      <c r="E1868" s="6"/>
      <c r="F1868" s="4"/>
    </row>
    <row r="1869" spans="2:6">
      <c r="B1869" s="1"/>
      <c r="C1869" s="1"/>
      <c r="D1869" s="1"/>
      <c r="E1869" s="6"/>
      <c r="F1869" s="4"/>
    </row>
    <row r="1870" spans="2:6">
      <c r="B1870" s="1"/>
      <c r="C1870" s="1"/>
      <c r="D1870" s="1"/>
      <c r="E1870" s="6"/>
      <c r="F1870" s="4"/>
    </row>
    <row r="1871" spans="2:6">
      <c r="B1871" s="1"/>
      <c r="C1871" s="1"/>
      <c r="D1871" s="1"/>
      <c r="E1871" s="6"/>
      <c r="F1871" s="4"/>
    </row>
    <row r="1872" spans="2:6">
      <c r="B1872" s="1"/>
      <c r="C1872" s="1"/>
      <c r="D1872" s="1"/>
      <c r="E1872" s="6"/>
      <c r="F1872" s="4"/>
    </row>
    <row r="1873" spans="2:6">
      <c r="B1873" s="1"/>
      <c r="C1873" s="1"/>
      <c r="D1873" s="1"/>
      <c r="E1873" s="6"/>
      <c r="F1873" s="4"/>
    </row>
    <row r="1874" spans="2:6">
      <c r="B1874" s="1"/>
      <c r="C1874" s="1"/>
      <c r="D1874" s="1"/>
      <c r="E1874" s="6"/>
      <c r="F1874" s="4"/>
    </row>
    <row r="1875" spans="2:6">
      <c r="B1875" s="1"/>
      <c r="C1875" s="1"/>
      <c r="D1875" s="1"/>
      <c r="E1875" s="6"/>
      <c r="F1875" s="4"/>
    </row>
    <row r="1876" spans="2:6">
      <c r="B1876" s="1"/>
      <c r="C1876" s="1"/>
      <c r="D1876" s="1"/>
      <c r="E1876" s="6"/>
      <c r="F1876" s="4"/>
    </row>
    <row r="1877" spans="2:6">
      <c r="B1877" s="1"/>
      <c r="C1877" s="1"/>
      <c r="D1877" s="1"/>
      <c r="E1877" s="6"/>
      <c r="F1877" s="4"/>
    </row>
    <row r="1878" spans="2:6">
      <c r="B1878" s="1"/>
      <c r="C1878" s="1"/>
      <c r="D1878" s="1"/>
      <c r="E1878" s="6"/>
      <c r="F1878" s="4"/>
    </row>
    <row r="1879" spans="2:6">
      <c r="B1879" s="1"/>
      <c r="C1879" s="1"/>
      <c r="D1879" s="1"/>
      <c r="E1879" s="6"/>
      <c r="F1879" s="4"/>
    </row>
    <row r="1880" spans="2:6">
      <c r="B1880" s="1"/>
      <c r="C1880" s="1"/>
      <c r="D1880" s="1"/>
      <c r="E1880" s="6"/>
      <c r="F1880" s="4"/>
    </row>
    <row r="1881" spans="2:6">
      <c r="B1881" s="1"/>
      <c r="C1881" s="1"/>
      <c r="D1881" s="1"/>
      <c r="E1881" s="6"/>
      <c r="F1881" s="4"/>
    </row>
    <row r="1882" spans="2:6">
      <c r="B1882" s="1"/>
      <c r="C1882" s="1"/>
      <c r="D1882" s="1"/>
      <c r="E1882" s="6"/>
      <c r="F1882" s="4"/>
    </row>
    <row r="1883" spans="2:6">
      <c r="B1883" s="1"/>
      <c r="C1883" s="1"/>
      <c r="D1883" s="1"/>
      <c r="E1883" s="6"/>
      <c r="F1883" s="4"/>
    </row>
    <row r="1884" spans="2:6">
      <c r="B1884" s="1"/>
      <c r="C1884" s="1"/>
      <c r="D1884" s="1"/>
      <c r="E1884" s="6"/>
      <c r="F1884" s="4"/>
    </row>
    <row r="1885" spans="2:6">
      <c r="B1885" s="1"/>
      <c r="C1885" s="1"/>
      <c r="D1885" s="1"/>
      <c r="E1885" s="6"/>
      <c r="F1885" s="4"/>
    </row>
    <row r="1886" spans="2:6">
      <c r="B1886" s="1"/>
      <c r="C1886" s="1"/>
      <c r="D1886" s="1"/>
      <c r="E1886" s="6"/>
      <c r="F1886" s="4"/>
    </row>
    <row r="1887" spans="2:6">
      <c r="B1887" s="1"/>
      <c r="C1887" s="1"/>
      <c r="D1887" s="1"/>
      <c r="E1887" s="6"/>
      <c r="F1887" s="4"/>
    </row>
    <row r="1888" spans="2:6">
      <c r="B1888" s="1"/>
      <c r="C1888" s="1"/>
      <c r="D1888" s="1"/>
      <c r="E1888" s="6"/>
      <c r="F1888" s="4"/>
    </row>
    <row r="1889" spans="2:6">
      <c r="B1889" s="1"/>
      <c r="C1889" s="1"/>
      <c r="D1889" s="1"/>
      <c r="E1889" s="6"/>
      <c r="F1889" s="4"/>
    </row>
    <row r="1890" spans="2:6">
      <c r="B1890" s="1"/>
      <c r="C1890" s="1"/>
      <c r="D1890" s="1"/>
      <c r="E1890" s="6"/>
      <c r="F1890" s="4"/>
    </row>
    <row r="1891" spans="2:6">
      <c r="B1891" s="1"/>
      <c r="C1891" s="1"/>
      <c r="D1891" s="1"/>
      <c r="E1891" s="6"/>
      <c r="F1891" s="4"/>
    </row>
    <row r="1892" spans="2:6">
      <c r="B1892" s="1"/>
      <c r="C1892" s="1"/>
      <c r="D1892" s="1"/>
      <c r="E1892" s="6"/>
      <c r="F1892" s="4"/>
    </row>
    <row r="1893" spans="2:6">
      <c r="B1893" s="1"/>
      <c r="C1893" s="1"/>
      <c r="D1893" s="1"/>
      <c r="E1893" s="6"/>
      <c r="F1893" s="4"/>
    </row>
    <row r="1894" spans="2:6">
      <c r="B1894" s="1"/>
      <c r="C1894" s="1"/>
      <c r="D1894" s="1"/>
      <c r="E1894" s="6"/>
      <c r="F1894" s="4"/>
    </row>
    <row r="1895" spans="2:6">
      <c r="B1895" s="1"/>
      <c r="C1895" s="1"/>
      <c r="D1895" s="1"/>
      <c r="E1895" s="6"/>
      <c r="F1895" s="4"/>
    </row>
    <row r="1896" spans="2:6">
      <c r="B1896" s="1"/>
      <c r="C1896" s="1"/>
      <c r="D1896" s="1"/>
      <c r="E1896" s="6"/>
      <c r="F1896" s="4"/>
    </row>
    <row r="1897" spans="2:6">
      <c r="B1897" s="1"/>
      <c r="C1897" s="1"/>
      <c r="D1897" s="1"/>
      <c r="E1897" s="6"/>
      <c r="F1897" s="4"/>
    </row>
    <row r="1898" spans="2:6">
      <c r="B1898" s="1"/>
      <c r="C1898" s="1"/>
      <c r="D1898" s="1"/>
      <c r="E1898" s="6"/>
      <c r="F1898" s="4"/>
    </row>
    <row r="1899" spans="2:6">
      <c r="B1899" s="1"/>
      <c r="C1899" s="1"/>
      <c r="D1899" s="1"/>
      <c r="E1899" s="6"/>
      <c r="F1899" s="4"/>
    </row>
    <row r="1900" spans="2:6">
      <c r="B1900" s="1"/>
      <c r="C1900" s="1"/>
      <c r="D1900" s="1"/>
      <c r="E1900" s="6"/>
      <c r="F1900" s="4"/>
    </row>
    <row r="1901" spans="2:6">
      <c r="B1901" s="1"/>
      <c r="C1901" s="1"/>
      <c r="D1901" s="1"/>
      <c r="E1901" s="6"/>
      <c r="F1901" s="4"/>
    </row>
    <row r="1902" spans="2:6">
      <c r="B1902" s="1"/>
      <c r="C1902" s="1"/>
      <c r="D1902" s="1"/>
      <c r="E1902" s="6"/>
      <c r="F1902" s="4"/>
    </row>
    <row r="1903" spans="2:6">
      <c r="B1903" s="1"/>
      <c r="C1903" s="1"/>
      <c r="D1903" s="1"/>
      <c r="E1903" s="6"/>
      <c r="F1903" s="4"/>
    </row>
    <row r="1904" spans="2:6">
      <c r="B1904" s="1"/>
      <c r="C1904" s="1"/>
      <c r="D1904" s="1"/>
      <c r="E1904" s="6"/>
      <c r="F1904" s="4"/>
    </row>
    <row r="1905" spans="2:6">
      <c r="B1905" s="1"/>
      <c r="C1905" s="1"/>
      <c r="D1905" s="1"/>
      <c r="E1905" s="6"/>
      <c r="F1905" s="4"/>
    </row>
    <row r="1906" spans="2:6">
      <c r="B1906" s="1"/>
      <c r="C1906" s="1"/>
      <c r="D1906" s="1"/>
      <c r="E1906" s="6"/>
      <c r="F1906" s="4"/>
    </row>
    <row r="1907" spans="2:6">
      <c r="B1907" s="1"/>
      <c r="C1907" s="1"/>
      <c r="D1907" s="1"/>
      <c r="E1907" s="6"/>
      <c r="F1907" s="4"/>
    </row>
    <row r="1908" spans="2:6">
      <c r="B1908" s="1"/>
      <c r="C1908" s="1"/>
      <c r="D1908" s="1"/>
      <c r="E1908" s="6"/>
      <c r="F1908" s="4"/>
    </row>
    <row r="1909" spans="2:6">
      <c r="B1909" s="1"/>
      <c r="C1909" s="1"/>
      <c r="D1909" s="1"/>
      <c r="E1909" s="6"/>
      <c r="F1909" s="4"/>
    </row>
    <row r="1910" spans="2:6">
      <c r="B1910" s="1"/>
      <c r="C1910" s="1"/>
      <c r="D1910" s="1"/>
      <c r="E1910" s="6"/>
      <c r="F1910" s="4"/>
    </row>
    <row r="1911" spans="2:6">
      <c r="B1911" s="1"/>
      <c r="C1911" s="1"/>
      <c r="D1911" s="1"/>
      <c r="E1911" s="6"/>
      <c r="F1911" s="4"/>
    </row>
    <row r="1912" spans="2:6">
      <c r="B1912" s="1"/>
      <c r="C1912" s="1"/>
      <c r="D1912" s="1"/>
      <c r="E1912" s="6"/>
      <c r="F1912" s="4"/>
    </row>
    <row r="1913" spans="2:6">
      <c r="B1913" s="1"/>
      <c r="C1913" s="1"/>
      <c r="D1913" s="1"/>
      <c r="E1913" s="6"/>
      <c r="F1913" s="4"/>
    </row>
    <row r="1914" spans="2:6">
      <c r="B1914" s="1"/>
      <c r="C1914" s="1"/>
      <c r="D1914" s="1"/>
      <c r="E1914" s="6"/>
      <c r="F1914" s="4"/>
    </row>
    <row r="1915" spans="2:6">
      <c r="B1915" s="1"/>
      <c r="C1915" s="1"/>
      <c r="D1915" s="1"/>
      <c r="E1915" s="6"/>
      <c r="F1915" s="4"/>
    </row>
    <row r="1916" spans="2:6">
      <c r="B1916" s="1"/>
      <c r="C1916" s="1"/>
      <c r="D1916" s="1"/>
      <c r="E1916" s="6"/>
      <c r="F1916" s="4"/>
    </row>
    <row r="1917" spans="2:6">
      <c r="B1917" s="1"/>
      <c r="C1917" s="1"/>
      <c r="D1917" s="1"/>
      <c r="E1917" s="6"/>
      <c r="F1917" s="4"/>
    </row>
    <row r="1918" spans="2:6">
      <c r="B1918" s="1"/>
      <c r="C1918" s="1"/>
      <c r="D1918" s="1"/>
      <c r="E1918" s="6"/>
      <c r="F1918" s="4"/>
    </row>
    <row r="1919" spans="2:6">
      <c r="B1919" s="1"/>
      <c r="C1919" s="1"/>
      <c r="D1919" s="1"/>
      <c r="E1919" s="6"/>
      <c r="F1919" s="4"/>
    </row>
    <row r="1920" spans="2:6">
      <c r="B1920" s="1"/>
      <c r="C1920" s="1"/>
      <c r="D1920" s="1"/>
      <c r="E1920" s="6"/>
      <c r="F1920" s="4"/>
    </row>
    <row r="1921" spans="2:6">
      <c r="B1921" s="1"/>
      <c r="C1921" s="1"/>
      <c r="D1921" s="1"/>
      <c r="E1921" s="6"/>
      <c r="F1921" s="4"/>
    </row>
    <row r="1922" spans="2:6">
      <c r="B1922" s="1"/>
      <c r="C1922" s="1"/>
      <c r="D1922" s="1"/>
      <c r="E1922" s="6"/>
      <c r="F1922" s="4"/>
    </row>
    <row r="1923" spans="2:6">
      <c r="B1923" s="1"/>
      <c r="C1923" s="1"/>
      <c r="D1923" s="1"/>
      <c r="E1923" s="6"/>
      <c r="F1923" s="4"/>
    </row>
    <row r="1924" spans="2:6">
      <c r="B1924" s="1"/>
      <c r="C1924" s="1"/>
      <c r="D1924" s="1"/>
      <c r="E1924" s="6"/>
      <c r="F1924" s="4"/>
    </row>
    <row r="1925" spans="2:6">
      <c r="B1925" s="1"/>
      <c r="C1925" s="1"/>
      <c r="D1925" s="1"/>
      <c r="E1925" s="6"/>
      <c r="F1925" s="4"/>
    </row>
    <row r="1926" spans="2:6">
      <c r="B1926" s="1"/>
      <c r="C1926" s="1"/>
      <c r="D1926" s="1"/>
      <c r="E1926" s="6"/>
      <c r="F1926" s="4"/>
    </row>
    <row r="1927" spans="2:6">
      <c r="B1927" s="1"/>
      <c r="C1927" s="1"/>
      <c r="D1927" s="1"/>
      <c r="E1927" s="6"/>
      <c r="F1927" s="4"/>
    </row>
    <row r="1928" spans="2:6">
      <c r="B1928" s="1"/>
      <c r="C1928" s="1"/>
      <c r="D1928" s="1"/>
      <c r="E1928" s="6"/>
      <c r="F1928" s="4"/>
    </row>
    <row r="1929" spans="2:6">
      <c r="B1929" s="1"/>
      <c r="C1929" s="1"/>
      <c r="D1929" s="1"/>
      <c r="E1929" s="6"/>
      <c r="F1929" s="4"/>
    </row>
    <row r="1930" spans="2:6">
      <c r="B1930" s="1"/>
      <c r="C1930" s="1"/>
      <c r="D1930" s="1"/>
      <c r="E1930" s="6"/>
      <c r="F1930" s="4"/>
    </row>
    <row r="1931" spans="2:6">
      <c r="B1931" s="1"/>
      <c r="C1931" s="1"/>
      <c r="D1931" s="1"/>
      <c r="E1931" s="6"/>
      <c r="F1931" s="4"/>
    </row>
    <row r="1932" spans="2:6">
      <c r="B1932" s="1"/>
      <c r="C1932" s="1"/>
      <c r="D1932" s="1"/>
      <c r="E1932" s="6"/>
      <c r="F1932" s="4"/>
    </row>
    <row r="1933" spans="2:6">
      <c r="B1933" s="1"/>
      <c r="C1933" s="1"/>
      <c r="D1933" s="1"/>
      <c r="E1933" s="6"/>
      <c r="F1933" s="4"/>
    </row>
    <row r="1934" spans="2:6">
      <c r="B1934" s="1"/>
      <c r="C1934" s="1"/>
      <c r="D1934" s="1"/>
      <c r="E1934" s="6"/>
      <c r="F1934" s="4"/>
    </row>
    <row r="1935" spans="2:6">
      <c r="B1935" s="1"/>
      <c r="C1935" s="1"/>
      <c r="D1935" s="1"/>
      <c r="E1935" s="6"/>
      <c r="F1935" s="4"/>
    </row>
    <row r="1936" spans="2:6">
      <c r="B1936" s="1"/>
      <c r="C1936" s="1"/>
      <c r="D1936" s="1"/>
      <c r="E1936" s="6"/>
      <c r="F1936" s="4"/>
    </row>
    <row r="1937" spans="2:6">
      <c r="B1937" s="1"/>
      <c r="C1937" s="1"/>
      <c r="D1937" s="1"/>
      <c r="E1937" s="6"/>
      <c r="F1937" s="4"/>
    </row>
    <row r="1938" spans="2:6">
      <c r="B1938" s="1"/>
      <c r="C1938" s="1"/>
      <c r="D1938" s="1"/>
      <c r="E1938" s="6"/>
      <c r="F1938" s="4"/>
    </row>
    <row r="1939" spans="2:6">
      <c r="B1939" s="1"/>
      <c r="C1939" s="1"/>
      <c r="D1939" s="1"/>
      <c r="E1939" s="6"/>
      <c r="F1939" s="4"/>
    </row>
    <row r="1940" spans="2:6">
      <c r="B1940" s="1"/>
      <c r="C1940" s="1"/>
      <c r="D1940" s="1"/>
      <c r="E1940" s="6"/>
      <c r="F1940" s="4"/>
    </row>
    <row r="1941" spans="2:6">
      <c r="B1941" s="1"/>
      <c r="C1941" s="1"/>
      <c r="D1941" s="1"/>
      <c r="E1941" s="6"/>
      <c r="F1941" s="4"/>
    </row>
    <row r="1942" spans="2:6">
      <c r="B1942" s="1"/>
      <c r="C1942" s="1"/>
      <c r="D1942" s="1"/>
      <c r="E1942" s="6"/>
      <c r="F1942" s="4"/>
    </row>
    <row r="1943" spans="2:6">
      <c r="B1943" s="1"/>
      <c r="C1943" s="1"/>
      <c r="D1943" s="1"/>
      <c r="E1943" s="6"/>
      <c r="F1943" s="4"/>
    </row>
    <row r="1944" spans="2:6">
      <c r="B1944" s="1"/>
      <c r="C1944" s="1"/>
      <c r="D1944" s="1"/>
      <c r="E1944" s="6"/>
      <c r="F1944" s="4"/>
    </row>
    <row r="1945" spans="2:6">
      <c r="B1945" s="1"/>
      <c r="C1945" s="1"/>
      <c r="D1945" s="1"/>
      <c r="E1945" s="6"/>
      <c r="F1945" s="4"/>
    </row>
    <row r="1946" spans="2:6">
      <c r="B1946" s="1"/>
      <c r="C1946" s="1"/>
      <c r="D1946" s="1"/>
      <c r="E1946" s="6"/>
      <c r="F1946" s="4"/>
    </row>
    <row r="1947" spans="2:6">
      <c r="B1947" s="1"/>
      <c r="C1947" s="1"/>
      <c r="D1947" s="1"/>
      <c r="E1947" s="6"/>
      <c r="F1947" s="4"/>
    </row>
    <row r="1948" spans="2:6">
      <c r="B1948" s="1"/>
      <c r="C1948" s="1"/>
      <c r="D1948" s="1"/>
      <c r="E1948" s="6"/>
      <c r="F1948" s="4"/>
    </row>
    <row r="1949" spans="2:6">
      <c r="B1949" s="1"/>
      <c r="C1949" s="1"/>
      <c r="D1949" s="1"/>
      <c r="E1949" s="6"/>
      <c r="F1949" s="4"/>
    </row>
    <row r="1950" spans="2:6">
      <c r="B1950" s="1"/>
      <c r="C1950" s="1"/>
      <c r="D1950" s="1"/>
      <c r="E1950" s="6"/>
      <c r="F1950" s="4"/>
    </row>
    <row r="1951" spans="2:6">
      <c r="B1951" s="1"/>
      <c r="C1951" s="1"/>
      <c r="D1951" s="1"/>
      <c r="E1951" s="6"/>
      <c r="F1951" s="4"/>
    </row>
    <row r="1952" spans="2:6">
      <c r="B1952" s="1"/>
      <c r="C1952" s="1"/>
      <c r="D1952" s="1"/>
      <c r="E1952" s="6"/>
      <c r="F1952" s="4"/>
    </row>
    <row r="1953" spans="2:6">
      <c r="B1953" s="1"/>
      <c r="C1953" s="1"/>
      <c r="D1953" s="1"/>
      <c r="E1953" s="6"/>
      <c r="F1953" s="4"/>
    </row>
    <row r="1954" spans="2:6">
      <c r="B1954" s="1"/>
      <c r="C1954" s="1"/>
      <c r="D1954" s="1"/>
      <c r="E1954" s="6"/>
      <c r="F1954" s="4"/>
    </row>
    <row r="1955" spans="2:6">
      <c r="B1955" s="1"/>
      <c r="C1955" s="1"/>
      <c r="D1955" s="1"/>
      <c r="E1955" s="6"/>
      <c r="F1955" s="4"/>
    </row>
    <row r="1956" spans="2:6">
      <c r="B1956" s="1"/>
      <c r="C1956" s="1"/>
      <c r="D1956" s="1"/>
      <c r="E1956" s="6"/>
      <c r="F1956" s="4"/>
    </row>
    <row r="1957" spans="2:6">
      <c r="B1957" s="1"/>
      <c r="C1957" s="1"/>
      <c r="D1957" s="1"/>
      <c r="E1957" s="6"/>
      <c r="F1957" s="4"/>
    </row>
    <row r="1958" spans="2:6">
      <c r="B1958" s="1"/>
      <c r="C1958" s="1"/>
      <c r="D1958" s="1"/>
      <c r="E1958" s="6"/>
      <c r="F1958" s="4"/>
    </row>
    <row r="1959" spans="2:6">
      <c r="B1959" s="1"/>
      <c r="C1959" s="1"/>
      <c r="D1959" s="1"/>
      <c r="E1959" s="6"/>
      <c r="F1959" s="4"/>
    </row>
    <row r="1960" spans="2:6">
      <c r="B1960" s="1"/>
      <c r="C1960" s="1"/>
      <c r="D1960" s="1"/>
      <c r="E1960" s="6"/>
      <c r="F1960" s="4"/>
    </row>
    <row r="1961" spans="2:6">
      <c r="B1961" s="1"/>
      <c r="C1961" s="1"/>
      <c r="D1961" s="1"/>
      <c r="E1961" s="6"/>
      <c r="F1961" s="4"/>
    </row>
    <row r="1962" spans="2:6">
      <c r="B1962" s="1"/>
      <c r="C1962" s="1"/>
      <c r="D1962" s="1"/>
      <c r="E1962" s="6"/>
      <c r="F1962" s="4"/>
    </row>
    <row r="1963" spans="2:6">
      <c r="B1963" s="1"/>
      <c r="C1963" s="1"/>
      <c r="D1963" s="1"/>
      <c r="E1963" s="6"/>
      <c r="F1963" s="4"/>
    </row>
    <row r="1964" spans="2:6">
      <c r="B1964" s="1"/>
      <c r="C1964" s="1"/>
      <c r="D1964" s="1"/>
      <c r="E1964" s="6"/>
      <c r="F1964" s="4"/>
    </row>
    <row r="1965" spans="2:6">
      <c r="B1965" s="1"/>
      <c r="C1965" s="1"/>
      <c r="D1965" s="1"/>
      <c r="E1965" s="6"/>
      <c r="F1965" s="4"/>
    </row>
    <row r="1966" spans="2:6">
      <c r="B1966" s="1"/>
      <c r="C1966" s="1"/>
      <c r="D1966" s="1"/>
      <c r="E1966" s="6"/>
      <c r="F1966" s="4"/>
    </row>
    <row r="1967" spans="2:6">
      <c r="B1967" s="1"/>
      <c r="C1967" s="1"/>
      <c r="D1967" s="1"/>
      <c r="E1967" s="6"/>
      <c r="F1967" s="4"/>
    </row>
    <row r="1968" spans="2:6">
      <c r="B1968" s="1"/>
      <c r="C1968" s="1"/>
      <c r="D1968" s="1"/>
      <c r="E1968" s="6"/>
      <c r="F1968" s="4"/>
    </row>
    <row r="1969" spans="2:6">
      <c r="B1969" s="1"/>
      <c r="C1969" s="1"/>
      <c r="D1969" s="1"/>
      <c r="E1969" s="6"/>
      <c r="F1969" s="4"/>
    </row>
    <row r="1970" spans="2:6">
      <c r="B1970" s="1"/>
      <c r="C1970" s="1"/>
      <c r="D1970" s="1"/>
      <c r="E1970" s="6"/>
      <c r="F1970" s="4"/>
    </row>
    <row r="1971" spans="2:6">
      <c r="B1971" s="1"/>
      <c r="C1971" s="1"/>
      <c r="D1971" s="1"/>
      <c r="E1971" s="6"/>
      <c r="F1971" s="4"/>
    </row>
    <row r="1972" spans="2:6">
      <c r="B1972" s="1"/>
      <c r="C1972" s="1"/>
      <c r="D1972" s="1"/>
      <c r="E1972" s="6"/>
      <c r="F1972" s="4"/>
    </row>
    <row r="1973" spans="2:6">
      <c r="B1973" s="1"/>
      <c r="C1973" s="1"/>
      <c r="D1973" s="1"/>
      <c r="E1973" s="6"/>
      <c r="F1973" s="4"/>
    </row>
    <row r="1974" spans="2:6">
      <c r="B1974" s="1"/>
      <c r="C1974" s="1"/>
      <c r="D1974" s="1"/>
      <c r="E1974" s="6"/>
      <c r="F1974" s="4"/>
    </row>
    <row r="1975" spans="2:6">
      <c r="B1975" s="1"/>
      <c r="C1975" s="1"/>
      <c r="D1975" s="1"/>
      <c r="E1975" s="6"/>
      <c r="F1975" s="4"/>
    </row>
    <row r="1976" spans="2:6">
      <c r="B1976" s="1"/>
      <c r="C1976" s="1"/>
      <c r="D1976" s="1"/>
      <c r="E1976" s="6"/>
      <c r="F1976" s="4"/>
    </row>
    <row r="1977" spans="2:6">
      <c r="B1977" s="1"/>
      <c r="C1977" s="1"/>
      <c r="D1977" s="1"/>
      <c r="E1977" s="6"/>
      <c r="F1977" s="4"/>
    </row>
    <row r="1978" spans="2:6">
      <c r="B1978" s="1"/>
      <c r="C1978" s="1"/>
      <c r="D1978" s="1"/>
      <c r="E1978" s="6"/>
      <c r="F1978" s="4"/>
    </row>
    <row r="1979" spans="2:6">
      <c r="B1979" s="1"/>
      <c r="C1979" s="1"/>
      <c r="D1979" s="1"/>
      <c r="E1979" s="6"/>
      <c r="F1979" s="4"/>
    </row>
    <row r="1980" spans="2:6">
      <c r="B1980" s="1"/>
      <c r="C1980" s="1"/>
      <c r="D1980" s="1"/>
      <c r="E1980" s="6"/>
      <c r="F1980" s="4"/>
    </row>
    <row r="1981" spans="2:6">
      <c r="B1981" s="1"/>
      <c r="C1981" s="1"/>
      <c r="D1981" s="1"/>
      <c r="E1981" s="6"/>
      <c r="F1981" s="4"/>
    </row>
    <row r="1982" spans="2:6">
      <c r="B1982" s="1"/>
      <c r="C1982" s="1"/>
      <c r="D1982" s="1"/>
      <c r="E1982" s="6"/>
      <c r="F1982" s="4"/>
    </row>
    <row r="1983" spans="2:6">
      <c r="B1983" s="1"/>
      <c r="C1983" s="1"/>
      <c r="D1983" s="1"/>
      <c r="E1983" s="6"/>
      <c r="F1983" s="4"/>
    </row>
    <row r="1984" spans="2:6">
      <c r="B1984" s="1"/>
      <c r="C1984" s="1"/>
      <c r="D1984" s="1"/>
      <c r="E1984" s="6"/>
      <c r="F1984" s="4"/>
    </row>
    <row r="1985" spans="2:6">
      <c r="B1985" s="1"/>
      <c r="C1985" s="1"/>
      <c r="D1985" s="1"/>
      <c r="E1985" s="6"/>
      <c r="F1985" s="4"/>
    </row>
    <row r="1986" spans="2:6">
      <c r="B1986" s="1"/>
      <c r="C1986" s="1"/>
      <c r="D1986" s="1"/>
      <c r="E1986" s="6"/>
      <c r="F1986" s="4"/>
    </row>
    <row r="1987" spans="2:6">
      <c r="B1987" s="1"/>
      <c r="C1987" s="1"/>
      <c r="D1987" s="1"/>
      <c r="E1987" s="6"/>
      <c r="F1987" s="4"/>
    </row>
    <row r="1988" spans="2:6">
      <c r="B1988" s="1"/>
      <c r="C1988" s="1"/>
      <c r="D1988" s="1"/>
      <c r="E1988" s="6"/>
      <c r="F1988" s="4"/>
    </row>
    <row r="1989" spans="2:6">
      <c r="B1989" s="1"/>
      <c r="C1989" s="1"/>
      <c r="D1989" s="1"/>
      <c r="E1989" s="6"/>
      <c r="F1989" s="4"/>
    </row>
    <row r="1990" spans="2:6">
      <c r="B1990" s="1"/>
      <c r="C1990" s="1"/>
      <c r="D1990" s="1"/>
      <c r="E1990" s="6"/>
      <c r="F1990" s="4"/>
    </row>
    <row r="1991" spans="2:6">
      <c r="B1991" s="1"/>
      <c r="C1991" s="1"/>
      <c r="D1991" s="1"/>
      <c r="E1991" s="6"/>
      <c r="F1991" s="4"/>
    </row>
    <row r="1992" spans="2:6">
      <c r="B1992" s="1"/>
      <c r="C1992" s="1"/>
      <c r="D1992" s="1"/>
      <c r="E1992" s="6"/>
      <c r="F1992" s="4"/>
    </row>
    <row r="1993" spans="2:6">
      <c r="B1993" s="1"/>
      <c r="C1993" s="1"/>
      <c r="D1993" s="1"/>
      <c r="E1993" s="6"/>
      <c r="F1993" s="4"/>
    </row>
    <row r="1994" spans="2:6">
      <c r="B1994" s="1"/>
      <c r="C1994" s="1"/>
      <c r="D1994" s="1"/>
      <c r="E1994" s="6"/>
      <c r="F1994" s="4"/>
    </row>
    <row r="1995" spans="2:6">
      <c r="B1995" s="1"/>
      <c r="C1995" s="1"/>
      <c r="D1995" s="1"/>
      <c r="E1995" s="6"/>
      <c r="F1995" s="4"/>
    </row>
    <row r="1996" spans="2:6">
      <c r="B1996" s="1"/>
      <c r="C1996" s="1"/>
      <c r="D1996" s="1"/>
      <c r="E1996" s="6"/>
      <c r="F1996" s="4"/>
    </row>
    <row r="1997" spans="2:6">
      <c r="B1997" s="1"/>
      <c r="C1997" s="1"/>
      <c r="D1997" s="1"/>
      <c r="E1997" s="6"/>
      <c r="F1997" s="4"/>
    </row>
    <row r="1998" spans="2:6">
      <c r="B1998" s="1"/>
      <c r="C1998" s="1"/>
      <c r="D1998" s="1"/>
      <c r="E1998" s="6"/>
      <c r="F1998" s="4"/>
    </row>
    <row r="1999" spans="2:6">
      <c r="B1999" s="1"/>
      <c r="C1999" s="1"/>
      <c r="D1999" s="1"/>
      <c r="E1999" s="6"/>
      <c r="F1999" s="4"/>
    </row>
    <row r="2000" spans="2:6">
      <c r="B2000" s="1"/>
      <c r="C2000" s="1"/>
      <c r="D2000" s="1"/>
      <c r="E2000" s="6"/>
      <c r="F2000" s="4"/>
    </row>
    <row r="2001" spans="2:6">
      <c r="B2001" s="1"/>
      <c r="C2001" s="1"/>
      <c r="D2001" s="1"/>
      <c r="E2001" s="6"/>
      <c r="F2001" s="4"/>
    </row>
    <row r="2002" spans="2:6">
      <c r="B2002" s="1"/>
      <c r="C2002" s="1"/>
      <c r="D2002" s="1"/>
      <c r="E2002" s="6"/>
      <c r="F2002" s="4"/>
    </row>
    <row r="2003" spans="2:6">
      <c r="B2003" s="1"/>
      <c r="C2003" s="1"/>
      <c r="D2003" s="1"/>
      <c r="E2003" s="6"/>
      <c r="F2003" s="4"/>
    </row>
    <row r="2004" spans="2:6">
      <c r="B2004" s="1"/>
      <c r="C2004" s="1"/>
      <c r="D2004" s="1"/>
      <c r="E2004" s="6"/>
      <c r="F2004" s="4"/>
    </row>
    <row r="2005" spans="2:6">
      <c r="B2005" s="1"/>
      <c r="C2005" s="1"/>
      <c r="D2005" s="1"/>
      <c r="E2005" s="6"/>
      <c r="F2005" s="4"/>
    </row>
    <row r="2006" spans="2:6">
      <c r="B2006" s="1"/>
      <c r="C2006" s="1"/>
      <c r="D2006" s="1"/>
      <c r="E2006" s="6"/>
      <c r="F2006" s="4"/>
    </row>
    <row r="2007" spans="2:6">
      <c r="B2007" s="1"/>
      <c r="C2007" s="1"/>
      <c r="D2007" s="1"/>
      <c r="E2007" s="6"/>
      <c r="F2007" s="4"/>
    </row>
    <row r="2008" spans="2:6">
      <c r="B2008" s="1"/>
      <c r="C2008" s="1"/>
      <c r="D2008" s="1"/>
      <c r="E2008" s="6"/>
      <c r="F2008" s="4"/>
    </row>
    <row r="2009" spans="2:6">
      <c r="B2009" s="1"/>
      <c r="C2009" s="1"/>
      <c r="D2009" s="1"/>
      <c r="E2009" s="6"/>
      <c r="F2009" s="4"/>
    </row>
    <row r="2010" spans="2:6">
      <c r="B2010" s="1"/>
      <c r="C2010" s="1"/>
      <c r="D2010" s="1"/>
      <c r="E2010" s="6"/>
      <c r="F2010" s="4"/>
    </row>
    <row r="2011" spans="2:6">
      <c r="B2011" s="1"/>
      <c r="C2011" s="1"/>
      <c r="D2011" s="1"/>
      <c r="E2011" s="6"/>
      <c r="F2011" s="4"/>
    </row>
    <row r="2012" spans="2:6">
      <c r="B2012" s="1"/>
      <c r="C2012" s="1"/>
      <c r="D2012" s="1"/>
      <c r="E2012" s="6"/>
      <c r="F2012" s="4"/>
    </row>
    <row r="2013" spans="2:6">
      <c r="B2013" s="1"/>
      <c r="C2013" s="1"/>
      <c r="D2013" s="1"/>
      <c r="E2013" s="6"/>
      <c r="F2013" s="4"/>
    </row>
    <row r="2014" spans="2:6">
      <c r="B2014" s="1"/>
      <c r="C2014" s="1"/>
      <c r="D2014" s="1"/>
      <c r="E2014" s="6"/>
      <c r="F2014" s="4"/>
    </row>
    <row r="2015" spans="2:6">
      <c r="B2015" s="1"/>
      <c r="C2015" s="1"/>
      <c r="D2015" s="1"/>
      <c r="E2015" s="6"/>
      <c r="F2015" s="4"/>
    </row>
    <row r="2016" spans="2:6">
      <c r="B2016" s="1"/>
      <c r="C2016" s="1"/>
      <c r="D2016" s="1"/>
      <c r="E2016" s="6"/>
      <c r="F2016" s="4"/>
    </row>
    <row r="2017" spans="2:6">
      <c r="B2017" s="1"/>
      <c r="C2017" s="1"/>
      <c r="D2017" s="1"/>
      <c r="E2017" s="6"/>
      <c r="F2017" s="4"/>
    </row>
    <row r="2018" spans="2:6">
      <c r="B2018" s="1"/>
      <c r="C2018" s="1"/>
      <c r="D2018" s="1"/>
      <c r="E2018" s="6"/>
      <c r="F2018" s="4"/>
    </row>
    <row r="2019" spans="2:6">
      <c r="B2019" s="1"/>
      <c r="C2019" s="1"/>
      <c r="D2019" s="1"/>
      <c r="E2019" s="6"/>
      <c r="F2019" s="4"/>
    </row>
    <row r="2020" spans="2:6">
      <c r="B2020" s="1"/>
      <c r="C2020" s="1"/>
      <c r="D2020" s="1"/>
      <c r="E2020" s="6"/>
      <c r="F2020" s="4"/>
    </row>
    <row r="2021" spans="2:6">
      <c r="B2021" s="1"/>
      <c r="C2021" s="1"/>
      <c r="D2021" s="1"/>
      <c r="E2021" s="6"/>
      <c r="F2021" s="4"/>
    </row>
    <row r="2022" spans="2:6">
      <c r="B2022" s="1"/>
      <c r="C2022" s="1"/>
      <c r="D2022" s="1"/>
      <c r="E2022" s="6"/>
      <c r="F2022" s="4"/>
    </row>
    <row r="2023" spans="2:6">
      <c r="B2023" s="1"/>
      <c r="C2023" s="1"/>
      <c r="D2023" s="1"/>
      <c r="E2023" s="6"/>
      <c r="F2023" s="4"/>
    </row>
    <row r="2024" spans="2:6">
      <c r="B2024" s="1"/>
      <c r="C2024" s="1"/>
      <c r="D2024" s="1"/>
      <c r="E2024" s="6"/>
      <c r="F2024" s="4"/>
    </row>
    <row r="2025" spans="2:6">
      <c r="B2025" s="1"/>
      <c r="C2025" s="1"/>
      <c r="D2025" s="1"/>
      <c r="E2025" s="6"/>
      <c r="F2025" s="4"/>
    </row>
    <row r="2026" spans="2:6">
      <c r="B2026" s="1"/>
      <c r="C2026" s="1"/>
      <c r="D2026" s="1"/>
      <c r="E2026" s="6"/>
      <c r="F2026" s="4"/>
    </row>
    <row r="2027" spans="2:6">
      <c r="B2027" s="1"/>
      <c r="C2027" s="1"/>
      <c r="D2027" s="1"/>
      <c r="E2027" s="6"/>
      <c r="F2027" s="4"/>
    </row>
    <row r="2028" spans="2:6">
      <c r="B2028" s="1"/>
      <c r="C2028" s="1"/>
      <c r="D2028" s="1"/>
      <c r="E2028" s="6"/>
      <c r="F2028" s="4"/>
    </row>
    <row r="2029" spans="2:6">
      <c r="B2029" s="1"/>
      <c r="C2029" s="1"/>
      <c r="D2029" s="1"/>
      <c r="E2029" s="6"/>
      <c r="F2029" s="4"/>
    </row>
    <row r="2030" spans="2:6">
      <c r="B2030" s="1"/>
      <c r="C2030" s="1"/>
      <c r="D2030" s="1"/>
      <c r="E2030" s="6"/>
      <c r="F2030" s="4"/>
    </row>
    <row r="2031" spans="2:6">
      <c r="B2031" s="1"/>
      <c r="C2031" s="1"/>
      <c r="D2031" s="1"/>
      <c r="E2031" s="6"/>
      <c r="F2031" s="4"/>
    </row>
    <row r="2032" spans="2:6">
      <c r="B2032" s="1"/>
      <c r="C2032" s="1"/>
      <c r="D2032" s="1"/>
      <c r="E2032" s="6"/>
      <c r="F2032" s="4"/>
    </row>
    <row r="2033" spans="2:6">
      <c r="B2033" s="1"/>
      <c r="C2033" s="1"/>
      <c r="D2033" s="1"/>
      <c r="E2033" s="6"/>
      <c r="F2033" s="4"/>
    </row>
    <row r="2034" spans="2:6">
      <c r="B2034" s="1"/>
      <c r="C2034" s="1"/>
      <c r="D2034" s="1"/>
      <c r="E2034" s="6"/>
      <c r="F2034" s="4"/>
    </row>
    <row r="2035" spans="2:6">
      <c r="B2035" s="1"/>
      <c r="C2035" s="1"/>
      <c r="D2035" s="1"/>
      <c r="E2035" s="6"/>
      <c r="F2035" s="4"/>
    </row>
    <row r="2036" spans="2:6">
      <c r="B2036" s="1"/>
      <c r="C2036" s="1"/>
      <c r="D2036" s="1"/>
      <c r="E2036" s="6"/>
      <c r="F2036" s="4"/>
    </row>
    <row r="2037" spans="2:6">
      <c r="B2037" s="1"/>
      <c r="C2037" s="1"/>
      <c r="D2037" s="1"/>
      <c r="E2037" s="6"/>
      <c r="F2037" s="4"/>
    </row>
    <row r="2038" spans="2:6">
      <c r="B2038" s="1"/>
      <c r="C2038" s="1"/>
      <c r="D2038" s="1"/>
      <c r="E2038" s="6"/>
      <c r="F2038" s="4"/>
    </row>
    <row r="2039" spans="2:6">
      <c r="B2039" s="1"/>
      <c r="C2039" s="1"/>
      <c r="D2039" s="1"/>
      <c r="E2039" s="6"/>
      <c r="F2039" s="4"/>
    </row>
    <row r="2040" spans="2:6">
      <c r="B2040" s="1"/>
      <c r="C2040" s="1"/>
      <c r="D2040" s="1"/>
      <c r="E2040" s="6"/>
      <c r="F2040" s="4"/>
    </row>
    <row r="2041" spans="2:6">
      <c r="B2041" s="1"/>
      <c r="C2041" s="1"/>
      <c r="D2041" s="1"/>
      <c r="E2041" s="6"/>
      <c r="F2041" s="4"/>
    </row>
    <row r="2042" spans="2:6">
      <c r="B2042" s="1"/>
      <c r="C2042" s="1"/>
      <c r="D2042" s="1"/>
      <c r="E2042" s="6"/>
      <c r="F2042" s="4"/>
    </row>
    <row r="2043" spans="2:6">
      <c r="B2043" s="1"/>
      <c r="C2043" s="1"/>
      <c r="D2043" s="1"/>
      <c r="E2043" s="6"/>
      <c r="F2043" s="4"/>
    </row>
    <row r="2044" spans="2:6">
      <c r="B2044" s="1"/>
      <c r="C2044" s="1"/>
      <c r="D2044" s="1"/>
      <c r="E2044" s="6"/>
      <c r="F2044" s="4"/>
    </row>
    <row r="2045" spans="2:6">
      <c r="B2045" s="1"/>
      <c r="C2045" s="1"/>
      <c r="D2045" s="1"/>
      <c r="E2045" s="6"/>
      <c r="F2045" s="4"/>
    </row>
    <row r="2046" spans="2:6">
      <c r="B2046" s="1"/>
      <c r="C2046" s="1"/>
      <c r="D2046" s="1"/>
      <c r="E2046" s="6"/>
      <c r="F2046" s="4"/>
    </row>
    <row r="2047" spans="2:6">
      <c r="B2047" s="1"/>
      <c r="C2047" s="1"/>
      <c r="D2047" s="1"/>
      <c r="E2047" s="6"/>
      <c r="F2047" s="4"/>
    </row>
    <row r="2048" spans="2:6">
      <c r="B2048" s="1"/>
      <c r="C2048" s="1"/>
      <c r="D2048" s="1"/>
      <c r="E2048" s="6"/>
      <c r="F2048" s="4"/>
    </row>
    <row r="2049" spans="2:6">
      <c r="B2049" s="1"/>
      <c r="C2049" s="1"/>
      <c r="D2049" s="1"/>
      <c r="E2049" s="6"/>
      <c r="F2049" s="4"/>
    </row>
    <row r="2050" spans="2:6">
      <c r="B2050" s="1"/>
      <c r="C2050" s="1"/>
      <c r="D2050" s="1"/>
      <c r="E2050" s="6"/>
      <c r="F2050" s="4"/>
    </row>
    <row r="2051" spans="2:6">
      <c r="B2051" s="1"/>
      <c r="C2051" s="1"/>
      <c r="D2051" s="1"/>
      <c r="E2051" s="6"/>
      <c r="F2051" s="4"/>
    </row>
    <row r="2052" spans="2:6">
      <c r="B2052" s="1"/>
      <c r="C2052" s="1"/>
      <c r="D2052" s="1"/>
      <c r="E2052" s="6"/>
      <c r="F2052" s="4"/>
    </row>
    <row r="2053" spans="2:6">
      <c r="B2053" s="1"/>
      <c r="C2053" s="1"/>
      <c r="D2053" s="1"/>
      <c r="E2053" s="6"/>
      <c r="F2053" s="4"/>
    </row>
    <row r="2054" spans="2:6">
      <c r="B2054" s="1"/>
      <c r="C2054" s="1"/>
      <c r="D2054" s="1"/>
      <c r="E2054" s="6"/>
      <c r="F2054" s="4"/>
    </row>
    <row r="2055" spans="2:6">
      <c r="B2055" s="1"/>
      <c r="C2055" s="1"/>
      <c r="D2055" s="1"/>
      <c r="E2055" s="6"/>
      <c r="F2055" s="4"/>
    </row>
    <row r="2056" spans="2:6">
      <c r="B2056" s="1"/>
      <c r="C2056" s="1"/>
      <c r="D2056" s="1"/>
      <c r="E2056" s="6"/>
      <c r="F2056" s="4"/>
    </row>
    <row r="2057" spans="2:6">
      <c r="B2057" s="1"/>
      <c r="C2057" s="1"/>
      <c r="D2057" s="1"/>
      <c r="E2057" s="6"/>
      <c r="F2057" s="4"/>
    </row>
    <row r="2058" spans="2:6">
      <c r="B2058" s="1"/>
      <c r="C2058" s="1"/>
      <c r="D2058" s="1"/>
      <c r="E2058" s="6"/>
      <c r="F2058" s="4"/>
    </row>
    <row r="2059" spans="2:6">
      <c r="B2059" s="1"/>
      <c r="C2059" s="1"/>
      <c r="D2059" s="1"/>
      <c r="E2059" s="6"/>
      <c r="F2059" s="4"/>
    </row>
    <row r="2060" spans="2:6">
      <c r="B2060" s="1"/>
      <c r="C2060" s="1"/>
      <c r="D2060" s="1"/>
      <c r="E2060" s="6"/>
      <c r="F2060" s="4"/>
    </row>
    <row r="2061" spans="2:6">
      <c r="B2061" s="1"/>
      <c r="C2061" s="1"/>
      <c r="D2061" s="1"/>
      <c r="E2061" s="6"/>
      <c r="F2061" s="4"/>
    </row>
    <row r="2062" spans="2:6">
      <c r="B2062" s="1"/>
      <c r="C2062" s="1"/>
      <c r="D2062" s="1"/>
      <c r="E2062" s="6"/>
      <c r="F2062" s="4"/>
    </row>
    <row r="2063" spans="2:6">
      <c r="B2063" s="1"/>
      <c r="C2063" s="1"/>
      <c r="D2063" s="1"/>
      <c r="E2063" s="6"/>
      <c r="F2063" s="4"/>
    </row>
    <row r="2064" spans="2:6">
      <c r="B2064" s="1"/>
      <c r="C2064" s="1"/>
      <c r="D2064" s="1"/>
      <c r="E2064" s="6"/>
      <c r="F2064" s="4"/>
    </row>
    <row r="2065" spans="2:6">
      <c r="B2065" s="1"/>
      <c r="C2065" s="1"/>
      <c r="D2065" s="1"/>
      <c r="E2065" s="6"/>
      <c r="F2065" s="4"/>
    </row>
    <row r="2066" spans="2:6">
      <c r="B2066" s="1"/>
      <c r="C2066" s="1"/>
      <c r="D2066" s="1"/>
      <c r="E2066" s="6"/>
      <c r="F2066" s="4"/>
    </row>
    <row r="2067" spans="2:6">
      <c r="B2067" s="1"/>
      <c r="C2067" s="1"/>
      <c r="D2067" s="1"/>
      <c r="E2067" s="6"/>
      <c r="F2067" s="4"/>
    </row>
    <row r="2068" spans="2:6">
      <c r="B2068" s="1"/>
      <c r="C2068" s="1"/>
      <c r="D2068" s="1"/>
      <c r="E2068" s="6"/>
      <c r="F2068" s="4"/>
    </row>
    <row r="2069" spans="2:6">
      <c r="B2069" s="1"/>
      <c r="C2069" s="1"/>
      <c r="D2069" s="1"/>
      <c r="E2069" s="6"/>
      <c r="F2069" s="4"/>
    </row>
  </sheetData>
  <mergeCells count="3">
    <mergeCell ref="C253:C254"/>
    <mergeCell ref="D253:N253"/>
    <mergeCell ref="C117:L118"/>
  </mergeCells>
  <phoneticPr fontId="118" type="noConversion"/>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rk2">
    <tabColor rgb="FF92D050"/>
  </sheetPr>
  <dimension ref="A3:AS64"/>
  <sheetViews>
    <sheetView workbookViewId="0">
      <selection activeCell="I39" sqref="I39"/>
    </sheetView>
  </sheetViews>
  <sheetFormatPr defaultColWidth="8.6640625" defaultRowHeight="14.4"/>
  <cols>
    <col min="1" max="1" width="1.6640625" style="244" customWidth="1"/>
    <col min="2" max="2" width="8.6640625" style="244" bestFit="1" customWidth="1"/>
    <col min="3" max="5" width="13.33203125" style="244" bestFit="1" customWidth="1"/>
    <col min="6" max="6" width="8" style="244" bestFit="1" customWidth="1"/>
    <col min="7" max="7" width="6.44140625" style="244" bestFit="1" customWidth="1"/>
    <col min="8" max="46" width="8" style="244" bestFit="1" customWidth="1"/>
    <col min="47" max="256" width="9.109375" style="244"/>
    <col min="257" max="257" width="10.109375" style="244" bestFit="1" customWidth="1"/>
    <col min="258" max="258" width="8.6640625" style="244" bestFit="1" customWidth="1"/>
    <col min="259" max="259" width="13.33203125" style="244" bestFit="1" customWidth="1"/>
    <col min="260" max="260" width="5.109375" style="244" bestFit="1" customWidth="1"/>
    <col min="261" max="262" width="10.6640625" style="244" customWidth="1"/>
    <col min="263" max="263" width="9.44140625" style="244" bestFit="1" customWidth="1"/>
    <col min="264" max="270" width="9.33203125" style="244" bestFit="1" customWidth="1"/>
    <col min="271" max="302" width="9.44140625" style="244" bestFit="1" customWidth="1"/>
    <col min="303" max="512" width="9.109375" style="244"/>
    <col min="513" max="513" width="10.109375" style="244" bestFit="1" customWidth="1"/>
    <col min="514" max="514" width="8.6640625" style="244" bestFit="1" customWidth="1"/>
    <col min="515" max="515" width="13.33203125" style="244" bestFit="1" customWidth="1"/>
    <col min="516" max="516" width="5.109375" style="244" bestFit="1" customWidth="1"/>
    <col min="517" max="518" width="10.6640625" style="244" customWidth="1"/>
    <col min="519" max="519" width="9.44140625" style="244" bestFit="1" customWidth="1"/>
    <col min="520" max="526" width="9.33203125" style="244" bestFit="1" customWidth="1"/>
    <col min="527" max="558" width="9.44140625" style="244" bestFit="1" customWidth="1"/>
    <col min="559" max="768" width="9.109375" style="244"/>
    <col min="769" max="769" width="10.109375" style="244" bestFit="1" customWidth="1"/>
    <col min="770" max="770" width="8.6640625" style="244" bestFit="1" customWidth="1"/>
    <col min="771" max="771" width="13.33203125" style="244" bestFit="1" customWidth="1"/>
    <col min="772" max="772" width="5.109375" style="244" bestFit="1" customWidth="1"/>
    <col min="773" max="774" width="10.6640625" style="244" customWidth="1"/>
    <col min="775" max="775" width="9.44140625" style="244" bestFit="1" customWidth="1"/>
    <col min="776" max="782" width="9.33203125" style="244" bestFit="1" customWidth="1"/>
    <col min="783" max="814" width="9.44140625" style="244" bestFit="1" customWidth="1"/>
    <col min="815" max="1024" width="9.109375" style="244"/>
    <col min="1025" max="1025" width="10.109375" style="244" bestFit="1" customWidth="1"/>
    <col min="1026" max="1026" width="8.6640625" style="244" bestFit="1" customWidth="1"/>
    <col min="1027" max="1027" width="13.33203125" style="244" bestFit="1" customWidth="1"/>
    <col min="1028" max="1028" width="5.109375" style="244" bestFit="1" customWidth="1"/>
    <col min="1029" max="1030" width="10.6640625" style="244" customWidth="1"/>
    <col min="1031" max="1031" width="9.44140625" style="244" bestFit="1" customWidth="1"/>
    <col min="1032" max="1038" width="9.33203125" style="244" bestFit="1" customWidth="1"/>
    <col min="1039" max="1070" width="9.44140625" style="244" bestFit="1" customWidth="1"/>
    <col min="1071" max="1280" width="9.109375" style="244"/>
    <col min="1281" max="1281" width="10.109375" style="244" bestFit="1" customWidth="1"/>
    <col min="1282" max="1282" width="8.6640625" style="244" bestFit="1" customWidth="1"/>
    <col min="1283" max="1283" width="13.33203125" style="244" bestFit="1" customWidth="1"/>
    <col min="1284" max="1284" width="5.109375" style="244" bestFit="1" customWidth="1"/>
    <col min="1285" max="1286" width="10.6640625" style="244" customWidth="1"/>
    <col min="1287" max="1287" width="9.44140625" style="244" bestFit="1" customWidth="1"/>
    <col min="1288" max="1294" width="9.33203125" style="244" bestFit="1" customWidth="1"/>
    <col min="1295" max="1326" width="9.44140625" style="244" bestFit="1" customWidth="1"/>
    <col min="1327" max="1536" width="9.109375" style="244"/>
    <col min="1537" max="1537" width="10.109375" style="244" bestFit="1" customWidth="1"/>
    <col min="1538" max="1538" width="8.6640625" style="244" bestFit="1" customWidth="1"/>
    <col min="1539" max="1539" width="13.33203125" style="244" bestFit="1" customWidth="1"/>
    <col min="1540" max="1540" width="5.109375" style="244" bestFit="1" customWidth="1"/>
    <col min="1541" max="1542" width="10.6640625" style="244" customWidth="1"/>
    <col min="1543" max="1543" width="9.44140625" style="244" bestFit="1" customWidth="1"/>
    <col min="1544" max="1550" width="9.33203125" style="244" bestFit="1" customWidth="1"/>
    <col min="1551" max="1582" width="9.44140625" style="244" bestFit="1" customWidth="1"/>
    <col min="1583" max="1792" width="9.109375" style="244"/>
    <col min="1793" max="1793" width="10.109375" style="244" bestFit="1" customWidth="1"/>
    <col min="1794" max="1794" width="8.6640625" style="244" bestFit="1" customWidth="1"/>
    <col min="1795" max="1795" width="13.33203125" style="244" bestFit="1" customWidth="1"/>
    <col min="1796" max="1796" width="5.109375" style="244" bestFit="1" customWidth="1"/>
    <col min="1797" max="1798" width="10.6640625" style="244" customWidth="1"/>
    <col min="1799" max="1799" width="9.44140625" style="244" bestFit="1" customWidth="1"/>
    <col min="1800" max="1806" width="9.33203125" style="244" bestFit="1" customWidth="1"/>
    <col min="1807" max="1838" width="9.44140625" style="244" bestFit="1" customWidth="1"/>
    <col min="1839" max="2048" width="9.109375" style="244"/>
    <col min="2049" max="2049" width="10.109375" style="244" bestFit="1" customWidth="1"/>
    <col min="2050" max="2050" width="8.6640625" style="244" bestFit="1" customWidth="1"/>
    <col min="2051" max="2051" width="13.33203125" style="244" bestFit="1" customWidth="1"/>
    <col min="2052" max="2052" width="5.109375" style="244" bestFit="1" customWidth="1"/>
    <col min="2053" max="2054" width="10.6640625" style="244" customWidth="1"/>
    <col min="2055" max="2055" width="9.44140625" style="244" bestFit="1" customWidth="1"/>
    <col min="2056" max="2062" width="9.33203125" style="244" bestFit="1" customWidth="1"/>
    <col min="2063" max="2094" width="9.44140625" style="244" bestFit="1" customWidth="1"/>
    <col min="2095" max="2304" width="9.109375" style="244"/>
    <col min="2305" max="2305" width="10.109375" style="244" bestFit="1" customWidth="1"/>
    <col min="2306" max="2306" width="8.6640625" style="244" bestFit="1" customWidth="1"/>
    <col min="2307" max="2307" width="13.33203125" style="244" bestFit="1" customWidth="1"/>
    <col min="2308" max="2308" width="5.109375" style="244" bestFit="1" customWidth="1"/>
    <col min="2309" max="2310" width="10.6640625" style="244" customWidth="1"/>
    <col min="2311" max="2311" width="9.44140625" style="244" bestFit="1" customWidth="1"/>
    <col min="2312" max="2318" width="9.33203125" style="244" bestFit="1" customWidth="1"/>
    <col min="2319" max="2350" width="9.44140625" style="244" bestFit="1" customWidth="1"/>
    <col min="2351" max="2560" width="9.109375" style="244"/>
    <col min="2561" max="2561" width="10.109375" style="244" bestFit="1" customWidth="1"/>
    <col min="2562" max="2562" width="8.6640625" style="244" bestFit="1" customWidth="1"/>
    <col min="2563" max="2563" width="13.33203125" style="244" bestFit="1" customWidth="1"/>
    <col min="2564" max="2564" width="5.109375" style="244" bestFit="1" customWidth="1"/>
    <col min="2565" max="2566" width="10.6640625" style="244" customWidth="1"/>
    <col min="2567" max="2567" width="9.44140625" style="244" bestFit="1" customWidth="1"/>
    <col min="2568" max="2574" width="9.33203125" style="244" bestFit="1" customWidth="1"/>
    <col min="2575" max="2606" width="9.44140625" style="244" bestFit="1" customWidth="1"/>
    <col min="2607" max="2816" width="9.109375" style="244"/>
    <col min="2817" max="2817" width="10.109375" style="244" bestFit="1" customWidth="1"/>
    <col min="2818" max="2818" width="8.6640625" style="244" bestFit="1" customWidth="1"/>
    <col min="2819" max="2819" width="13.33203125" style="244" bestFit="1" customWidth="1"/>
    <col min="2820" max="2820" width="5.109375" style="244" bestFit="1" customWidth="1"/>
    <col min="2821" max="2822" width="10.6640625" style="244" customWidth="1"/>
    <col min="2823" max="2823" width="9.44140625" style="244" bestFit="1" customWidth="1"/>
    <col min="2824" max="2830" width="9.33203125" style="244" bestFit="1" customWidth="1"/>
    <col min="2831" max="2862" width="9.44140625" style="244" bestFit="1" customWidth="1"/>
    <col min="2863" max="3072" width="9.109375" style="244"/>
    <col min="3073" max="3073" width="10.109375" style="244" bestFit="1" customWidth="1"/>
    <col min="3074" max="3074" width="8.6640625" style="244" bestFit="1" customWidth="1"/>
    <col min="3075" max="3075" width="13.33203125" style="244" bestFit="1" customWidth="1"/>
    <col min="3076" max="3076" width="5.109375" style="244" bestFit="1" customWidth="1"/>
    <col min="3077" max="3078" width="10.6640625" style="244" customWidth="1"/>
    <col min="3079" max="3079" width="9.44140625" style="244" bestFit="1" customWidth="1"/>
    <col min="3080" max="3086" width="9.33203125" style="244" bestFit="1" customWidth="1"/>
    <col min="3087" max="3118" width="9.44140625" style="244" bestFit="1" customWidth="1"/>
    <col min="3119" max="3328" width="9.109375" style="244"/>
    <col min="3329" max="3329" width="10.109375" style="244" bestFit="1" customWidth="1"/>
    <col min="3330" max="3330" width="8.6640625" style="244" bestFit="1" customWidth="1"/>
    <col min="3331" max="3331" width="13.33203125" style="244" bestFit="1" customWidth="1"/>
    <col min="3332" max="3332" width="5.109375" style="244" bestFit="1" customWidth="1"/>
    <col min="3333" max="3334" width="10.6640625" style="244" customWidth="1"/>
    <col min="3335" max="3335" width="9.44140625" style="244" bestFit="1" customWidth="1"/>
    <col min="3336" max="3342" width="9.33203125" style="244" bestFit="1" customWidth="1"/>
    <col min="3343" max="3374" width="9.44140625" style="244" bestFit="1" customWidth="1"/>
    <col min="3375" max="3584" width="9.109375" style="244"/>
    <col min="3585" max="3585" width="10.109375" style="244" bestFit="1" customWidth="1"/>
    <col min="3586" max="3586" width="8.6640625" style="244" bestFit="1" customWidth="1"/>
    <col min="3587" max="3587" width="13.33203125" style="244" bestFit="1" customWidth="1"/>
    <col min="3588" max="3588" width="5.109375" style="244" bestFit="1" customWidth="1"/>
    <col min="3589" max="3590" width="10.6640625" style="244" customWidth="1"/>
    <col min="3591" max="3591" width="9.44140625" style="244" bestFit="1" customWidth="1"/>
    <col min="3592" max="3598" width="9.33203125" style="244" bestFit="1" customWidth="1"/>
    <col min="3599" max="3630" width="9.44140625" style="244" bestFit="1" customWidth="1"/>
    <col min="3631" max="3840" width="9.109375" style="244"/>
    <col min="3841" max="3841" width="10.109375" style="244" bestFit="1" customWidth="1"/>
    <col min="3842" max="3842" width="8.6640625" style="244" bestFit="1" customWidth="1"/>
    <col min="3843" max="3843" width="13.33203125" style="244" bestFit="1" customWidth="1"/>
    <col min="3844" max="3844" width="5.109375" style="244" bestFit="1" customWidth="1"/>
    <col min="3845" max="3846" width="10.6640625" style="244" customWidth="1"/>
    <col min="3847" max="3847" width="9.44140625" style="244" bestFit="1" customWidth="1"/>
    <col min="3848" max="3854" width="9.33203125" style="244" bestFit="1" customWidth="1"/>
    <col min="3855" max="3886" width="9.44140625" style="244" bestFit="1" customWidth="1"/>
    <col min="3887" max="4096" width="9.109375" style="244"/>
    <col min="4097" max="4097" width="10.109375" style="244" bestFit="1" customWidth="1"/>
    <col min="4098" max="4098" width="8.6640625" style="244" bestFit="1" customWidth="1"/>
    <col min="4099" max="4099" width="13.33203125" style="244" bestFit="1" customWidth="1"/>
    <col min="4100" max="4100" width="5.109375" style="244" bestFit="1" customWidth="1"/>
    <col min="4101" max="4102" width="10.6640625" style="244" customWidth="1"/>
    <col min="4103" max="4103" width="9.44140625" style="244" bestFit="1" customWidth="1"/>
    <col min="4104" max="4110" width="9.33203125" style="244" bestFit="1" customWidth="1"/>
    <col min="4111" max="4142" width="9.44140625" style="244" bestFit="1" customWidth="1"/>
    <col min="4143" max="4352" width="9.109375" style="244"/>
    <col min="4353" max="4353" width="10.109375" style="244" bestFit="1" customWidth="1"/>
    <col min="4354" max="4354" width="8.6640625" style="244" bestFit="1" customWidth="1"/>
    <col min="4355" max="4355" width="13.33203125" style="244" bestFit="1" customWidth="1"/>
    <col min="4356" max="4356" width="5.109375" style="244" bestFit="1" customWidth="1"/>
    <col min="4357" max="4358" width="10.6640625" style="244" customWidth="1"/>
    <col min="4359" max="4359" width="9.44140625" style="244" bestFit="1" customWidth="1"/>
    <col min="4360" max="4366" width="9.33203125" style="244" bestFit="1" customWidth="1"/>
    <col min="4367" max="4398" width="9.44140625" style="244" bestFit="1" customWidth="1"/>
    <col min="4399" max="4608" width="9.109375" style="244"/>
    <col min="4609" max="4609" width="10.109375" style="244" bestFit="1" customWidth="1"/>
    <col min="4610" max="4610" width="8.6640625" style="244" bestFit="1" customWidth="1"/>
    <col min="4611" max="4611" width="13.33203125" style="244" bestFit="1" customWidth="1"/>
    <col min="4612" max="4612" width="5.109375" style="244" bestFit="1" customWidth="1"/>
    <col min="4613" max="4614" width="10.6640625" style="244" customWidth="1"/>
    <col min="4615" max="4615" width="9.44140625" style="244" bestFit="1" customWidth="1"/>
    <col min="4616" max="4622" width="9.33203125" style="244" bestFit="1" customWidth="1"/>
    <col min="4623" max="4654" width="9.44140625" style="244" bestFit="1" customWidth="1"/>
    <col min="4655" max="4864" width="9.109375" style="244"/>
    <col min="4865" max="4865" width="10.109375" style="244" bestFit="1" customWidth="1"/>
    <col min="4866" max="4866" width="8.6640625" style="244" bestFit="1" customWidth="1"/>
    <col min="4867" max="4867" width="13.33203125" style="244" bestFit="1" customWidth="1"/>
    <col min="4868" max="4868" width="5.109375" style="244" bestFit="1" customWidth="1"/>
    <col min="4869" max="4870" width="10.6640625" style="244" customWidth="1"/>
    <col min="4871" max="4871" width="9.44140625" style="244" bestFit="1" customWidth="1"/>
    <col min="4872" max="4878" width="9.33203125" style="244" bestFit="1" customWidth="1"/>
    <col min="4879" max="4910" width="9.44140625" style="244" bestFit="1" customWidth="1"/>
    <col min="4911" max="5120" width="9.109375" style="244"/>
    <col min="5121" max="5121" width="10.109375" style="244" bestFit="1" customWidth="1"/>
    <col min="5122" max="5122" width="8.6640625" style="244" bestFit="1" customWidth="1"/>
    <col min="5123" max="5123" width="13.33203125" style="244" bestFit="1" customWidth="1"/>
    <col min="5124" max="5124" width="5.109375" style="244" bestFit="1" customWidth="1"/>
    <col min="5125" max="5126" width="10.6640625" style="244" customWidth="1"/>
    <col min="5127" max="5127" width="9.44140625" style="244" bestFit="1" customWidth="1"/>
    <col min="5128" max="5134" width="9.33203125" style="244" bestFit="1" customWidth="1"/>
    <col min="5135" max="5166" width="9.44140625" style="244" bestFit="1" customWidth="1"/>
    <col min="5167" max="5376" width="9.109375" style="244"/>
    <col min="5377" max="5377" width="10.109375" style="244" bestFit="1" customWidth="1"/>
    <col min="5378" max="5378" width="8.6640625" style="244" bestFit="1" customWidth="1"/>
    <col min="5379" max="5379" width="13.33203125" style="244" bestFit="1" customWidth="1"/>
    <col min="5380" max="5380" width="5.109375" style="244" bestFit="1" customWidth="1"/>
    <col min="5381" max="5382" width="10.6640625" style="244" customWidth="1"/>
    <col min="5383" max="5383" width="9.44140625" style="244" bestFit="1" customWidth="1"/>
    <col min="5384" max="5390" width="9.33203125" style="244" bestFit="1" customWidth="1"/>
    <col min="5391" max="5422" width="9.44140625" style="244" bestFit="1" customWidth="1"/>
    <col min="5423" max="5632" width="9.109375" style="244"/>
    <col min="5633" max="5633" width="10.109375" style="244" bestFit="1" customWidth="1"/>
    <col min="5634" max="5634" width="8.6640625" style="244" bestFit="1" customWidth="1"/>
    <col min="5635" max="5635" width="13.33203125" style="244" bestFit="1" customWidth="1"/>
    <col min="5636" max="5636" width="5.109375" style="244" bestFit="1" customWidth="1"/>
    <col min="5637" max="5638" width="10.6640625" style="244" customWidth="1"/>
    <col min="5639" max="5639" width="9.44140625" style="244" bestFit="1" customWidth="1"/>
    <col min="5640" max="5646" width="9.33203125" style="244" bestFit="1" customWidth="1"/>
    <col min="5647" max="5678" width="9.44140625" style="244" bestFit="1" customWidth="1"/>
    <col min="5679" max="5888" width="9.109375" style="244"/>
    <col min="5889" max="5889" width="10.109375" style="244" bestFit="1" customWidth="1"/>
    <col min="5890" max="5890" width="8.6640625" style="244" bestFit="1" customWidth="1"/>
    <col min="5891" max="5891" width="13.33203125" style="244" bestFit="1" customWidth="1"/>
    <col min="5892" max="5892" width="5.109375" style="244" bestFit="1" customWidth="1"/>
    <col min="5893" max="5894" width="10.6640625" style="244" customWidth="1"/>
    <col min="5895" max="5895" width="9.44140625" style="244" bestFit="1" customWidth="1"/>
    <col min="5896" max="5902" width="9.33203125" style="244" bestFit="1" customWidth="1"/>
    <col min="5903" max="5934" width="9.44140625" style="244" bestFit="1" customWidth="1"/>
    <col min="5935" max="6144" width="9.109375" style="244"/>
    <col min="6145" max="6145" width="10.109375" style="244" bestFit="1" customWidth="1"/>
    <col min="6146" max="6146" width="8.6640625" style="244" bestFit="1" customWidth="1"/>
    <col min="6147" max="6147" width="13.33203125" style="244" bestFit="1" customWidth="1"/>
    <col min="6148" max="6148" width="5.109375" style="244" bestFit="1" customWidth="1"/>
    <col min="6149" max="6150" width="10.6640625" style="244" customWidth="1"/>
    <col min="6151" max="6151" width="9.44140625" style="244" bestFit="1" customWidth="1"/>
    <col min="6152" max="6158" width="9.33203125" style="244" bestFit="1" customWidth="1"/>
    <col min="6159" max="6190" width="9.44140625" style="244" bestFit="1" customWidth="1"/>
    <col min="6191" max="6400" width="9.109375" style="244"/>
    <col min="6401" max="6401" width="10.109375" style="244" bestFit="1" customWidth="1"/>
    <col min="6402" max="6402" width="8.6640625" style="244" bestFit="1" customWidth="1"/>
    <col min="6403" max="6403" width="13.33203125" style="244" bestFit="1" customWidth="1"/>
    <col min="6404" max="6404" width="5.109375" style="244" bestFit="1" customWidth="1"/>
    <col min="6405" max="6406" width="10.6640625" style="244" customWidth="1"/>
    <col min="6407" max="6407" width="9.44140625" style="244" bestFit="1" customWidth="1"/>
    <col min="6408" max="6414" width="9.33203125" style="244" bestFit="1" customWidth="1"/>
    <col min="6415" max="6446" width="9.44140625" style="244" bestFit="1" customWidth="1"/>
    <col min="6447" max="6656" width="9.109375" style="244"/>
    <col min="6657" max="6657" width="10.109375" style="244" bestFit="1" customWidth="1"/>
    <col min="6658" max="6658" width="8.6640625" style="244" bestFit="1" customWidth="1"/>
    <col min="6659" max="6659" width="13.33203125" style="244" bestFit="1" customWidth="1"/>
    <col min="6660" max="6660" width="5.109375" style="244" bestFit="1" customWidth="1"/>
    <col min="6661" max="6662" width="10.6640625" style="244" customWidth="1"/>
    <col min="6663" max="6663" width="9.44140625" style="244" bestFit="1" customWidth="1"/>
    <col min="6664" max="6670" width="9.33203125" style="244" bestFit="1" customWidth="1"/>
    <col min="6671" max="6702" width="9.44140625" style="244" bestFit="1" customWidth="1"/>
    <col min="6703" max="6912" width="9.109375" style="244"/>
    <col min="6913" max="6913" width="10.109375" style="244" bestFit="1" customWidth="1"/>
    <col min="6914" max="6914" width="8.6640625" style="244" bestFit="1" customWidth="1"/>
    <col min="6915" max="6915" width="13.33203125" style="244" bestFit="1" customWidth="1"/>
    <col min="6916" max="6916" width="5.109375" style="244" bestFit="1" customWidth="1"/>
    <col min="6917" max="6918" width="10.6640625" style="244" customWidth="1"/>
    <col min="6919" max="6919" width="9.44140625" style="244" bestFit="1" customWidth="1"/>
    <col min="6920" max="6926" width="9.33203125" style="244" bestFit="1" customWidth="1"/>
    <col min="6927" max="6958" width="9.44140625" style="244" bestFit="1" customWidth="1"/>
    <col min="6959" max="7168" width="9.109375" style="244"/>
    <col min="7169" max="7169" width="10.109375" style="244" bestFit="1" customWidth="1"/>
    <col min="7170" max="7170" width="8.6640625" style="244" bestFit="1" customWidth="1"/>
    <col min="7171" max="7171" width="13.33203125" style="244" bestFit="1" customWidth="1"/>
    <col min="7172" max="7172" width="5.109375" style="244" bestFit="1" customWidth="1"/>
    <col min="7173" max="7174" width="10.6640625" style="244" customWidth="1"/>
    <col min="7175" max="7175" width="9.44140625" style="244" bestFit="1" customWidth="1"/>
    <col min="7176" max="7182" width="9.33203125" style="244" bestFit="1" customWidth="1"/>
    <col min="7183" max="7214" width="9.44140625" style="244" bestFit="1" customWidth="1"/>
    <col min="7215" max="7424" width="9.109375" style="244"/>
    <col min="7425" max="7425" width="10.109375" style="244" bestFit="1" customWidth="1"/>
    <col min="7426" max="7426" width="8.6640625" style="244" bestFit="1" customWidth="1"/>
    <col min="7427" max="7427" width="13.33203125" style="244" bestFit="1" customWidth="1"/>
    <col min="7428" max="7428" width="5.109375" style="244" bestFit="1" customWidth="1"/>
    <col min="7429" max="7430" width="10.6640625" style="244" customWidth="1"/>
    <col min="7431" max="7431" width="9.44140625" style="244" bestFit="1" customWidth="1"/>
    <col min="7432" max="7438" width="9.33203125" style="244" bestFit="1" customWidth="1"/>
    <col min="7439" max="7470" width="9.44140625" style="244" bestFit="1" customWidth="1"/>
    <col min="7471" max="7680" width="9.109375" style="244"/>
    <col min="7681" max="7681" width="10.109375" style="244" bestFit="1" customWidth="1"/>
    <col min="7682" max="7682" width="8.6640625" style="244" bestFit="1" customWidth="1"/>
    <col min="7683" max="7683" width="13.33203125" style="244" bestFit="1" customWidth="1"/>
    <col min="7684" max="7684" width="5.109375" style="244" bestFit="1" customWidth="1"/>
    <col min="7685" max="7686" width="10.6640625" style="244" customWidth="1"/>
    <col min="7687" max="7687" width="9.44140625" style="244" bestFit="1" customWidth="1"/>
    <col min="7688" max="7694" width="9.33203125" style="244" bestFit="1" customWidth="1"/>
    <col min="7695" max="7726" width="9.44140625" style="244" bestFit="1" customWidth="1"/>
    <col min="7727" max="7936" width="9.109375" style="244"/>
    <col min="7937" max="7937" width="10.109375" style="244" bestFit="1" customWidth="1"/>
    <col min="7938" max="7938" width="8.6640625" style="244" bestFit="1" customWidth="1"/>
    <col min="7939" max="7939" width="13.33203125" style="244" bestFit="1" customWidth="1"/>
    <col min="7940" max="7940" width="5.109375" style="244" bestFit="1" customWidth="1"/>
    <col min="7941" max="7942" width="10.6640625" style="244" customWidth="1"/>
    <col min="7943" max="7943" width="9.44140625" style="244" bestFit="1" customWidth="1"/>
    <col min="7944" max="7950" width="9.33203125" style="244" bestFit="1" customWidth="1"/>
    <col min="7951" max="7982" width="9.44140625" style="244" bestFit="1" customWidth="1"/>
    <col min="7983" max="8192" width="9.109375" style="244"/>
    <col min="8193" max="8193" width="10.109375" style="244" bestFit="1" customWidth="1"/>
    <col min="8194" max="8194" width="8.6640625" style="244" bestFit="1" customWidth="1"/>
    <col min="8195" max="8195" width="13.33203125" style="244" bestFit="1" customWidth="1"/>
    <col min="8196" max="8196" width="5.109375" style="244" bestFit="1" customWidth="1"/>
    <col min="8197" max="8198" width="10.6640625" style="244" customWidth="1"/>
    <col min="8199" max="8199" width="9.44140625" style="244" bestFit="1" customWidth="1"/>
    <col min="8200" max="8206" width="9.33203125" style="244" bestFit="1" customWidth="1"/>
    <col min="8207" max="8238" width="9.44140625" style="244" bestFit="1" customWidth="1"/>
    <col min="8239" max="8448" width="9.109375" style="244"/>
    <col min="8449" max="8449" width="10.109375" style="244" bestFit="1" customWidth="1"/>
    <col min="8450" max="8450" width="8.6640625" style="244" bestFit="1" customWidth="1"/>
    <col min="8451" max="8451" width="13.33203125" style="244" bestFit="1" customWidth="1"/>
    <col min="8452" max="8452" width="5.109375" style="244" bestFit="1" customWidth="1"/>
    <col min="8453" max="8454" width="10.6640625" style="244" customWidth="1"/>
    <col min="8455" max="8455" width="9.44140625" style="244" bestFit="1" customWidth="1"/>
    <col min="8456" max="8462" width="9.33203125" style="244" bestFit="1" customWidth="1"/>
    <col min="8463" max="8494" width="9.44140625" style="244" bestFit="1" customWidth="1"/>
    <col min="8495" max="8704" width="9.109375" style="244"/>
    <col min="8705" max="8705" width="10.109375" style="244" bestFit="1" customWidth="1"/>
    <col min="8706" max="8706" width="8.6640625" style="244" bestFit="1" customWidth="1"/>
    <col min="8707" max="8707" width="13.33203125" style="244" bestFit="1" customWidth="1"/>
    <col min="8708" max="8708" width="5.109375" style="244" bestFit="1" customWidth="1"/>
    <col min="8709" max="8710" width="10.6640625" style="244" customWidth="1"/>
    <col min="8711" max="8711" width="9.44140625" style="244" bestFit="1" customWidth="1"/>
    <col min="8712" max="8718" width="9.33203125" style="244" bestFit="1" customWidth="1"/>
    <col min="8719" max="8750" width="9.44140625" style="244" bestFit="1" customWidth="1"/>
    <col min="8751" max="8960" width="9.109375" style="244"/>
    <col min="8961" max="8961" width="10.109375" style="244" bestFit="1" customWidth="1"/>
    <col min="8962" max="8962" width="8.6640625" style="244" bestFit="1" customWidth="1"/>
    <col min="8963" max="8963" width="13.33203125" style="244" bestFit="1" customWidth="1"/>
    <col min="8964" max="8964" width="5.109375" style="244" bestFit="1" customWidth="1"/>
    <col min="8965" max="8966" width="10.6640625" style="244" customWidth="1"/>
    <col min="8967" max="8967" width="9.44140625" style="244" bestFit="1" customWidth="1"/>
    <col min="8968" max="8974" width="9.33203125" style="244" bestFit="1" customWidth="1"/>
    <col min="8975" max="9006" width="9.44140625" style="244" bestFit="1" customWidth="1"/>
    <col min="9007" max="9216" width="9.109375" style="244"/>
    <col min="9217" max="9217" width="10.109375" style="244" bestFit="1" customWidth="1"/>
    <col min="9218" max="9218" width="8.6640625" style="244" bestFit="1" customWidth="1"/>
    <col min="9219" max="9219" width="13.33203125" style="244" bestFit="1" customWidth="1"/>
    <col min="9220" max="9220" width="5.109375" style="244" bestFit="1" customWidth="1"/>
    <col min="9221" max="9222" width="10.6640625" style="244" customWidth="1"/>
    <col min="9223" max="9223" width="9.44140625" style="244" bestFit="1" customWidth="1"/>
    <col min="9224" max="9230" width="9.33203125" style="244" bestFit="1" customWidth="1"/>
    <col min="9231" max="9262" width="9.44140625" style="244" bestFit="1" customWidth="1"/>
    <col min="9263" max="9472" width="9.109375" style="244"/>
    <col min="9473" max="9473" width="10.109375" style="244" bestFit="1" customWidth="1"/>
    <col min="9474" max="9474" width="8.6640625" style="244" bestFit="1" customWidth="1"/>
    <col min="9475" max="9475" width="13.33203125" style="244" bestFit="1" customWidth="1"/>
    <col min="9476" max="9476" width="5.109375" style="244" bestFit="1" customWidth="1"/>
    <col min="9477" max="9478" width="10.6640625" style="244" customWidth="1"/>
    <col min="9479" max="9479" width="9.44140625" style="244" bestFit="1" customWidth="1"/>
    <col min="9480" max="9486" width="9.33203125" style="244" bestFit="1" customWidth="1"/>
    <col min="9487" max="9518" width="9.44140625" style="244" bestFit="1" customWidth="1"/>
    <col min="9519" max="9728" width="9.109375" style="244"/>
    <col min="9729" max="9729" width="10.109375" style="244" bestFit="1" customWidth="1"/>
    <col min="9730" max="9730" width="8.6640625" style="244" bestFit="1" customWidth="1"/>
    <col min="9731" max="9731" width="13.33203125" style="244" bestFit="1" customWidth="1"/>
    <col min="9732" max="9732" width="5.109375" style="244" bestFit="1" customWidth="1"/>
    <col min="9733" max="9734" width="10.6640625" style="244" customWidth="1"/>
    <col min="9735" max="9735" width="9.44140625" style="244" bestFit="1" customWidth="1"/>
    <col min="9736" max="9742" width="9.33203125" style="244" bestFit="1" customWidth="1"/>
    <col min="9743" max="9774" width="9.44140625" style="244" bestFit="1" customWidth="1"/>
    <col min="9775" max="9984" width="9.109375" style="244"/>
    <col min="9985" max="9985" width="10.109375" style="244" bestFit="1" customWidth="1"/>
    <col min="9986" max="9986" width="8.6640625" style="244" bestFit="1" customWidth="1"/>
    <col min="9987" max="9987" width="13.33203125" style="244" bestFit="1" customWidth="1"/>
    <col min="9988" max="9988" width="5.109375" style="244" bestFit="1" customWidth="1"/>
    <col min="9989" max="9990" width="10.6640625" style="244" customWidth="1"/>
    <col min="9991" max="9991" width="9.44140625" style="244" bestFit="1" customWidth="1"/>
    <col min="9992" max="9998" width="9.33203125" style="244" bestFit="1" customWidth="1"/>
    <col min="9999" max="10030" width="9.44140625" style="244" bestFit="1" customWidth="1"/>
    <col min="10031" max="10240" width="9.109375" style="244"/>
    <col min="10241" max="10241" width="10.109375" style="244" bestFit="1" customWidth="1"/>
    <col min="10242" max="10242" width="8.6640625" style="244" bestFit="1" customWidth="1"/>
    <col min="10243" max="10243" width="13.33203125" style="244" bestFit="1" customWidth="1"/>
    <col min="10244" max="10244" width="5.109375" style="244" bestFit="1" customWidth="1"/>
    <col min="10245" max="10246" width="10.6640625" style="244" customWidth="1"/>
    <col min="10247" max="10247" width="9.44140625" style="244" bestFit="1" customWidth="1"/>
    <col min="10248" max="10254" width="9.33203125" style="244" bestFit="1" customWidth="1"/>
    <col min="10255" max="10286" width="9.44140625" style="244" bestFit="1" customWidth="1"/>
    <col min="10287" max="10496" width="9.109375" style="244"/>
    <col min="10497" max="10497" width="10.109375" style="244" bestFit="1" customWidth="1"/>
    <col min="10498" max="10498" width="8.6640625" style="244" bestFit="1" customWidth="1"/>
    <col min="10499" max="10499" width="13.33203125" style="244" bestFit="1" customWidth="1"/>
    <col min="10500" max="10500" width="5.109375" style="244" bestFit="1" customWidth="1"/>
    <col min="10501" max="10502" width="10.6640625" style="244" customWidth="1"/>
    <col min="10503" max="10503" width="9.44140625" style="244" bestFit="1" customWidth="1"/>
    <col min="10504" max="10510" width="9.33203125" style="244" bestFit="1" customWidth="1"/>
    <col min="10511" max="10542" width="9.44140625" style="244" bestFit="1" customWidth="1"/>
    <col min="10543" max="10752" width="9.109375" style="244"/>
    <col min="10753" max="10753" width="10.109375" style="244" bestFit="1" customWidth="1"/>
    <col min="10754" max="10754" width="8.6640625" style="244" bestFit="1" customWidth="1"/>
    <col min="10755" max="10755" width="13.33203125" style="244" bestFit="1" customWidth="1"/>
    <col min="10756" max="10756" width="5.109375" style="244" bestFit="1" customWidth="1"/>
    <col min="10757" max="10758" width="10.6640625" style="244" customWidth="1"/>
    <col min="10759" max="10759" width="9.44140625" style="244" bestFit="1" customWidth="1"/>
    <col min="10760" max="10766" width="9.33203125" style="244" bestFit="1" customWidth="1"/>
    <col min="10767" max="10798" width="9.44140625" style="244" bestFit="1" customWidth="1"/>
    <col min="10799" max="11008" width="9.109375" style="244"/>
    <col min="11009" max="11009" width="10.109375" style="244" bestFit="1" customWidth="1"/>
    <col min="11010" max="11010" width="8.6640625" style="244" bestFit="1" customWidth="1"/>
    <col min="11011" max="11011" width="13.33203125" style="244" bestFit="1" customWidth="1"/>
    <col min="11012" max="11012" width="5.109375" style="244" bestFit="1" customWidth="1"/>
    <col min="11013" max="11014" width="10.6640625" style="244" customWidth="1"/>
    <col min="11015" max="11015" width="9.44140625" style="244" bestFit="1" customWidth="1"/>
    <col min="11016" max="11022" width="9.33203125" style="244" bestFit="1" customWidth="1"/>
    <col min="11023" max="11054" width="9.44140625" style="244" bestFit="1" customWidth="1"/>
    <col min="11055" max="11264" width="9.109375" style="244"/>
    <col min="11265" max="11265" width="10.109375" style="244" bestFit="1" customWidth="1"/>
    <col min="11266" max="11266" width="8.6640625" style="244" bestFit="1" customWidth="1"/>
    <col min="11267" max="11267" width="13.33203125" style="244" bestFit="1" customWidth="1"/>
    <col min="11268" max="11268" width="5.109375" style="244" bestFit="1" customWidth="1"/>
    <col min="11269" max="11270" width="10.6640625" style="244" customWidth="1"/>
    <col min="11271" max="11271" width="9.44140625" style="244" bestFit="1" customWidth="1"/>
    <col min="11272" max="11278" width="9.33203125" style="244" bestFit="1" customWidth="1"/>
    <col min="11279" max="11310" width="9.44140625" style="244" bestFit="1" customWidth="1"/>
    <col min="11311" max="11520" width="9.109375" style="244"/>
    <col min="11521" max="11521" width="10.109375" style="244" bestFit="1" customWidth="1"/>
    <col min="11522" max="11522" width="8.6640625" style="244" bestFit="1" customWidth="1"/>
    <col min="11523" max="11523" width="13.33203125" style="244" bestFit="1" customWidth="1"/>
    <col min="11524" max="11524" width="5.109375" style="244" bestFit="1" customWidth="1"/>
    <col min="11525" max="11526" width="10.6640625" style="244" customWidth="1"/>
    <col min="11527" max="11527" width="9.44140625" style="244" bestFit="1" customWidth="1"/>
    <col min="11528" max="11534" width="9.33203125" style="244" bestFit="1" customWidth="1"/>
    <col min="11535" max="11566" width="9.44140625" style="244" bestFit="1" customWidth="1"/>
    <col min="11567" max="11776" width="9.109375" style="244"/>
    <col min="11777" max="11777" width="10.109375" style="244" bestFit="1" customWidth="1"/>
    <col min="11778" max="11778" width="8.6640625" style="244" bestFit="1" customWidth="1"/>
    <col min="11779" max="11779" width="13.33203125" style="244" bestFit="1" customWidth="1"/>
    <col min="11780" max="11780" width="5.109375" style="244" bestFit="1" customWidth="1"/>
    <col min="11781" max="11782" width="10.6640625" style="244" customWidth="1"/>
    <col min="11783" max="11783" width="9.44140625" style="244" bestFit="1" customWidth="1"/>
    <col min="11784" max="11790" width="9.33203125" style="244" bestFit="1" customWidth="1"/>
    <col min="11791" max="11822" width="9.44140625" style="244" bestFit="1" customWidth="1"/>
    <col min="11823" max="12032" width="9.109375" style="244"/>
    <col min="12033" max="12033" width="10.109375" style="244" bestFit="1" customWidth="1"/>
    <col min="12034" max="12034" width="8.6640625" style="244" bestFit="1" customWidth="1"/>
    <col min="12035" max="12035" width="13.33203125" style="244" bestFit="1" customWidth="1"/>
    <col min="12036" max="12036" width="5.109375" style="244" bestFit="1" customWidth="1"/>
    <col min="12037" max="12038" width="10.6640625" style="244" customWidth="1"/>
    <col min="12039" max="12039" width="9.44140625" style="244" bestFit="1" customWidth="1"/>
    <col min="12040" max="12046" width="9.33203125" style="244" bestFit="1" customWidth="1"/>
    <col min="12047" max="12078" width="9.44140625" style="244" bestFit="1" customWidth="1"/>
    <col min="12079" max="12288" width="9.109375" style="244"/>
    <col min="12289" max="12289" width="10.109375" style="244" bestFit="1" customWidth="1"/>
    <col min="12290" max="12290" width="8.6640625" style="244" bestFit="1" customWidth="1"/>
    <col min="12291" max="12291" width="13.33203125" style="244" bestFit="1" customWidth="1"/>
    <col min="12292" max="12292" width="5.109375" style="244" bestFit="1" customWidth="1"/>
    <col min="12293" max="12294" width="10.6640625" style="244" customWidth="1"/>
    <col min="12295" max="12295" width="9.44140625" style="244" bestFit="1" customWidth="1"/>
    <col min="12296" max="12302" width="9.33203125" style="244" bestFit="1" customWidth="1"/>
    <col min="12303" max="12334" width="9.44140625" style="244" bestFit="1" customWidth="1"/>
    <col min="12335" max="12544" width="9.109375" style="244"/>
    <col min="12545" max="12545" width="10.109375" style="244" bestFit="1" customWidth="1"/>
    <col min="12546" max="12546" width="8.6640625" style="244" bestFit="1" customWidth="1"/>
    <col min="12547" max="12547" width="13.33203125" style="244" bestFit="1" customWidth="1"/>
    <col min="12548" max="12548" width="5.109375" style="244" bestFit="1" customWidth="1"/>
    <col min="12549" max="12550" width="10.6640625" style="244" customWidth="1"/>
    <col min="12551" max="12551" width="9.44140625" style="244" bestFit="1" customWidth="1"/>
    <col min="12552" max="12558" width="9.33203125" style="244" bestFit="1" customWidth="1"/>
    <col min="12559" max="12590" width="9.44140625" style="244" bestFit="1" customWidth="1"/>
    <col min="12591" max="12800" width="9.109375" style="244"/>
    <col min="12801" max="12801" width="10.109375" style="244" bestFit="1" customWidth="1"/>
    <col min="12802" max="12802" width="8.6640625" style="244" bestFit="1" customWidth="1"/>
    <col min="12803" max="12803" width="13.33203125" style="244" bestFit="1" customWidth="1"/>
    <col min="12804" max="12804" width="5.109375" style="244" bestFit="1" customWidth="1"/>
    <col min="12805" max="12806" width="10.6640625" style="244" customWidth="1"/>
    <col min="12807" max="12807" width="9.44140625" style="244" bestFit="1" customWidth="1"/>
    <col min="12808" max="12814" width="9.33203125" style="244" bestFit="1" customWidth="1"/>
    <col min="12815" max="12846" width="9.44140625" style="244" bestFit="1" customWidth="1"/>
    <col min="12847" max="13056" width="9.109375" style="244"/>
    <col min="13057" max="13057" width="10.109375" style="244" bestFit="1" customWidth="1"/>
    <col min="13058" max="13058" width="8.6640625" style="244" bestFit="1" customWidth="1"/>
    <col min="13059" max="13059" width="13.33203125" style="244" bestFit="1" customWidth="1"/>
    <col min="13060" max="13060" width="5.109375" style="244" bestFit="1" customWidth="1"/>
    <col min="13061" max="13062" width="10.6640625" style="244" customWidth="1"/>
    <col min="13063" max="13063" width="9.44140625" style="244" bestFit="1" customWidth="1"/>
    <col min="13064" max="13070" width="9.33203125" style="244" bestFit="1" customWidth="1"/>
    <col min="13071" max="13102" width="9.44140625" style="244" bestFit="1" customWidth="1"/>
    <col min="13103" max="13312" width="9.109375" style="244"/>
    <col min="13313" max="13313" width="10.109375" style="244" bestFit="1" customWidth="1"/>
    <col min="13314" max="13314" width="8.6640625" style="244" bestFit="1" customWidth="1"/>
    <col min="13315" max="13315" width="13.33203125" style="244" bestFit="1" customWidth="1"/>
    <col min="13316" max="13316" width="5.109375" style="244" bestFit="1" customWidth="1"/>
    <col min="13317" max="13318" width="10.6640625" style="244" customWidth="1"/>
    <col min="13319" max="13319" width="9.44140625" style="244" bestFit="1" customWidth="1"/>
    <col min="13320" max="13326" width="9.33203125" style="244" bestFit="1" customWidth="1"/>
    <col min="13327" max="13358" width="9.44140625" style="244" bestFit="1" customWidth="1"/>
    <col min="13359" max="13568" width="9.109375" style="244"/>
    <col min="13569" max="13569" width="10.109375" style="244" bestFit="1" customWidth="1"/>
    <col min="13570" max="13570" width="8.6640625" style="244" bestFit="1" customWidth="1"/>
    <col min="13571" max="13571" width="13.33203125" style="244" bestFit="1" customWidth="1"/>
    <col min="13572" max="13572" width="5.109375" style="244" bestFit="1" customWidth="1"/>
    <col min="13573" max="13574" width="10.6640625" style="244" customWidth="1"/>
    <col min="13575" max="13575" width="9.44140625" style="244" bestFit="1" customWidth="1"/>
    <col min="13576" max="13582" width="9.33203125" style="244" bestFit="1" customWidth="1"/>
    <col min="13583" max="13614" width="9.44140625" style="244" bestFit="1" customWidth="1"/>
    <col min="13615" max="13824" width="9.109375" style="244"/>
    <col min="13825" max="13825" width="10.109375" style="244" bestFit="1" customWidth="1"/>
    <col min="13826" max="13826" width="8.6640625" style="244" bestFit="1" customWidth="1"/>
    <col min="13827" max="13827" width="13.33203125" style="244" bestFit="1" customWidth="1"/>
    <col min="13828" max="13828" width="5.109375" style="244" bestFit="1" customWidth="1"/>
    <col min="13829" max="13830" width="10.6640625" style="244" customWidth="1"/>
    <col min="13831" max="13831" width="9.44140625" style="244" bestFit="1" customWidth="1"/>
    <col min="13832" max="13838" width="9.33203125" style="244" bestFit="1" customWidth="1"/>
    <col min="13839" max="13870" width="9.44140625" style="244" bestFit="1" customWidth="1"/>
    <col min="13871" max="14080" width="9.109375" style="244"/>
    <col min="14081" max="14081" width="10.109375" style="244" bestFit="1" customWidth="1"/>
    <col min="14082" max="14082" width="8.6640625" style="244" bestFit="1" customWidth="1"/>
    <col min="14083" max="14083" width="13.33203125" style="244" bestFit="1" customWidth="1"/>
    <col min="14084" max="14084" width="5.109375" style="244" bestFit="1" customWidth="1"/>
    <col min="14085" max="14086" width="10.6640625" style="244" customWidth="1"/>
    <col min="14087" max="14087" width="9.44140625" style="244" bestFit="1" customWidth="1"/>
    <col min="14088" max="14094" width="9.33203125" style="244" bestFit="1" customWidth="1"/>
    <col min="14095" max="14126" width="9.44140625" style="244" bestFit="1" customWidth="1"/>
    <col min="14127" max="14336" width="9.109375" style="244"/>
    <col min="14337" max="14337" width="10.109375" style="244" bestFit="1" customWidth="1"/>
    <col min="14338" max="14338" width="8.6640625" style="244" bestFit="1" customWidth="1"/>
    <col min="14339" max="14339" width="13.33203125" style="244" bestFit="1" customWidth="1"/>
    <col min="14340" max="14340" width="5.109375" style="244" bestFit="1" customWidth="1"/>
    <col min="14341" max="14342" width="10.6640625" style="244" customWidth="1"/>
    <col min="14343" max="14343" width="9.44140625" style="244" bestFit="1" customWidth="1"/>
    <col min="14344" max="14350" width="9.33203125" style="244" bestFit="1" customWidth="1"/>
    <col min="14351" max="14382" width="9.44140625" style="244" bestFit="1" customWidth="1"/>
    <col min="14383" max="14592" width="9.109375" style="244"/>
    <col min="14593" max="14593" width="10.109375" style="244" bestFit="1" customWidth="1"/>
    <col min="14594" max="14594" width="8.6640625" style="244" bestFit="1" customWidth="1"/>
    <col min="14595" max="14595" width="13.33203125" style="244" bestFit="1" customWidth="1"/>
    <col min="14596" max="14596" width="5.109375" style="244" bestFit="1" customWidth="1"/>
    <col min="14597" max="14598" width="10.6640625" style="244" customWidth="1"/>
    <col min="14599" max="14599" width="9.44140625" style="244" bestFit="1" customWidth="1"/>
    <col min="14600" max="14606" width="9.33203125" style="244" bestFit="1" customWidth="1"/>
    <col min="14607" max="14638" width="9.44140625" style="244" bestFit="1" customWidth="1"/>
    <col min="14639" max="14848" width="9.109375" style="244"/>
    <col min="14849" max="14849" width="10.109375" style="244" bestFit="1" customWidth="1"/>
    <col min="14850" max="14850" width="8.6640625" style="244" bestFit="1" customWidth="1"/>
    <col min="14851" max="14851" width="13.33203125" style="244" bestFit="1" customWidth="1"/>
    <col min="14852" max="14852" width="5.109375" style="244" bestFit="1" customWidth="1"/>
    <col min="14853" max="14854" width="10.6640625" style="244" customWidth="1"/>
    <col min="14855" max="14855" width="9.44140625" style="244" bestFit="1" customWidth="1"/>
    <col min="14856" max="14862" width="9.33203125" style="244" bestFit="1" customWidth="1"/>
    <col min="14863" max="14894" width="9.44140625" style="244" bestFit="1" customWidth="1"/>
    <col min="14895" max="15104" width="9.109375" style="244"/>
    <col min="15105" max="15105" width="10.109375" style="244" bestFit="1" customWidth="1"/>
    <col min="15106" max="15106" width="8.6640625" style="244" bestFit="1" customWidth="1"/>
    <col min="15107" max="15107" width="13.33203125" style="244" bestFit="1" customWidth="1"/>
    <col min="15108" max="15108" width="5.109375" style="244" bestFit="1" customWidth="1"/>
    <col min="15109" max="15110" width="10.6640625" style="244" customWidth="1"/>
    <col min="15111" max="15111" width="9.44140625" style="244" bestFit="1" customWidth="1"/>
    <col min="15112" max="15118" width="9.33203125" style="244" bestFit="1" customWidth="1"/>
    <col min="15119" max="15150" width="9.44140625" style="244" bestFit="1" customWidth="1"/>
    <col min="15151" max="15360" width="9.109375" style="244"/>
    <col min="15361" max="15361" width="10.109375" style="244" bestFit="1" customWidth="1"/>
    <col min="15362" max="15362" width="8.6640625" style="244" bestFit="1" customWidth="1"/>
    <col min="15363" max="15363" width="13.33203125" style="244" bestFit="1" customWidth="1"/>
    <col min="15364" max="15364" width="5.109375" style="244" bestFit="1" customWidth="1"/>
    <col min="15365" max="15366" width="10.6640625" style="244" customWidth="1"/>
    <col min="15367" max="15367" width="9.44140625" style="244" bestFit="1" customWidth="1"/>
    <col min="15368" max="15374" width="9.33203125" style="244" bestFit="1" customWidth="1"/>
    <col min="15375" max="15406" width="9.44140625" style="244" bestFit="1" customWidth="1"/>
    <col min="15407" max="15616" width="9.109375" style="244"/>
    <col min="15617" max="15617" width="10.109375" style="244" bestFit="1" customWidth="1"/>
    <col min="15618" max="15618" width="8.6640625" style="244" bestFit="1" customWidth="1"/>
    <col min="15619" max="15619" width="13.33203125" style="244" bestFit="1" customWidth="1"/>
    <col min="15620" max="15620" width="5.109375" style="244" bestFit="1" customWidth="1"/>
    <col min="15621" max="15622" width="10.6640625" style="244" customWidth="1"/>
    <col min="15623" max="15623" width="9.44140625" style="244" bestFit="1" customWidth="1"/>
    <col min="15624" max="15630" width="9.33203125" style="244" bestFit="1" customWidth="1"/>
    <col min="15631" max="15662" width="9.44140625" style="244" bestFit="1" customWidth="1"/>
    <col min="15663" max="15872" width="9.109375" style="244"/>
    <col min="15873" max="15873" width="10.109375" style="244" bestFit="1" customWidth="1"/>
    <col min="15874" max="15874" width="8.6640625" style="244" bestFit="1" customWidth="1"/>
    <col min="15875" max="15875" width="13.33203125" style="244" bestFit="1" customWidth="1"/>
    <col min="15876" max="15876" width="5.109375" style="244" bestFit="1" customWidth="1"/>
    <col min="15877" max="15878" width="10.6640625" style="244" customWidth="1"/>
    <col min="15879" max="15879" width="9.44140625" style="244" bestFit="1" customWidth="1"/>
    <col min="15880" max="15886" width="9.33203125" style="244" bestFit="1" customWidth="1"/>
    <col min="15887" max="15918" width="9.44140625" style="244" bestFit="1" customWidth="1"/>
    <col min="15919" max="16128" width="9.109375" style="244"/>
    <col min="16129" max="16129" width="10.109375" style="244" bestFit="1" customWidth="1"/>
    <col min="16130" max="16130" width="8.6640625" style="244" bestFit="1" customWidth="1"/>
    <col min="16131" max="16131" width="13.33203125" style="244" bestFit="1" customWidth="1"/>
    <col min="16132" max="16132" width="5.109375" style="244" bestFit="1" customWidth="1"/>
    <col min="16133" max="16134" width="10.6640625" style="244" customWidth="1"/>
    <col min="16135" max="16135" width="9.44140625" style="244" bestFit="1" customWidth="1"/>
    <col min="16136" max="16142" width="9.33203125" style="244" bestFit="1" customWidth="1"/>
    <col min="16143" max="16174" width="9.44140625" style="244" bestFit="1" customWidth="1"/>
    <col min="16175" max="16384" width="9.109375" style="244"/>
  </cols>
  <sheetData>
    <row r="3" spans="1:45">
      <c r="A3" s="245"/>
      <c r="B3" s="259"/>
      <c r="C3" s="262"/>
      <c r="D3" s="261" t="s">
        <v>471</v>
      </c>
      <c r="E3" s="260"/>
      <c r="F3" s="260"/>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59"/>
      <c r="AM3" s="259"/>
      <c r="AN3" s="259"/>
      <c r="AO3" s="259"/>
      <c r="AP3" s="259"/>
      <c r="AQ3" s="259"/>
      <c r="AR3" s="259"/>
      <c r="AS3" s="259"/>
    </row>
    <row r="4" spans="1:45" ht="27.6">
      <c r="B4" s="258" t="s">
        <v>3</v>
      </c>
      <c r="C4" s="258" t="s">
        <v>139</v>
      </c>
      <c r="D4" s="258" t="s">
        <v>470</v>
      </c>
      <c r="E4" s="257">
        <v>2010</v>
      </c>
      <c r="F4" s="257">
        <v>2011</v>
      </c>
      <c r="G4" s="257">
        <v>2012</v>
      </c>
      <c r="H4" s="257">
        <v>2013</v>
      </c>
      <c r="I4" s="257">
        <v>2014</v>
      </c>
      <c r="J4" s="257">
        <v>2015</v>
      </c>
      <c r="K4" s="257">
        <v>2016</v>
      </c>
      <c r="L4" s="257">
        <v>2017</v>
      </c>
      <c r="M4" s="257">
        <v>2018</v>
      </c>
      <c r="N4" s="257">
        <v>2019</v>
      </c>
      <c r="O4" s="257">
        <v>2020</v>
      </c>
      <c r="P4" s="257">
        <v>2021</v>
      </c>
      <c r="Q4" s="257">
        <v>2022</v>
      </c>
      <c r="R4" s="257">
        <v>2023</v>
      </c>
      <c r="S4" s="257">
        <v>2024</v>
      </c>
      <c r="T4" s="257">
        <v>2025</v>
      </c>
      <c r="U4" s="257">
        <v>2026</v>
      </c>
      <c r="V4" s="257">
        <v>2027</v>
      </c>
      <c r="W4" s="257">
        <v>2028</v>
      </c>
      <c r="X4" s="257">
        <v>2029</v>
      </c>
      <c r="Y4" s="257">
        <v>2030</v>
      </c>
      <c r="Z4" s="257">
        <v>2031</v>
      </c>
      <c r="AA4" s="257">
        <v>2032</v>
      </c>
      <c r="AB4" s="257">
        <v>2033</v>
      </c>
      <c r="AC4" s="257">
        <v>2034</v>
      </c>
      <c r="AD4" s="257">
        <v>2035</v>
      </c>
      <c r="AE4" s="257">
        <v>2036</v>
      </c>
      <c r="AF4" s="257">
        <v>2037</v>
      </c>
      <c r="AG4" s="257">
        <v>2038</v>
      </c>
      <c r="AH4" s="257">
        <v>2039</v>
      </c>
      <c r="AI4" s="257">
        <v>2040</v>
      </c>
      <c r="AJ4" s="257">
        <v>2041</v>
      </c>
      <c r="AK4" s="257">
        <v>2042</v>
      </c>
      <c r="AL4" s="257">
        <v>2043</v>
      </c>
      <c r="AM4" s="257">
        <v>2044</v>
      </c>
      <c r="AN4" s="257">
        <v>2045</v>
      </c>
      <c r="AO4" s="257">
        <v>2046</v>
      </c>
      <c r="AP4" s="257">
        <v>2047</v>
      </c>
      <c r="AQ4" s="257">
        <v>2048</v>
      </c>
      <c r="AR4" s="257">
        <v>2049</v>
      </c>
      <c r="AS4" s="257">
        <v>2050</v>
      </c>
    </row>
    <row r="5" spans="1:45" ht="21" thickBot="1">
      <c r="B5" s="268" t="s">
        <v>469</v>
      </c>
      <c r="C5" s="267" t="s">
        <v>141</v>
      </c>
      <c r="D5" s="267"/>
      <c r="E5" s="266" t="s">
        <v>492</v>
      </c>
      <c r="F5" s="266" t="s">
        <v>492</v>
      </c>
      <c r="G5" s="266" t="s">
        <v>492</v>
      </c>
      <c r="H5" s="266" t="s">
        <v>492</v>
      </c>
      <c r="I5" s="266" t="s">
        <v>492</v>
      </c>
      <c r="J5" s="266" t="s">
        <v>492</v>
      </c>
      <c r="K5" s="266" t="s">
        <v>492</v>
      </c>
      <c r="L5" s="266" t="s">
        <v>492</v>
      </c>
      <c r="M5" s="266" t="s">
        <v>492</v>
      </c>
      <c r="N5" s="266" t="s">
        <v>492</v>
      </c>
      <c r="O5" s="266" t="s">
        <v>492</v>
      </c>
      <c r="P5" s="266" t="s">
        <v>492</v>
      </c>
      <c r="Q5" s="266" t="s">
        <v>492</v>
      </c>
      <c r="R5" s="266" t="s">
        <v>492</v>
      </c>
      <c r="S5" s="266" t="s">
        <v>492</v>
      </c>
      <c r="T5" s="266" t="s">
        <v>492</v>
      </c>
      <c r="U5" s="266" t="s">
        <v>492</v>
      </c>
      <c r="V5" s="266" t="s">
        <v>492</v>
      </c>
      <c r="W5" s="266" t="s">
        <v>492</v>
      </c>
      <c r="X5" s="266" t="s">
        <v>492</v>
      </c>
      <c r="Y5" s="266" t="s">
        <v>492</v>
      </c>
      <c r="Z5" s="266" t="s">
        <v>492</v>
      </c>
      <c r="AA5" s="266" t="s">
        <v>492</v>
      </c>
      <c r="AB5" s="266" t="s">
        <v>492</v>
      </c>
      <c r="AC5" s="266" t="s">
        <v>492</v>
      </c>
      <c r="AD5" s="266" t="s">
        <v>492</v>
      </c>
      <c r="AE5" s="266" t="s">
        <v>492</v>
      </c>
      <c r="AF5" s="266" t="s">
        <v>492</v>
      </c>
      <c r="AG5" s="266" t="s">
        <v>492</v>
      </c>
      <c r="AH5" s="266" t="s">
        <v>492</v>
      </c>
      <c r="AI5" s="266" t="s">
        <v>492</v>
      </c>
      <c r="AJ5" s="266" t="s">
        <v>492</v>
      </c>
      <c r="AK5" s="266" t="s">
        <v>492</v>
      </c>
      <c r="AL5" s="266" t="s">
        <v>492</v>
      </c>
      <c r="AM5" s="266" t="s">
        <v>492</v>
      </c>
      <c r="AN5" s="266" t="s">
        <v>492</v>
      </c>
      <c r="AO5" s="266" t="s">
        <v>492</v>
      </c>
      <c r="AP5" s="266" t="s">
        <v>492</v>
      </c>
      <c r="AQ5" s="266" t="s">
        <v>492</v>
      </c>
      <c r="AR5" s="266" t="s">
        <v>492</v>
      </c>
      <c r="AS5" s="266" t="s">
        <v>492</v>
      </c>
    </row>
    <row r="6" spans="1:45">
      <c r="B6" s="263" t="s">
        <v>238</v>
      </c>
      <c r="C6" s="265" t="s">
        <v>140</v>
      </c>
      <c r="D6" s="263" t="s">
        <v>468</v>
      </c>
      <c r="E6" s="264">
        <f>E11/1000</f>
        <v>0.12956999999999999</v>
      </c>
      <c r="F6" s="264">
        <f t="shared" ref="F6:AS6" si="0">F11/1000</f>
        <v>0.11647</v>
      </c>
      <c r="G6" s="264">
        <f t="shared" si="0"/>
        <v>6.2899999999999998E-2</v>
      </c>
      <c r="H6" s="264">
        <f t="shared" si="0"/>
        <v>3.49E-2</v>
      </c>
      <c r="I6" s="264">
        <f t="shared" si="0"/>
        <v>4.4400000000000002E-2</v>
      </c>
      <c r="J6" s="264">
        <f t="shared" si="0"/>
        <v>5.5600000000000004E-2</v>
      </c>
      <c r="K6" s="264">
        <f t="shared" si="0"/>
        <v>3.9340524000000002E-2</v>
      </c>
      <c r="L6" s="264">
        <f t="shared" si="0"/>
        <v>4.0423484119345515E-2</v>
      </c>
      <c r="M6" s="264">
        <f t="shared" si="0"/>
        <v>4.1385948026948984E-2</v>
      </c>
      <c r="N6" s="264">
        <f t="shared" si="0"/>
        <v>0.19574638834999999</v>
      </c>
      <c r="O6" s="264">
        <f t="shared" si="0"/>
        <v>0.21442575100000003</v>
      </c>
      <c r="P6" s="264">
        <f t="shared" si="0"/>
        <v>0.25416623663429561</v>
      </c>
      <c r="Q6" s="264">
        <f t="shared" si="0"/>
        <v>0.26172203669931476</v>
      </c>
      <c r="R6" s="264">
        <f t="shared" si="0"/>
        <v>0.26950235137821066</v>
      </c>
      <c r="S6" s="264">
        <f t="shared" si="0"/>
        <v>0.27751395555810943</v>
      </c>
      <c r="T6" s="264">
        <f t="shared" si="0"/>
        <v>0.28576379564226695</v>
      </c>
      <c r="U6" s="264">
        <f t="shared" si="0"/>
        <v>0.29425881803393916</v>
      </c>
      <c r="V6" s="264">
        <f t="shared" si="0"/>
        <v>0.30300639792670647</v>
      </c>
      <c r="W6" s="264">
        <f t="shared" si="0"/>
        <v>0.31201399627221399</v>
      </c>
      <c r="X6" s="264">
        <f t="shared" si="0"/>
        <v>0.3212894170543667</v>
      </c>
      <c r="Y6" s="264">
        <f t="shared" si="0"/>
        <v>0.33084055001513429</v>
      </c>
      <c r="Z6" s="264">
        <f t="shared" si="0"/>
        <v>0.33084055001513429</v>
      </c>
      <c r="AA6" s="264">
        <f t="shared" si="0"/>
        <v>0.33084055001513429</v>
      </c>
      <c r="AB6" s="264">
        <f t="shared" si="0"/>
        <v>0.33084055001513429</v>
      </c>
      <c r="AC6" s="264">
        <f t="shared" si="0"/>
        <v>0.33084055001513429</v>
      </c>
      <c r="AD6" s="264">
        <f t="shared" si="0"/>
        <v>0.33274508650000001</v>
      </c>
      <c r="AE6" s="264">
        <f t="shared" si="0"/>
        <v>0.3426367495</v>
      </c>
      <c r="AF6" s="264">
        <f t="shared" si="0"/>
        <v>0.35282246399999995</v>
      </c>
      <c r="AG6" s="264">
        <f t="shared" si="0"/>
        <v>0.36331102099999996</v>
      </c>
      <c r="AH6" s="264">
        <f t="shared" si="0"/>
        <v>0.37411136049999999</v>
      </c>
      <c r="AI6" s="264">
        <f t="shared" si="0"/>
        <v>0.38523279500000002</v>
      </c>
      <c r="AJ6" s="264">
        <f t="shared" si="0"/>
        <v>0.39416080050000002</v>
      </c>
      <c r="AK6" s="264">
        <f t="shared" si="0"/>
        <v>0.40308880599999997</v>
      </c>
      <c r="AL6" s="264">
        <f t="shared" si="0"/>
        <v>0.41201681149999997</v>
      </c>
      <c r="AM6" s="264">
        <f t="shared" si="0"/>
        <v>0.42094481699999997</v>
      </c>
      <c r="AN6" s="264">
        <f t="shared" si="0"/>
        <v>0.42987282249999992</v>
      </c>
      <c r="AO6" s="264">
        <f t="shared" si="0"/>
        <v>0.43880082799999992</v>
      </c>
      <c r="AP6" s="264">
        <f t="shared" si="0"/>
        <v>0.44772883349999987</v>
      </c>
      <c r="AQ6" s="264">
        <f t="shared" si="0"/>
        <v>0.45665683899999987</v>
      </c>
      <c r="AR6" s="264">
        <f t="shared" si="0"/>
        <v>0.46558484449999987</v>
      </c>
      <c r="AS6" s="264">
        <f t="shared" si="0"/>
        <v>0.47451284999999982</v>
      </c>
    </row>
    <row r="7" spans="1:45">
      <c r="B7" s="263" t="s">
        <v>236</v>
      </c>
      <c r="C7" s="265" t="s">
        <v>140</v>
      </c>
      <c r="D7" s="263" t="s">
        <v>468</v>
      </c>
      <c r="E7" s="264">
        <f>E24/1000</f>
        <v>0.16369999999999998</v>
      </c>
      <c r="F7" s="264">
        <f t="shared" ref="F7:AS7" si="1">F24/1000</f>
        <v>0.16569999999999999</v>
      </c>
      <c r="G7" s="264">
        <f t="shared" si="1"/>
        <v>0.1648</v>
      </c>
      <c r="H7" s="264">
        <f t="shared" si="1"/>
        <v>0.16500000000000001</v>
      </c>
      <c r="I7" s="264">
        <f t="shared" si="1"/>
        <v>0.16689999999999999</v>
      </c>
      <c r="J7" s="264">
        <f t="shared" si="1"/>
        <v>0.16819999999999999</v>
      </c>
      <c r="K7" s="264">
        <f t="shared" si="1"/>
        <v>0.1677346232179226</v>
      </c>
      <c r="L7" s="264">
        <f t="shared" si="1"/>
        <v>0.1677346232179226</v>
      </c>
      <c r="M7" s="264">
        <f t="shared" si="1"/>
        <v>0.1677346232179226</v>
      </c>
      <c r="N7" s="264">
        <f t="shared" si="1"/>
        <v>0.19574638834999999</v>
      </c>
      <c r="O7" s="264">
        <f t="shared" si="1"/>
        <v>0.21442575100000003</v>
      </c>
      <c r="P7" s="264">
        <f t="shared" si="1"/>
        <v>0.22080004550000001</v>
      </c>
      <c r="Q7" s="264">
        <f t="shared" si="1"/>
        <v>0.2273639425</v>
      </c>
      <c r="R7" s="264">
        <f t="shared" si="1"/>
        <v>0.23412288050000002</v>
      </c>
      <c r="S7" s="264">
        <f t="shared" si="1"/>
        <v>0.24108274500000001</v>
      </c>
      <c r="T7" s="264">
        <f t="shared" si="1"/>
        <v>0.24824957050000004</v>
      </c>
      <c r="U7" s="264">
        <f t="shared" si="1"/>
        <v>0.25562939149999997</v>
      </c>
      <c r="V7" s="264">
        <f t="shared" si="1"/>
        <v>0.26322861500000005</v>
      </c>
      <c r="W7" s="264">
        <f t="shared" si="1"/>
        <v>0.27105372249999998</v>
      </c>
      <c r="X7" s="264">
        <f t="shared" si="1"/>
        <v>0.27911149349999997</v>
      </c>
      <c r="Y7" s="264">
        <f t="shared" si="1"/>
        <v>0.28740878200000003</v>
      </c>
      <c r="Z7" s="264">
        <f t="shared" si="1"/>
        <v>0.29595273999999999</v>
      </c>
      <c r="AA7" s="264">
        <f t="shared" si="1"/>
        <v>0.30475066849999999</v>
      </c>
      <c r="AB7" s="264">
        <f t="shared" si="1"/>
        <v>0.31381016649999999</v>
      </c>
      <c r="AC7" s="264">
        <f t="shared" si="1"/>
        <v>0.32313898200000007</v>
      </c>
      <c r="AD7" s="264">
        <f t="shared" si="1"/>
        <v>0.33274508650000001</v>
      </c>
      <c r="AE7" s="264">
        <f t="shared" si="1"/>
        <v>0.3426367495</v>
      </c>
      <c r="AF7" s="264">
        <f t="shared" si="1"/>
        <v>0.35282246399999995</v>
      </c>
      <c r="AG7" s="264">
        <f t="shared" si="1"/>
        <v>0.36331102099999996</v>
      </c>
      <c r="AH7" s="264">
        <f t="shared" si="1"/>
        <v>0.37411136049999999</v>
      </c>
      <c r="AI7" s="264">
        <f t="shared" si="1"/>
        <v>0.38523279500000002</v>
      </c>
      <c r="AJ7" s="264">
        <f t="shared" si="1"/>
        <v>0.39416080050000002</v>
      </c>
      <c r="AK7" s="264">
        <f t="shared" si="1"/>
        <v>0.40308880599999997</v>
      </c>
      <c r="AL7" s="264">
        <f t="shared" si="1"/>
        <v>0.41201681149999997</v>
      </c>
      <c r="AM7" s="264">
        <f t="shared" si="1"/>
        <v>0.42094481699999997</v>
      </c>
      <c r="AN7" s="264">
        <f t="shared" si="1"/>
        <v>0.42987282249999992</v>
      </c>
      <c r="AO7" s="264">
        <f t="shared" si="1"/>
        <v>0.43880082799999992</v>
      </c>
      <c r="AP7" s="264">
        <f t="shared" si="1"/>
        <v>0.44772883349999987</v>
      </c>
      <c r="AQ7" s="264">
        <f t="shared" si="1"/>
        <v>0.45665683899999987</v>
      </c>
      <c r="AR7" s="264">
        <f t="shared" si="1"/>
        <v>0.46558484449999987</v>
      </c>
      <c r="AS7" s="264">
        <f t="shared" si="1"/>
        <v>0.47451284999999982</v>
      </c>
    </row>
    <row r="8" spans="1:45">
      <c r="B8" s="251"/>
      <c r="C8" s="251"/>
      <c r="D8" s="251"/>
      <c r="E8" s="251"/>
      <c r="F8" s="251"/>
      <c r="G8" s="251"/>
      <c r="H8" s="251"/>
      <c r="I8" s="251"/>
      <c r="J8" s="251"/>
      <c r="K8" s="251"/>
      <c r="L8" s="251"/>
      <c r="M8" s="251"/>
      <c r="N8" s="251"/>
      <c r="O8" s="251"/>
      <c r="P8" s="251"/>
      <c r="Q8" s="251"/>
      <c r="R8" s="251"/>
      <c r="S8" s="251"/>
      <c r="T8" s="251"/>
      <c r="U8" s="251"/>
      <c r="V8" s="251"/>
      <c r="W8" s="251"/>
      <c r="X8" s="251"/>
      <c r="Y8" s="251"/>
      <c r="Z8" s="251"/>
      <c r="AA8" s="251"/>
      <c r="AB8" s="251"/>
      <c r="AC8" s="251"/>
      <c r="AD8" s="251"/>
      <c r="AE8" s="251"/>
      <c r="AF8" s="251"/>
      <c r="AG8" s="251"/>
      <c r="AH8" s="251"/>
      <c r="AI8" s="251"/>
      <c r="AJ8" s="251"/>
      <c r="AK8" s="251"/>
      <c r="AL8" s="251"/>
      <c r="AM8" s="251"/>
      <c r="AN8" s="251"/>
      <c r="AO8" s="251"/>
      <c r="AP8" s="251"/>
      <c r="AQ8" s="251"/>
      <c r="AR8" s="251"/>
      <c r="AS8" s="251"/>
    </row>
    <row r="9" spans="1:45" ht="15" thickBot="1">
      <c r="B9" s="251"/>
      <c r="C9" s="251"/>
      <c r="D9" s="251"/>
      <c r="E9" s="251"/>
      <c r="F9" s="251"/>
      <c r="G9" s="251"/>
      <c r="H9" s="251"/>
      <c r="I9" s="251"/>
      <c r="J9" s="251"/>
      <c r="K9" s="251"/>
      <c r="L9" s="251"/>
      <c r="M9" s="251"/>
      <c r="N9" s="251"/>
      <c r="O9" s="251"/>
      <c r="P9" s="251"/>
      <c r="Q9" s="251"/>
      <c r="R9" s="251"/>
      <c r="S9" s="251"/>
      <c r="T9" s="251"/>
      <c r="U9" s="251"/>
      <c r="V9" s="251"/>
      <c r="W9" s="251"/>
      <c r="X9" s="251"/>
      <c r="Y9" s="251"/>
      <c r="Z9" s="251"/>
      <c r="AA9" s="251"/>
      <c r="AB9" s="251"/>
      <c r="AC9" s="251"/>
      <c r="AD9" s="251"/>
      <c r="AE9" s="251"/>
      <c r="AF9" s="251"/>
      <c r="AG9" s="251"/>
      <c r="AH9" s="251"/>
      <c r="AI9" s="251"/>
      <c r="AJ9" s="251"/>
      <c r="AK9" s="251"/>
      <c r="AL9" s="251"/>
      <c r="AM9" s="251"/>
      <c r="AN9" s="251"/>
      <c r="AO9" s="251"/>
      <c r="AP9" s="251"/>
      <c r="AQ9" s="251"/>
      <c r="AR9" s="251"/>
      <c r="AS9" s="251"/>
    </row>
    <row r="10" spans="1:45">
      <c r="B10" s="339" t="s">
        <v>506</v>
      </c>
      <c r="C10" s="340"/>
      <c r="D10" s="341"/>
      <c r="E10" s="342">
        <v>2010</v>
      </c>
      <c r="F10" s="342">
        <v>2011</v>
      </c>
      <c r="G10" s="342">
        <v>2012</v>
      </c>
      <c r="H10" s="342">
        <v>2013</v>
      </c>
      <c r="I10" s="342">
        <v>2014</v>
      </c>
      <c r="J10" s="342">
        <v>2015</v>
      </c>
      <c r="K10" s="342">
        <v>2016</v>
      </c>
      <c r="L10" s="342">
        <v>2017</v>
      </c>
      <c r="M10" s="342">
        <v>2018</v>
      </c>
      <c r="N10" s="342">
        <v>2019</v>
      </c>
      <c r="O10" s="342">
        <v>2020</v>
      </c>
      <c r="P10" s="342">
        <v>2021</v>
      </c>
      <c r="Q10" s="342">
        <v>2022</v>
      </c>
      <c r="R10" s="342">
        <v>2023</v>
      </c>
      <c r="S10" s="342">
        <v>2024</v>
      </c>
      <c r="T10" s="342">
        <v>2025</v>
      </c>
      <c r="U10" s="342">
        <v>2026</v>
      </c>
      <c r="V10" s="342">
        <v>2027</v>
      </c>
      <c r="W10" s="342">
        <v>2028</v>
      </c>
      <c r="X10" s="342">
        <v>2029</v>
      </c>
      <c r="Y10" s="342">
        <v>2030</v>
      </c>
      <c r="Z10" s="342">
        <v>2031</v>
      </c>
      <c r="AA10" s="342">
        <v>2032</v>
      </c>
      <c r="AB10" s="342">
        <v>2033</v>
      </c>
      <c r="AC10" s="342">
        <v>2034</v>
      </c>
      <c r="AD10" s="342">
        <v>2035</v>
      </c>
      <c r="AE10" s="342">
        <v>2036</v>
      </c>
      <c r="AF10" s="342">
        <v>2037</v>
      </c>
      <c r="AG10" s="342">
        <v>2038</v>
      </c>
      <c r="AH10" s="342">
        <v>2039</v>
      </c>
      <c r="AI10" s="342">
        <v>2040</v>
      </c>
      <c r="AJ10" s="342">
        <v>2041</v>
      </c>
      <c r="AK10" s="342">
        <v>2042</v>
      </c>
      <c r="AL10" s="342">
        <v>2043</v>
      </c>
      <c r="AM10" s="342">
        <v>2044</v>
      </c>
      <c r="AN10" s="342">
        <v>2045</v>
      </c>
      <c r="AO10" s="342">
        <v>2046</v>
      </c>
      <c r="AP10" s="342">
        <v>2047</v>
      </c>
      <c r="AQ10" s="342">
        <v>2048</v>
      </c>
      <c r="AR10" s="342">
        <v>2049</v>
      </c>
      <c r="AS10" s="343">
        <v>2050</v>
      </c>
    </row>
    <row r="11" spans="1:45">
      <c r="B11" s="344" t="s">
        <v>507</v>
      </c>
      <c r="C11" s="345"/>
      <c r="D11" s="345"/>
      <c r="E11" s="345">
        <v>129.57</v>
      </c>
      <c r="F11" s="345">
        <v>116.47</v>
      </c>
      <c r="G11" s="345">
        <v>62.9</v>
      </c>
      <c r="H11" s="345">
        <v>34.9</v>
      </c>
      <c r="I11" s="345">
        <v>44.4</v>
      </c>
      <c r="J11" s="345">
        <v>55.6</v>
      </c>
      <c r="K11" s="345">
        <v>39.340524000000002</v>
      </c>
      <c r="L11" s="346">
        <f>L32</f>
        <v>40.423484119345517</v>
      </c>
      <c r="M11" s="346">
        <f t="shared" ref="M11" si="2">M32</f>
        <v>41.385948026948981</v>
      </c>
      <c r="N11" s="428">
        <v>195.74638834999999</v>
      </c>
      <c r="O11" s="428">
        <v>214.42575100000002</v>
      </c>
      <c r="P11" s="428">
        <v>254.16623663429559</v>
      </c>
      <c r="Q11" s="428">
        <v>261.72203669931474</v>
      </c>
      <c r="R11" s="428">
        <v>269.50235137821068</v>
      </c>
      <c r="S11" s="428">
        <v>277.51395555810944</v>
      </c>
      <c r="T11" s="428">
        <v>285.76379564226693</v>
      </c>
      <c r="U11" s="428">
        <v>294.25881803393918</v>
      </c>
      <c r="V11" s="428">
        <v>303.00639792670648</v>
      </c>
      <c r="W11" s="428">
        <v>312.013996272214</v>
      </c>
      <c r="X11" s="428">
        <v>321.28941705436671</v>
      </c>
      <c r="Y11" s="428">
        <v>330.84055001513428</v>
      </c>
      <c r="Z11" s="428">
        <v>330.84055001513428</v>
      </c>
      <c r="AA11" s="428">
        <v>330.84055001513428</v>
      </c>
      <c r="AB11" s="428">
        <v>330.84055001513428</v>
      </c>
      <c r="AC11" s="428">
        <v>330.84055001513428</v>
      </c>
      <c r="AD11" s="428">
        <v>332.74508650000001</v>
      </c>
      <c r="AE11" s="428">
        <v>342.63674950000001</v>
      </c>
      <c r="AF11" s="428">
        <v>352.82246399999997</v>
      </c>
      <c r="AG11" s="428">
        <v>363.31102099999998</v>
      </c>
      <c r="AH11" s="428">
        <v>374.11136049999999</v>
      </c>
      <c r="AI11" s="427">
        <v>385.23279500000001</v>
      </c>
      <c r="AJ11" s="427">
        <f>($AI$24-$Z$24)/10+AI11</f>
        <v>394.16080049999999</v>
      </c>
      <c r="AK11" s="427">
        <f t="shared" ref="AK11:AS11" si="3">($AI$24-$Z$24)/10+AJ11</f>
        <v>403.08880599999998</v>
      </c>
      <c r="AL11" s="427">
        <f t="shared" si="3"/>
        <v>412.01681149999996</v>
      </c>
      <c r="AM11" s="427">
        <f t="shared" si="3"/>
        <v>420.94481699999994</v>
      </c>
      <c r="AN11" s="427">
        <f t="shared" si="3"/>
        <v>429.87282249999993</v>
      </c>
      <c r="AO11" s="427">
        <f t="shared" si="3"/>
        <v>438.80082799999991</v>
      </c>
      <c r="AP11" s="427">
        <f t="shared" si="3"/>
        <v>447.72883349999989</v>
      </c>
      <c r="AQ11" s="427">
        <f t="shared" si="3"/>
        <v>456.65683899999988</v>
      </c>
      <c r="AR11" s="427">
        <f t="shared" si="3"/>
        <v>465.58484449999986</v>
      </c>
      <c r="AS11" s="427">
        <f t="shared" si="3"/>
        <v>474.51284999999984</v>
      </c>
    </row>
    <row r="12" spans="1:45">
      <c r="B12" s="347" t="s">
        <v>608</v>
      </c>
      <c r="C12" s="348"/>
      <c r="D12" s="348"/>
      <c r="E12" s="348"/>
      <c r="F12" s="348"/>
      <c r="G12" s="348"/>
      <c r="H12" s="348"/>
      <c r="I12" s="348"/>
      <c r="J12" s="348"/>
      <c r="K12" s="348"/>
      <c r="L12" s="348"/>
      <c r="M12" s="348"/>
      <c r="N12" s="348"/>
      <c r="O12" s="348"/>
      <c r="P12" s="348"/>
      <c r="Q12" s="348"/>
      <c r="R12" s="348"/>
      <c r="S12" s="348"/>
      <c r="T12" s="348"/>
      <c r="U12" s="348"/>
      <c r="V12" s="348"/>
      <c r="W12" s="348"/>
      <c r="X12" s="348"/>
      <c r="Y12" s="348"/>
      <c r="Z12" s="348"/>
      <c r="AA12" s="348"/>
      <c r="AB12" s="348"/>
      <c r="AC12" s="348"/>
      <c r="AD12" s="348"/>
      <c r="AE12" s="348"/>
      <c r="AF12" s="348"/>
      <c r="AG12" s="348"/>
      <c r="AH12" s="348"/>
      <c r="AI12" s="348"/>
      <c r="AJ12" s="348"/>
      <c r="AK12" s="348"/>
      <c r="AL12" s="348"/>
      <c r="AM12" s="348"/>
      <c r="AN12" s="348"/>
      <c r="AO12" s="348"/>
      <c r="AP12" s="348"/>
      <c r="AQ12" s="348"/>
      <c r="AR12" s="348"/>
      <c r="AS12" s="348"/>
    </row>
    <row r="13" spans="1:45">
      <c r="B13" s="349" t="s">
        <v>609</v>
      </c>
      <c r="C13" s="348"/>
      <c r="D13" s="348"/>
      <c r="E13" s="348"/>
      <c r="F13" s="348"/>
      <c r="G13" s="348"/>
      <c r="H13" s="348"/>
      <c r="I13" s="348"/>
      <c r="J13" s="348"/>
      <c r="K13" s="348"/>
      <c r="L13" s="348"/>
      <c r="M13" s="348"/>
      <c r="N13" s="348"/>
      <c r="O13" s="350"/>
      <c r="P13" s="348"/>
      <c r="Q13" s="348"/>
      <c r="R13" s="348"/>
      <c r="S13" s="348"/>
      <c r="T13" s="348"/>
      <c r="U13" s="348"/>
      <c r="V13" s="348"/>
      <c r="W13" s="348"/>
      <c r="X13" s="348"/>
      <c r="Y13" s="348"/>
      <c r="Z13" s="348"/>
      <c r="AA13" s="348"/>
      <c r="AB13" s="348"/>
      <c r="AC13" s="348"/>
      <c r="AD13" s="348"/>
      <c r="AE13" s="348"/>
      <c r="AF13" s="348"/>
      <c r="AG13" s="348"/>
      <c r="AH13" s="348"/>
      <c r="AI13" s="348"/>
      <c r="AJ13" s="348"/>
      <c r="AK13" s="348"/>
      <c r="AL13" s="348"/>
      <c r="AM13" s="348"/>
      <c r="AN13" s="348"/>
      <c r="AO13" s="348"/>
      <c r="AP13" s="348"/>
      <c r="AQ13" s="348"/>
      <c r="AR13" s="348"/>
      <c r="AS13" s="348"/>
    </row>
    <row r="14" spans="1:45">
      <c r="B14" s="349"/>
      <c r="C14" s="348"/>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48"/>
      <c r="AE14" s="348"/>
      <c r="AF14" s="348"/>
      <c r="AG14" s="348"/>
      <c r="AH14" s="348"/>
      <c r="AI14" s="348"/>
      <c r="AJ14" s="348"/>
      <c r="AK14" s="348"/>
      <c r="AL14" s="348"/>
      <c r="AM14" s="348"/>
      <c r="AN14" s="348"/>
      <c r="AO14" s="348"/>
      <c r="AP14" s="348"/>
      <c r="AQ14" s="348"/>
      <c r="AR14" s="348"/>
      <c r="AS14" s="351"/>
    </row>
    <row r="15" spans="1:45" ht="15" thickBot="1">
      <c r="B15" s="352"/>
      <c r="C15" s="353"/>
      <c r="D15" s="353"/>
      <c r="E15" s="353"/>
      <c r="F15" s="353"/>
      <c r="G15" s="353"/>
      <c r="H15" s="353"/>
      <c r="I15" s="353"/>
      <c r="J15" s="353"/>
      <c r="K15" s="353"/>
      <c r="L15" s="353"/>
      <c r="M15" s="353"/>
      <c r="N15" s="353"/>
      <c r="O15" s="353"/>
      <c r="P15" s="353"/>
      <c r="Q15" s="353"/>
      <c r="R15" s="353"/>
      <c r="S15" s="353"/>
      <c r="T15" s="353"/>
      <c r="U15" s="353"/>
      <c r="V15" s="353"/>
      <c r="W15" s="353"/>
      <c r="X15" s="353"/>
      <c r="Y15" s="353"/>
      <c r="Z15" s="353"/>
      <c r="AA15" s="353"/>
      <c r="AB15" s="353"/>
      <c r="AC15" s="353"/>
      <c r="AD15" s="353"/>
      <c r="AE15" s="353"/>
      <c r="AF15" s="353"/>
      <c r="AG15" s="353"/>
      <c r="AH15" s="353"/>
      <c r="AI15" s="353"/>
      <c r="AJ15" s="353"/>
      <c r="AK15" s="353"/>
      <c r="AL15" s="353"/>
      <c r="AM15" s="353"/>
      <c r="AN15" s="353"/>
      <c r="AO15" s="353"/>
      <c r="AP15" s="353"/>
      <c r="AQ15" s="353"/>
      <c r="AR15" s="353"/>
      <c r="AS15" s="354"/>
    </row>
    <row r="16" spans="1:45" ht="15" thickBot="1">
      <c r="B16" s="251"/>
      <c r="C16" s="251"/>
      <c r="D16" s="251"/>
      <c r="E16" s="251"/>
      <c r="F16" s="251"/>
      <c r="G16" s="251"/>
      <c r="H16" s="251"/>
      <c r="I16" s="251"/>
      <c r="J16" s="251"/>
      <c r="K16" s="251"/>
      <c r="L16" s="251"/>
      <c r="M16" s="251"/>
      <c r="N16" s="251"/>
      <c r="O16" s="251"/>
      <c r="P16" s="251"/>
      <c r="Q16" s="251"/>
      <c r="R16" s="251"/>
      <c r="S16" s="251"/>
      <c r="T16" s="251"/>
      <c r="U16" s="251"/>
      <c r="V16" s="251"/>
      <c r="W16" s="251"/>
      <c r="X16" s="251"/>
      <c r="Y16" s="251"/>
      <c r="Z16" s="251"/>
      <c r="AA16" s="251"/>
      <c r="AB16" s="251"/>
      <c r="AC16" s="251"/>
      <c r="AD16" s="251"/>
      <c r="AE16" s="251"/>
      <c r="AF16" s="251"/>
      <c r="AG16" s="251"/>
      <c r="AH16" s="251"/>
      <c r="AI16" s="251"/>
      <c r="AJ16" s="251"/>
      <c r="AK16" s="251"/>
      <c r="AL16" s="251"/>
      <c r="AM16" s="251"/>
      <c r="AN16" s="251"/>
      <c r="AO16" s="251"/>
      <c r="AP16" s="251"/>
      <c r="AQ16" s="251"/>
      <c r="AR16" s="251"/>
      <c r="AS16" s="251"/>
    </row>
    <row r="17" spans="2:45">
      <c r="B17" s="282" t="s">
        <v>508</v>
      </c>
      <c r="C17" s="270" t="s">
        <v>509</v>
      </c>
      <c r="D17" s="270"/>
      <c r="E17" s="270"/>
      <c r="F17" s="270"/>
      <c r="G17" s="281"/>
      <c r="H17" s="281"/>
      <c r="I17" s="281"/>
      <c r="J17" s="281"/>
      <c r="K17" s="281"/>
      <c r="L17" s="281"/>
      <c r="M17" s="281"/>
      <c r="N17" s="281"/>
      <c r="O17" s="281"/>
      <c r="P17" s="281"/>
      <c r="Q17" s="281"/>
      <c r="R17" s="281"/>
      <c r="S17" s="281"/>
      <c r="T17" s="281"/>
      <c r="U17" s="281"/>
      <c r="V17" s="281"/>
      <c r="W17" s="281"/>
      <c r="X17" s="281"/>
      <c r="Y17" s="281"/>
      <c r="Z17" s="281"/>
      <c r="AA17" s="281"/>
      <c r="AB17" s="281"/>
      <c r="AC17" s="281"/>
      <c r="AD17" s="281"/>
      <c r="AE17" s="281"/>
      <c r="AF17" s="281"/>
      <c r="AG17" s="281"/>
      <c r="AH17" s="281"/>
      <c r="AI17" s="281"/>
      <c r="AJ17" s="281"/>
      <c r="AK17" s="281"/>
      <c r="AL17" s="281"/>
      <c r="AM17" s="281"/>
      <c r="AN17" s="281"/>
      <c r="AO17" s="281"/>
      <c r="AP17" s="281"/>
      <c r="AQ17" s="281"/>
      <c r="AR17" s="280"/>
      <c r="AS17" s="256"/>
    </row>
    <row r="18" spans="2:45">
      <c r="B18" s="279" t="s">
        <v>510</v>
      </c>
      <c r="C18" s="285" t="s">
        <v>511</v>
      </c>
      <c r="D18" s="285"/>
      <c r="E18" s="285"/>
      <c r="F18" s="285"/>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c r="AK18" s="278"/>
      <c r="AL18" s="278"/>
      <c r="AM18" s="278"/>
      <c r="AN18" s="278"/>
      <c r="AO18" s="278"/>
      <c r="AP18" s="278"/>
      <c r="AQ18" s="278"/>
      <c r="AR18" s="269"/>
      <c r="AS18" s="255"/>
    </row>
    <row r="19" spans="2:45">
      <c r="B19" s="279" t="s">
        <v>512</v>
      </c>
      <c r="C19" s="285" t="s">
        <v>513</v>
      </c>
      <c r="D19" s="285"/>
      <c r="E19" s="285"/>
      <c r="F19" s="285"/>
      <c r="G19" s="278"/>
      <c r="H19" s="278"/>
      <c r="I19" s="278"/>
      <c r="J19" s="278"/>
      <c r="K19" s="278"/>
      <c r="L19" s="278"/>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c r="AK19" s="278"/>
      <c r="AL19" s="278"/>
      <c r="AM19" s="278"/>
      <c r="AN19" s="278"/>
      <c r="AO19" s="278"/>
      <c r="AP19" s="278"/>
      <c r="AQ19" s="278"/>
      <c r="AR19" s="269"/>
      <c r="AS19" s="255"/>
    </row>
    <row r="20" spans="2:45">
      <c r="B20" s="279" t="s">
        <v>514</v>
      </c>
      <c r="C20" s="285" t="s">
        <v>515</v>
      </c>
      <c r="D20" s="278"/>
      <c r="E20" s="278"/>
      <c r="F20" s="278"/>
      <c r="G20" s="278"/>
      <c r="H20" s="278"/>
      <c r="I20" s="278"/>
      <c r="J20" s="278"/>
      <c r="K20" s="278"/>
      <c r="L20" s="278"/>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c r="AK20" s="278"/>
      <c r="AL20" s="278"/>
      <c r="AM20" s="278"/>
      <c r="AN20" s="278"/>
      <c r="AO20" s="278"/>
      <c r="AP20" s="278"/>
      <c r="AQ20" s="278"/>
      <c r="AR20" s="269"/>
      <c r="AS20" s="255"/>
    </row>
    <row r="21" spans="2:45">
      <c r="B21" s="279" t="s">
        <v>516</v>
      </c>
      <c r="C21" s="277">
        <v>42430</v>
      </c>
      <c r="D21" s="285"/>
      <c r="E21" s="285"/>
      <c r="F21" s="285"/>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276"/>
    </row>
    <row r="22" spans="2:45">
      <c r="B22" s="279" t="s">
        <v>517</v>
      </c>
      <c r="C22" s="277" t="s">
        <v>518</v>
      </c>
      <c r="D22" s="278"/>
      <c r="E22" s="278"/>
      <c r="F22" s="278"/>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278"/>
      <c r="AN22" s="278"/>
      <c r="AO22" s="278"/>
      <c r="AP22" s="278"/>
      <c r="AQ22" s="278"/>
      <c r="AR22" s="278"/>
      <c r="AS22" s="276"/>
    </row>
    <row r="23" spans="2:45">
      <c r="B23" s="274" t="s">
        <v>506</v>
      </c>
      <c r="C23" s="273"/>
      <c r="D23" s="273"/>
      <c r="E23" s="272">
        <v>2010</v>
      </c>
      <c r="F23" s="272">
        <v>2011</v>
      </c>
      <c r="G23" s="272">
        <v>2012</v>
      </c>
      <c r="H23" s="272">
        <v>2013</v>
      </c>
      <c r="I23" s="272">
        <v>2014</v>
      </c>
      <c r="J23" s="272">
        <v>2015</v>
      </c>
      <c r="K23" s="272">
        <v>2016</v>
      </c>
      <c r="L23" s="272">
        <v>2017</v>
      </c>
      <c r="M23" s="272">
        <v>2018</v>
      </c>
      <c r="N23" s="272">
        <v>2019</v>
      </c>
      <c r="O23" s="272">
        <v>2020</v>
      </c>
      <c r="P23" s="272">
        <v>2021</v>
      </c>
      <c r="Q23" s="272">
        <v>2022</v>
      </c>
      <c r="R23" s="272">
        <v>2023</v>
      </c>
      <c r="S23" s="272">
        <v>2024</v>
      </c>
      <c r="T23" s="272">
        <v>2025</v>
      </c>
      <c r="U23" s="272">
        <v>2026</v>
      </c>
      <c r="V23" s="272">
        <v>2027</v>
      </c>
      <c r="W23" s="272">
        <v>2028</v>
      </c>
      <c r="X23" s="272">
        <v>2029</v>
      </c>
      <c r="Y23" s="272">
        <v>2030</v>
      </c>
      <c r="Z23" s="272">
        <v>2031</v>
      </c>
      <c r="AA23" s="272">
        <v>2032</v>
      </c>
      <c r="AB23" s="272">
        <v>2033</v>
      </c>
      <c r="AC23" s="272">
        <v>2034</v>
      </c>
      <c r="AD23" s="272">
        <v>2035</v>
      </c>
      <c r="AE23" s="272">
        <v>2036</v>
      </c>
      <c r="AF23" s="272">
        <v>2037</v>
      </c>
      <c r="AG23" s="272">
        <v>2038</v>
      </c>
      <c r="AH23" s="272">
        <v>2039</v>
      </c>
      <c r="AI23" s="272">
        <v>2040</v>
      </c>
      <c r="AJ23" s="272">
        <v>2041</v>
      </c>
      <c r="AK23" s="272">
        <v>2042</v>
      </c>
      <c r="AL23" s="272">
        <v>2043</v>
      </c>
      <c r="AM23" s="272">
        <v>2044</v>
      </c>
      <c r="AN23" s="272">
        <v>2045</v>
      </c>
      <c r="AO23" s="272">
        <v>2046</v>
      </c>
      <c r="AP23" s="272">
        <v>2047</v>
      </c>
      <c r="AQ23" s="272">
        <v>2048</v>
      </c>
      <c r="AR23" s="272">
        <v>2049</v>
      </c>
      <c r="AS23" s="271">
        <v>2050</v>
      </c>
    </row>
    <row r="24" spans="2:45" ht="15" thickBot="1">
      <c r="B24" s="284" t="s">
        <v>519</v>
      </c>
      <c r="C24" s="283"/>
      <c r="D24" s="283"/>
      <c r="E24" s="275">
        <v>163.69999999999999</v>
      </c>
      <c r="F24" s="275">
        <v>165.7</v>
      </c>
      <c r="G24" s="275">
        <v>164.8</v>
      </c>
      <c r="H24" s="275">
        <v>165</v>
      </c>
      <c r="I24" s="337">
        <v>166.9</v>
      </c>
      <c r="J24" s="337">
        <v>168.2</v>
      </c>
      <c r="K24" s="338">
        <f>K26*I31/K31</f>
        <v>167.7346232179226</v>
      </c>
      <c r="L24" s="338">
        <f>K24</f>
        <v>167.7346232179226</v>
      </c>
      <c r="M24" s="338">
        <f t="shared" ref="M24" si="4">L24</f>
        <v>167.7346232179226</v>
      </c>
      <c r="N24" s="429">
        <v>195.74638834999999</v>
      </c>
      <c r="O24" s="429">
        <v>214.42575100000002</v>
      </c>
      <c r="P24" s="429">
        <v>220.80004550000001</v>
      </c>
      <c r="Q24" s="429">
        <v>227.36394250000001</v>
      </c>
      <c r="R24" s="429">
        <v>234.12288050000001</v>
      </c>
      <c r="S24" s="429">
        <v>241.08274500000002</v>
      </c>
      <c r="T24" s="429">
        <v>248.24957050000003</v>
      </c>
      <c r="U24" s="429">
        <v>255.6293915</v>
      </c>
      <c r="V24" s="429">
        <v>263.22861500000005</v>
      </c>
      <c r="W24" s="429">
        <v>271.05372249999999</v>
      </c>
      <c r="X24" s="429">
        <v>279.11149349999999</v>
      </c>
      <c r="Y24" s="429">
        <v>287.40878200000003</v>
      </c>
      <c r="Z24" s="429">
        <v>295.95274000000001</v>
      </c>
      <c r="AA24" s="429">
        <v>304.75066849999996</v>
      </c>
      <c r="AB24" s="429">
        <v>313.81016649999998</v>
      </c>
      <c r="AC24" s="429">
        <v>323.13898200000006</v>
      </c>
      <c r="AD24" s="429">
        <v>332.74508650000001</v>
      </c>
      <c r="AE24" s="429">
        <v>342.63674950000001</v>
      </c>
      <c r="AF24" s="429">
        <v>352.82246399999997</v>
      </c>
      <c r="AG24" s="429">
        <v>363.31102099999998</v>
      </c>
      <c r="AH24" s="429">
        <v>374.11136049999999</v>
      </c>
      <c r="AI24" s="429">
        <v>385.23279500000001</v>
      </c>
      <c r="AJ24" s="430">
        <f>($AI$24-$Z$24)/10+AI24</f>
        <v>394.16080049999999</v>
      </c>
      <c r="AK24" s="430">
        <f t="shared" ref="AK24:AR24" si="5">($AI$24-$Z$24)/10+AJ24</f>
        <v>403.08880599999998</v>
      </c>
      <c r="AL24" s="430">
        <f t="shared" si="5"/>
        <v>412.01681149999996</v>
      </c>
      <c r="AM24" s="430">
        <f t="shared" si="5"/>
        <v>420.94481699999994</v>
      </c>
      <c r="AN24" s="430">
        <f t="shared" si="5"/>
        <v>429.87282249999993</v>
      </c>
      <c r="AO24" s="430">
        <f t="shared" si="5"/>
        <v>438.80082799999991</v>
      </c>
      <c r="AP24" s="430">
        <f t="shared" si="5"/>
        <v>447.72883349999989</v>
      </c>
      <c r="AQ24" s="430">
        <f t="shared" si="5"/>
        <v>456.65683899999988</v>
      </c>
      <c r="AR24" s="430">
        <f t="shared" si="5"/>
        <v>465.58484449999986</v>
      </c>
      <c r="AS24" s="430">
        <f>($AI$24-$Z$24)/10+AR24</f>
        <v>474.51284999999984</v>
      </c>
    </row>
    <row r="25" spans="2:45">
      <c r="I25" s="335"/>
      <c r="J25" s="335"/>
      <c r="K25" s="335"/>
      <c r="L25" s="335"/>
      <c r="M25" s="335"/>
      <c r="N25" s="335"/>
      <c r="O25" s="335"/>
      <c r="P25" s="335"/>
      <c r="Q25" s="335"/>
      <c r="R25" s="335"/>
      <c r="S25" s="335"/>
      <c r="T25" s="335"/>
      <c r="U25" s="335"/>
      <c r="V25" s="335"/>
      <c r="W25" s="335"/>
      <c r="X25" s="335"/>
      <c r="Y25" s="335"/>
      <c r="Z25" s="335"/>
      <c r="AA25" s="335"/>
      <c r="AB25" s="335"/>
      <c r="AC25" s="335"/>
      <c r="AD25" s="335"/>
      <c r="AE25" s="335"/>
      <c r="AF25" s="335"/>
      <c r="AG25" s="335"/>
      <c r="AH25" s="335"/>
      <c r="AI25" s="335"/>
      <c r="AJ25" s="335"/>
      <c r="AK25" s="335"/>
      <c r="AL25" s="335"/>
      <c r="AM25" s="335"/>
      <c r="AN25" s="335"/>
      <c r="AO25" s="335"/>
      <c r="AP25" s="335"/>
      <c r="AQ25" s="335"/>
      <c r="AR25" s="335"/>
      <c r="AS25" s="335"/>
    </row>
    <row r="26" spans="2:45">
      <c r="I26" s="336" t="s">
        <v>236</v>
      </c>
      <c r="J26" s="336"/>
      <c r="K26" s="335">
        <v>171.4</v>
      </c>
      <c r="L26" s="336" t="s">
        <v>607</v>
      </c>
      <c r="M26" s="335">
        <v>2016</v>
      </c>
      <c r="N26" s="335"/>
      <c r="O26" s="335"/>
      <c r="P26" s="335"/>
      <c r="Q26" s="335"/>
      <c r="R26" s="335"/>
      <c r="S26" s="335"/>
      <c r="T26" s="335"/>
      <c r="U26" s="335"/>
      <c r="V26" s="335"/>
      <c r="W26" s="335"/>
      <c r="X26" s="335"/>
      <c r="Y26" s="335"/>
      <c r="Z26" s="335"/>
      <c r="AA26" s="335"/>
      <c r="AB26" s="335"/>
      <c r="AC26" s="335"/>
      <c r="AD26" s="335"/>
      <c r="AE26" s="335"/>
      <c r="AF26" s="335"/>
      <c r="AG26" s="335"/>
      <c r="AH26" s="335"/>
      <c r="AI26" s="335"/>
      <c r="AJ26" s="335"/>
      <c r="AK26" s="335"/>
      <c r="AL26" s="335"/>
      <c r="AM26" s="335"/>
      <c r="AN26" s="335"/>
      <c r="AO26" s="335"/>
      <c r="AP26" s="335"/>
      <c r="AQ26" s="335"/>
      <c r="AR26" s="335"/>
      <c r="AS26" s="335"/>
    </row>
    <row r="27" spans="2:45">
      <c r="I27" s="335"/>
      <c r="J27" s="335"/>
      <c r="K27" s="335"/>
      <c r="L27" s="335"/>
      <c r="M27" s="335"/>
      <c r="N27" s="335"/>
      <c r="O27" s="335"/>
      <c r="P27" s="335"/>
      <c r="Q27" s="335"/>
      <c r="R27" s="335"/>
      <c r="S27" s="335"/>
      <c r="T27" s="335"/>
      <c r="U27" s="335"/>
      <c r="V27" s="335"/>
      <c r="W27" s="335"/>
      <c r="X27" s="335"/>
      <c r="Y27" s="335"/>
      <c r="Z27" s="335"/>
      <c r="AA27" s="335"/>
      <c r="AB27" s="335"/>
      <c r="AC27" s="335"/>
      <c r="AD27" s="335"/>
      <c r="AE27" s="335"/>
      <c r="AF27" s="335"/>
      <c r="AG27" s="335"/>
      <c r="AH27" s="335"/>
      <c r="AI27" s="335"/>
      <c r="AJ27" s="335"/>
      <c r="AK27" s="335"/>
      <c r="AL27" s="335"/>
      <c r="AM27" s="335"/>
      <c r="AN27" s="335"/>
      <c r="AO27" s="335"/>
      <c r="AP27" s="335"/>
      <c r="AQ27" s="335"/>
      <c r="AR27" s="335"/>
      <c r="AS27" s="335"/>
    </row>
    <row r="28" spans="2:45">
      <c r="D28" s="334" t="s">
        <v>602</v>
      </c>
      <c r="E28" s="335"/>
      <c r="F28" s="335"/>
      <c r="G28" s="335"/>
      <c r="H28" s="335"/>
      <c r="I28" s="335"/>
      <c r="J28" s="335"/>
      <c r="K28" s="335"/>
      <c r="L28" s="335"/>
      <c r="M28" s="335"/>
      <c r="N28" s="335"/>
      <c r="O28" s="335"/>
      <c r="P28" s="335"/>
      <c r="Q28" s="335"/>
      <c r="R28" s="335"/>
      <c r="S28" s="335"/>
      <c r="T28" s="335"/>
      <c r="U28" s="335"/>
      <c r="V28" s="335"/>
      <c r="W28" s="335"/>
      <c r="X28" s="335"/>
      <c r="Y28" s="335"/>
      <c r="Z28" s="335"/>
      <c r="AA28" s="335"/>
      <c r="AB28" s="335"/>
      <c r="AC28" s="335"/>
      <c r="AD28" s="335"/>
      <c r="AE28" s="335"/>
      <c r="AF28" s="335"/>
      <c r="AG28" s="335"/>
      <c r="AH28" s="335"/>
      <c r="AI28" s="335"/>
      <c r="AJ28" s="335"/>
      <c r="AK28" s="335"/>
      <c r="AL28" s="335"/>
      <c r="AM28" s="335"/>
      <c r="AN28" s="335"/>
      <c r="AO28" s="335"/>
      <c r="AP28" s="335"/>
      <c r="AQ28" s="335"/>
      <c r="AR28" s="335"/>
      <c r="AS28" s="335"/>
    </row>
    <row r="29" spans="2:45">
      <c r="D29" s="335" t="s">
        <v>603</v>
      </c>
      <c r="E29" s="334">
        <v>2010</v>
      </c>
      <c r="F29" s="334">
        <v>2011</v>
      </c>
      <c r="G29" s="334">
        <v>2012</v>
      </c>
      <c r="H29" s="334">
        <v>2013</v>
      </c>
      <c r="I29" s="334">
        <v>2014</v>
      </c>
      <c r="J29" s="334">
        <v>2015</v>
      </c>
      <c r="K29" s="334">
        <v>2016</v>
      </c>
      <c r="L29" s="334">
        <v>2017</v>
      </c>
      <c r="M29" s="334">
        <v>2018</v>
      </c>
      <c r="N29" s="334">
        <v>2019</v>
      </c>
      <c r="O29" s="334">
        <v>2020</v>
      </c>
      <c r="P29" s="334">
        <v>2021</v>
      </c>
      <c r="Q29" s="334">
        <v>2022</v>
      </c>
      <c r="R29" s="334">
        <v>2023</v>
      </c>
      <c r="S29" s="334">
        <v>2024</v>
      </c>
      <c r="T29" s="334">
        <v>2025</v>
      </c>
      <c r="U29" s="334">
        <v>2026</v>
      </c>
      <c r="V29" s="334">
        <v>2027</v>
      </c>
      <c r="W29" s="334">
        <v>2028</v>
      </c>
      <c r="X29" s="334">
        <v>2029</v>
      </c>
      <c r="Y29" s="334">
        <v>2030</v>
      </c>
      <c r="Z29" s="334">
        <v>2031</v>
      </c>
      <c r="AA29" s="334">
        <v>2032</v>
      </c>
      <c r="AB29" s="334">
        <v>2033</v>
      </c>
      <c r="AC29" s="334">
        <v>2034</v>
      </c>
      <c r="AD29" s="334">
        <v>2035</v>
      </c>
      <c r="AE29" s="334">
        <v>2036</v>
      </c>
      <c r="AF29" s="334">
        <v>2037</v>
      </c>
      <c r="AG29" s="334">
        <v>2038</v>
      </c>
      <c r="AH29" s="334">
        <v>2039</v>
      </c>
      <c r="AI29" s="334">
        <v>2040</v>
      </c>
      <c r="AJ29" s="335"/>
      <c r="AK29" s="335"/>
      <c r="AL29" s="335"/>
      <c r="AM29" s="335"/>
      <c r="AN29" s="335"/>
      <c r="AO29" s="335"/>
      <c r="AP29" s="335"/>
      <c r="AQ29" s="335"/>
      <c r="AR29" s="335"/>
      <c r="AS29" s="335"/>
    </row>
    <row r="30" spans="2:45">
      <c r="D30" s="336" t="s">
        <v>604</v>
      </c>
      <c r="E30" s="335"/>
      <c r="F30" s="335"/>
      <c r="G30" s="335"/>
      <c r="H30" s="335"/>
      <c r="I30" s="335"/>
      <c r="J30" s="335"/>
      <c r="K30" s="335"/>
      <c r="L30" s="335">
        <v>42</v>
      </c>
      <c r="M30" s="335">
        <v>43</v>
      </c>
      <c r="N30" s="335">
        <v>44</v>
      </c>
      <c r="O30" s="335">
        <v>46</v>
      </c>
      <c r="P30" s="335">
        <v>47</v>
      </c>
      <c r="Q30" s="335">
        <v>50</v>
      </c>
      <c r="R30" s="335">
        <v>52</v>
      </c>
      <c r="S30" s="335">
        <v>55</v>
      </c>
      <c r="T30" s="335">
        <v>58</v>
      </c>
      <c r="U30" s="335">
        <v>61</v>
      </c>
      <c r="V30" s="335">
        <v>65</v>
      </c>
      <c r="W30" s="335">
        <v>69</v>
      </c>
      <c r="X30" s="335">
        <v>73</v>
      </c>
      <c r="Y30" s="335">
        <v>77</v>
      </c>
      <c r="Z30" s="335">
        <v>81</v>
      </c>
      <c r="AA30" s="335">
        <v>86</v>
      </c>
      <c r="AB30" s="335">
        <v>91</v>
      </c>
      <c r="AC30" s="335">
        <v>97</v>
      </c>
      <c r="AD30" s="335">
        <v>103</v>
      </c>
      <c r="AE30" s="335">
        <v>109</v>
      </c>
      <c r="AF30" s="335">
        <v>115</v>
      </c>
      <c r="AG30" s="335">
        <v>122</v>
      </c>
      <c r="AH30" s="335">
        <v>129</v>
      </c>
      <c r="AI30" s="335">
        <v>137</v>
      </c>
      <c r="AJ30" s="335"/>
      <c r="AK30" s="335"/>
      <c r="AL30" s="335"/>
      <c r="AM30" s="335"/>
      <c r="AN30" s="335"/>
      <c r="AO30" s="335"/>
      <c r="AP30" s="335"/>
      <c r="AQ30" s="335"/>
      <c r="AR30" s="335"/>
      <c r="AS30" s="335"/>
    </row>
    <row r="31" spans="2:45">
      <c r="D31" s="335" t="s">
        <v>605</v>
      </c>
      <c r="E31" s="335">
        <v>0.90500000000000003</v>
      </c>
      <c r="F31" s="335">
        <v>0.91</v>
      </c>
      <c r="G31" s="335">
        <v>0.93600000000000005</v>
      </c>
      <c r="H31" s="335">
        <v>0.95199999999999996</v>
      </c>
      <c r="I31" s="335">
        <v>0.96099999999999997</v>
      </c>
      <c r="J31" s="335">
        <v>0.97599999999999998</v>
      </c>
      <c r="K31" s="335">
        <v>0.98199999999999998</v>
      </c>
      <c r="L31" s="335">
        <v>1</v>
      </c>
      <c r="M31" s="335">
        <v>1.02</v>
      </c>
      <c r="N31" s="335">
        <v>1.042</v>
      </c>
      <c r="O31" s="335">
        <v>1.0649999999999999</v>
      </c>
      <c r="P31" s="335">
        <v>1.087</v>
      </c>
      <c r="Q31" s="335">
        <v>1.107</v>
      </c>
      <c r="R31" s="335">
        <v>1.1299999999999999</v>
      </c>
      <c r="S31" s="335">
        <v>1.153</v>
      </c>
      <c r="T31" s="335">
        <v>1.1779999999999999</v>
      </c>
      <c r="U31" s="335">
        <v>1.2010000000000001</v>
      </c>
      <c r="V31" s="335">
        <v>1.2250000000000001</v>
      </c>
      <c r="W31" s="335">
        <v>1.25</v>
      </c>
      <c r="X31" s="335">
        <v>1.274</v>
      </c>
      <c r="Y31" s="335">
        <v>1.2989999999999999</v>
      </c>
      <c r="Z31" s="335">
        <v>1.325</v>
      </c>
      <c r="AA31" s="335">
        <v>1.351</v>
      </c>
      <c r="AB31" s="335">
        <v>1.377</v>
      </c>
      <c r="AC31" s="335">
        <v>1.4039999999999999</v>
      </c>
      <c r="AD31" s="335">
        <v>1.4319999999999999</v>
      </c>
      <c r="AE31" s="335">
        <v>1.46</v>
      </c>
      <c r="AF31" s="335">
        <v>1.488</v>
      </c>
      <c r="AG31" s="335">
        <v>1.5169999999999999</v>
      </c>
      <c r="AH31" s="335">
        <v>1.546</v>
      </c>
      <c r="AI31" s="335">
        <v>1.5760000000000001</v>
      </c>
      <c r="AJ31" s="335">
        <v>1.6065744000000002</v>
      </c>
      <c r="AK31" s="335">
        <v>1.6377419433600002</v>
      </c>
      <c r="AL31" s="335">
        <v>1.6695141370611843</v>
      </c>
      <c r="AM31" s="335">
        <v>1.7019027113201715</v>
      </c>
      <c r="AN31" s="335">
        <v>1.7349196239197828</v>
      </c>
      <c r="AO31" s="335">
        <v>1.7685770646238268</v>
      </c>
      <c r="AP31" s="335">
        <v>1.8028874596775293</v>
      </c>
      <c r="AQ31" s="335">
        <v>1.8378634763952735</v>
      </c>
      <c r="AR31" s="335">
        <v>1.873518027837342</v>
      </c>
      <c r="AS31" s="335">
        <v>1.9098642775773866</v>
      </c>
    </row>
    <row r="32" spans="2:45">
      <c r="D32" s="336" t="s">
        <v>606</v>
      </c>
      <c r="E32" s="335"/>
      <c r="F32" s="335"/>
      <c r="G32" s="335"/>
      <c r="H32" s="335"/>
      <c r="I32" s="335"/>
      <c r="J32" s="335"/>
      <c r="K32" s="335"/>
      <c r="L32" s="335">
        <f>L30/(1+($L$31-$I$31)/$L$31)</f>
        <v>40.423484119345517</v>
      </c>
      <c r="M32" s="335">
        <f t="shared" ref="M32:AI32" si="6">M30/(1+($L$31-$I$31)/$L$31)</f>
        <v>41.385948026948981</v>
      </c>
      <c r="N32" s="335">
        <f t="shared" si="6"/>
        <v>42.348411934552452</v>
      </c>
      <c r="O32" s="335">
        <f t="shared" si="6"/>
        <v>44.27333974975938</v>
      </c>
      <c r="P32" s="335">
        <f t="shared" si="6"/>
        <v>45.235803657362844</v>
      </c>
      <c r="Q32" s="335">
        <f t="shared" si="6"/>
        <v>48.123195380173236</v>
      </c>
      <c r="R32" s="335">
        <f t="shared" si="6"/>
        <v>50.048123195380164</v>
      </c>
      <c r="S32" s="335">
        <f t="shared" si="6"/>
        <v>52.935514918190563</v>
      </c>
      <c r="T32" s="335">
        <f t="shared" si="6"/>
        <v>55.822906641000955</v>
      </c>
      <c r="U32" s="335">
        <f t="shared" si="6"/>
        <v>58.710298363811347</v>
      </c>
      <c r="V32" s="335">
        <f t="shared" si="6"/>
        <v>62.56015399422521</v>
      </c>
      <c r="W32" s="335">
        <f t="shared" si="6"/>
        <v>66.410009624639073</v>
      </c>
      <c r="X32" s="335">
        <f t="shared" si="6"/>
        <v>70.259865255052929</v>
      </c>
      <c r="Y32" s="335">
        <f t="shared" si="6"/>
        <v>74.109720885466785</v>
      </c>
      <c r="Z32" s="335">
        <f t="shared" si="6"/>
        <v>77.959576515880642</v>
      </c>
      <c r="AA32" s="335">
        <f t="shared" si="6"/>
        <v>82.771896053897962</v>
      </c>
      <c r="AB32" s="335">
        <f t="shared" si="6"/>
        <v>87.584215591915296</v>
      </c>
      <c r="AC32" s="335">
        <f t="shared" si="6"/>
        <v>93.35899903753608</v>
      </c>
      <c r="AD32" s="335">
        <f t="shared" si="6"/>
        <v>99.133782483156864</v>
      </c>
      <c r="AE32" s="335">
        <f t="shared" si="6"/>
        <v>104.90856592877766</v>
      </c>
      <c r="AF32" s="335">
        <f t="shared" si="6"/>
        <v>110.68334937439845</v>
      </c>
      <c r="AG32" s="335">
        <f t="shared" si="6"/>
        <v>117.42059672762269</v>
      </c>
      <c r="AH32" s="335">
        <f t="shared" si="6"/>
        <v>124.15784408084696</v>
      </c>
      <c r="AI32" s="335">
        <f t="shared" si="6"/>
        <v>131.85755534167467</v>
      </c>
      <c r="AJ32" s="335"/>
      <c r="AK32" s="335"/>
      <c r="AL32" s="335"/>
      <c r="AM32" s="335"/>
      <c r="AN32" s="335"/>
      <c r="AO32" s="335"/>
      <c r="AP32" s="335"/>
      <c r="AQ32" s="335"/>
      <c r="AR32" s="335"/>
      <c r="AS32" s="335"/>
    </row>
    <row r="37" spans="3:5" ht="23.4">
      <c r="C37" s="414" t="s">
        <v>747</v>
      </c>
      <c r="D37" s="415"/>
      <c r="E37" s="415"/>
    </row>
    <row r="38" spans="3:5">
      <c r="C38" s="329"/>
      <c r="D38" s="332"/>
      <c r="E38" s="332"/>
    </row>
    <row r="39" spans="3:5" ht="24.6">
      <c r="C39" s="423" t="s">
        <v>748</v>
      </c>
      <c r="D39" s="424" t="s">
        <v>749</v>
      </c>
      <c r="E39" s="424" t="s">
        <v>750</v>
      </c>
    </row>
    <row r="40" spans="3:5">
      <c r="C40" s="416">
        <v>2019</v>
      </c>
      <c r="D40" s="425">
        <v>195.74638834999999</v>
      </c>
      <c r="E40" s="425">
        <v>195.74638834999999</v>
      </c>
    </row>
    <row r="41" spans="3:5">
      <c r="C41" s="416">
        <v>2020</v>
      </c>
      <c r="D41" s="425">
        <v>214.42575100000002</v>
      </c>
      <c r="E41" s="425">
        <v>214.42575100000002</v>
      </c>
    </row>
    <row r="42" spans="3:5">
      <c r="C42" s="416">
        <v>2021</v>
      </c>
      <c r="D42" s="425">
        <v>220.80004550000001</v>
      </c>
      <c r="E42" s="425">
        <v>254.16623663429559</v>
      </c>
    </row>
    <row r="43" spans="3:5">
      <c r="C43" s="416">
        <v>2022</v>
      </c>
      <c r="D43" s="425">
        <v>227.36394250000001</v>
      </c>
      <c r="E43" s="425">
        <v>261.72203669931474</v>
      </c>
    </row>
    <row r="44" spans="3:5">
      <c r="C44" s="416">
        <v>2023</v>
      </c>
      <c r="D44" s="425">
        <v>234.12288050000001</v>
      </c>
      <c r="E44" s="425">
        <v>269.50235137821068</v>
      </c>
    </row>
    <row r="45" spans="3:5">
      <c r="C45" s="416">
        <v>2024</v>
      </c>
      <c r="D45" s="425">
        <v>241.08274500000002</v>
      </c>
      <c r="E45" s="425">
        <v>277.51395555810944</v>
      </c>
    </row>
    <row r="46" spans="3:5">
      <c r="C46" s="416">
        <v>2025</v>
      </c>
      <c r="D46" s="425">
        <v>248.24957050000003</v>
      </c>
      <c r="E46" s="425">
        <v>285.76379564226693</v>
      </c>
    </row>
    <row r="47" spans="3:5">
      <c r="C47" s="416">
        <v>2026</v>
      </c>
      <c r="D47" s="425">
        <v>255.6293915</v>
      </c>
      <c r="E47" s="425">
        <v>294.25881803393918</v>
      </c>
    </row>
    <row r="48" spans="3:5">
      <c r="C48" s="416">
        <v>2027</v>
      </c>
      <c r="D48" s="425">
        <v>263.22861500000005</v>
      </c>
      <c r="E48" s="425">
        <v>303.00639792670648</v>
      </c>
    </row>
    <row r="49" spans="3:5">
      <c r="C49" s="416">
        <v>2028</v>
      </c>
      <c r="D49" s="425">
        <v>271.05372249999999</v>
      </c>
      <c r="E49" s="425">
        <v>312.013996272214</v>
      </c>
    </row>
    <row r="50" spans="3:5">
      <c r="C50" s="416">
        <v>2029</v>
      </c>
      <c r="D50" s="425">
        <v>279.11149349999999</v>
      </c>
      <c r="E50" s="425">
        <v>321.28941705436671</v>
      </c>
    </row>
    <row r="51" spans="3:5">
      <c r="C51" s="416">
        <v>2030</v>
      </c>
      <c r="D51" s="425">
        <v>287.40878200000003</v>
      </c>
      <c r="E51" s="425">
        <v>330.84055001513428</v>
      </c>
    </row>
    <row r="52" spans="3:5">
      <c r="C52" s="416">
        <v>2031</v>
      </c>
      <c r="D52" s="425">
        <v>295.95274000000001</v>
      </c>
      <c r="E52" s="425">
        <v>330.84055001513428</v>
      </c>
    </row>
    <row r="53" spans="3:5">
      <c r="C53" s="416">
        <v>2032</v>
      </c>
      <c r="D53" s="425">
        <v>304.75066849999996</v>
      </c>
      <c r="E53" s="425">
        <v>330.84055001513428</v>
      </c>
    </row>
    <row r="54" spans="3:5">
      <c r="C54" s="416">
        <v>2033</v>
      </c>
      <c r="D54" s="425">
        <v>313.81016649999998</v>
      </c>
      <c r="E54" s="425">
        <v>330.84055001513428</v>
      </c>
    </row>
    <row r="55" spans="3:5">
      <c r="C55" s="416">
        <v>2034</v>
      </c>
      <c r="D55" s="425">
        <v>323.13898200000006</v>
      </c>
      <c r="E55" s="425">
        <v>330.84055001513428</v>
      </c>
    </row>
    <row r="56" spans="3:5">
      <c r="C56" s="416">
        <v>2035</v>
      </c>
      <c r="D56" s="425">
        <v>332.74508650000001</v>
      </c>
      <c r="E56" s="425">
        <v>332.74508650000001</v>
      </c>
    </row>
    <row r="57" spans="3:5">
      <c r="C57" s="416">
        <v>2036</v>
      </c>
      <c r="D57" s="425">
        <v>342.63674950000001</v>
      </c>
      <c r="E57" s="425">
        <v>342.63674950000001</v>
      </c>
    </row>
    <row r="58" spans="3:5">
      <c r="C58" s="416">
        <v>2037</v>
      </c>
      <c r="D58" s="425">
        <v>352.82246399999997</v>
      </c>
      <c r="E58" s="425">
        <v>352.82246399999997</v>
      </c>
    </row>
    <row r="59" spans="3:5">
      <c r="C59" s="416">
        <v>2038</v>
      </c>
      <c r="D59" s="425">
        <v>363.31102099999998</v>
      </c>
      <c r="E59" s="425">
        <v>363.31102099999998</v>
      </c>
    </row>
    <row r="60" spans="3:5">
      <c r="C60" s="416">
        <v>2039</v>
      </c>
      <c r="D60" s="425">
        <v>374.11136049999999</v>
      </c>
      <c r="E60" s="425">
        <v>374.11136049999999</v>
      </c>
    </row>
    <row r="61" spans="3:5">
      <c r="C61" s="416">
        <v>2040</v>
      </c>
      <c r="D61" s="425">
        <v>385.23279500000001</v>
      </c>
      <c r="E61" s="425">
        <v>385.23279500000001</v>
      </c>
    </row>
    <row r="62" spans="3:5">
      <c r="C62" s="426" t="s">
        <v>751</v>
      </c>
      <c r="D62" s="426" t="s">
        <v>752</v>
      </c>
      <c r="E62" s="332"/>
    </row>
    <row r="63" spans="3:5" ht="15">
      <c r="C63" s="426"/>
      <c r="D63" s="426" t="s">
        <v>753</v>
      </c>
      <c r="E63" s="332"/>
    </row>
    <row r="64" spans="3:5">
      <c r="C64" s="426" t="s">
        <v>754</v>
      </c>
      <c r="D64" s="332"/>
      <c r="E64" s="33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27620-9E35-4206-B76F-F36506622BD9}">
  <sheetPr>
    <tabColor theme="6"/>
  </sheetPr>
  <dimension ref="B1:AM109"/>
  <sheetViews>
    <sheetView topLeftCell="E1" zoomScale="110" zoomScaleNormal="110" workbookViewId="0">
      <selection activeCell="J20" sqref="J20"/>
    </sheetView>
  </sheetViews>
  <sheetFormatPr defaultColWidth="9.109375" defaultRowHeight="13.2"/>
  <cols>
    <col min="1" max="1" width="2" style="438" bestFit="1" customWidth="1"/>
    <col min="2" max="2" width="9.5546875" style="438" bestFit="1" customWidth="1"/>
    <col min="3" max="3" width="11.109375" style="438" customWidth="1"/>
    <col min="4" max="4" width="16.5546875" style="438" bestFit="1" customWidth="1"/>
    <col min="5" max="5" width="13.44140625" style="438" bestFit="1" customWidth="1"/>
    <col min="6" max="6" width="16.33203125" style="438" bestFit="1" customWidth="1"/>
    <col min="7" max="7" width="13.88671875" style="438" bestFit="1" customWidth="1"/>
    <col min="8" max="8" width="8.6640625" style="438" bestFit="1" customWidth="1"/>
    <col min="9" max="9" width="11.5546875" style="438" customWidth="1"/>
    <col min="10" max="10" width="14.88671875" style="438" customWidth="1"/>
    <col min="11" max="11" width="13.109375" style="438" customWidth="1"/>
    <col min="12" max="12" width="13.33203125" style="438" customWidth="1"/>
    <col min="13" max="13" width="11" style="438" customWidth="1"/>
    <col min="14" max="17" width="10.5546875" style="438" bestFit="1" customWidth="1"/>
    <col min="18" max="18" width="11.33203125" style="438" bestFit="1" customWidth="1"/>
    <col min="19" max="21" width="8.5546875" style="438" bestFit="1" customWidth="1"/>
    <col min="22" max="22" width="9.5546875" style="438" bestFit="1" customWidth="1"/>
    <col min="23" max="23" width="11" style="438" bestFit="1" customWidth="1"/>
    <col min="24" max="28" width="11.33203125" style="438" bestFit="1" customWidth="1"/>
    <col min="29" max="38" width="11.33203125" style="438" customWidth="1"/>
    <col min="39" max="39" width="12" style="438" customWidth="1"/>
    <col min="40" max="40" width="8.5546875" style="438" customWidth="1"/>
    <col min="41" max="41" width="17.6640625" style="438" customWidth="1"/>
    <col min="42" max="42" width="10" style="438" customWidth="1"/>
    <col min="43" max="43" width="13.6640625" style="438" customWidth="1"/>
    <col min="44" max="44" width="13.44140625" style="438" customWidth="1"/>
    <col min="45" max="45" width="5.88671875" style="438" customWidth="1"/>
    <col min="46" max="46" width="6.109375" style="438" customWidth="1"/>
    <col min="47" max="47" width="16.109375" style="438" customWidth="1"/>
    <col min="48" max="49" width="16.33203125" style="438" customWidth="1"/>
    <col min="50" max="50" width="7.33203125" style="438" customWidth="1"/>
    <col min="51" max="51" width="7.5546875" style="438" customWidth="1"/>
    <col min="52" max="52" width="3.88671875" style="438" customWidth="1"/>
    <col min="53" max="53" width="17.5546875" style="438" customWidth="1"/>
    <col min="54" max="54" width="9.109375" style="438"/>
    <col min="55" max="58" width="10.6640625" style="438" customWidth="1"/>
    <col min="59" max="16384" width="9.109375" style="438"/>
  </cols>
  <sheetData>
    <row r="1" spans="2:33" ht="13.8">
      <c r="B1" s="439" t="s">
        <v>217</v>
      </c>
      <c r="C1" s="439" t="s">
        <v>787</v>
      </c>
      <c r="D1" s="439"/>
      <c r="V1" s="440"/>
      <c r="W1" s="440"/>
      <c r="X1" s="440"/>
      <c r="Y1" s="440"/>
      <c r="Z1" s="440"/>
      <c r="AA1" s="440"/>
    </row>
    <row r="3" spans="2:33">
      <c r="B3" s="438" t="s">
        <v>845</v>
      </c>
    </row>
    <row r="5" spans="2:33" ht="14.4">
      <c r="H5" s="441" t="s">
        <v>789</v>
      </c>
      <c r="Z5" s="502"/>
      <c r="AA5" s="502"/>
      <c r="AB5" s="502"/>
      <c r="AC5" s="494"/>
      <c r="AD5" s="494"/>
    </row>
    <row r="6" spans="2:33" ht="27.6">
      <c r="B6" s="503" t="s">
        <v>0</v>
      </c>
      <c r="C6" s="503" t="s">
        <v>1</v>
      </c>
      <c r="D6" s="503" t="s">
        <v>2</v>
      </c>
      <c r="E6" s="503" t="s">
        <v>78</v>
      </c>
      <c r="F6" s="503" t="s">
        <v>79</v>
      </c>
      <c r="G6" s="503" t="s">
        <v>13</v>
      </c>
      <c r="H6" s="503" t="s">
        <v>139</v>
      </c>
      <c r="I6" s="503" t="s">
        <v>194</v>
      </c>
      <c r="J6" s="503" t="s">
        <v>195</v>
      </c>
      <c r="K6" s="504" t="s">
        <v>100</v>
      </c>
      <c r="L6" s="504" t="s">
        <v>773</v>
      </c>
      <c r="M6" s="504" t="s">
        <v>621</v>
      </c>
      <c r="N6" s="503" t="s">
        <v>89</v>
      </c>
      <c r="O6" s="503" t="s">
        <v>774</v>
      </c>
      <c r="P6" s="503" t="s">
        <v>775</v>
      </c>
      <c r="Q6" s="503" t="s">
        <v>776</v>
      </c>
      <c r="R6" s="503" t="s">
        <v>846</v>
      </c>
      <c r="S6" s="503" t="s">
        <v>80</v>
      </c>
      <c r="T6" s="503" t="s">
        <v>97</v>
      </c>
      <c r="U6" s="503" t="s">
        <v>98</v>
      </c>
      <c r="V6" s="503" t="s">
        <v>777</v>
      </c>
      <c r="W6" s="503" t="s">
        <v>81</v>
      </c>
      <c r="X6" s="503" t="s">
        <v>178</v>
      </c>
      <c r="Y6" s="503" t="s">
        <v>158</v>
      </c>
      <c r="Z6" s="505" t="s">
        <v>861</v>
      </c>
      <c r="AA6" s="505" t="s">
        <v>862</v>
      </c>
      <c r="AB6" s="506" t="s">
        <v>863</v>
      </c>
      <c r="AC6" s="507" t="s">
        <v>864</v>
      </c>
      <c r="AD6" s="506" t="s">
        <v>858</v>
      </c>
      <c r="AE6" s="507" t="s">
        <v>859</v>
      </c>
      <c r="AF6" s="505" t="s">
        <v>104</v>
      </c>
      <c r="AG6" s="505" t="s">
        <v>860</v>
      </c>
    </row>
    <row r="7" spans="2:33" ht="31.2" thickBot="1">
      <c r="B7" s="508" t="s">
        <v>848</v>
      </c>
      <c r="C7" s="508"/>
      <c r="D7" s="508" t="s">
        <v>88</v>
      </c>
      <c r="E7" s="508" t="s">
        <v>82</v>
      </c>
      <c r="F7" s="508" t="s">
        <v>83</v>
      </c>
      <c r="G7" s="508" t="s">
        <v>84</v>
      </c>
      <c r="H7" s="508" t="s">
        <v>183</v>
      </c>
      <c r="I7" s="508" t="s">
        <v>778</v>
      </c>
      <c r="J7" s="508" t="s">
        <v>779</v>
      </c>
      <c r="K7" s="508" t="s">
        <v>780</v>
      </c>
      <c r="L7" s="508"/>
      <c r="M7" s="508"/>
      <c r="N7" s="508" t="s">
        <v>85</v>
      </c>
      <c r="O7" s="508" t="s">
        <v>85</v>
      </c>
      <c r="P7" s="508" t="s">
        <v>85</v>
      </c>
      <c r="Q7" s="508" t="s">
        <v>85</v>
      </c>
      <c r="R7" s="508"/>
      <c r="S7" s="508" t="s">
        <v>105</v>
      </c>
      <c r="T7" s="508" t="s">
        <v>86</v>
      </c>
      <c r="U7" s="508" t="s">
        <v>86</v>
      </c>
      <c r="V7" s="508" t="s">
        <v>86</v>
      </c>
      <c r="W7" s="508" t="s">
        <v>154</v>
      </c>
      <c r="X7" s="508" t="s">
        <v>179</v>
      </c>
      <c r="Y7" s="508" t="s">
        <v>99</v>
      </c>
      <c r="Z7" s="509" t="s">
        <v>781</v>
      </c>
      <c r="AA7" s="509" t="s">
        <v>782</v>
      </c>
      <c r="AB7" s="509" t="s">
        <v>770</v>
      </c>
      <c r="AC7" s="509" t="s">
        <v>770</v>
      </c>
      <c r="AD7" s="509" t="s">
        <v>770</v>
      </c>
      <c r="AE7" s="509" t="s">
        <v>770</v>
      </c>
      <c r="AF7" s="509" t="s">
        <v>87</v>
      </c>
      <c r="AG7" s="509" t="s">
        <v>87</v>
      </c>
    </row>
    <row r="8" spans="2:33">
      <c r="B8" s="438" t="s">
        <v>813</v>
      </c>
      <c r="C8" s="442" t="s">
        <v>783</v>
      </c>
      <c r="D8" s="442" t="s">
        <v>784</v>
      </c>
      <c r="E8" s="442"/>
      <c r="F8" s="438" t="s">
        <v>90</v>
      </c>
      <c r="I8" s="443"/>
      <c r="J8" s="443"/>
      <c r="K8" s="443"/>
      <c r="L8" s="443"/>
      <c r="M8" s="443"/>
      <c r="N8" s="443"/>
      <c r="O8" s="443"/>
      <c r="P8" s="443"/>
      <c r="Q8" s="443"/>
      <c r="R8" s="443"/>
      <c r="S8" s="498">
        <v>1</v>
      </c>
      <c r="T8" s="498">
        <v>1</v>
      </c>
      <c r="U8" s="498">
        <v>1</v>
      </c>
      <c r="V8" s="498">
        <v>1</v>
      </c>
      <c r="W8" s="446"/>
      <c r="X8" s="444"/>
      <c r="Y8" s="440"/>
      <c r="Z8" s="482">
        <f>[19]Refineries!Q47/-1000-24</f>
        <v>802.4674500000001</v>
      </c>
      <c r="AA8" s="482">
        <f>[19]Refineries!R47/-1000-53</f>
        <v>826.34889199999998</v>
      </c>
      <c r="AB8" s="482">
        <f>[19]Refineries!S47/-1000-34</f>
        <v>783.11137299999996</v>
      </c>
      <c r="AC8" s="482">
        <f>[19]Refineries!T47/-1000</f>
        <v>836.22620499999994</v>
      </c>
      <c r="AD8" s="482">
        <f>AC8/2</f>
        <v>418.11310249999997</v>
      </c>
      <c r="AE8" s="482">
        <f>AD8/2</f>
        <v>209.05655124999998</v>
      </c>
      <c r="AF8" s="482">
        <v>5</v>
      </c>
      <c r="AG8" s="482">
        <v>1</v>
      </c>
    </row>
    <row r="9" spans="2:33">
      <c r="D9" s="442"/>
      <c r="G9" s="437" t="s">
        <v>77</v>
      </c>
      <c r="H9" s="432" t="s">
        <v>501</v>
      </c>
      <c r="I9" s="443">
        <v>6.8779607696640693E-3</v>
      </c>
      <c r="J9" s="443">
        <v>8.5932860895524335E-3</v>
      </c>
      <c r="K9" s="443">
        <v>5.5292960790787509E-3</v>
      </c>
      <c r="L9" s="443">
        <v>1.0683087723507191E-2</v>
      </c>
      <c r="M9" s="443">
        <v>5</v>
      </c>
      <c r="S9" s="448"/>
      <c r="T9" s="448"/>
      <c r="U9" s="448"/>
      <c r="V9" s="448"/>
      <c r="W9" s="444"/>
      <c r="X9" s="483">
        <v>13.7</v>
      </c>
      <c r="Y9" s="443"/>
      <c r="Z9" s="484"/>
      <c r="AA9" s="484"/>
      <c r="AB9" s="484"/>
      <c r="AC9" s="484"/>
      <c r="AD9" s="484"/>
    </row>
    <row r="10" spans="2:33">
      <c r="C10" s="442"/>
      <c r="D10" s="442"/>
      <c r="G10" s="437" t="s">
        <v>785</v>
      </c>
      <c r="H10" s="432" t="s">
        <v>501</v>
      </c>
      <c r="I10" s="443">
        <v>5.8418041434474668E-2</v>
      </c>
      <c r="J10" s="443">
        <v>5.3748007651177356E-2</v>
      </c>
      <c r="K10" s="443">
        <v>6.6154078088977913E-2</v>
      </c>
      <c r="L10" s="443">
        <v>5.7043600824178871E-2</v>
      </c>
      <c r="M10" s="443">
        <v>5</v>
      </c>
      <c r="S10" s="443"/>
      <c r="T10" s="443"/>
      <c r="U10" s="443"/>
      <c r="V10" s="443"/>
      <c r="W10" s="447"/>
      <c r="X10" s="483">
        <v>3.8999999999999986</v>
      </c>
      <c r="Z10" s="485"/>
      <c r="AA10" s="485"/>
      <c r="AB10" s="485"/>
      <c r="AC10" s="485"/>
      <c r="AD10" s="485"/>
    </row>
    <row r="11" spans="2:33">
      <c r="C11" s="442"/>
      <c r="D11" s="442"/>
      <c r="E11" s="442"/>
      <c r="G11" s="437" t="s">
        <v>41</v>
      </c>
      <c r="H11" s="432" t="s">
        <v>501</v>
      </c>
      <c r="I11" s="443">
        <v>3.49876936404028E-2</v>
      </c>
      <c r="J11" s="443">
        <v>3.6199772296350394E-2</v>
      </c>
      <c r="K11" s="443">
        <v>4.5831527939616652E-2</v>
      </c>
      <c r="L11" s="443">
        <v>1.1280956603458372E-2</v>
      </c>
      <c r="M11" s="443">
        <v>5</v>
      </c>
      <c r="N11" s="449"/>
      <c r="O11" s="449"/>
      <c r="P11" s="449"/>
      <c r="Q11" s="449"/>
      <c r="R11" s="449"/>
      <c r="S11" s="443"/>
      <c r="T11" s="443"/>
      <c r="U11" s="443"/>
      <c r="V11" s="443"/>
      <c r="W11" s="447"/>
      <c r="X11" s="483">
        <v>3.8999999999999986</v>
      </c>
      <c r="Z11" s="485"/>
      <c r="AA11" s="485"/>
      <c r="AB11" s="485"/>
      <c r="AC11" s="485"/>
      <c r="AD11" s="485"/>
    </row>
    <row r="12" spans="2:33">
      <c r="C12" s="442"/>
      <c r="D12" s="442"/>
      <c r="E12" s="442"/>
      <c r="G12" s="437" t="s">
        <v>73</v>
      </c>
      <c r="H12" s="432" t="s">
        <v>501</v>
      </c>
      <c r="I12" s="443">
        <v>2.0141582577499057E-2</v>
      </c>
      <c r="J12" s="443">
        <v>2.1654010394499594E-2</v>
      </c>
      <c r="K12" s="443">
        <v>2.6972437695713634E-2</v>
      </c>
      <c r="L12" s="443">
        <v>2.7852005432943149E-2</v>
      </c>
      <c r="M12" s="443">
        <v>5</v>
      </c>
      <c r="N12" s="449"/>
      <c r="O12" s="449"/>
      <c r="P12" s="449"/>
      <c r="Q12" s="449"/>
      <c r="R12" s="449"/>
      <c r="S12" s="443"/>
      <c r="T12" s="443"/>
      <c r="U12" s="443"/>
      <c r="V12" s="443"/>
      <c r="W12" s="447"/>
      <c r="X12" s="483">
        <v>3.8999999999999986</v>
      </c>
      <c r="Z12" s="485"/>
      <c r="AA12" s="485"/>
      <c r="AB12" s="485"/>
      <c r="AC12" s="485"/>
      <c r="AD12" s="485"/>
    </row>
    <row r="13" spans="2:33">
      <c r="C13" s="442"/>
      <c r="D13" s="442"/>
      <c r="E13" s="442"/>
      <c r="G13" s="437" t="s">
        <v>93</v>
      </c>
      <c r="H13" s="432" t="s">
        <v>501</v>
      </c>
      <c r="I13" s="443">
        <v>1.5258568368746134E-2</v>
      </c>
      <c r="J13" s="443">
        <v>1.2536717678389748E-2</v>
      </c>
      <c r="K13" s="443">
        <v>0</v>
      </c>
      <c r="L13" s="443">
        <v>0</v>
      </c>
      <c r="M13" s="443">
        <v>5</v>
      </c>
      <c r="N13" s="449"/>
      <c r="O13" s="449"/>
      <c r="P13" s="449"/>
      <c r="Q13" s="449"/>
      <c r="R13" s="449"/>
      <c r="S13" s="443"/>
      <c r="T13" s="443"/>
      <c r="U13" s="443"/>
      <c r="V13" s="443"/>
      <c r="W13" s="447"/>
      <c r="X13" s="483">
        <v>3.8999999999999986</v>
      </c>
      <c r="Z13" s="485"/>
      <c r="AA13" s="485"/>
      <c r="AB13" s="485"/>
      <c r="AC13" s="485"/>
      <c r="AD13" s="485"/>
    </row>
    <row r="14" spans="2:33">
      <c r="C14" s="442"/>
      <c r="D14" s="442"/>
      <c r="E14" s="442"/>
      <c r="G14" s="437" t="s">
        <v>74</v>
      </c>
      <c r="H14" s="432" t="s">
        <v>501</v>
      </c>
      <c r="I14" s="443">
        <v>0.20004723994864196</v>
      </c>
      <c r="J14" s="443">
        <v>0.23239494333326441</v>
      </c>
      <c r="K14" s="443">
        <v>0.24177541522861834</v>
      </c>
      <c r="L14" s="443">
        <v>0.26950641726304347</v>
      </c>
      <c r="M14" s="443">
        <v>5</v>
      </c>
      <c r="N14" s="449"/>
      <c r="O14" s="449"/>
      <c r="P14" s="449"/>
      <c r="Q14" s="449"/>
      <c r="R14" s="449"/>
      <c r="S14" s="443"/>
      <c r="T14" s="443"/>
      <c r="U14" s="443"/>
      <c r="V14" s="443"/>
      <c r="W14" s="447"/>
      <c r="X14" s="483">
        <v>17.599999999999998</v>
      </c>
      <c r="Z14" s="485"/>
      <c r="AA14" s="485"/>
      <c r="AB14" s="485"/>
      <c r="AC14" s="485"/>
      <c r="AD14" s="485"/>
    </row>
    <row r="15" spans="2:33">
      <c r="C15" s="442"/>
      <c r="D15" s="442"/>
      <c r="E15" s="442"/>
      <c r="G15" s="437" t="s">
        <v>45</v>
      </c>
      <c r="H15" s="432" t="s">
        <v>501</v>
      </c>
      <c r="I15" s="443">
        <v>0.41331762345211459</v>
      </c>
      <c r="J15" s="443">
        <v>0.41581757023283838</v>
      </c>
      <c r="K15" s="443">
        <v>0.4384122729053434</v>
      </c>
      <c r="L15" s="443">
        <v>0.43862748567762744</v>
      </c>
      <c r="M15" s="443">
        <v>5</v>
      </c>
      <c r="N15" s="449"/>
      <c r="O15" s="449"/>
      <c r="P15" s="449"/>
      <c r="Q15" s="449"/>
      <c r="R15" s="449"/>
      <c r="S15" s="443"/>
      <c r="T15" s="443"/>
      <c r="U15" s="443"/>
      <c r="V15" s="443"/>
      <c r="W15" s="447"/>
      <c r="X15" s="483">
        <v>16.5</v>
      </c>
      <c r="Z15" s="485"/>
      <c r="AA15" s="485"/>
      <c r="AB15" s="485"/>
      <c r="AC15" s="485"/>
      <c r="AD15" s="485"/>
    </row>
    <row r="16" spans="2:33">
      <c r="C16" s="442"/>
      <c r="D16" s="442"/>
      <c r="E16" s="442"/>
      <c r="G16" s="437" t="s">
        <v>44</v>
      </c>
      <c r="H16" s="432" t="s">
        <v>501</v>
      </c>
      <c r="I16" s="443">
        <v>0.26095128980845661</v>
      </c>
      <c r="J16" s="443">
        <v>0.22905569232392772</v>
      </c>
      <c r="K16" s="443">
        <v>0.18532497206265128</v>
      </c>
      <c r="L16" s="443">
        <v>0.20373999433605736</v>
      </c>
      <c r="M16" s="443">
        <v>5</v>
      </c>
      <c r="N16" s="449"/>
      <c r="O16" s="449"/>
      <c r="P16" s="449"/>
      <c r="Q16" s="449"/>
      <c r="R16" s="449"/>
      <c r="S16" s="443"/>
      <c r="T16" s="443"/>
      <c r="U16" s="443"/>
      <c r="V16" s="443"/>
      <c r="W16" s="447"/>
      <c r="X16" s="483">
        <v>-11.8</v>
      </c>
      <c r="Z16" s="485"/>
      <c r="AA16" s="485"/>
      <c r="AB16" s="485"/>
      <c r="AC16" s="485"/>
      <c r="AD16" s="485"/>
    </row>
    <row r="17" spans="2:30">
      <c r="C17" s="442"/>
      <c r="D17" s="442"/>
      <c r="E17" s="442" t="s">
        <v>843</v>
      </c>
      <c r="G17" s="437"/>
      <c r="H17" s="432"/>
      <c r="I17" s="443"/>
      <c r="J17" s="443"/>
      <c r="K17" s="443"/>
      <c r="L17" s="443"/>
      <c r="M17" s="443"/>
      <c r="N17" s="481">
        <f>IF(-[19]Refineries!Q47/SUM([19]Refineries!Q48:Q56)-S8&lt;0,0,-[19]Refineries!Q47/SUM([19]Refineries!Q48:Q56)-S8)+0.06</f>
        <v>7.1034781333250752E-2</v>
      </c>
      <c r="O17" s="481">
        <f>IF(-[19]Refineries!R47/SUM([19]Refineries!R48:R56)-T8&lt;0,0,-[19]Refineries!R47/SUM([19]Refineries!R48:R56)-T8)+0.06</f>
        <v>7.9500550184335717E-2</v>
      </c>
      <c r="P17" s="481">
        <f>Q17</f>
        <v>6.0771720173703636E-2</v>
      </c>
      <c r="Q17" s="481">
        <f>IF(-[19]Refineries!T47/SUM([19]Refineries!T48:T56)-V8&lt;0,0,-[19]Refineries!T47/SUM([19]Refineries!T48:T56)-V8)+0.06</f>
        <v>6.0771720173703636E-2</v>
      </c>
      <c r="R17" s="481">
        <f>AVERAGE(N17:Q17)</f>
        <v>6.8019692966248435E-2</v>
      </c>
      <c r="S17" s="443"/>
      <c r="T17" s="443"/>
      <c r="U17" s="443"/>
      <c r="V17" s="443"/>
      <c r="W17" s="447"/>
      <c r="X17" s="483"/>
      <c r="Z17" s="485"/>
      <c r="AA17" s="485"/>
      <c r="AB17" s="485"/>
      <c r="AC17" s="485"/>
      <c r="AD17" s="485"/>
    </row>
    <row r="18" spans="2:30">
      <c r="C18" s="442"/>
      <c r="D18" s="442"/>
      <c r="E18" s="442" t="s">
        <v>145</v>
      </c>
      <c r="G18" s="437"/>
      <c r="H18" s="432"/>
      <c r="I18" s="443"/>
      <c r="J18" s="443"/>
      <c r="K18" s="443"/>
      <c r="L18" s="443"/>
      <c r="M18" s="443"/>
      <c r="N18" s="481">
        <v>3.4307204956152394E-2</v>
      </c>
      <c r="O18" s="481">
        <v>2.8426562648142431E-2</v>
      </c>
      <c r="P18" s="481">
        <v>4.1436314281738551E-2</v>
      </c>
      <c r="Q18" s="481">
        <v>4.1436314281738551E-2</v>
      </c>
      <c r="R18" s="481">
        <v>3.6401599041942984E-2</v>
      </c>
      <c r="S18" s="443"/>
      <c r="T18" s="443"/>
      <c r="U18" s="443"/>
      <c r="V18" s="443"/>
      <c r="W18" s="447"/>
      <c r="X18" s="483"/>
      <c r="Z18" s="443"/>
      <c r="AA18" s="443"/>
      <c r="AB18" s="443"/>
      <c r="AC18" s="443"/>
      <c r="AD18" s="443"/>
    </row>
    <row r="19" spans="2:30">
      <c r="C19" s="442"/>
      <c r="D19" s="442"/>
      <c r="E19" s="442" t="s">
        <v>240</v>
      </c>
      <c r="G19" s="437"/>
      <c r="H19" s="432"/>
      <c r="I19" s="443"/>
      <c r="J19" s="443"/>
      <c r="K19" s="443"/>
      <c r="L19" s="443"/>
      <c r="M19" s="443"/>
      <c r="N19" s="481">
        <v>1.5081425039244773E-2</v>
      </c>
      <c r="O19" s="481">
        <v>1.2496298496169775E-2</v>
      </c>
      <c r="P19" s="481">
        <v>1.8215376873205735E-2</v>
      </c>
      <c r="Q19" s="481">
        <v>1.8215376873205735E-2</v>
      </c>
      <c r="R19" s="481">
        <v>1.6002119320456504E-2</v>
      </c>
      <c r="S19" s="443"/>
      <c r="T19" s="443"/>
      <c r="U19" s="443"/>
      <c r="V19" s="443"/>
      <c r="W19" s="447"/>
      <c r="X19" s="483"/>
      <c r="Z19" s="443"/>
      <c r="AA19" s="443"/>
      <c r="AB19" s="443"/>
      <c r="AC19" s="443"/>
      <c r="AD19" s="443"/>
    </row>
    <row r="20" spans="2:30">
      <c r="C20" s="442"/>
      <c r="D20" s="442"/>
      <c r="E20" s="438" t="s">
        <v>786</v>
      </c>
      <c r="I20" s="443"/>
      <c r="J20" s="443"/>
      <c r="K20" s="443"/>
      <c r="L20" s="443"/>
      <c r="M20" s="443"/>
      <c r="N20" s="444">
        <f>IF([19]Refineries!Q$52&lt;0,[19]Refineries!Q$52/[19]Refineries!Q$47,0)</f>
        <v>0</v>
      </c>
      <c r="O20" s="444">
        <f>IF([19]Refineries!R$52&lt;0,[19]Refineries!R$52/[19]Refineries!R$47,0)</f>
        <v>0</v>
      </c>
      <c r="P20" s="444">
        <f>IF([19]Refineries!S$52&lt;0,[19]Refineries!S$52/[19]Refineries!S$47,0)</f>
        <v>0</v>
      </c>
      <c r="Q20" s="444">
        <f>IF([19]Refineries!T$52&lt;0,[19]Refineries!T$52/[19]Refineries!T$47,0)</f>
        <v>8.6155707115157919E-3</v>
      </c>
      <c r="R20" s="481">
        <f>AVERAGE(N20:Q20)</f>
        <v>2.153892677878948E-3</v>
      </c>
      <c r="S20" s="443"/>
      <c r="T20" s="443"/>
      <c r="U20" s="443"/>
      <c r="V20" s="443"/>
      <c r="W20" s="447"/>
      <c r="X20" s="447"/>
      <c r="Z20" s="443"/>
      <c r="AA20" s="443"/>
      <c r="AB20" s="443"/>
      <c r="AC20" s="443"/>
      <c r="AD20" s="443"/>
    </row>
    <row r="21" spans="2:30">
      <c r="B21" s="501"/>
      <c r="C21" s="510"/>
      <c r="D21" s="510"/>
      <c r="E21" s="510" t="s">
        <v>625</v>
      </c>
      <c r="F21" s="501"/>
      <c r="G21" s="501"/>
      <c r="H21" s="501"/>
      <c r="I21" s="511"/>
      <c r="J21" s="511"/>
      <c r="K21" s="511"/>
      <c r="L21" s="511"/>
      <c r="M21" s="511"/>
      <c r="N21" s="512">
        <f>IF([19]Refineries!Q$50&lt;0,[19]Refineries!Q$50/[19]Refineries!Q$47,0)</f>
        <v>0</v>
      </c>
      <c r="O21" s="512">
        <f>IF([19]Refineries!R$50&lt;0,[19]Refineries!R$50/[19]Refineries!R$47,0)</f>
        <v>0</v>
      </c>
      <c r="P21" s="512">
        <f>IF([19]Refineries!S$50&lt;0,[19]Refineries!S$50/[19]Refineries!S$47,0)</f>
        <v>0</v>
      </c>
      <c r="Q21" s="512">
        <f>IF([19]Refineries!T$50&lt;0,[19]Refineries!T$50/[19]Refineries!T$47,0)</f>
        <v>0</v>
      </c>
      <c r="R21" s="481">
        <f>AVERAGE(N21:Q21)</f>
        <v>0</v>
      </c>
      <c r="S21" s="511"/>
      <c r="T21" s="511"/>
      <c r="U21" s="511"/>
      <c r="V21" s="511"/>
      <c r="W21" s="513"/>
      <c r="X21" s="513"/>
      <c r="Y21" s="501"/>
      <c r="Z21" s="511"/>
      <c r="AA21" s="511"/>
      <c r="AB21" s="511"/>
      <c r="AC21" s="511"/>
      <c r="AD21" s="511"/>
    </row>
    <row r="26" spans="2:30" s="501" customFormat="1"/>
    <row r="28" spans="2:30">
      <c r="B28" s="438" t="s">
        <v>844</v>
      </c>
    </row>
    <row r="30" spans="2:30">
      <c r="H30" s="441" t="s">
        <v>847</v>
      </c>
    </row>
    <row r="31" spans="2:30" ht="27.6">
      <c r="B31" s="474" t="s">
        <v>1</v>
      </c>
      <c r="C31" s="474" t="s">
        <v>0</v>
      </c>
      <c r="D31" s="474" t="s">
        <v>2</v>
      </c>
      <c r="E31" s="474" t="s">
        <v>78</v>
      </c>
      <c r="F31" s="474" t="s">
        <v>79</v>
      </c>
      <c r="G31" s="474" t="s">
        <v>13</v>
      </c>
      <c r="H31" s="474" t="s">
        <v>139</v>
      </c>
      <c r="I31" s="474" t="s">
        <v>194</v>
      </c>
      <c r="J31" s="474" t="s">
        <v>195</v>
      </c>
      <c r="K31" s="475" t="s">
        <v>100</v>
      </c>
      <c r="L31" s="475" t="s">
        <v>773</v>
      </c>
      <c r="M31" s="475" t="s">
        <v>621</v>
      </c>
      <c r="N31" s="474" t="s">
        <v>89</v>
      </c>
      <c r="O31" s="474" t="s">
        <v>774</v>
      </c>
      <c r="P31" s="474" t="s">
        <v>775</v>
      </c>
      <c r="Q31" s="474" t="s">
        <v>776</v>
      </c>
      <c r="R31" s="474" t="s">
        <v>80</v>
      </c>
      <c r="S31" s="474" t="s">
        <v>97</v>
      </c>
      <c r="T31" s="474" t="s">
        <v>98</v>
      </c>
      <c r="U31" s="474" t="s">
        <v>777</v>
      </c>
      <c r="V31" s="474" t="s">
        <v>81</v>
      </c>
      <c r="W31" s="474" t="s">
        <v>178</v>
      </c>
      <c r="X31" s="474" t="s">
        <v>158</v>
      </c>
      <c r="Y31" s="476" t="s">
        <v>767</v>
      </c>
      <c r="Z31" s="476" t="s">
        <v>768</v>
      </c>
      <c r="AA31" s="477" t="s">
        <v>769</v>
      </c>
      <c r="AB31" s="478" t="s">
        <v>769</v>
      </c>
      <c r="AC31" s="476" t="s">
        <v>104</v>
      </c>
    </row>
    <row r="32" spans="2:30" ht="31.2" thickBot="1">
      <c r="B32" s="479" t="s">
        <v>849</v>
      </c>
      <c r="C32" s="479" t="s">
        <v>848</v>
      </c>
      <c r="D32" s="479" t="s">
        <v>88</v>
      </c>
      <c r="E32" s="479" t="s">
        <v>82</v>
      </c>
      <c r="F32" s="479" t="s">
        <v>83</v>
      </c>
      <c r="G32" s="479" t="s">
        <v>84</v>
      </c>
      <c r="H32" s="479" t="s">
        <v>183</v>
      </c>
      <c r="I32" s="479" t="s">
        <v>778</v>
      </c>
      <c r="J32" s="479" t="s">
        <v>779</v>
      </c>
      <c r="K32" s="479" t="s">
        <v>780</v>
      </c>
      <c r="L32" s="479"/>
      <c r="M32" s="479"/>
      <c r="N32" s="479" t="s">
        <v>85</v>
      </c>
      <c r="O32" s="479" t="s">
        <v>85</v>
      </c>
      <c r="P32" s="479" t="s">
        <v>85</v>
      </c>
      <c r="Q32" s="479" t="s">
        <v>85</v>
      </c>
      <c r="R32" s="479" t="s">
        <v>105</v>
      </c>
      <c r="S32" s="479" t="s">
        <v>86</v>
      </c>
      <c r="T32" s="479" t="s">
        <v>86</v>
      </c>
      <c r="U32" s="479" t="s">
        <v>86</v>
      </c>
      <c r="V32" s="479" t="s">
        <v>154</v>
      </c>
      <c r="W32" s="479" t="s">
        <v>179</v>
      </c>
      <c r="X32" s="479" t="s">
        <v>99</v>
      </c>
      <c r="Y32" s="480" t="s">
        <v>781</v>
      </c>
      <c r="Z32" s="480" t="s">
        <v>782</v>
      </c>
      <c r="AA32" s="480" t="s">
        <v>770</v>
      </c>
      <c r="AB32" s="480" t="s">
        <v>770</v>
      </c>
      <c r="AC32" s="480" t="s">
        <v>87</v>
      </c>
    </row>
    <row r="33" spans="2:30">
      <c r="B33" s="442" t="s">
        <v>783</v>
      </c>
      <c r="C33" s="438" t="s">
        <v>813</v>
      </c>
      <c r="D33" s="442" t="s">
        <v>784</v>
      </c>
      <c r="E33" s="442"/>
      <c r="F33" s="438" t="s">
        <v>90</v>
      </c>
      <c r="I33" s="443"/>
      <c r="J33" s="443"/>
      <c r="K33" s="443"/>
      <c r="L33" s="443"/>
      <c r="M33" s="443"/>
      <c r="N33" s="443"/>
      <c r="O33" s="443"/>
      <c r="P33" s="443"/>
      <c r="Q33" s="443"/>
      <c r="R33" s="438">
        <v>1</v>
      </c>
      <c r="S33" s="438">
        <v>1</v>
      </c>
      <c r="T33" s="438">
        <v>1</v>
      </c>
      <c r="U33" s="438">
        <v>1</v>
      </c>
      <c r="V33" s="446"/>
      <c r="W33" s="444"/>
      <c r="X33" s="440"/>
      <c r="Y33" s="482">
        <v>826.4674500000001</v>
      </c>
      <c r="Z33" s="482">
        <v>879.34889199999998</v>
      </c>
      <c r="AA33" s="482">
        <v>817.11137299999996</v>
      </c>
      <c r="AB33" s="482">
        <v>836.22620499999994</v>
      </c>
      <c r="AC33" s="482">
        <v>5</v>
      </c>
      <c r="AD33" s="447"/>
    </row>
    <row r="34" spans="2:30">
      <c r="D34" s="442"/>
      <c r="G34" s="437" t="s">
        <v>77</v>
      </c>
      <c r="H34" s="432" t="s">
        <v>501</v>
      </c>
      <c r="I34" s="443">
        <v>0</v>
      </c>
      <c r="J34" s="443">
        <v>0</v>
      </c>
      <c r="K34" s="443">
        <v>0</v>
      </c>
      <c r="L34" s="443">
        <v>0</v>
      </c>
      <c r="M34" s="443">
        <v>5</v>
      </c>
      <c r="R34" s="448"/>
      <c r="S34" s="448"/>
      <c r="T34" s="448"/>
      <c r="U34" s="448"/>
      <c r="V34" s="444"/>
      <c r="W34" s="483">
        <v>13.7</v>
      </c>
      <c r="X34" s="443"/>
      <c r="Y34" s="484"/>
      <c r="Z34" s="484"/>
      <c r="AA34" s="484"/>
      <c r="AB34" s="484"/>
      <c r="AC34" s="484"/>
    </row>
    <row r="35" spans="2:30">
      <c r="B35" s="442"/>
      <c r="D35" s="442"/>
      <c r="G35" s="437" t="s">
        <v>785</v>
      </c>
      <c r="H35" s="432" t="s">
        <v>501</v>
      </c>
      <c r="I35" s="443">
        <v>6.8779607696640693E-3</v>
      </c>
      <c r="J35" s="443">
        <v>8.5932860895524335E-3</v>
      </c>
      <c r="K35" s="443">
        <v>5.5292960790787509E-3</v>
      </c>
      <c r="L35" s="443">
        <v>1.0683087723507191E-2</v>
      </c>
      <c r="M35" s="443">
        <v>5</v>
      </c>
      <c r="R35" s="443"/>
      <c r="S35" s="443"/>
      <c r="T35" s="443"/>
      <c r="U35" s="443"/>
      <c r="V35" s="447"/>
      <c r="W35" s="483">
        <v>3.8999999999999986</v>
      </c>
      <c r="Y35" s="485"/>
      <c r="Z35" s="485"/>
      <c r="AA35" s="485"/>
      <c r="AB35" s="485"/>
      <c r="AC35" s="485"/>
    </row>
    <row r="36" spans="2:30">
      <c r="B36" s="442"/>
      <c r="D36" s="442"/>
      <c r="E36" s="442"/>
      <c r="G36" s="437" t="s">
        <v>41</v>
      </c>
      <c r="H36" s="432" t="s">
        <v>501</v>
      </c>
      <c r="I36" s="443">
        <v>5.8418041434474668E-2</v>
      </c>
      <c r="J36" s="443">
        <v>5.3748007651177356E-2</v>
      </c>
      <c r="K36" s="443">
        <v>6.6154078088977913E-2</v>
      </c>
      <c r="L36" s="443">
        <v>5.7043600824178871E-2</v>
      </c>
      <c r="M36" s="443">
        <v>5</v>
      </c>
      <c r="N36" s="449"/>
      <c r="O36" s="449"/>
      <c r="P36" s="449"/>
      <c r="Q36" s="449"/>
      <c r="R36" s="443"/>
      <c r="S36" s="443"/>
      <c r="T36" s="443"/>
      <c r="U36" s="443"/>
      <c r="V36" s="447"/>
      <c r="W36" s="483">
        <v>3.8999999999999986</v>
      </c>
      <c r="Y36" s="485"/>
      <c r="Z36" s="485"/>
      <c r="AA36" s="485"/>
      <c r="AB36" s="485"/>
      <c r="AC36" s="485"/>
    </row>
    <row r="37" spans="2:30">
      <c r="B37" s="442"/>
      <c r="D37" s="442"/>
      <c r="E37" s="442"/>
      <c r="G37" s="437" t="s">
        <v>73</v>
      </c>
      <c r="H37" s="432" t="s">
        <v>501</v>
      </c>
      <c r="I37" s="443">
        <v>3.49876936404028E-2</v>
      </c>
      <c r="J37" s="443">
        <v>3.6199772296350394E-2</v>
      </c>
      <c r="K37" s="443">
        <v>4.5831527939616652E-2</v>
      </c>
      <c r="L37" s="443">
        <v>1.1280956603458372E-2</v>
      </c>
      <c r="M37" s="443">
        <v>5</v>
      </c>
      <c r="N37" s="449"/>
      <c r="O37" s="449"/>
      <c r="P37" s="449"/>
      <c r="Q37" s="449"/>
      <c r="R37" s="443"/>
      <c r="S37" s="443"/>
      <c r="T37" s="443"/>
      <c r="U37" s="443"/>
      <c r="V37" s="447"/>
      <c r="W37" s="483">
        <v>3.8999999999999986</v>
      </c>
      <c r="Y37" s="485"/>
      <c r="Z37" s="485"/>
      <c r="AA37" s="485"/>
      <c r="AB37" s="485"/>
      <c r="AC37" s="485"/>
    </row>
    <row r="38" spans="2:30">
      <c r="B38" s="442"/>
      <c r="D38" s="442"/>
      <c r="E38" s="442"/>
      <c r="G38" s="437" t="s">
        <v>93</v>
      </c>
      <c r="H38" s="432" t="s">
        <v>501</v>
      </c>
      <c r="I38" s="443">
        <v>2.0141582577499057E-2</v>
      </c>
      <c r="J38" s="443">
        <v>2.1654010394499594E-2</v>
      </c>
      <c r="K38" s="443">
        <v>2.6972437695713634E-2</v>
      </c>
      <c r="L38" s="443">
        <v>2.7852005432943149E-2</v>
      </c>
      <c r="M38" s="443">
        <v>5</v>
      </c>
      <c r="N38" s="449"/>
      <c r="O38" s="449"/>
      <c r="P38" s="449"/>
      <c r="Q38" s="449"/>
      <c r="R38" s="443"/>
      <c r="S38" s="443"/>
      <c r="T38" s="443"/>
      <c r="U38" s="443"/>
      <c r="V38" s="447"/>
      <c r="W38" s="483">
        <v>3.8999999999999986</v>
      </c>
      <c r="Y38" s="485"/>
      <c r="Z38" s="485"/>
      <c r="AA38" s="485"/>
      <c r="AB38" s="485"/>
      <c r="AC38" s="485"/>
    </row>
    <row r="39" spans="2:30">
      <c r="B39" s="442"/>
      <c r="D39" s="442"/>
      <c r="E39" s="442"/>
      <c r="G39" s="437" t="s">
        <v>74</v>
      </c>
      <c r="H39" s="432" t="s">
        <v>501</v>
      </c>
      <c r="I39" s="443">
        <v>1.5258568368746134E-2</v>
      </c>
      <c r="J39" s="443">
        <v>1.2536717678389748E-2</v>
      </c>
      <c r="K39" s="443">
        <v>0</v>
      </c>
      <c r="L39" s="443">
        <v>0</v>
      </c>
      <c r="M39" s="443">
        <v>5</v>
      </c>
      <c r="N39" s="449"/>
      <c r="O39" s="449"/>
      <c r="P39" s="449"/>
      <c r="Q39" s="449"/>
      <c r="R39" s="443"/>
      <c r="S39" s="443"/>
      <c r="T39" s="443"/>
      <c r="U39" s="443"/>
      <c r="V39" s="447"/>
      <c r="W39" s="483">
        <v>17.599999999999998</v>
      </c>
      <c r="Y39" s="485"/>
      <c r="Z39" s="485"/>
      <c r="AA39" s="485"/>
      <c r="AB39" s="485"/>
      <c r="AC39" s="485"/>
    </row>
    <row r="40" spans="2:30">
      <c r="B40" s="442"/>
      <c r="D40" s="442"/>
      <c r="E40" s="442"/>
      <c r="G40" s="437" t="s">
        <v>45</v>
      </c>
      <c r="H40" s="432" t="s">
        <v>501</v>
      </c>
      <c r="I40" s="443">
        <v>0.20004723994864196</v>
      </c>
      <c r="J40" s="443">
        <v>0.23239494333326441</v>
      </c>
      <c r="K40" s="443">
        <v>0.24177541522861834</v>
      </c>
      <c r="L40" s="443">
        <v>0.26950641726304347</v>
      </c>
      <c r="M40" s="443">
        <v>5</v>
      </c>
      <c r="N40" s="449"/>
      <c r="O40" s="449"/>
      <c r="P40" s="449"/>
      <c r="Q40" s="449"/>
      <c r="R40" s="443"/>
      <c r="S40" s="443"/>
      <c r="T40" s="443"/>
      <c r="U40" s="443"/>
      <c r="V40" s="447"/>
      <c r="W40" s="483">
        <v>16.5</v>
      </c>
      <c r="Y40" s="485"/>
      <c r="Z40" s="485"/>
      <c r="AA40" s="485"/>
      <c r="AB40" s="485"/>
      <c r="AC40" s="485"/>
    </row>
    <row r="41" spans="2:30">
      <c r="B41" s="442"/>
      <c r="D41" s="442"/>
      <c r="E41" s="442"/>
      <c r="G41" s="437" t="s">
        <v>44</v>
      </c>
      <c r="H41" s="432" t="s">
        <v>501</v>
      </c>
      <c r="I41" s="443">
        <v>0.41331762345211459</v>
      </c>
      <c r="J41" s="443">
        <v>0.41581757023283838</v>
      </c>
      <c r="K41" s="443">
        <v>0.4384122729053434</v>
      </c>
      <c r="L41" s="443">
        <v>0.43862748567762744</v>
      </c>
      <c r="M41" s="443">
        <v>5</v>
      </c>
      <c r="N41" s="449"/>
      <c r="O41" s="449"/>
      <c r="P41" s="449"/>
      <c r="Q41" s="449"/>
      <c r="R41" s="443"/>
      <c r="S41" s="443"/>
      <c r="T41" s="443"/>
      <c r="U41" s="443"/>
      <c r="V41" s="447"/>
      <c r="W41" s="483">
        <v>-11.8</v>
      </c>
      <c r="Y41" s="485"/>
      <c r="Z41" s="485"/>
      <c r="AA41" s="485"/>
      <c r="AB41" s="485"/>
      <c r="AC41" s="485"/>
    </row>
    <row r="42" spans="2:30">
      <c r="B42" s="442"/>
      <c r="D42" s="442"/>
      <c r="E42" s="442" t="s">
        <v>843</v>
      </c>
      <c r="G42" s="437"/>
      <c r="H42" s="432"/>
      <c r="I42" s="443"/>
      <c r="J42" s="443"/>
      <c r="K42" s="443"/>
      <c r="L42" s="443"/>
      <c r="M42" s="443"/>
      <c r="N42" s="481">
        <f>1.01292756050964-R33</f>
        <v>1.2927560509639946E-2</v>
      </c>
      <c r="O42" s="481">
        <f>1.02200363405355-S33</f>
        <v>2.2003634053550103E-2</v>
      </c>
      <c r="P42" s="481">
        <f>O42</f>
        <v>2.2003634053550103E-2</v>
      </c>
      <c r="Q42" s="481">
        <f>1.00365691135919-U33</f>
        <v>3.656911359189996E-3</v>
      </c>
      <c r="R42" s="443"/>
      <c r="S42" s="443"/>
      <c r="T42" s="443"/>
      <c r="U42" s="443"/>
      <c r="V42" s="447"/>
      <c r="W42" s="483"/>
      <c r="Y42" s="485"/>
      <c r="Z42" s="485"/>
      <c r="AA42" s="485"/>
      <c r="AB42" s="485"/>
      <c r="AC42" s="485"/>
    </row>
    <row r="43" spans="2:30">
      <c r="B43" s="442"/>
      <c r="D43" s="442"/>
      <c r="E43" s="438" t="s">
        <v>786</v>
      </c>
      <c r="I43" s="443"/>
      <c r="J43" s="443"/>
      <c r="K43" s="443"/>
      <c r="L43" s="443"/>
      <c r="M43" s="443"/>
      <c r="N43" s="444">
        <v>0</v>
      </c>
      <c r="O43" s="444">
        <v>0</v>
      </c>
      <c r="P43" s="444">
        <v>0</v>
      </c>
      <c r="Q43" s="444">
        <v>8.6155707115157919E-3</v>
      </c>
      <c r="R43" s="443"/>
      <c r="S43" s="443"/>
      <c r="T43" s="443"/>
      <c r="U43" s="443"/>
      <c r="V43" s="447"/>
      <c r="W43" s="447"/>
      <c r="Y43" s="443"/>
      <c r="Z43" s="443"/>
      <c r="AA43" s="443"/>
      <c r="AB43" s="443"/>
      <c r="AC43" s="443"/>
    </row>
    <row r="44" spans="2:30">
      <c r="B44" s="487"/>
      <c r="C44" s="486"/>
      <c r="D44" s="487"/>
      <c r="E44" s="487" t="s">
        <v>625</v>
      </c>
      <c r="F44" s="486"/>
      <c r="G44" s="486"/>
      <c r="H44" s="486"/>
      <c r="I44" s="488"/>
      <c r="J44" s="488"/>
      <c r="K44" s="488"/>
      <c r="L44" s="488"/>
      <c r="M44" s="488"/>
      <c r="N44" s="489">
        <v>0</v>
      </c>
      <c r="O44" s="489">
        <v>0</v>
      </c>
      <c r="P44" s="489">
        <v>0</v>
      </c>
      <c r="Q44" s="489">
        <v>0</v>
      </c>
      <c r="R44" s="488"/>
      <c r="S44" s="488"/>
      <c r="T44" s="488"/>
      <c r="U44" s="488"/>
      <c r="V44" s="490"/>
      <c r="W44" s="490"/>
      <c r="X44" s="486"/>
      <c r="Y44" s="488"/>
      <c r="Z44" s="488"/>
      <c r="AA44" s="488"/>
      <c r="AB44" s="488"/>
      <c r="AC44" s="488"/>
    </row>
    <row r="45" spans="2:30" ht="14.4">
      <c r="G45" s="24"/>
      <c r="H45" s="450"/>
      <c r="I45" s="450"/>
      <c r="J45" s="450"/>
      <c r="K45" s="450"/>
      <c r="L45" s="450"/>
    </row>
    <row r="46" spans="2:30">
      <c r="H46" s="443"/>
      <c r="I46" s="443"/>
      <c r="J46" s="443"/>
      <c r="K46" s="443"/>
      <c r="L46" s="443"/>
      <c r="S46" s="572"/>
      <c r="T46" s="572"/>
      <c r="U46" s="491"/>
      <c r="V46" s="491"/>
    </row>
    <row r="47" spans="2:30">
      <c r="H47" s="443"/>
      <c r="I47" s="443"/>
      <c r="J47" s="443"/>
      <c r="K47" s="443"/>
      <c r="L47" s="443"/>
      <c r="S47" s="7"/>
      <c r="T47" s="7"/>
      <c r="U47" s="491"/>
      <c r="V47" s="491"/>
    </row>
    <row r="48" spans="2:30">
      <c r="H48" s="443"/>
      <c r="I48" s="443"/>
      <c r="J48" s="443"/>
      <c r="K48" s="443"/>
      <c r="L48" s="443"/>
      <c r="S48" s="492"/>
      <c r="T48" s="492"/>
      <c r="U48" s="492"/>
      <c r="V48" s="492"/>
    </row>
    <row r="49" spans="3:22">
      <c r="H49" s="443"/>
      <c r="I49" s="443"/>
      <c r="J49" s="443"/>
      <c r="K49" s="443"/>
      <c r="L49" s="443"/>
      <c r="S49" s="493"/>
      <c r="T49" s="493"/>
      <c r="U49" s="493"/>
      <c r="V49" s="493"/>
    </row>
    <row r="50" spans="3:22">
      <c r="H50" s="443"/>
      <c r="I50" s="443"/>
      <c r="J50" s="443"/>
      <c r="K50" s="443"/>
      <c r="L50" s="443"/>
      <c r="S50" s="491"/>
      <c r="T50" s="491"/>
      <c r="U50" s="491"/>
      <c r="V50" s="491"/>
    </row>
    <row r="51" spans="3:22">
      <c r="C51" s="438" t="s">
        <v>771</v>
      </c>
      <c r="H51" s="443"/>
      <c r="I51" s="443"/>
      <c r="J51" s="443"/>
      <c r="K51" s="443"/>
      <c r="L51" s="443"/>
    </row>
    <row r="52" spans="3:22">
      <c r="C52" s="438" t="s">
        <v>180</v>
      </c>
      <c r="H52" s="443"/>
      <c r="I52" s="443"/>
      <c r="J52" s="443"/>
      <c r="K52" s="443"/>
      <c r="L52" s="443"/>
    </row>
    <row r="53" spans="3:22">
      <c r="C53" s="438" t="s">
        <v>181</v>
      </c>
    </row>
    <row r="54" spans="3:22" ht="13.8" thickBot="1"/>
    <row r="55" spans="3:22">
      <c r="C55" s="451"/>
      <c r="D55" s="452" t="s">
        <v>493</v>
      </c>
      <c r="E55" s="452" t="s">
        <v>494</v>
      </c>
      <c r="F55" s="452" t="s">
        <v>495</v>
      </c>
      <c r="G55" s="453" t="s">
        <v>496</v>
      </c>
    </row>
    <row r="56" spans="3:22">
      <c r="C56" s="454"/>
      <c r="D56" s="438" t="s">
        <v>499</v>
      </c>
      <c r="E56" s="438" t="s">
        <v>499</v>
      </c>
      <c r="F56" s="438" t="s">
        <v>499</v>
      </c>
      <c r="G56" s="455" t="s">
        <v>499</v>
      </c>
    </row>
    <row r="57" spans="3:22">
      <c r="C57" s="456" t="s">
        <v>73</v>
      </c>
      <c r="D57" s="445">
        <v>4.0999999999999996</v>
      </c>
      <c r="E57" s="445">
        <v>7.8</v>
      </c>
      <c r="F57" s="445">
        <v>-8</v>
      </c>
      <c r="G57" s="457">
        <f>SUM(D57:F57)</f>
        <v>3.8999999999999986</v>
      </c>
    </row>
    <row r="58" spans="3:22">
      <c r="C58" s="456" t="s">
        <v>93</v>
      </c>
      <c r="D58" s="445">
        <v>4.0999999999999996</v>
      </c>
      <c r="E58" s="445">
        <v>7.8</v>
      </c>
      <c r="F58" s="445">
        <v>-8</v>
      </c>
      <c r="G58" s="457">
        <f>SUM(D58:F58)</f>
        <v>3.8999999999999986</v>
      </c>
    </row>
    <row r="59" spans="3:22">
      <c r="C59" s="456" t="s">
        <v>74</v>
      </c>
      <c r="D59" s="445">
        <v>4.0999999999999996</v>
      </c>
      <c r="E59" s="445">
        <v>7.8</v>
      </c>
      <c r="F59" s="445">
        <v>5.7</v>
      </c>
      <c r="G59" s="457">
        <f>SUM(D59:F59)</f>
        <v>17.599999999999998</v>
      </c>
    </row>
    <row r="60" spans="3:22">
      <c r="C60" s="456" t="s">
        <v>77</v>
      </c>
      <c r="D60" s="445">
        <v>4.0999999999999996</v>
      </c>
      <c r="E60" s="445">
        <v>7.8</v>
      </c>
      <c r="F60" s="445">
        <v>1.8</v>
      </c>
      <c r="G60" s="457">
        <f>SUM(D60:F60)</f>
        <v>13.7</v>
      </c>
    </row>
    <row r="61" spans="3:22">
      <c r="C61" s="456" t="s">
        <v>45</v>
      </c>
      <c r="D61" s="445">
        <v>4.0999999999999996</v>
      </c>
      <c r="E61" s="445">
        <v>7.8</v>
      </c>
      <c r="F61" s="445">
        <v>4.5999999999999996</v>
      </c>
      <c r="G61" s="457">
        <f t="shared" ref="G61:G62" si="0">SUM(D61:F61)</f>
        <v>16.5</v>
      </c>
    </row>
    <row r="62" spans="3:22" ht="13.8" thickBot="1">
      <c r="C62" s="458" t="s">
        <v>44</v>
      </c>
      <c r="D62" s="459">
        <v>4.0999999999999996</v>
      </c>
      <c r="E62" s="459">
        <v>7.8</v>
      </c>
      <c r="F62" s="459">
        <v>-23.7</v>
      </c>
      <c r="G62" s="460">
        <f t="shared" si="0"/>
        <v>-11.8</v>
      </c>
    </row>
    <row r="64" spans="3:22">
      <c r="C64" s="438" t="s">
        <v>182</v>
      </c>
    </row>
    <row r="65" spans="3:39">
      <c r="C65" s="438" t="s">
        <v>504</v>
      </c>
    </row>
    <row r="69" spans="3:39">
      <c r="X69" s="461"/>
      <c r="Y69" s="440"/>
      <c r="Z69" s="440"/>
      <c r="AA69" s="440"/>
      <c r="AB69" s="440"/>
      <c r="AC69" s="440"/>
      <c r="AD69" s="440"/>
      <c r="AE69" s="440"/>
      <c r="AF69" s="440"/>
      <c r="AG69" s="440"/>
      <c r="AH69" s="440"/>
      <c r="AI69" s="440"/>
      <c r="AJ69" s="440"/>
      <c r="AK69" s="440"/>
      <c r="AL69" s="440"/>
      <c r="AM69" s="440"/>
    </row>
    <row r="70" spans="3:39">
      <c r="X70" s="461"/>
      <c r="Y70" s="440"/>
      <c r="Z70" s="440"/>
      <c r="AA70" s="440"/>
      <c r="AB70" s="440"/>
      <c r="AC70" s="440"/>
      <c r="AD70" s="440"/>
      <c r="AE70" s="440"/>
      <c r="AF70" s="440"/>
      <c r="AG70" s="440"/>
      <c r="AH70" s="440"/>
      <c r="AI70" s="440"/>
      <c r="AJ70" s="440"/>
      <c r="AK70" s="440"/>
      <c r="AL70" s="440"/>
      <c r="AM70" s="440"/>
    </row>
    <row r="71" spans="3:39">
      <c r="X71" s="461"/>
      <c r="Y71" s="440"/>
      <c r="Z71" s="440"/>
      <c r="AA71" s="440"/>
      <c r="AB71" s="440"/>
      <c r="AC71" s="440"/>
      <c r="AD71" s="440"/>
      <c r="AE71" s="440"/>
      <c r="AF71" s="440"/>
      <c r="AG71" s="440"/>
      <c r="AH71" s="440"/>
      <c r="AI71" s="440"/>
      <c r="AJ71" s="440"/>
      <c r="AK71" s="440"/>
      <c r="AL71" s="440"/>
      <c r="AM71" s="440"/>
    </row>
    <row r="72" spans="3:39">
      <c r="X72" s="461"/>
      <c r="Y72" s="440"/>
      <c r="Z72" s="440"/>
      <c r="AA72" s="440"/>
      <c r="AB72" s="440"/>
      <c r="AC72" s="440"/>
      <c r="AD72" s="440"/>
      <c r="AE72" s="440"/>
      <c r="AF72" s="440"/>
      <c r="AG72" s="440"/>
      <c r="AH72" s="440"/>
      <c r="AI72" s="440"/>
      <c r="AJ72" s="440"/>
      <c r="AK72" s="440"/>
      <c r="AL72" s="440"/>
      <c r="AM72" s="440"/>
    </row>
    <row r="73" spans="3:39">
      <c r="X73" s="461"/>
      <c r="Y73" s="440"/>
      <c r="Z73" s="440"/>
      <c r="AA73" s="440"/>
      <c r="AB73" s="440"/>
      <c r="AC73" s="440"/>
      <c r="AD73" s="440"/>
      <c r="AE73" s="440"/>
      <c r="AF73" s="440"/>
      <c r="AG73" s="440"/>
      <c r="AH73" s="440"/>
      <c r="AI73" s="440"/>
      <c r="AJ73" s="440"/>
      <c r="AK73" s="440"/>
      <c r="AL73" s="440"/>
      <c r="AM73" s="440"/>
    </row>
    <row r="74" spans="3:39">
      <c r="X74" s="461"/>
      <c r="Y74" s="440"/>
      <c r="Z74" s="440"/>
      <c r="AA74" s="440"/>
      <c r="AB74" s="440"/>
      <c r="AC74" s="440"/>
      <c r="AD74" s="440"/>
      <c r="AE74" s="440"/>
      <c r="AF74" s="440"/>
      <c r="AG74" s="440"/>
      <c r="AH74" s="440"/>
      <c r="AI74" s="440"/>
      <c r="AJ74" s="440"/>
      <c r="AK74" s="440"/>
      <c r="AL74" s="440"/>
      <c r="AM74" s="440"/>
    </row>
    <row r="108" spans="9:10">
      <c r="I108" s="438" t="s">
        <v>209</v>
      </c>
      <c r="J108" s="438" t="s">
        <v>500</v>
      </c>
    </row>
    <row r="109" spans="9:10">
      <c r="I109" s="438" t="s">
        <v>497</v>
      </c>
      <c r="J109" s="438" t="s">
        <v>498</v>
      </c>
    </row>
  </sheetData>
  <mergeCells count="1">
    <mergeCell ref="S46:T46"/>
  </mergeCells>
  <conditionalFormatting sqref="Z33">
    <cfRule type="cellIs" dxfId="33" priority="30" stopIfTrue="1" operator="equal">
      <formula>1</formula>
    </cfRule>
  </conditionalFormatting>
  <conditionalFormatting sqref="Y34:Z44 N33:Q33 K43:M44 M34:M42">
    <cfRule type="cellIs" dxfId="32" priority="32" stopIfTrue="1" operator="equal">
      <formula>1</formula>
    </cfRule>
  </conditionalFormatting>
  <conditionalFormatting sqref="X33">
    <cfRule type="cellIs" dxfId="31" priority="33" stopIfTrue="1" operator="greaterThan">
      <formula>#REF!</formula>
    </cfRule>
  </conditionalFormatting>
  <conditionalFormatting sqref="Y33">
    <cfRule type="cellIs" dxfId="30" priority="31" stopIfTrue="1" operator="equal">
      <formula>1</formula>
    </cfRule>
  </conditionalFormatting>
  <conditionalFormatting sqref="N42:Q42">
    <cfRule type="cellIs" dxfId="29" priority="29" stopIfTrue="1" operator="equal">
      <formula>1</formula>
    </cfRule>
  </conditionalFormatting>
  <conditionalFormatting sqref="Y33:Z33">
    <cfRule type="cellIs" dxfId="28" priority="34" stopIfTrue="1" operator="lessThan">
      <formula>#REF!</formula>
    </cfRule>
  </conditionalFormatting>
  <conditionalFormatting sqref="Z33">
    <cfRule type="cellIs" dxfId="27" priority="28" stopIfTrue="1" operator="equal">
      <formula>1</formula>
    </cfRule>
  </conditionalFormatting>
  <conditionalFormatting sqref="AA33">
    <cfRule type="cellIs" dxfId="26" priority="26" stopIfTrue="1" operator="equal">
      <formula>1</formula>
    </cfRule>
  </conditionalFormatting>
  <conditionalFormatting sqref="AA33">
    <cfRule type="cellIs" dxfId="25" priority="27" stopIfTrue="1" operator="lessThan">
      <formula>#REF!</formula>
    </cfRule>
  </conditionalFormatting>
  <conditionalFormatting sqref="AB33">
    <cfRule type="cellIs" dxfId="24" priority="24" stopIfTrue="1" operator="equal">
      <formula>1</formula>
    </cfRule>
  </conditionalFormatting>
  <conditionalFormatting sqref="AB33">
    <cfRule type="cellIs" dxfId="23" priority="25" stopIfTrue="1" operator="lessThan">
      <formula>#REF!</formula>
    </cfRule>
  </conditionalFormatting>
  <conditionalFormatting sqref="R8">
    <cfRule type="cellIs" dxfId="22" priority="23" stopIfTrue="1" operator="equal">
      <formula>1</formula>
    </cfRule>
  </conditionalFormatting>
  <conditionalFormatting sqref="AA8">
    <cfRule type="cellIs" dxfId="21" priority="18" stopIfTrue="1" operator="equal">
      <formula>1</formula>
    </cfRule>
  </conditionalFormatting>
  <conditionalFormatting sqref="Z9:AA17 N8:Q8 K20:M21 M9:M17 Z20:AA21">
    <cfRule type="cellIs" dxfId="20" priority="20" stopIfTrue="1" operator="equal">
      <formula>1</formula>
    </cfRule>
  </conditionalFormatting>
  <conditionalFormatting sqref="Y8">
    <cfRule type="cellIs" dxfId="19" priority="21" stopIfTrue="1" operator="greaterThan">
      <formula>#REF!</formula>
    </cfRule>
  </conditionalFormatting>
  <conditionalFormatting sqref="Z8">
    <cfRule type="cellIs" dxfId="18" priority="19" stopIfTrue="1" operator="equal">
      <formula>1</formula>
    </cfRule>
  </conditionalFormatting>
  <conditionalFormatting sqref="N17:Q17">
    <cfRule type="cellIs" dxfId="17" priority="17" stopIfTrue="1" operator="equal">
      <formula>1</formula>
    </cfRule>
  </conditionalFormatting>
  <conditionalFormatting sqref="Z8:AA8">
    <cfRule type="cellIs" dxfId="16" priority="22" stopIfTrue="1" operator="lessThan">
      <formula>#REF!</formula>
    </cfRule>
  </conditionalFormatting>
  <conditionalFormatting sqref="AA8">
    <cfRule type="cellIs" dxfId="15" priority="16" stopIfTrue="1" operator="equal">
      <formula>1</formula>
    </cfRule>
  </conditionalFormatting>
  <conditionalFormatting sqref="AB8">
    <cfRule type="cellIs" dxfId="14" priority="14" stopIfTrue="1" operator="equal">
      <formula>1</formula>
    </cfRule>
  </conditionalFormatting>
  <conditionalFormatting sqref="AB8">
    <cfRule type="cellIs" dxfId="13" priority="15" stopIfTrue="1" operator="lessThan">
      <formula>#REF!</formula>
    </cfRule>
  </conditionalFormatting>
  <conditionalFormatting sqref="AC8">
    <cfRule type="cellIs" dxfId="12" priority="12" stopIfTrue="1" operator="equal">
      <formula>1</formula>
    </cfRule>
  </conditionalFormatting>
  <conditionalFormatting sqref="AC8">
    <cfRule type="cellIs" dxfId="11" priority="13" stopIfTrue="1" operator="lessThan">
      <formula>#REF!</formula>
    </cfRule>
  </conditionalFormatting>
  <conditionalFormatting sqref="Z18:AA19 K18:M19">
    <cfRule type="cellIs" dxfId="10" priority="11" stopIfTrue="1" operator="equal">
      <formula>1</formula>
    </cfRule>
  </conditionalFormatting>
  <conditionalFormatting sqref="N18:O19 Q18:Q19">
    <cfRule type="cellIs" dxfId="9" priority="10" stopIfTrue="1" operator="equal">
      <formula>1</formula>
    </cfRule>
  </conditionalFormatting>
  <conditionalFormatting sqref="R17:R19">
    <cfRule type="cellIs" dxfId="8" priority="9" stopIfTrue="1" operator="equal">
      <formula>1</formula>
    </cfRule>
  </conditionalFormatting>
  <conditionalFormatting sqref="R20">
    <cfRule type="cellIs" dxfId="7" priority="8" stopIfTrue="1" operator="equal">
      <formula>1</formula>
    </cfRule>
  </conditionalFormatting>
  <conditionalFormatting sqref="R21">
    <cfRule type="cellIs" dxfId="6" priority="7" stopIfTrue="1" operator="equal">
      <formula>1</formula>
    </cfRule>
  </conditionalFormatting>
  <conditionalFormatting sqref="P18">
    <cfRule type="cellIs" dxfId="5" priority="6" stopIfTrue="1" operator="equal">
      <formula>1</formula>
    </cfRule>
  </conditionalFormatting>
  <conditionalFormatting sqref="P19">
    <cfRule type="cellIs" dxfId="4" priority="5" stopIfTrue="1" operator="equal">
      <formula>1</formula>
    </cfRule>
  </conditionalFormatting>
  <conditionalFormatting sqref="AD8">
    <cfRule type="cellIs" dxfId="3" priority="3" stopIfTrue="1" operator="equal">
      <formula>1</formula>
    </cfRule>
  </conditionalFormatting>
  <conditionalFormatting sqref="AD8">
    <cfRule type="cellIs" dxfId="2" priority="4" stopIfTrue="1" operator="lessThan">
      <formula>#REF!</formula>
    </cfRule>
  </conditionalFormatting>
  <conditionalFormatting sqref="AE8">
    <cfRule type="cellIs" dxfId="1" priority="1" stopIfTrue="1" operator="equal">
      <formula>1</formula>
    </cfRule>
  </conditionalFormatting>
  <conditionalFormatting sqref="AE8">
    <cfRule type="cellIs" dxfId="0" priority="2" stopIfTrue="1" operator="lessThan">
      <formula>#REF!</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rgb="FF92D050"/>
  </sheetPr>
  <dimension ref="A1:N29"/>
  <sheetViews>
    <sheetView workbookViewId="0">
      <selection activeCell="E13" sqref="E13"/>
    </sheetView>
  </sheetViews>
  <sheetFormatPr defaultColWidth="8.6640625" defaultRowHeight="13.2"/>
  <cols>
    <col min="5" max="5" width="8.6640625" style="437"/>
  </cols>
  <sheetData>
    <row r="1" spans="1:14" ht="13.8">
      <c r="A1" s="355"/>
      <c r="B1" s="355"/>
      <c r="C1" s="355"/>
      <c r="D1" s="355"/>
      <c r="E1" s="355"/>
      <c r="F1" s="355"/>
      <c r="G1" s="355"/>
      <c r="H1" s="355"/>
      <c r="I1" s="355"/>
      <c r="J1" s="355"/>
    </row>
    <row r="2" spans="1:14" ht="13.8">
      <c r="A2" s="355"/>
      <c r="B2" s="356" t="s">
        <v>610</v>
      </c>
      <c r="C2" s="355"/>
      <c r="D2" s="355"/>
      <c r="E2" s="355"/>
      <c r="F2" s="355"/>
      <c r="G2" s="355"/>
      <c r="H2" s="355"/>
      <c r="I2" s="355"/>
      <c r="J2" s="355"/>
    </row>
    <row r="3" spans="1:14" ht="13.8">
      <c r="A3" s="355"/>
      <c r="B3" s="355"/>
      <c r="C3" s="355"/>
      <c r="D3" s="355"/>
      <c r="E3" s="355"/>
      <c r="F3" s="355"/>
      <c r="G3" s="355"/>
      <c r="H3" s="355"/>
      <c r="I3" s="355"/>
      <c r="J3" s="355"/>
    </row>
    <row r="4" spans="1:14" ht="13.8">
      <c r="A4" s="355"/>
      <c r="B4" s="357" t="s">
        <v>611</v>
      </c>
      <c r="C4" s="355"/>
      <c r="D4" s="355"/>
      <c r="E4" s="355"/>
      <c r="F4" s="355"/>
      <c r="G4" s="355"/>
      <c r="H4" s="355"/>
      <c r="I4" s="355"/>
      <c r="J4" s="355"/>
    </row>
    <row r="5" spans="1:14" ht="13.8">
      <c r="A5" s="355"/>
      <c r="B5" s="356" t="s">
        <v>612</v>
      </c>
      <c r="C5" s="355"/>
      <c r="D5" s="355"/>
      <c r="E5" s="355"/>
      <c r="F5" s="355"/>
      <c r="G5" s="355"/>
      <c r="H5" s="355"/>
      <c r="I5" s="355"/>
      <c r="J5" s="355"/>
    </row>
    <row r="6" spans="1:14" ht="13.8">
      <c r="A6" s="355"/>
      <c r="B6" s="356"/>
      <c r="C6" s="355"/>
      <c r="D6" s="355"/>
      <c r="E6" s="355"/>
      <c r="F6" s="355"/>
      <c r="G6" s="355"/>
      <c r="H6" s="355"/>
      <c r="I6" s="355"/>
      <c r="J6" s="355"/>
    </row>
    <row r="7" spans="1:14" ht="13.8">
      <c r="A7" s="355"/>
      <c r="B7" s="355"/>
      <c r="C7" s="355"/>
      <c r="D7" s="358" t="s">
        <v>613</v>
      </c>
      <c r="E7" s="358"/>
      <c r="F7" s="358" t="s">
        <v>49</v>
      </c>
      <c r="G7" s="358" t="s">
        <v>51</v>
      </c>
      <c r="H7" s="358" t="s">
        <v>50</v>
      </c>
      <c r="I7" s="358" t="s">
        <v>73</v>
      </c>
      <c r="J7" s="362" t="s">
        <v>56</v>
      </c>
      <c r="K7" s="385" t="s">
        <v>638</v>
      </c>
      <c r="L7" s="385" t="s">
        <v>639</v>
      </c>
    </row>
    <row r="8" spans="1:14" ht="14.4" thickBot="1">
      <c r="A8" s="355"/>
      <c r="B8" s="359" t="s">
        <v>614</v>
      </c>
      <c r="C8" s="360"/>
      <c r="D8" s="360" t="s">
        <v>278</v>
      </c>
      <c r="E8" s="566"/>
      <c r="F8" s="360" t="s">
        <v>278</v>
      </c>
      <c r="G8" s="360" t="s">
        <v>278</v>
      </c>
      <c r="H8" s="360" t="s">
        <v>278</v>
      </c>
      <c r="I8" s="360" t="s">
        <v>278</v>
      </c>
      <c r="J8" s="363" t="s">
        <v>278</v>
      </c>
      <c r="K8" s="381" t="s">
        <v>278</v>
      </c>
      <c r="L8" s="381" t="s">
        <v>278</v>
      </c>
    </row>
    <row r="9" spans="1:14" ht="13.8">
      <c r="A9" s="355"/>
      <c r="B9" s="355"/>
      <c r="C9" s="355"/>
      <c r="D9" s="355"/>
      <c r="E9" s="355"/>
      <c r="F9" s="355"/>
      <c r="G9" s="355"/>
      <c r="H9" s="355"/>
      <c r="I9" s="355"/>
      <c r="J9" s="364"/>
      <c r="K9" s="365"/>
      <c r="L9" s="365"/>
    </row>
    <row r="10" spans="1:14" ht="13.8">
      <c r="A10" s="355"/>
      <c r="B10" s="355"/>
      <c r="C10" s="361" t="s">
        <v>624</v>
      </c>
      <c r="D10" s="355"/>
      <c r="E10" s="355"/>
      <c r="F10" s="355"/>
      <c r="G10" s="355"/>
      <c r="H10" s="355"/>
      <c r="I10" s="355"/>
      <c r="J10" s="364"/>
      <c r="K10" s="365"/>
      <c r="L10" s="365"/>
      <c r="M10" s="331"/>
      <c r="N10" s="331"/>
    </row>
    <row r="11" spans="1:14" ht="27.6">
      <c r="A11" s="355"/>
      <c r="B11" s="374" t="s">
        <v>1</v>
      </c>
      <c r="C11" s="375" t="s">
        <v>3</v>
      </c>
      <c r="D11" s="376" t="s">
        <v>625</v>
      </c>
      <c r="E11" s="567" t="s">
        <v>843</v>
      </c>
      <c r="F11" s="376" t="s">
        <v>626</v>
      </c>
      <c r="G11" s="376" t="s">
        <v>627</v>
      </c>
      <c r="H11" s="376" t="s">
        <v>628</v>
      </c>
      <c r="I11" s="376" t="s">
        <v>629</v>
      </c>
      <c r="J11" s="377" t="s">
        <v>630</v>
      </c>
      <c r="K11" s="382" t="s">
        <v>631</v>
      </c>
      <c r="L11" s="382" t="s">
        <v>632</v>
      </c>
      <c r="M11" s="378"/>
      <c r="N11" s="378"/>
    </row>
    <row r="12" spans="1:14" ht="13.8">
      <c r="A12" s="355"/>
      <c r="B12" s="355"/>
      <c r="C12" s="355" t="s">
        <v>146</v>
      </c>
      <c r="D12" s="379">
        <v>56.95</v>
      </c>
      <c r="E12" s="379">
        <f>H12</f>
        <v>79.28</v>
      </c>
      <c r="F12" s="379">
        <v>94.6</v>
      </c>
      <c r="G12" s="379">
        <v>74</v>
      </c>
      <c r="H12" s="379">
        <v>79.28</v>
      </c>
      <c r="I12" s="380">
        <v>63.1</v>
      </c>
      <c r="J12" s="331"/>
      <c r="K12" s="365"/>
      <c r="L12" s="365"/>
      <c r="M12" s="331"/>
      <c r="N12" s="331"/>
    </row>
    <row r="13" spans="1:14" ht="13.8">
      <c r="A13" s="355"/>
      <c r="B13" s="355"/>
      <c r="C13" s="355" t="s">
        <v>615</v>
      </c>
      <c r="D13" s="355"/>
      <c r="E13" s="355"/>
      <c r="F13" s="355"/>
      <c r="G13" s="355"/>
      <c r="H13" s="355"/>
      <c r="I13" s="355"/>
      <c r="J13" s="379">
        <v>0</v>
      </c>
      <c r="K13" s="365"/>
      <c r="L13" s="365"/>
      <c r="M13" s="331"/>
      <c r="N13" s="331"/>
    </row>
    <row r="14" spans="1:14" ht="14.4">
      <c r="A14" s="355"/>
      <c r="B14" s="355"/>
      <c r="C14" s="384" t="s">
        <v>637</v>
      </c>
      <c r="D14" s="355"/>
      <c r="E14" s="355"/>
      <c r="F14" s="355"/>
      <c r="G14" s="355"/>
      <c r="H14" s="355"/>
      <c r="I14" s="355"/>
      <c r="J14" s="355"/>
      <c r="K14" s="383">
        <v>3.6323723359116955</v>
      </c>
      <c r="L14" s="383">
        <v>3.6323723359116955</v>
      </c>
      <c r="M14" s="331"/>
      <c r="N14" s="331"/>
    </row>
    <row r="15" spans="1:14" ht="13.8">
      <c r="A15" s="355"/>
      <c r="B15" s="355"/>
      <c r="C15" s="355"/>
      <c r="D15" s="355"/>
      <c r="E15" s="355"/>
      <c r="F15" s="355"/>
      <c r="G15" s="355"/>
      <c r="H15" s="355"/>
      <c r="I15" s="355"/>
      <c r="J15" s="355"/>
      <c r="K15" s="365"/>
      <c r="L15" s="365"/>
      <c r="M15" s="331"/>
      <c r="N15" s="331"/>
    </row>
    <row r="16" spans="1:14" ht="13.8">
      <c r="A16" s="355"/>
      <c r="B16" s="355"/>
    </row>
    <row r="17" spans="1:12" ht="14.4">
      <c r="A17" s="355"/>
      <c r="B17" s="355"/>
      <c r="C17" s="355"/>
      <c r="K17" s="383"/>
      <c r="L17" s="383"/>
    </row>
    <row r="18" spans="1:12" ht="13.8">
      <c r="A18" s="355"/>
      <c r="B18" s="355"/>
      <c r="C18" s="355"/>
    </row>
    <row r="19" spans="1:12" ht="13.8">
      <c r="A19" s="355"/>
      <c r="B19" s="355"/>
      <c r="C19" s="355"/>
    </row>
    <row r="20" spans="1:12" ht="13.8">
      <c r="A20" s="355"/>
      <c r="B20" s="355"/>
      <c r="C20" s="355"/>
    </row>
    <row r="21" spans="1:12" ht="13.8">
      <c r="A21" s="355"/>
      <c r="B21" s="355"/>
      <c r="C21" s="355"/>
    </row>
    <row r="22" spans="1:12" ht="13.8">
      <c r="A22" s="355"/>
      <c r="B22" s="355"/>
      <c r="C22" s="355"/>
    </row>
    <row r="23" spans="1:12" ht="13.8">
      <c r="A23" s="355"/>
      <c r="B23" s="355"/>
      <c r="C23" s="355"/>
    </row>
    <row r="24" spans="1:12" ht="13.8">
      <c r="A24" s="355"/>
      <c r="B24" s="355"/>
      <c r="C24" s="355"/>
    </row>
    <row r="25" spans="1:12" ht="13.8">
      <c r="A25" s="355"/>
      <c r="B25" s="355"/>
      <c r="C25" s="355"/>
    </row>
    <row r="26" spans="1:12" ht="13.8">
      <c r="A26" s="355"/>
      <c r="B26" s="355"/>
      <c r="C26" s="355"/>
    </row>
    <row r="27" spans="1:12" ht="13.8">
      <c r="A27" s="355"/>
    </row>
    <row r="28" spans="1:12" ht="13.8">
      <c r="A28" s="355"/>
    </row>
    <row r="29" spans="1:12" ht="13.8">
      <c r="A29" s="35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rgb="FF92D050"/>
  </sheetPr>
  <dimension ref="B2:F58"/>
  <sheetViews>
    <sheetView tabSelected="1" zoomScaleNormal="100" workbookViewId="0">
      <selection activeCell="F7" sqref="F7"/>
    </sheetView>
  </sheetViews>
  <sheetFormatPr defaultColWidth="8.6640625" defaultRowHeight="13.2"/>
  <cols>
    <col min="2" max="2" width="12.44140625" bestFit="1" customWidth="1"/>
    <col min="5" max="5" width="13.44140625" customWidth="1"/>
  </cols>
  <sheetData>
    <row r="2" spans="2:6" ht="13.8">
      <c r="B2" s="9"/>
      <c r="C2" s="41"/>
      <c r="D2" s="41"/>
      <c r="E2" s="10" t="s">
        <v>7</v>
      </c>
      <c r="F2" s="41"/>
    </row>
    <row r="3" spans="2:6" ht="27.6">
      <c r="B3" s="11" t="s">
        <v>1</v>
      </c>
      <c r="C3" s="11" t="s">
        <v>21</v>
      </c>
      <c r="D3" s="11" t="s">
        <v>79</v>
      </c>
      <c r="E3" s="42" t="s">
        <v>13</v>
      </c>
      <c r="F3" s="26" t="s">
        <v>80</v>
      </c>
    </row>
    <row r="4" spans="2:6" ht="13.8" thickBot="1">
      <c r="B4" s="43" t="s">
        <v>147</v>
      </c>
      <c r="C4" s="44"/>
      <c r="D4" s="44"/>
      <c r="E4" s="45"/>
      <c r="F4" s="46"/>
    </row>
    <row r="5" spans="2:6" ht="13.8" thickBot="1">
      <c r="B5" s="47" t="s">
        <v>22</v>
      </c>
      <c r="C5" s="48"/>
      <c r="D5" s="48"/>
      <c r="E5" s="48"/>
      <c r="F5" s="49"/>
    </row>
    <row r="6" spans="2:6">
      <c r="B6" t="str">
        <f>Processes!D112</f>
        <v>FT-SUPELC</v>
      </c>
      <c r="D6" s="23" t="s">
        <v>148</v>
      </c>
      <c r="E6" s="23" t="str">
        <f>Commodities!E77</f>
        <v>SUPELC</v>
      </c>
      <c r="F6" s="50">
        <v>1</v>
      </c>
    </row>
    <row r="7" spans="2:6">
      <c r="B7" s="331" t="str">
        <f>Processes!D113</f>
        <v>FT-SUPHETC</v>
      </c>
      <c r="D7" s="23" t="s">
        <v>149</v>
      </c>
      <c r="E7" s="23" t="str">
        <f>Commodities!E78</f>
        <v>SUPHETC</v>
      </c>
      <c r="F7" s="51">
        <v>0.89500000000000002</v>
      </c>
    </row>
    <row r="8" spans="2:6">
      <c r="B8" s="372" t="str">
        <f>Processes!D114</f>
        <v>FT-SUPHETD</v>
      </c>
      <c r="C8" s="372"/>
      <c r="D8" s="431" t="s">
        <v>150</v>
      </c>
      <c r="E8" s="431" t="str">
        <f>Commodities!E79</f>
        <v>SUPHETD</v>
      </c>
      <c r="F8" s="51">
        <v>0.89500000000000002</v>
      </c>
    </row>
    <row r="9" spans="2:6">
      <c r="B9" s="331" t="str">
        <f>Processes!D115</f>
        <v>FT-SUPCOA</v>
      </c>
      <c r="C9" s="331"/>
      <c r="D9" s="331" t="str">
        <f>IF(LEN(E9)=6,RIGHT(E9,3),RIGHT(E9,4))</f>
        <v>COA</v>
      </c>
      <c r="E9" s="23" t="str">
        <f>Commodities!E80</f>
        <v>SUPCOA</v>
      </c>
      <c r="F9" s="331">
        <v>1</v>
      </c>
    </row>
    <row r="10" spans="2:6">
      <c r="B10" s="331" t="str">
        <f>Processes!D116</f>
        <v>FT-SUPNGA</v>
      </c>
      <c r="C10" s="331"/>
      <c r="D10" s="331" t="str">
        <f t="shared" ref="D10:D37" si="0">IF(LEN(E10)=6,RIGHT(E10,3),RIGHT(E10,4))</f>
        <v>NGA</v>
      </c>
      <c r="E10" s="23" t="str">
        <f>Commodities!E81</f>
        <v>SUPNGA</v>
      </c>
      <c r="F10" s="331">
        <v>1</v>
      </c>
    </row>
    <row r="11" spans="2:6">
      <c r="B11" s="331" t="str">
        <f>Processes!D117</f>
        <v>FT-SUPCRD</v>
      </c>
      <c r="D11" s="331" t="str">
        <f t="shared" si="0"/>
        <v>CRD</v>
      </c>
      <c r="E11" s="23" t="str">
        <f>Commodities!E82</f>
        <v>SUPCRD</v>
      </c>
      <c r="F11">
        <v>1</v>
      </c>
    </row>
    <row r="12" spans="2:6">
      <c r="B12" s="331" t="str">
        <f>Processes!D118</f>
        <v>FT-SUPLPG</v>
      </c>
      <c r="C12" s="331"/>
      <c r="D12" s="331" t="str">
        <f t="shared" si="0"/>
        <v>LPG</v>
      </c>
      <c r="E12" s="23" t="str">
        <f>Commodities!E83</f>
        <v>SUPLPG</v>
      </c>
      <c r="F12" s="331">
        <v>1</v>
      </c>
    </row>
    <row r="13" spans="2:6">
      <c r="B13" s="331" t="str">
        <f>Processes!D119</f>
        <v>FT-SUPLVN</v>
      </c>
      <c r="C13" s="331"/>
      <c r="D13" s="331" t="str">
        <f t="shared" si="0"/>
        <v>LVN</v>
      </c>
      <c r="E13" s="23" t="str">
        <f>Commodities!E84</f>
        <v>SUPLVN</v>
      </c>
      <c r="F13" s="331">
        <v>1</v>
      </c>
    </row>
    <row r="14" spans="2:6">
      <c r="B14" s="331" t="str">
        <f>Processes!D120</f>
        <v>FT-SUPGSL</v>
      </c>
      <c r="C14" s="331"/>
      <c r="D14" s="331" t="str">
        <f t="shared" si="0"/>
        <v>GSL</v>
      </c>
      <c r="E14" s="23" t="str">
        <f>Commodities!E85</f>
        <v>SUPGSL</v>
      </c>
      <c r="F14" s="331">
        <v>1</v>
      </c>
    </row>
    <row r="15" spans="2:6">
      <c r="B15" s="331" t="str">
        <f>Processes!D121</f>
        <v>FT-SUPKER</v>
      </c>
      <c r="C15" s="331"/>
      <c r="D15" s="331" t="str">
        <f t="shared" si="0"/>
        <v>KER</v>
      </c>
      <c r="E15" s="23" t="str">
        <f>Commodities!E86</f>
        <v>SUPKER</v>
      </c>
      <c r="F15" s="331">
        <v>1</v>
      </c>
    </row>
    <row r="16" spans="2:6">
      <c r="B16" s="331" t="str">
        <f>Processes!D122</f>
        <v>FT-SUPDSL</v>
      </c>
      <c r="C16" s="331"/>
      <c r="D16" s="331" t="str">
        <f t="shared" si="0"/>
        <v>DSL</v>
      </c>
      <c r="E16" s="23" t="str">
        <f>Commodities!E87</f>
        <v>SUPDSL</v>
      </c>
      <c r="F16" s="331">
        <v>1</v>
      </c>
    </row>
    <row r="17" spans="2:6">
      <c r="B17" s="331" t="str">
        <f>Processes!D123</f>
        <v>FT-SUPHFO</v>
      </c>
      <c r="C17" s="331"/>
      <c r="D17" s="331" t="str">
        <f t="shared" si="0"/>
        <v>HFO</v>
      </c>
      <c r="E17" s="23" t="str">
        <f>Commodities!E88</f>
        <v>SUPHFO</v>
      </c>
      <c r="F17" s="331">
        <v>1</v>
      </c>
    </row>
    <row r="18" spans="2:6">
      <c r="B18" s="331" t="str">
        <f>Processes!D124</f>
        <v>FT-SUPMGO</v>
      </c>
      <c r="C18" s="331"/>
      <c r="D18" s="331" t="str">
        <f t="shared" si="0"/>
        <v>MGO</v>
      </c>
      <c r="E18" s="23" t="str">
        <f>Commodities!E89</f>
        <v>SUPMGO</v>
      </c>
      <c r="F18" s="331">
        <v>1</v>
      </c>
    </row>
    <row r="19" spans="2:6">
      <c r="B19" s="331" t="str">
        <f>Processes!D125</f>
        <v>FT-SUPAGSL</v>
      </c>
      <c r="C19" s="331"/>
      <c r="D19" s="331" t="str">
        <f t="shared" si="0"/>
        <v>AGSL</v>
      </c>
      <c r="E19" s="23" t="str">
        <f>Commodities!E90</f>
        <v>SUPAGSL</v>
      </c>
      <c r="F19" s="331">
        <v>1</v>
      </c>
    </row>
    <row r="20" spans="2:6">
      <c r="B20" s="331" t="str">
        <f>Processes!D126</f>
        <v>FT-SUPWST</v>
      </c>
      <c r="C20" s="331"/>
      <c r="D20" s="331" t="str">
        <f t="shared" si="0"/>
        <v>WST</v>
      </c>
      <c r="E20" s="23" t="str">
        <f>Commodities!E91</f>
        <v>SUPWST</v>
      </c>
      <c r="F20" s="331">
        <v>1</v>
      </c>
    </row>
    <row r="21" spans="2:6">
      <c r="B21" s="331" t="str">
        <f>Processes!D127</f>
        <v>FT-SUPSTR</v>
      </c>
      <c r="C21" s="331"/>
      <c r="D21" s="331" t="str">
        <f t="shared" si="0"/>
        <v>STR</v>
      </c>
      <c r="E21" s="23" t="str">
        <f>Commodities!E92</f>
        <v>SUPSTR</v>
      </c>
      <c r="F21" s="331">
        <v>1</v>
      </c>
    </row>
    <row r="22" spans="2:6">
      <c r="B22" s="331" t="str">
        <f>Processes!D128</f>
        <v>FT-SUPGRS</v>
      </c>
      <c r="C22" s="331"/>
      <c r="D22" s="331" t="str">
        <f t="shared" si="0"/>
        <v>GRS</v>
      </c>
      <c r="E22" s="23" t="str">
        <f>Commodities!E93</f>
        <v>SUPGRS</v>
      </c>
      <c r="F22" s="331">
        <v>1</v>
      </c>
    </row>
    <row r="23" spans="2:6">
      <c r="B23" s="331" t="str">
        <f>Processes!D129</f>
        <v>FT-SUPWPE</v>
      </c>
      <c r="C23" s="331"/>
      <c r="D23" s="331" t="str">
        <f t="shared" si="0"/>
        <v>WPE</v>
      </c>
      <c r="E23" s="23" t="str">
        <f>Commodities!E94</f>
        <v>SUPWPE</v>
      </c>
      <c r="F23" s="331">
        <v>1</v>
      </c>
    </row>
    <row r="24" spans="2:6">
      <c r="B24" s="331" t="str">
        <f>Processes!D130</f>
        <v>FT-SUPWCH</v>
      </c>
      <c r="C24" s="331"/>
      <c r="D24" s="331" t="str">
        <f t="shared" si="0"/>
        <v>WCH</v>
      </c>
      <c r="E24" s="23" t="str">
        <f>Commodities!E95</f>
        <v>SUPWCH</v>
      </c>
      <c r="F24" s="331">
        <v>1</v>
      </c>
    </row>
    <row r="25" spans="2:6">
      <c r="B25" s="331" t="str">
        <f>Processes!D131</f>
        <v>FT-SUPFIW</v>
      </c>
      <c r="C25" s="331"/>
      <c r="D25" s="331" t="str">
        <f t="shared" si="0"/>
        <v>FIW</v>
      </c>
      <c r="E25" s="23" t="str">
        <f>Commodities!E96</f>
        <v>SUPFIW</v>
      </c>
      <c r="F25" s="331">
        <v>1</v>
      </c>
    </row>
    <row r="26" spans="2:6">
      <c r="B26" s="331" t="str">
        <f>Processes!D132</f>
        <v>FT-SUPCRN</v>
      </c>
      <c r="C26" s="331"/>
      <c r="D26" s="331" t="str">
        <f t="shared" si="0"/>
        <v>CRN</v>
      </c>
      <c r="E26" s="23" t="str">
        <f>Commodities!E97</f>
        <v>SUPCRN</v>
      </c>
      <c r="F26" s="331">
        <v>1</v>
      </c>
    </row>
    <row r="27" spans="2:6">
      <c r="B27" s="331" t="str">
        <f>Processes!D133</f>
        <v>FT-SUPRPS</v>
      </c>
      <c r="C27" s="331"/>
      <c r="D27" s="331" t="str">
        <f t="shared" si="0"/>
        <v>RPS</v>
      </c>
      <c r="E27" s="23" t="str">
        <f>Commodities!E98</f>
        <v>SUPRPS</v>
      </c>
      <c r="F27" s="331">
        <v>1</v>
      </c>
    </row>
    <row r="28" spans="2:6">
      <c r="B28" s="331" t="str">
        <f>Processes!D134</f>
        <v>FT-SUPSGB</v>
      </c>
      <c r="C28" s="331"/>
      <c r="D28" s="331" t="str">
        <f t="shared" si="0"/>
        <v>SGB</v>
      </c>
      <c r="E28" s="23" t="str">
        <f>Commodities!E99</f>
        <v>SUPSGB</v>
      </c>
      <c r="F28" s="331">
        <v>1</v>
      </c>
    </row>
    <row r="29" spans="2:6">
      <c r="B29" s="331" t="str">
        <f>Processes!D135</f>
        <v>FT-SUPDLI</v>
      </c>
      <c r="C29" s="331"/>
      <c r="D29" s="331" t="str">
        <f t="shared" si="0"/>
        <v>DLI</v>
      </c>
      <c r="E29" s="23" t="str">
        <f>Commodities!E100</f>
        <v>SUPDLI</v>
      </c>
      <c r="F29" s="331">
        <v>1</v>
      </c>
    </row>
    <row r="30" spans="2:6">
      <c r="B30" s="331" t="str">
        <f>Processes!D136</f>
        <v>FT-SUPMNR</v>
      </c>
      <c r="C30" s="331"/>
      <c r="D30" s="331" t="str">
        <f t="shared" si="0"/>
        <v>MNR</v>
      </c>
      <c r="E30" s="23" t="str">
        <f>Commodities!E101</f>
        <v>SUPMNR</v>
      </c>
      <c r="F30" s="331">
        <v>1</v>
      </c>
    </row>
    <row r="31" spans="2:6">
      <c r="B31" s="331" t="str">
        <f>Processes!D137</f>
        <v>FT-SUPBGA</v>
      </c>
      <c r="C31" s="331"/>
      <c r="D31" s="331" t="str">
        <f t="shared" si="0"/>
        <v>BGA</v>
      </c>
      <c r="E31" s="23" t="str">
        <f>Commodities!E102</f>
        <v>SUPBGA</v>
      </c>
      <c r="F31" s="331">
        <v>1</v>
      </c>
    </row>
    <row r="32" spans="2:6">
      <c r="B32" s="331" t="str">
        <f>Processes!D138</f>
        <v>FT-SUPHFB</v>
      </c>
      <c r="C32" s="331"/>
      <c r="D32" s="331" t="str">
        <f t="shared" si="0"/>
        <v>HFB</v>
      </c>
      <c r="E32" s="23" t="str">
        <f>Commodities!E103</f>
        <v>SUPHFB</v>
      </c>
      <c r="F32" s="331">
        <v>1</v>
      </c>
    </row>
    <row r="33" spans="2:6">
      <c r="B33" s="331" t="str">
        <f>Processes!D139</f>
        <v>FT-SUPDDGS</v>
      </c>
      <c r="C33" s="331"/>
      <c r="D33" s="331" t="str">
        <f t="shared" si="0"/>
        <v>DDGS</v>
      </c>
      <c r="E33" s="23" t="str">
        <f>Commodities!E104</f>
        <v>SUPDDGS</v>
      </c>
      <c r="F33" s="331">
        <v>1</v>
      </c>
    </row>
    <row r="34" spans="2:6">
      <c r="B34" s="331" t="str">
        <f>Processes!D140</f>
        <v>FT-SUPH2</v>
      </c>
      <c r="C34" s="331"/>
      <c r="D34" s="433" t="s">
        <v>651</v>
      </c>
      <c r="E34" s="23" t="str">
        <f>Commodities!E105</f>
        <v>SUPH2</v>
      </c>
      <c r="F34" s="331">
        <v>1</v>
      </c>
    </row>
    <row r="35" spans="2:6">
      <c r="B35" s="331" t="str">
        <f>Processes!D141</f>
        <v>FT-SUPH2G</v>
      </c>
      <c r="C35" s="331"/>
      <c r="D35" s="331" t="str">
        <f t="shared" si="0"/>
        <v>H2G</v>
      </c>
      <c r="E35" s="23" t="str">
        <f>Commodities!E106</f>
        <v>SUPH2G</v>
      </c>
      <c r="F35" s="331">
        <v>1</v>
      </c>
    </row>
    <row r="36" spans="2:6">
      <c r="B36" s="331" t="str">
        <f>Processes!D142</f>
        <v>FT-SUPAMM</v>
      </c>
      <c r="C36" s="331"/>
      <c r="D36" s="331" t="str">
        <f t="shared" si="0"/>
        <v>AMM</v>
      </c>
      <c r="E36" s="23" t="str">
        <f>Commodities!E107</f>
        <v>SUPAMM</v>
      </c>
      <c r="F36" s="331">
        <v>1</v>
      </c>
    </row>
    <row r="37" spans="2:6">
      <c r="B37" s="331" t="str">
        <f>Processes!D143</f>
        <v>FT-SUPDME</v>
      </c>
      <c r="C37" s="331"/>
      <c r="D37" s="331" t="str">
        <f t="shared" si="0"/>
        <v>DME</v>
      </c>
      <c r="E37" s="23" t="str">
        <f>Commodities!E108</f>
        <v>SUPDME</v>
      </c>
      <c r="F37" s="331">
        <v>1</v>
      </c>
    </row>
    <row r="38" spans="2:6">
      <c r="B38" s="331" t="str">
        <f>Processes!D144</f>
        <v>FT-SUPKRB</v>
      </c>
      <c r="C38" s="331"/>
      <c r="D38" s="331" t="str">
        <f>Commodities!E30</f>
        <v>KRB1</v>
      </c>
      <c r="E38" s="23" t="str">
        <f>Commodities!E109</f>
        <v>SUPKRB</v>
      </c>
      <c r="F38" s="331">
        <v>1</v>
      </c>
    </row>
    <row r="39" spans="2:6">
      <c r="B39" s="331"/>
      <c r="C39" s="331"/>
      <c r="D39" s="331" t="str">
        <f>Commodities!E31</f>
        <v>KRB2</v>
      </c>
      <c r="E39" s="23"/>
      <c r="F39" s="331">
        <v>1</v>
      </c>
    </row>
    <row r="40" spans="2:6">
      <c r="B40" s="331"/>
      <c r="C40" s="331"/>
      <c r="D40" s="331" t="str">
        <f>Commodities!E32</f>
        <v>KRE</v>
      </c>
      <c r="E40" s="23"/>
      <c r="F40" s="331">
        <v>1</v>
      </c>
    </row>
    <row r="41" spans="2:6">
      <c r="B41" s="331" t="str">
        <f>Processes!D145</f>
        <v>FT-SUPSNG</v>
      </c>
      <c r="C41" s="331"/>
      <c r="D41" s="331" t="str">
        <f>Commodities!E33</f>
        <v>SNG1</v>
      </c>
      <c r="E41" s="23" t="str">
        <f>Commodities!E110</f>
        <v>SUPSNG</v>
      </c>
      <c r="F41" s="331">
        <v>1</v>
      </c>
    </row>
    <row r="42" spans="2:6">
      <c r="B42" s="331"/>
      <c r="C42" s="331"/>
      <c r="D42" s="331" t="str">
        <f>Commodities!E34</f>
        <v>SNG2</v>
      </c>
      <c r="E42" s="23"/>
      <c r="F42" s="331">
        <v>1</v>
      </c>
    </row>
    <row r="43" spans="2:6">
      <c r="B43" s="331"/>
      <c r="C43" s="331"/>
      <c r="D43" s="331" t="str">
        <f>Commodities!E35</f>
        <v>SNE</v>
      </c>
      <c r="E43" s="23"/>
      <c r="F43" s="331">
        <v>1</v>
      </c>
    </row>
    <row r="44" spans="2:6">
      <c r="B44" s="331" t="str">
        <f>Processes!D146</f>
        <v>FT-SUPDSB</v>
      </c>
      <c r="C44" s="331"/>
      <c r="D44" s="331" t="str">
        <f>Commodities!E36</f>
        <v>DSB1</v>
      </c>
      <c r="E44" s="23" t="str">
        <f>Commodities!E111</f>
        <v>SUPDSB</v>
      </c>
      <c r="F44" s="331">
        <v>1</v>
      </c>
    </row>
    <row r="45" spans="2:6">
      <c r="B45" s="331"/>
      <c r="C45" s="331"/>
      <c r="D45" s="331" t="str">
        <f>Commodities!E37</f>
        <v>DSB2</v>
      </c>
      <c r="E45" s="23"/>
      <c r="F45" s="331">
        <v>1</v>
      </c>
    </row>
    <row r="46" spans="2:6">
      <c r="B46" s="331"/>
      <c r="C46" s="331"/>
      <c r="D46" s="331" t="str">
        <f>Commodities!E38</f>
        <v>DSE</v>
      </c>
      <c r="E46" s="23"/>
      <c r="F46" s="331">
        <v>1</v>
      </c>
    </row>
    <row r="47" spans="2:6">
      <c r="B47" s="331" t="str">
        <f>Processes!D147</f>
        <v>FT-SUPGSB</v>
      </c>
      <c r="C47" s="331"/>
      <c r="D47" s="331" t="str">
        <f>Commodities!E39</f>
        <v>GSB1</v>
      </c>
      <c r="E47" s="23" t="str">
        <f>Commodities!E112</f>
        <v>SUPGSB</v>
      </c>
      <c r="F47" s="331">
        <v>1</v>
      </c>
    </row>
    <row r="48" spans="2:6">
      <c r="B48" s="331"/>
      <c r="C48" s="331"/>
      <c r="D48" s="331" t="str">
        <f>Commodities!E40</f>
        <v>GSB2</v>
      </c>
      <c r="E48" s="23"/>
      <c r="F48" s="331">
        <v>1</v>
      </c>
    </row>
    <row r="49" spans="2:6">
      <c r="B49" s="331"/>
      <c r="C49" s="331"/>
      <c r="D49" s="331" t="str">
        <f>Commodities!E41</f>
        <v>GSE</v>
      </c>
      <c r="E49" s="23"/>
      <c r="F49" s="331">
        <v>1</v>
      </c>
    </row>
    <row r="50" spans="2:6">
      <c r="B50" s="331" t="str">
        <f>Processes!D148</f>
        <v>FT-SUPMOB</v>
      </c>
      <c r="C50" s="331"/>
      <c r="D50" s="331" t="str">
        <f>Commodities!E42</f>
        <v>MOB1</v>
      </c>
      <c r="E50" s="23" t="str">
        <f>Commodities!E113</f>
        <v>SUPMOB</v>
      </c>
      <c r="F50" s="331">
        <v>1</v>
      </c>
    </row>
    <row r="51" spans="2:6">
      <c r="B51" s="331"/>
      <c r="C51" s="331"/>
      <c r="D51" s="331" t="str">
        <f>Commodities!E43</f>
        <v>MOB2</v>
      </c>
      <c r="E51" s="23"/>
      <c r="F51" s="331">
        <v>1</v>
      </c>
    </row>
    <row r="52" spans="2:6">
      <c r="B52" s="372"/>
      <c r="C52" s="372"/>
      <c r="D52" s="372" t="str">
        <f>Commodities!E44</f>
        <v>MOE</v>
      </c>
      <c r="E52" s="431"/>
      <c r="F52" s="372">
        <v>1</v>
      </c>
    </row>
    <row r="53" spans="2:6">
      <c r="B53" s="331" t="str">
        <f>Processes!D149</f>
        <v>FT-MINNGA</v>
      </c>
      <c r="C53" s="331"/>
      <c r="D53" s="432" t="s">
        <v>632</v>
      </c>
      <c r="E53" s="432" t="s">
        <v>41</v>
      </c>
      <c r="F53" s="331">
        <v>1</v>
      </c>
    </row>
    <row r="54" spans="2:6">
      <c r="B54" s="331" t="str">
        <f>Processes!D150</f>
        <v>FT-MINCRD</v>
      </c>
      <c r="C54" s="331"/>
      <c r="D54" s="432" t="s">
        <v>631</v>
      </c>
      <c r="E54" s="432" t="s">
        <v>90</v>
      </c>
      <c r="F54" s="331">
        <v>1</v>
      </c>
    </row>
    <row r="55" spans="2:6">
      <c r="B55" s="331"/>
      <c r="C55" s="331"/>
      <c r="D55" s="331"/>
      <c r="E55" s="23"/>
      <c r="F55" s="331"/>
    </row>
    <row r="56" spans="2:6">
      <c r="B56" s="331"/>
      <c r="C56" s="331"/>
      <c r="D56" s="331"/>
      <c r="E56" s="23"/>
      <c r="F56" s="331"/>
    </row>
    <row r="57" spans="2:6">
      <c r="B57" s="331"/>
      <c r="C57" s="331"/>
      <c r="D57" s="331"/>
      <c r="E57" s="331"/>
      <c r="F57" s="331"/>
    </row>
    <row r="58" spans="2:6">
      <c r="B58" s="331"/>
      <c r="C58" s="331"/>
      <c r="D58" s="331"/>
      <c r="E58" s="331"/>
      <c r="F58" s="3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3">
    <tabColor theme="4" tint="0.39997558519241921"/>
  </sheetPr>
  <dimension ref="B2:AK216"/>
  <sheetViews>
    <sheetView workbookViewId="0">
      <selection activeCell="C11" sqref="C11"/>
    </sheetView>
  </sheetViews>
  <sheetFormatPr defaultColWidth="8.6640625" defaultRowHeight="13.2"/>
  <cols>
    <col min="2" max="2" width="39.6640625" bestFit="1" customWidth="1"/>
    <col min="3" max="3" width="108.44140625" bestFit="1" customWidth="1"/>
  </cols>
  <sheetData>
    <row r="2" spans="4:4">
      <c r="D2" s="67"/>
    </row>
    <row r="3" spans="4:4">
      <c r="D3" s="67"/>
    </row>
    <row r="4" spans="4:4">
      <c r="D4" s="67"/>
    </row>
    <row r="5" spans="4:4">
      <c r="D5" s="67"/>
    </row>
    <row r="6" spans="4:4">
      <c r="D6" s="67"/>
    </row>
    <row r="22" spans="2:29" ht="17.399999999999999">
      <c r="B22" s="211" t="s">
        <v>273</v>
      </c>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c r="AA22" s="211"/>
      <c r="AB22" s="211"/>
      <c r="AC22" s="211"/>
    </row>
    <row r="23" spans="2:29" ht="13.8">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row>
    <row r="24" spans="2:29" ht="15.6">
      <c r="B24" s="104" t="s">
        <v>274</v>
      </c>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row>
    <row r="25" spans="2:29" ht="13.8">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row>
    <row r="26" spans="2:29">
      <c r="B26" s="113"/>
      <c r="C26" s="113"/>
      <c r="D26" s="114"/>
      <c r="E26" s="113"/>
      <c r="F26" s="113"/>
      <c r="G26" s="113"/>
      <c r="H26" s="113"/>
      <c r="I26" s="113"/>
      <c r="J26" s="113"/>
      <c r="K26" s="113"/>
      <c r="L26" s="113"/>
      <c r="M26" s="113"/>
      <c r="N26" s="113"/>
      <c r="O26" s="113"/>
      <c r="P26" s="113"/>
      <c r="Q26" s="113"/>
      <c r="R26" s="113"/>
      <c r="S26" s="113" t="s">
        <v>275</v>
      </c>
      <c r="T26" s="114">
        <v>29</v>
      </c>
      <c r="U26" s="114">
        <v>47</v>
      </c>
      <c r="V26" s="114">
        <v>59</v>
      </c>
      <c r="W26" s="114">
        <v>61</v>
      </c>
      <c r="X26" s="114">
        <v>91</v>
      </c>
      <c r="Y26" s="114">
        <v>94</v>
      </c>
      <c r="Z26" s="114">
        <v>95</v>
      </c>
      <c r="AA26" s="113"/>
      <c r="AB26" s="113"/>
      <c r="AC26" s="113"/>
    </row>
    <row r="27" spans="2:29" ht="14.4">
      <c r="B27" s="113"/>
      <c r="C27" s="125" t="s">
        <v>276</v>
      </c>
      <c r="D27" s="114"/>
      <c r="E27" s="113"/>
      <c r="F27" s="113"/>
      <c r="G27" s="113"/>
      <c r="H27" s="113"/>
      <c r="I27" s="113"/>
      <c r="J27" s="113"/>
      <c r="K27" s="113"/>
      <c r="L27" s="113"/>
      <c r="M27" s="113"/>
      <c r="N27" s="113"/>
      <c r="O27" s="113"/>
      <c r="P27" s="113"/>
      <c r="Q27" s="113"/>
      <c r="R27" s="113"/>
      <c r="S27" s="113"/>
      <c r="T27" s="114" t="s">
        <v>277</v>
      </c>
      <c r="U27" s="114" t="s">
        <v>277</v>
      </c>
      <c r="V27" s="114" t="s">
        <v>103</v>
      </c>
      <c r="W27" s="114" t="s">
        <v>278</v>
      </c>
      <c r="X27" s="114" t="s">
        <v>278</v>
      </c>
      <c r="Y27" s="114" t="s">
        <v>278</v>
      </c>
      <c r="Z27" s="114" t="s">
        <v>278</v>
      </c>
      <c r="AA27" s="113"/>
      <c r="AB27" s="113"/>
      <c r="AC27" s="113"/>
    </row>
    <row r="28" spans="2:29" ht="110.4">
      <c r="B28" s="113"/>
      <c r="C28" s="122"/>
      <c r="D28" s="115"/>
      <c r="E28" s="148" t="s">
        <v>279</v>
      </c>
      <c r="F28" s="149" t="s">
        <v>280</v>
      </c>
      <c r="G28" s="149"/>
      <c r="H28" s="150" t="s">
        <v>281</v>
      </c>
      <c r="I28" s="151" t="s">
        <v>282</v>
      </c>
      <c r="J28" s="151" t="s">
        <v>283</v>
      </c>
      <c r="K28" s="152" t="s">
        <v>284</v>
      </c>
      <c r="L28" s="152" t="s">
        <v>285</v>
      </c>
      <c r="M28" s="152" t="s">
        <v>286</v>
      </c>
      <c r="N28" s="152" t="s">
        <v>287</v>
      </c>
      <c r="O28" s="152" t="s">
        <v>288</v>
      </c>
      <c r="P28" s="152" t="s">
        <v>289</v>
      </c>
      <c r="Q28" s="152" t="s">
        <v>290</v>
      </c>
      <c r="R28" s="152" t="s">
        <v>313</v>
      </c>
      <c r="S28" s="113"/>
      <c r="T28" s="113" t="s">
        <v>291</v>
      </c>
      <c r="U28" s="113" t="s">
        <v>291</v>
      </c>
      <c r="V28" s="113"/>
      <c r="W28" s="113"/>
      <c r="X28" s="113" t="s">
        <v>292</v>
      </c>
      <c r="Y28" s="113" t="s">
        <v>293</v>
      </c>
      <c r="Z28" s="113" t="s">
        <v>294</v>
      </c>
      <c r="AA28" s="113"/>
      <c r="AB28" s="113"/>
      <c r="AC28" s="113"/>
    </row>
    <row r="29" spans="2:29" ht="13.8">
      <c r="B29" s="113"/>
      <c r="C29" s="123" t="s">
        <v>295</v>
      </c>
      <c r="D29" s="116"/>
      <c r="E29" s="153" t="s">
        <v>296</v>
      </c>
      <c r="F29" s="109" t="s">
        <v>297</v>
      </c>
      <c r="G29" s="109" t="s">
        <v>277</v>
      </c>
      <c r="H29" s="109" t="s">
        <v>296</v>
      </c>
      <c r="I29" s="116" t="s">
        <v>298</v>
      </c>
      <c r="J29" s="154" t="s">
        <v>103</v>
      </c>
      <c r="K29" s="155" t="s">
        <v>278</v>
      </c>
      <c r="L29" s="155" t="s">
        <v>278</v>
      </c>
      <c r="M29" s="155" t="s">
        <v>278</v>
      </c>
      <c r="N29" s="155"/>
      <c r="O29" s="155" t="s">
        <v>278</v>
      </c>
      <c r="P29" s="155" t="s">
        <v>278</v>
      </c>
      <c r="Q29" s="155" t="s">
        <v>103</v>
      </c>
      <c r="R29" s="155" t="s">
        <v>278</v>
      </c>
      <c r="S29" s="113"/>
      <c r="T29" s="113"/>
      <c r="U29" s="113"/>
      <c r="V29" s="113"/>
      <c r="W29" s="113"/>
      <c r="X29" s="113"/>
      <c r="Y29" s="113"/>
      <c r="Z29" s="113"/>
      <c r="AA29" s="113"/>
      <c r="AB29" s="113"/>
      <c r="AC29" s="113"/>
    </row>
    <row r="30" spans="2:29" ht="13.8">
      <c r="B30" s="113"/>
      <c r="C30" s="122" t="s">
        <v>299</v>
      </c>
      <c r="D30" s="156"/>
      <c r="E30" s="157">
        <v>17</v>
      </c>
      <c r="F30" s="158">
        <v>72.400000000000006</v>
      </c>
      <c r="G30" s="213">
        <v>72.400000000000006</v>
      </c>
      <c r="H30" s="159">
        <v>1.8</v>
      </c>
      <c r="I30" s="160"/>
      <c r="J30" s="216">
        <v>0.90400000000000003</v>
      </c>
      <c r="K30" s="161">
        <v>16.739999999999998</v>
      </c>
      <c r="L30" s="227">
        <v>5.3000000000000001E-5</v>
      </c>
      <c r="M30" s="230">
        <v>7.3800000000000004E-2</v>
      </c>
      <c r="N30" s="162"/>
      <c r="O30" s="219"/>
      <c r="P30" s="161">
        <v>7.22</v>
      </c>
      <c r="Q30" s="202">
        <v>0</v>
      </c>
      <c r="R30" s="223">
        <v>23.96</v>
      </c>
      <c r="S30" s="113"/>
      <c r="T30" s="113"/>
      <c r="U30" s="113"/>
      <c r="V30" s="113"/>
      <c r="W30" s="113"/>
      <c r="X30" s="113"/>
      <c r="Y30" s="113"/>
      <c r="Z30" s="113"/>
      <c r="AA30" s="113"/>
      <c r="AB30" s="113"/>
      <c r="AC30" s="113"/>
    </row>
    <row r="31" spans="2:29" ht="13.8">
      <c r="B31" s="113"/>
      <c r="C31" s="124" t="s">
        <v>300</v>
      </c>
      <c r="D31" s="163"/>
      <c r="E31" s="164">
        <v>19</v>
      </c>
      <c r="F31" s="164">
        <v>10.6</v>
      </c>
      <c r="G31" s="214">
        <v>10.6</v>
      </c>
      <c r="H31" s="165">
        <v>1.8</v>
      </c>
      <c r="I31" s="166"/>
      <c r="J31" s="217">
        <v>0.91400000000000003</v>
      </c>
      <c r="K31" s="167">
        <v>9.26</v>
      </c>
      <c r="L31" s="228">
        <v>4.6999999999999997E-5</v>
      </c>
      <c r="M31" s="231">
        <v>6.6000000000000003E-2</v>
      </c>
      <c r="N31" s="168"/>
      <c r="O31" s="220"/>
      <c r="P31" s="167">
        <v>9.44</v>
      </c>
      <c r="Q31" s="203">
        <v>0</v>
      </c>
      <c r="R31" s="224">
        <v>18.7</v>
      </c>
      <c r="S31" s="113"/>
      <c r="T31" s="113"/>
      <c r="U31" s="113"/>
      <c r="V31" s="113"/>
      <c r="W31" s="113"/>
      <c r="X31" s="113"/>
      <c r="Y31" s="113"/>
      <c r="Z31" s="113"/>
      <c r="AA31" s="113"/>
      <c r="AB31" s="113"/>
      <c r="AC31" s="113"/>
    </row>
    <row r="32" spans="2:29" ht="13.8">
      <c r="B32" s="113"/>
      <c r="C32" s="124" t="s">
        <v>301</v>
      </c>
      <c r="D32" s="163"/>
      <c r="E32" s="164">
        <v>14.5</v>
      </c>
      <c r="F32" s="164">
        <v>40.9</v>
      </c>
      <c r="G32" s="214">
        <v>40.9</v>
      </c>
      <c r="H32" s="165">
        <v>0.53</v>
      </c>
      <c r="I32" s="169"/>
      <c r="J32" s="217">
        <v>0.96499999999999997</v>
      </c>
      <c r="K32" s="167">
        <v>2.5099999999999998</v>
      </c>
      <c r="L32" s="228">
        <v>1.8E-5</v>
      </c>
      <c r="M32" s="231">
        <v>2.53E-2</v>
      </c>
      <c r="N32" s="168"/>
      <c r="O32" s="220"/>
      <c r="P32" s="167">
        <v>9.25</v>
      </c>
      <c r="Q32" s="203">
        <v>0</v>
      </c>
      <c r="R32" s="225">
        <v>11.76</v>
      </c>
      <c r="S32" s="113"/>
      <c r="T32" s="113"/>
      <c r="U32" s="113"/>
      <c r="V32" s="113"/>
      <c r="W32" s="113"/>
      <c r="X32" s="113"/>
      <c r="Y32" s="113"/>
      <c r="Z32" s="113"/>
      <c r="AA32" s="113"/>
      <c r="AB32" s="113"/>
      <c r="AC32" s="113"/>
    </row>
    <row r="33" spans="2:29" ht="13.8">
      <c r="B33" s="113"/>
      <c r="C33" s="124" t="s">
        <v>302</v>
      </c>
      <c r="D33" s="163"/>
      <c r="E33" s="164">
        <v>27</v>
      </c>
      <c r="F33" s="164">
        <v>101.7</v>
      </c>
      <c r="G33" s="214">
        <v>101.7</v>
      </c>
      <c r="H33" s="165">
        <v>6.23</v>
      </c>
      <c r="I33" s="169"/>
      <c r="J33" s="217">
        <v>0.81200000000000006</v>
      </c>
      <c r="K33" s="167">
        <v>35.880000000000003</v>
      </c>
      <c r="L33" s="228">
        <v>1.15E-4</v>
      </c>
      <c r="M33" s="231">
        <v>0.161</v>
      </c>
      <c r="N33" s="168"/>
      <c r="O33" s="220"/>
      <c r="P33" s="167">
        <v>32.61</v>
      </c>
      <c r="Q33" s="203">
        <v>0</v>
      </c>
      <c r="R33" s="224">
        <v>68.489999999999995</v>
      </c>
      <c r="S33" s="113"/>
      <c r="T33" s="113"/>
      <c r="U33" s="113"/>
      <c r="V33" s="113"/>
      <c r="W33" s="113"/>
      <c r="X33" s="113"/>
      <c r="Y33" s="113"/>
      <c r="Z33" s="113"/>
      <c r="AA33" s="113"/>
      <c r="AB33" s="113"/>
      <c r="AC33" s="113"/>
    </row>
    <row r="34" spans="2:29" s="251" customFormat="1" ht="13.8">
      <c r="B34" s="292"/>
      <c r="C34" s="295" t="s">
        <v>532</v>
      </c>
      <c r="D34" s="303"/>
      <c r="E34" s="304">
        <v>37</v>
      </c>
      <c r="F34" s="304">
        <v>148.80000000000001</v>
      </c>
      <c r="G34" s="311">
        <v>148.80000000000001</v>
      </c>
      <c r="H34" s="305">
        <v>9.67</v>
      </c>
      <c r="I34" s="308"/>
      <c r="J34" s="312">
        <v>0.79300000000000004</v>
      </c>
      <c r="K34" s="306">
        <v>48.61</v>
      </c>
      <c r="L34" s="314">
        <v>0</v>
      </c>
      <c r="M34" s="315">
        <v>0</v>
      </c>
      <c r="N34" s="307"/>
      <c r="O34" s="220"/>
      <c r="P34" s="306">
        <v>50.6</v>
      </c>
      <c r="Q34" s="203">
        <v>0</v>
      </c>
      <c r="R34" s="313">
        <v>99.21</v>
      </c>
      <c r="S34" s="292"/>
      <c r="T34" s="292"/>
      <c r="U34" s="292"/>
      <c r="V34" s="292"/>
      <c r="W34" s="292"/>
      <c r="X34" s="292"/>
      <c r="Y34" s="292"/>
      <c r="Z34" s="292"/>
      <c r="AA34" s="292"/>
      <c r="AB34" s="292"/>
      <c r="AC34" s="292"/>
    </row>
    <row r="35" spans="2:29" ht="13.8">
      <c r="B35" s="113"/>
      <c r="C35" s="124" t="s">
        <v>303</v>
      </c>
      <c r="D35" s="163"/>
      <c r="E35" s="164">
        <v>39.5</v>
      </c>
      <c r="F35" s="164">
        <v>69.8</v>
      </c>
      <c r="G35" s="214">
        <v>69.8</v>
      </c>
      <c r="H35" s="165">
        <v>6.71</v>
      </c>
      <c r="I35" s="169"/>
      <c r="J35" s="217">
        <v>0.85499999999999998</v>
      </c>
      <c r="K35" s="167">
        <v>13</v>
      </c>
      <c r="L35" s="228">
        <v>7.2999999999999999E-5</v>
      </c>
      <c r="M35" s="231">
        <v>9.4000000000000004E-3</v>
      </c>
      <c r="N35" s="168"/>
      <c r="O35" s="220"/>
      <c r="P35" s="167">
        <v>0</v>
      </c>
      <c r="Q35" s="203">
        <v>0</v>
      </c>
      <c r="R35" s="224">
        <v>13</v>
      </c>
      <c r="S35" s="113"/>
      <c r="T35" s="113"/>
      <c r="U35" s="207">
        <v>4.5999999999999999E-2</v>
      </c>
    </row>
    <row r="36" spans="2:29" ht="13.8">
      <c r="B36" s="113"/>
      <c r="C36" s="170" t="s">
        <v>304</v>
      </c>
      <c r="D36" s="163"/>
      <c r="E36" s="164">
        <v>17.399999999999999</v>
      </c>
      <c r="F36" s="164">
        <v>48.1</v>
      </c>
      <c r="G36" s="214">
        <v>48.1</v>
      </c>
      <c r="H36" s="165">
        <v>0.67</v>
      </c>
      <c r="I36" s="169"/>
      <c r="J36" s="217">
        <v>0.96299999999999997</v>
      </c>
      <c r="K36" s="167">
        <v>5.4</v>
      </c>
      <c r="L36" s="228">
        <v>1.9000000000000001E-5</v>
      </c>
      <c r="M36" s="231">
        <v>2.6800000000000001E-2</v>
      </c>
      <c r="N36" s="168"/>
      <c r="O36" s="220"/>
      <c r="P36" s="167">
        <v>-2.15</v>
      </c>
      <c r="Q36" s="203">
        <v>0</v>
      </c>
      <c r="R36" s="224">
        <v>3.25</v>
      </c>
      <c r="S36" s="113"/>
      <c r="T36" s="113"/>
      <c r="U36" s="113"/>
    </row>
    <row r="37" spans="2:29" ht="13.8">
      <c r="B37" s="113"/>
      <c r="C37" s="124" t="s">
        <v>305</v>
      </c>
      <c r="D37" s="163"/>
      <c r="E37" s="164">
        <v>17.399999999999999</v>
      </c>
      <c r="F37" s="164">
        <v>65.5</v>
      </c>
      <c r="G37" s="214">
        <v>65.5</v>
      </c>
      <c r="H37" s="165">
        <v>0.67</v>
      </c>
      <c r="I37" s="169"/>
      <c r="J37" s="217">
        <v>0.96299999999999997</v>
      </c>
      <c r="K37" s="167">
        <v>5.4</v>
      </c>
      <c r="L37" s="228">
        <v>1.9000000000000001E-5</v>
      </c>
      <c r="M37" s="231">
        <v>2.6800000000000001E-2</v>
      </c>
      <c r="N37" s="168"/>
      <c r="O37" s="220"/>
      <c r="P37" s="167">
        <v>-2.15</v>
      </c>
      <c r="Q37" s="203">
        <v>0</v>
      </c>
      <c r="R37" s="224">
        <v>3.25</v>
      </c>
      <c r="S37" s="113"/>
      <c r="T37" s="113"/>
      <c r="U37" s="113"/>
    </row>
    <row r="38" spans="2:29" ht="13.8">
      <c r="B38" s="113"/>
      <c r="C38" s="124" t="s">
        <v>306</v>
      </c>
      <c r="D38" s="163"/>
      <c r="E38" s="164">
        <v>1</v>
      </c>
      <c r="F38" s="164">
        <v>72.5</v>
      </c>
      <c r="G38" s="214">
        <v>72.5</v>
      </c>
      <c r="H38" s="165">
        <v>0.05</v>
      </c>
      <c r="I38" s="169"/>
      <c r="J38" s="217">
        <v>0.94899999999999995</v>
      </c>
      <c r="K38" s="167">
        <v>0.26</v>
      </c>
      <c r="L38" s="228">
        <v>2.6999999999999999E-5</v>
      </c>
      <c r="M38" s="231">
        <v>3.7499999999999999E-2</v>
      </c>
      <c r="N38" s="168"/>
      <c r="O38" s="221"/>
      <c r="P38" s="167">
        <v>0</v>
      </c>
      <c r="Q38" s="203">
        <v>0</v>
      </c>
      <c r="R38" s="224">
        <v>0.26</v>
      </c>
      <c r="S38" s="113"/>
      <c r="T38" s="113"/>
      <c r="U38" s="113"/>
    </row>
    <row r="39" spans="2:29" ht="13.8">
      <c r="B39" s="113"/>
      <c r="C39" s="124" t="s">
        <v>307</v>
      </c>
      <c r="D39" s="163"/>
      <c r="E39" s="164">
        <v>1</v>
      </c>
      <c r="F39" s="164"/>
      <c r="G39" s="214">
        <v>72.5</v>
      </c>
      <c r="H39" s="165">
        <v>0.05</v>
      </c>
      <c r="I39" s="169"/>
      <c r="J39" s="217">
        <v>0.94899999999999995</v>
      </c>
      <c r="K39" s="167">
        <v>0.26</v>
      </c>
      <c r="L39" s="228">
        <v>2.6999999999999999E-5</v>
      </c>
      <c r="M39" s="231">
        <v>3.7499999999999999E-2</v>
      </c>
      <c r="N39" s="168"/>
      <c r="O39" s="221"/>
      <c r="P39" s="167">
        <v>0</v>
      </c>
      <c r="Q39" s="203">
        <v>0</v>
      </c>
      <c r="R39" s="224">
        <v>0.26</v>
      </c>
      <c r="S39" s="113"/>
      <c r="T39" s="113"/>
      <c r="U39" s="113"/>
    </row>
    <row r="40" spans="2:29" ht="13.8">
      <c r="B40" s="113"/>
      <c r="C40" s="124" t="s">
        <v>308</v>
      </c>
      <c r="D40" s="163"/>
      <c r="E40" s="164">
        <v>26.5</v>
      </c>
      <c r="F40" s="164">
        <v>20.2</v>
      </c>
      <c r="G40" s="214">
        <v>20.2</v>
      </c>
      <c r="H40" s="165">
        <v>2.36</v>
      </c>
      <c r="I40" s="169"/>
      <c r="J40" s="217">
        <v>0.91800000000000004</v>
      </c>
      <c r="K40" s="167">
        <v>15.32</v>
      </c>
      <c r="L40" s="228">
        <v>4.5000000000000003E-5</v>
      </c>
      <c r="M40" s="231">
        <v>6.2100000000000002E-2</v>
      </c>
      <c r="N40" s="168"/>
      <c r="O40" s="220"/>
      <c r="P40" s="167">
        <v>0</v>
      </c>
      <c r="Q40" s="203">
        <v>0</v>
      </c>
      <c r="R40" s="224">
        <v>15.32</v>
      </c>
      <c r="S40" s="113"/>
      <c r="T40" s="113"/>
      <c r="U40" s="113"/>
    </row>
    <row r="41" spans="2:29" ht="13.8">
      <c r="B41" s="113"/>
      <c r="C41" s="124" t="s">
        <v>309</v>
      </c>
      <c r="D41" s="163"/>
      <c r="E41" s="164">
        <v>43</v>
      </c>
      <c r="F41" s="164">
        <v>102.2</v>
      </c>
      <c r="G41" s="214">
        <v>102.2</v>
      </c>
      <c r="H41" s="165">
        <v>9.08</v>
      </c>
      <c r="I41" s="169"/>
      <c r="J41" s="217">
        <v>0.82599999999999996</v>
      </c>
      <c r="K41" s="167">
        <v>22.6</v>
      </c>
      <c r="L41" s="228">
        <v>1.06E-4</v>
      </c>
      <c r="M41" s="231">
        <v>0.14729999999999999</v>
      </c>
      <c r="N41" s="168"/>
      <c r="O41" s="220"/>
      <c r="P41" s="167">
        <v>0</v>
      </c>
      <c r="Q41" s="203">
        <v>0</v>
      </c>
      <c r="R41" s="224">
        <v>22.6</v>
      </c>
      <c r="S41" s="113"/>
      <c r="T41" s="113"/>
      <c r="U41" s="113"/>
    </row>
    <row r="42" spans="2:29" ht="13.8">
      <c r="B42" s="113"/>
      <c r="C42" s="124" t="s">
        <v>310</v>
      </c>
      <c r="D42" s="163"/>
      <c r="E42" s="164">
        <v>0.6</v>
      </c>
      <c r="F42" s="164">
        <v>47.2</v>
      </c>
      <c r="G42" s="214">
        <v>47.2</v>
      </c>
      <c r="H42" s="165">
        <v>0</v>
      </c>
      <c r="I42" s="169"/>
      <c r="J42" s="217">
        <v>1</v>
      </c>
      <c r="K42" s="167">
        <v>3.53</v>
      </c>
      <c r="L42" s="228">
        <v>0</v>
      </c>
      <c r="M42" s="231">
        <v>0</v>
      </c>
      <c r="N42" s="168"/>
      <c r="O42" s="220"/>
      <c r="P42" s="167">
        <v>0</v>
      </c>
      <c r="Q42" s="203">
        <v>0</v>
      </c>
      <c r="R42" s="224">
        <v>3.53</v>
      </c>
      <c r="S42" s="113"/>
      <c r="T42" s="113"/>
      <c r="U42" s="113"/>
    </row>
    <row r="43" spans="2:29" ht="13.8">
      <c r="B43" s="113"/>
      <c r="C43" s="124" t="s">
        <v>311</v>
      </c>
      <c r="D43" s="163"/>
      <c r="E43" s="164">
        <v>26.8</v>
      </c>
      <c r="F43" s="164">
        <v>207.6</v>
      </c>
      <c r="G43" s="214">
        <v>207.6</v>
      </c>
      <c r="H43" s="165">
        <v>4.7699999999999996</v>
      </c>
      <c r="I43" s="169"/>
      <c r="J43" s="217">
        <v>0.84899999999999998</v>
      </c>
      <c r="K43" s="167">
        <v>24.16</v>
      </c>
      <c r="L43" s="228">
        <v>7.7000000000000001E-5</v>
      </c>
      <c r="M43" s="231">
        <v>9.7999999999999997E-3</v>
      </c>
      <c r="N43" s="168"/>
      <c r="O43" s="221"/>
      <c r="P43" s="167">
        <v>0</v>
      </c>
      <c r="Q43" s="203">
        <v>0</v>
      </c>
      <c r="R43" s="224">
        <v>24.16</v>
      </c>
      <c r="S43" s="113"/>
      <c r="T43" s="113"/>
      <c r="U43" s="113"/>
    </row>
    <row r="44" spans="2:29" ht="13.8">
      <c r="B44" s="113"/>
      <c r="C44" s="123" t="s">
        <v>312</v>
      </c>
      <c r="D44" s="171"/>
      <c r="E44" s="172">
        <v>37</v>
      </c>
      <c r="F44" s="172">
        <v>162.9</v>
      </c>
      <c r="G44" s="215">
        <v>162.9</v>
      </c>
      <c r="H44" s="173">
        <v>11.14</v>
      </c>
      <c r="I44" s="174"/>
      <c r="J44" s="218">
        <v>0.76900000000000002</v>
      </c>
      <c r="K44" s="175">
        <v>67.930000000000007</v>
      </c>
      <c r="L44" s="229">
        <v>1.5100000000000001E-4</v>
      </c>
      <c r="M44" s="232">
        <v>0.21010000000000001</v>
      </c>
      <c r="N44" s="176"/>
      <c r="O44" s="222"/>
      <c r="P44" s="175">
        <v>0</v>
      </c>
      <c r="Q44" s="204">
        <v>0</v>
      </c>
      <c r="R44" s="226">
        <v>67.930000000000007</v>
      </c>
      <c r="S44" s="113"/>
      <c r="T44" s="113"/>
      <c r="U44" s="113"/>
    </row>
    <row r="45" spans="2:29">
      <c r="B45" s="113"/>
      <c r="C45" s="113" t="s">
        <v>533</v>
      </c>
      <c r="D45" s="114"/>
      <c r="E45" s="113"/>
      <c r="F45" s="113"/>
      <c r="G45" s="113"/>
      <c r="H45" s="113"/>
      <c r="I45" s="113"/>
      <c r="J45" s="113"/>
      <c r="K45" s="113"/>
      <c r="L45" s="113"/>
      <c r="M45" s="113"/>
      <c r="N45" s="113"/>
      <c r="O45" s="113"/>
      <c r="P45" s="113"/>
      <c r="Q45" s="113"/>
      <c r="R45" s="113"/>
      <c r="S45" s="113"/>
      <c r="T45" s="113"/>
      <c r="U45" s="113"/>
    </row>
    <row r="46" spans="2:29" ht="13.8">
      <c r="B46" s="103"/>
      <c r="C46" s="103"/>
      <c r="D46" s="103"/>
      <c r="E46" s="103"/>
      <c r="F46" s="103"/>
      <c r="G46" s="103"/>
      <c r="H46" s="103"/>
      <c r="I46" s="103"/>
      <c r="J46" s="103"/>
      <c r="K46" s="103"/>
      <c r="L46" s="103"/>
      <c r="M46" s="103"/>
      <c r="N46" s="103"/>
      <c r="O46" s="103"/>
      <c r="P46" s="103"/>
      <c r="Q46" s="103"/>
      <c r="R46" s="103"/>
      <c r="S46" s="103"/>
      <c r="T46" s="103"/>
      <c r="U46" s="103"/>
    </row>
    <row r="47" spans="2:29" ht="15.6">
      <c r="B47" s="104" t="s">
        <v>314</v>
      </c>
      <c r="C47" s="104"/>
      <c r="D47" s="104"/>
      <c r="E47" s="104"/>
      <c r="F47" s="104"/>
      <c r="G47" s="104"/>
      <c r="H47" s="104"/>
      <c r="I47" s="104"/>
      <c r="J47" s="104"/>
      <c r="K47" s="104"/>
      <c r="L47" s="104"/>
      <c r="M47" s="104"/>
      <c r="N47" s="104"/>
      <c r="O47" s="104"/>
      <c r="P47" s="104"/>
      <c r="Q47" s="104"/>
      <c r="R47" s="104"/>
      <c r="S47" s="104"/>
      <c r="T47" s="104"/>
      <c r="U47" s="104"/>
    </row>
    <row r="48" spans="2:29" ht="13.8">
      <c r="B48" s="103"/>
      <c r="C48" s="103"/>
      <c r="D48" s="103"/>
      <c r="E48" s="103"/>
      <c r="F48" s="103"/>
      <c r="G48" s="103"/>
      <c r="H48" s="103"/>
      <c r="I48" s="103"/>
      <c r="J48" s="103"/>
      <c r="K48" s="103"/>
      <c r="L48" s="103"/>
      <c r="M48" s="103"/>
      <c r="N48" s="103"/>
      <c r="O48" s="103"/>
      <c r="P48" s="103"/>
      <c r="Q48" s="103"/>
      <c r="R48" s="103"/>
      <c r="S48" s="103"/>
      <c r="T48" s="103"/>
      <c r="U48" s="103"/>
    </row>
    <row r="49" spans="2:21" ht="13.8">
      <c r="B49" s="105"/>
      <c r="C49" s="105"/>
      <c r="D49" s="105"/>
      <c r="E49" s="105"/>
      <c r="F49" s="105"/>
      <c r="G49" s="105"/>
      <c r="H49" s="105"/>
      <c r="I49" s="105"/>
      <c r="J49" s="105"/>
      <c r="K49" s="105"/>
      <c r="L49" s="105"/>
      <c r="M49" s="105"/>
      <c r="N49" s="105"/>
      <c r="O49" s="105"/>
      <c r="P49" s="105"/>
      <c r="Q49" s="105"/>
      <c r="R49" s="105"/>
      <c r="S49" s="105"/>
      <c r="T49" s="105"/>
      <c r="U49" s="105"/>
    </row>
    <row r="50" spans="2:21" ht="14.4">
      <c r="B50" s="105"/>
      <c r="C50" s="177" t="s">
        <v>315</v>
      </c>
      <c r="D50" s="105"/>
      <c r="E50" s="105"/>
      <c r="F50" s="105"/>
      <c r="G50" s="105"/>
      <c r="H50" s="105"/>
      <c r="I50" s="177" t="s">
        <v>316</v>
      </c>
      <c r="J50" s="105"/>
      <c r="K50" s="105"/>
      <c r="L50" s="105"/>
      <c r="M50" s="105"/>
      <c r="N50" s="105"/>
      <c r="O50" s="105"/>
      <c r="P50" s="105"/>
      <c r="Q50" s="105"/>
      <c r="R50" s="105"/>
      <c r="S50" s="105"/>
      <c r="T50" s="105"/>
      <c r="U50" s="105"/>
    </row>
    <row r="51" spans="2:21" ht="13.8">
      <c r="C51" s="132" t="s">
        <v>317</v>
      </c>
      <c r="D51" s="132" t="s">
        <v>6</v>
      </c>
      <c r="E51" s="142" t="s">
        <v>534</v>
      </c>
      <c r="F51" s="142" t="s">
        <v>318</v>
      </c>
      <c r="G51" s="142" t="s">
        <v>319</v>
      </c>
      <c r="H51" s="105"/>
      <c r="I51" s="111"/>
      <c r="J51" s="178" t="s">
        <v>320</v>
      </c>
      <c r="K51" s="179" t="s">
        <v>321</v>
      </c>
      <c r="L51" s="105"/>
      <c r="M51" s="105"/>
    </row>
    <row r="52" spans="2:21" ht="13.8">
      <c r="C52" s="111" t="s">
        <v>299</v>
      </c>
      <c r="D52" s="111" t="s">
        <v>278</v>
      </c>
      <c r="E52" s="180">
        <v>5.0000000000000002E-5</v>
      </c>
      <c r="F52" s="139">
        <v>7.0000000000000007E-2</v>
      </c>
      <c r="G52" s="135" t="s">
        <v>322</v>
      </c>
      <c r="H52" s="105"/>
      <c r="I52" s="143" t="s">
        <v>322</v>
      </c>
      <c r="J52" s="181">
        <v>0.5</v>
      </c>
      <c r="K52" s="161">
        <v>697.7</v>
      </c>
      <c r="L52" s="105"/>
      <c r="M52" s="112"/>
    </row>
    <row r="53" spans="2:21" ht="13.8">
      <c r="C53" s="111" t="s">
        <v>300</v>
      </c>
      <c r="D53" s="111" t="s">
        <v>278</v>
      </c>
      <c r="E53" s="180">
        <v>5.0000000000000002E-5</v>
      </c>
      <c r="F53" s="139">
        <v>7.0000000000000007E-2</v>
      </c>
      <c r="G53" s="135" t="s">
        <v>322</v>
      </c>
      <c r="H53" s="105"/>
      <c r="I53" s="144" t="s">
        <v>303</v>
      </c>
      <c r="J53" s="182">
        <v>0.43</v>
      </c>
      <c r="K53" s="167">
        <v>55</v>
      </c>
      <c r="L53" s="105"/>
      <c r="M53" s="112"/>
    </row>
    <row r="54" spans="2:21" ht="13.8">
      <c r="C54" s="111" t="s">
        <v>301</v>
      </c>
      <c r="D54" s="111" t="s">
        <v>278</v>
      </c>
      <c r="E54" s="180">
        <v>2.0000000000000002E-5</v>
      </c>
      <c r="F54" s="139">
        <v>0.03</v>
      </c>
      <c r="G54" s="135" t="s">
        <v>322</v>
      </c>
      <c r="H54" s="105"/>
      <c r="I54" s="133" t="s">
        <v>323</v>
      </c>
      <c r="J54" s="183">
        <v>0.5</v>
      </c>
      <c r="K54" s="175">
        <v>697.7</v>
      </c>
      <c r="L54" s="105"/>
      <c r="M54" s="112"/>
    </row>
    <row r="55" spans="2:21" ht="13.8">
      <c r="C55" s="111" t="s">
        <v>302</v>
      </c>
      <c r="D55" s="111" t="s">
        <v>278</v>
      </c>
      <c r="E55" s="180">
        <v>1.2E-4</v>
      </c>
      <c r="F55" s="139">
        <v>0.16</v>
      </c>
      <c r="G55" s="135" t="s">
        <v>322</v>
      </c>
      <c r="H55" s="105"/>
      <c r="I55" s="105"/>
      <c r="J55" s="105"/>
      <c r="K55" s="105"/>
      <c r="L55" s="105"/>
      <c r="M55" s="112"/>
    </row>
    <row r="56" spans="2:21" ht="13.8">
      <c r="C56" s="111" t="s">
        <v>324</v>
      </c>
      <c r="D56" s="111" t="s">
        <v>278</v>
      </c>
      <c r="E56" s="180"/>
      <c r="F56" s="139"/>
      <c r="G56" s="135"/>
      <c r="H56" s="105"/>
      <c r="I56" s="105"/>
      <c r="J56" s="105"/>
      <c r="K56" s="105"/>
      <c r="L56" s="105"/>
      <c r="M56" s="112"/>
    </row>
    <row r="57" spans="2:21" s="251" customFormat="1" ht="13.8">
      <c r="C57" s="290" t="s">
        <v>532</v>
      </c>
      <c r="D57" s="290" t="s">
        <v>278</v>
      </c>
      <c r="E57" s="309"/>
      <c r="F57" s="299"/>
      <c r="G57" s="297"/>
      <c r="H57" s="288"/>
      <c r="I57" s="288"/>
      <c r="J57" s="288"/>
      <c r="K57" s="288"/>
      <c r="L57" s="288"/>
      <c r="M57" s="291"/>
    </row>
    <row r="58" spans="2:21" ht="13.8">
      <c r="C58" s="111" t="s">
        <v>303</v>
      </c>
      <c r="D58" s="111" t="s">
        <v>278</v>
      </c>
      <c r="E58" s="180">
        <v>6.9999999999999994E-5</v>
      </c>
      <c r="F58" s="139">
        <v>0.01</v>
      </c>
      <c r="G58" s="135" t="s">
        <v>303</v>
      </c>
      <c r="H58" s="105"/>
      <c r="I58" s="105"/>
      <c r="J58" s="105"/>
      <c r="K58" s="105"/>
      <c r="L58" s="105"/>
      <c r="M58" s="112"/>
    </row>
    <row r="59" spans="2:21" ht="13.8">
      <c r="C59" s="111" t="s">
        <v>304</v>
      </c>
      <c r="D59" s="111" t="s">
        <v>278</v>
      </c>
      <c r="E59" s="180">
        <v>2.0000000000000002E-5</v>
      </c>
      <c r="F59" s="139">
        <v>0.03</v>
      </c>
      <c r="G59" s="135" t="s">
        <v>322</v>
      </c>
      <c r="H59" s="105"/>
      <c r="I59" s="105"/>
      <c r="J59" s="105"/>
      <c r="K59" s="105"/>
      <c r="L59" s="105"/>
      <c r="M59" s="112"/>
    </row>
    <row r="60" spans="2:21" ht="13.8">
      <c r="C60" s="111" t="s">
        <v>305</v>
      </c>
      <c r="D60" s="111" t="s">
        <v>278</v>
      </c>
      <c r="E60" s="180">
        <v>2.0000000000000002E-5</v>
      </c>
      <c r="F60" s="139">
        <v>0.03</v>
      </c>
      <c r="G60" s="135" t="s">
        <v>322</v>
      </c>
      <c r="H60" s="105"/>
      <c r="I60" s="105"/>
      <c r="J60" s="105"/>
      <c r="K60" s="105"/>
      <c r="L60" s="105"/>
      <c r="M60" s="112"/>
    </row>
    <row r="61" spans="2:21" ht="13.8">
      <c r="C61" s="111" t="s">
        <v>306</v>
      </c>
      <c r="D61" s="111" t="s">
        <v>278</v>
      </c>
      <c r="E61" s="180">
        <v>3.0000000000000001E-5</v>
      </c>
      <c r="F61" s="139">
        <v>0.04</v>
      </c>
      <c r="G61" s="135" t="s">
        <v>322</v>
      </c>
      <c r="H61" s="105"/>
      <c r="I61" s="105"/>
      <c r="J61" s="105"/>
      <c r="K61" s="105"/>
      <c r="L61" s="105"/>
      <c r="M61" s="112"/>
    </row>
    <row r="62" spans="2:21" ht="13.8">
      <c r="C62" s="111" t="s">
        <v>307</v>
      </c>
      <c r="D62" s="111" t="s">
        <v>278</v>
      </c>
      <c r="E62" s="180">
        <v>3.0000000000000001E-5</v>
      </c>
      <c r="F62" s="139">
        <v>0.04</v>
      </c>
      <c r="G62" s="135" t="s">
        <v>322</v>
      </c>
      <c r="H62" s="105"/>
      <c r="I62" s="105"/>
      <c r="J62" s="105"/>
      <c r="K62" s="105"/>
      <c r="L62" s="105"/>
      <c r="M62" s="112"/>
    </row>
    <row r="63" spans="2:21" ht="13.8">
      <c r="C63" s="111" t="s">
        <v>308</v>
      </c>
      <c r="D63" s="111" t="s">
        <v>278</v>
      </c>
      <c r="E63" s="180">
        <v>4.0000000000000003E-5</v>
      </c>
      <c r="F63" s="139">
        <v>0.06</v>
      </c>
      <c r="G63" s="135" t="s">
        <v>322</v>
      </c>
      <c r="H63" s="105"/>
      <c r="I63" s="105"/>
      <c r="J63" s="105"/>
      <c r="K63" s="105"/>
      <c r="L63" s="105"/>
      <c r="M63" s="112"/>
    </row>
    <row r="64" spans="2:21" ht="13.8">
      <c r="C64" s="111" t="s">
        <v>309</v>
      </c>
      <c r="D64" s="111" t="s">
        <v>278</v>
      </c>
      <c r="E64" s="180">
        <v>1.1E-4</v>
      </c>
      <c r="F64" s="139">
        <v>0.15</v>
      </c>
      <c r="G64" s="135" t="s">
        <v>323</v>
      </c>
      <c r="H64" s="105"/>
      <c r="I64" s="105"/>
      <c r="J64" s="105"/>
      <c r="K64" s="105"/>
      <c r="L64" s="105"/>
      <c r="M64" s="112"/>
    </row>
    <row r="65" spans="3:13" ht="13.8">
      <c r="C65" s="111" t="s">
        <v>310</v>
      </c>
      <c r="D65" s="111" t="s">
        <v>278</v>
      </c>
      <c r="E65" s="180">
        <v>0</v>
      </c>
      <c r="F65" s="139">
        <v>0</v>
      </c>
      <c r="G65" s="135" t="s">
        <v>322</v>
      </c>
      <c r="H65" s="105"/>
      <c r="I65" s="105"/>
      <c r="J65" s="105"/>
      <c r="K65" s="105"/>
      <c r="L65" s="105"/>
      <c r="M65" s="112"/>
    </row>
    <row r="66" spans="3:13" ht="13.8">
      <c r="C66" s="111" t="s">
        <v>311</v>
      </c>
      <c r="D66" s="111" t="s">
        <v>278</v>
      </c>
      <c r="E66" s="180">
        <v>8.0000000000000007E-5</v>
      </c>
      <c r="F66" s="139">
        <v>0.01</v>
      </c>
      <c r="G66" s="135" t="s">
        <v>303</v>
      </c>
      <c r="H66" s="105"/>
      <c r="I66" s="105"/>
      <c r="J66" s="105"/>
      <c r="K66" s="105"/>
      <c r="L66" s="105"/>
      <c r="M66" s="112"/>
    </row>
    <row r="67" spans="3:13" ht="13.8">
      <c r="C67" s="111" t="s">
        <v>312</v>
      </c>
      <c r="D67" s="111" t="s">
        <v>278</v>
      </c>
      <c r="E67" s="180">
        <v>1.4999999999999999E-4</v>
      </c>
      <c r="F67" s="139">
        <v>0.21</v>
      </c>
      <c r="G67" s="135" t="s">
        <v>322</v>
      </c>
      <c r="H67" s="105"/>
      <c r="I67" s="105"/>
      <c r="J67" s="105"/>
      <c r="K67" s="105"/>
      <c r="L67" s="105"/>
      <c r="M67" s="112"/>
    </row>
    <row r="68" spans="3:13" ht="13.8">
      <c r="C68" s="105"/>
      <c r="D68" s="105"/>
      <c r="E68" s="105"/>
      <c r="F68" s="105"/>
      <c r="G68" s="105"/>
      <c r="H68" s="105"/>
      <c r="I68" s="105"/>
      <c r="J68" s="105"/>
      <c r="K68" s="105"/>
    </row>
    <row r="69" spans="3:13" ht="14.4">
      <c r="C69" s="177" t="s">
        <v>325</v>
      </c>
      <c r="D69" s="105"/>
      <c r="E69" s="105"/>
      <c r="F69" s="105"/>
      <c r="G69" s="105"/>
      <c r="H69" s="105"/>
      <c r="I69" s="105"/>
      <c r="J69" s="105"/>
      <c r="K69" s="105"/>
    </row>
    <row r="70" spans="3:13" ht="13.8">
      <c r="C70" s="132" t="s">
        <v>317</v>
      </c>
      <c r="D70" s="132" t="s">
        <v>6</v>
      </c>
      <c r="E70" s="132" t="s">
        <v>326</v>
      </c>
      <c r="F70" s="132">
        <v>2015</v>
      </c>
      <c r="G70" s="132">
        <v>2020</v>
      </c>
      <c r="H70" s="132">
        <v>2035</v>
      </c>
      <c r="I70" s="132">
        <v>2050</v>
      </c>
      <c r="J70" s="132" t="s">
        <v>327</v>
      </c>
      <c r="K70" s="132" t="s">
        <v>217</v>
      </c>
    </row>
    <row r="71" spans="3:13" ht="13.8">
      <c r="C71" s="111" t="s">
        <v>299</v>
      </c>
      <c r="D71" s="111" t="s">
        <v>328</v>
      </c>
      <c r="E71" s="139">
        <v>1.8</v>
      </c>
      <c r="F71" s="135">
        <v>1.8</v>
      </c>
      <c r="G71" s="135">
        <v>1.8</v>
      </c>
      <c r="H71" s="135">
        <v>1.8</v>
      </c>
      <c r="I71" s="135">
        <v>1.8</v>
      </c>
      <c r="J71" s="111"/>
      <c r="K71" s="140" t="s">
        <v>329</v>
      </c>
    </row>
    <row r="72" spans="3:13" ht="13.8">
      <c r="C72" s="111" t="s">
        <v>300</v>
      </c>
      <c r="D72" s="111" t="s">
        <v>328</v>
      </c>
      <c r="E72" s="139">
        <v>1.8</v>
      </c>
      <c r="F72" s="184">
        <v>1.8</v>
      </c>
      <c r="G72" s="184">
        <v>1.8</v>
      </c>
      <c r="H72" s="184">
        <v>1.8</v>
      </c>
      <c r="I72" s="184">
        <v>1.8</v>
      </c>
      <c r="J72" s="185" t="s">
        <v>330</v>
      </c>
      <c r="K72" s="186" t="s">
        <v>331</v>
      </c>
    </row>
    <row r="73" spans="3:13" ht="13.8">
      <c r="C73" s="111" t="s">
        <v>301</v>
      </c>
      <c r="D73" s="111" t="s">
        <v>328</v>
      </c>
      <c r="E73" s="139">
        <v>0.53</v>
      </c>
      <c r="F73" s="135">
        <v>0.53</v>
      </c>
      <c r="G73" s="135">
        <v>0.53</v>
      </c>
      <c r="H73" s="135">
        <v>0.53</v>
      </c>
      <c r="I73" s="135">
        <v>0.53</v>
      </c>
      <c r="J73" s="111"/>
      <c r="K73" s="140" t="s">
        <v>535</v>
      </c>
    </row>
    <row r="74" spans="3:13" ht="13.8">
      <c r="C74" s="111" t="s">
        <v>302</v>
      </c>
      <c r="D74" s="111" t="s">
        <v>328</v>
      </c>
      <c r="E74" s="139">
        <v>6.23</v>
      </c>
      <c r="F74" s="136">
        <v>6.23</v>
      </c>
      <c r="G74" s="136">
        <v>6.23</v>
      </c>
      <c r="H74" s="136">
        <v>6.23</v>
      </c>
      <c r="I74" s="136">
        <v>6.23</v>
      </c>
      <c r="J74" s="111"/>
      <c r="K74" s="140" t="s">
        <v>535</v>
      </c>
    </row>
    <row r="75" spans="3:13" ht="13.8">
      <c r="C75" s="111" t="s">
        <v>324</v>
      </c>
      <c r="D75" s="111"/>
      <c r="E75" s="139"/>
      <c r="F75" s="136"/>
      <c r="G75" s="136"/>
      <c r="H75" s="136"/>
      <c r="I75" s="136"/>
      <c r="J75" s="111"/>
      <c r="K75" s="140"/>
    </row>
    <row r="76" spans="3:13" s="251" customFormat="1" ht="13.8">
      <c r="C76" s="290" t="s">
        <v>532</v>
      </c>
      <c r="D76" s="290" t="s">
        <v>328</v>
      </c>
      <c r="E76" s="299">
        <v>9.67</v>
      </c>
      <c r="F76" s="298">
        <v>9.67</v>
      </c>
      <c r="G76" s="298">
        <v>9.67</v>
      </c>
      <c r="H76" s="298">
        <v>9.67</v>
      </c>
      <c r="I76" s="298">
        <v>9.67</v>
      </c>
      <c r="J76" s="290" t="s">
        <v>536</v>
      </c>
      <c r="K76" s="300" t="s">
        <v>535</v>
      </c>
    </row>
    <row r="77" spans="3:13" ht="13.8">
      <c r="C77" s="111" t="s">
        <v>303</v>
      </c>
      <c r="D77" s="111" t="s">
        <v>333</v>
      </c>
      <c r="E77" s="139">
        <v>6.71</v>
      </c>
      <c r="F77" s="135">
        <v>6.71</v>
      </c>
      <c r="G77" s="135">
        <v>6.71</v>
      </c>
      <c r="H77" s="135">
        <v>6.71</v>
      </c>
      <c r="I77" s="135">
        <v>6.71</v>
      </c>
      <c r="J77" s="111" t="s">
        <v>537</v>
      </c>
      <c r="K77" s="140" t="s">
        <v>535</v>
      </c>
    </row>
    <row r="78" spans="3:13" ht="13.8">
      <c r="C78" s="111" t="s">
        <v>304</v>
      </c>
      <c r="D78" s="111" t="s">
        <v>328</v>
      </c>
      <c r="E78" s="139">
        <v>0.67</v>
      </c>
      <c r="F78" s="136">
        <v>0.67</v>
      </c>
      <c r="G78" s="136">
        <v>0.67</v>
      </c>
      <c r="H78" s="136">
        <v>0.67</v>
      </c>
      <c r="I78" s="136">
        <v>0.67</v>
      </c>
      <c r="J78" s="111" t="s">
        <v>334</v>
      </c>
      <c r="K78" s="140" t="s">
        <v>329</v>
      </c>
    </row>
    <row r="79" spans="3:13" ht="13.8">
      <c r="C79" s="111" t="s">
        <v>305</v>
      </c>
      <c r="D79" s="111" t="s">
        <v>328</v>
      </c>
      <c r="E79" s="139">
        <v>0.67</v>
      </c>
      <c r="F79" s="187">
        <v>0.67</v>
      </c>
      <c r="G79" s="187">
        <v>0.67</v>
      </c>
      <c r="H79" s="187">
        <v>0.67</v>
      </c>
      <c r="I79" s="187">
        <v>0.67</v>
      </c>
      <c r="J79" s="188" t="s">
        <v>335</v>
      </c>
      <c r="K79" s="137"/>
    </row>
    <row r="80" spans="3:13" ht="13.8">
      <c r="C80" s="111" t="s">
        <v>306</v>
      </c>
      <c r="D80" s="111" t="s">
        <v>336</v>
      </c>
      <c r="E80" s="139">
        <v>0.05</v>
      </c>
      <c r="F80" s="135">
        <v>0.05</v>
      </c>
      <c r="G80" s="135">
        <v>0.05</v>
      </c>
      <c r="H80" s="135">
        <v>0.05</v>
      </c>
      <c r="I80" s="135">
        <v>0.05</v>
      </c>
      <c r="J80" s="189"/>
      <c r="K80" s="141" t="s">
        <v>538</v>
      </c>
    </row>
    <row r="81" spans="3:23" ht="13.8">
      <c r="C81" s="111" t="s">
        <v>307</v>
      </c>
      <c r="D81" s="111" t="s">
        <v>336</v>
      </c>
      <c r="E81" s="139">
        <v>0.05</v>
      </c>
      <c r="F81" s="135">
        <v>0.05</v>
      </c>
      <c r="G81" s="135">
        <v>0.05</v>
      </c>
      <c r="H81" s="135">
        <v>0.05</v>
      </c>
      <c r="I81" s="135">
        <v>0.05</v>
      </c>
      <c r="J81" s="189"/>
      <c r="K81" s="141" t="s">
        <v>538</v>
      </c>
    </row>
    <row r="82" spans="3:23" ht="13.8">
      <c r="C82" s="111" t="s">
        <v>308</v>
      </c>
      <c r="D82" s="111" t="s">
        <v>328</v>
      </c>
      <c r="E82" s="139">
        <v>2.36</v>
      </c>
      <c r="F82" s="136">
        <v>2.36</v>
      </c>
      <c r="G82" s="136">
        <v>2.36</v>
      </c>
      <c r="H82" s="136">
        <v>2.36</v>
      </c>
      <c r="I82" s="136">
        <v>2.36</v>
      </c>
      <c r="J82" s="111"/>
      <c r="K82" s="141" t="s">
        <v>539</v>
      </c>
    </row>
    <row r="83" spans="3:23" ht="13.8">
      <c r="C83" s="111" t="s">
        <v>309</v>
      </c>
      <c r="D83" s="111" t="s">
        <v>328</v>
      </c>
      <c r="E83" s="139">
        <v>9.08</v>
      </c>
      <c r="F83" s="136">
        <v>9.08</v>
      </c>
      <c r="G83" s="136">
        <v>9.18</v>
      </c>
      <c r="H83" s="136">
        <v>8.8699999999999992</v>
      </c>
      <c r="I83" s="136">
        <v>8.26</v>
      </c>
      <c r="J83" s="111"/>
      <c r="K83" s="140"/>
    </row>
    <row r="84" spans="3:23" ht="13.8">
      <c r="C84" s="111" t="s">
        <v>310</v>
      </c>
      <c r="D84" s="111" t="s">
        <v>328</v>
      </c>
      <c r="E84" s="139">
        <v>0</v>
      </c>
      <c r="F84" s="242"/>
      <c r="G84" s="242"/>
      <c r="H84" s="242"/>
      <c r="I84" s="242"/>
      <c r="J84" s="111"/>
      <c r="K84" s="140"/>
    </row>
    <row r="85" spans="3:23" ht="13.8">
      <c r="C85" s="111" t="s">
        <v>311</v>
      </c>
      <c r="D85" s="111" t="s">
        <v>328</v>
      </c>
      <c r="E85" s="139">
        <v>4.7699999999999996</v>
      </c>
      <c r="F85" s="135">
        <v>4.7699999999999996</v>
      </c>
      <c r="G85" s="135">
        <v>4.7699999999999996</v>
      </c>
      <c r="H85" s="135">
        <v>4.7699999999999996</v>
      </c>
      <c r="I85" s="135">
        <v>4.7699999999999996</v>
      </c>
      <c r="J85" s="111" t="s">
        <v>337</v>
      </c>
      <c r="K85" s="141" t="s">
        <v>329</v>
      </c>
      <c r="L85" s="105"/>
      <c r="M85" s="105"/>
      <c r="N85" s="105"/>
      <c r="O85" s="105"/>
      <c r="P85" s="105"/>
      <c r="Q85" s="105"/>
      <c r="R85" s="105"/>
      <c r="S85" s="105"/>
      <c r="T85" s="105"/>
      <c r="U85" s="105"/>
      <c r="V85" s="105"/>
      <c r="W85" s="105"/>
    </row>
    <row r="86" spans="3:23" ht="13.8">
      <c r="C86" s="111" t="s">
        <v>312</v>
      </c>
      <c r="D86" s="111" t="s">
        <v>328</v>
      </c>
      <c r="E86" s="139">
        <v>11.14</v>
      </c>
      <c r="F86" s="135">
        <v>11.14</v>
      </c>
      <c r="G86" s="135">
        <v>11.14</v>
      </c>
      <c r="H86" s="135">
        <v>11.14</v>
      </c>
      <c r="I86" s="135">
        <v>11.14</v>
      </c>
      <c r="J86" s="111" t="s">
        <v>338</v>
      </c>
      <c r="K86" s="141" t="s">
        <v>329</v>
      </c>
      <c r="L86" s="105"/>
      <c r="M86" s="105"/>
      <c r="N86" s="105"/>
      <c r="O86" s="105"/>
      <c r="P86" s="105"/>
      <c r="Q86" s="105"/>
      <c r="R86" s="105"/>
      <c r="S86" s="105"/>
      <c r="T86" s="105"/>
      <c r="U86" s="105"/>
      <c r="V86" s="105"/>
      <c r="W86" s="105"/>
    </row>
    <row r="87" spans="3:23" ht="13.8">
      <c r="C87" s="105"/>
      <c r="D87" s="105"/>
      <c r="E87" s="105"/>
      <c r="F87" s="105"/>
      <c r="G87" s="105"/>
      <c r="H87" s="105"/>
      <c r="I87" s="105"/>
      <c r="J87" s="105"/>
      <c r="K87" s="105"/>
      <c r="L87" s="105"/>
      <c r="M87" s="105"/>
      <c r="N87" s="105"/>
      <c r="O87" s="105"/>
      <c r="P87" s="105"/>
      <c r="Q87" s="105"/>
      <c r="R87" s="105"/>
      <c r="S87" s="105"/>
      <c r="T87" s="105"/>
      <c r="U87" s="105"/>
      <c r="V87" s="105"/>
      <c r="W87" s="105"/>
    </row>
    <row r="88" spans="3:23" ht="14.4">
      <c r="C88" s="177" t="s">
        <v>540</v>
      </c>
      <c r="D88" s="105"/>
      <c r="E88" s="105"/>
      <c r="F88" s="105"/>
      <c r="G88" s="105"/>
      <c r="H88" s="105"/>
      <c r="I88" s="105"/>
      <c r="J88" s="105"/>
      <c r="K88" s="105"/>
      <c r="L88" s="105"/>
      <c r="M88" s="105"/>
      <c r="N88" s="105"/>
      <c r="O88" s="105"/>
      <c r="P88" s="105"/>
      <c r="Q88" s="105"/>
      <c r="R88" s="105"/>
      <c r="S88" s="105"/>
      <c r="T88" s="105"/>
      <c r="U88" s="105"/>
      <c r="V88" s="105"/>
      <c r="W88" s="105"/>
    </row>
    <row r="89" spans="3:23" ht="13.8">
      <c r="C89" s="132" t="s">
        <v>317</v>
      </c>
      <c r="D89" s="132" t="s">
        <v>6</v>
      </c>
      <c r="E89" s="132" t="s">
        <v>326</v>
      </c>
      <c r="F89" s="132">
        <v>2015</v>
      </c>
      <c r="G89" s="132">
        <v>2020</v>
      </c>
      <c r="H89" s="132">
        <v>2035</v>
      </c>
      <c r="I89" s="132">
        <v>2050</v>
      </c>
      <c r="J89" s="132" t="s">
        <v>327</v>
      </c>
      <c r="K89" s="132" t="s">
        <v>217</v>
      </c>
      <c r="L89" s="105"/>
      <c r="M89" s="105"/>
      <c r="N89" s="105"/>
      <c r="O89" s="105"/>
      <c r="P89" s="105"/>
      <c r="Q89" s="105"/>
      <c r="R89" s="105"/>
      <c r="S89" s="105"/>
      <c r="T89" s="105"/>
      <c r="U89" s="105"/>
      <c r="V89" s="105"/>
      <c r="W89" s="105"/>
    </row>
    <row r="90" spans="3:23" ht="13.8">
      <c r="C90" s="111" t="s">
        <v>299</v>
      </c>
      <c r="D90" s="111" t="s">
        <v>278</v>
      </c>
      <c r="E90" s="139">
        <v>16.739999999999998</v>
      </c>
      <c r="F90" s="134">
        <v>17</v>
      </c>
      <c r="G90" s="134">
        <v>17</v>
      </c>
      <c r="H90" s="134">
        <v>17</v>
      </c>
      <c r="I90" s="134">
        <v>17</v>
      </c>
      <c r="J90" s="111" t="s">
        <v>332</v>
      </c>
      <c r="K90" s="140" t="s">
        <v>329</v>
      </c>
      <c r="L90" s="105"/>
      <c r="M90" s="105"/>
      <c r="N90" s="105"/>
      <c r="O90" s="105"/>
      <c r="P90" s="105"/>
      <c r="Q90" s="105"/>
      <c r="R90" s="105"/>
      <c r="S90" s="105"/>
      <c r="T90" s="105"/>
      <c r="U90" s="105"/>
      <c r="V90" s="105"/>
      <c r="W90" s="146"/>
    </row>
    <row r="91" spans="3:23" ht="13.8">
      <c r="C91" s="111" t="s">
        <v>300</v>
      </c>
      <c r="D91" s="111" t="s">
        <v>278</v>
      </c>
      <c r="E91" s="139">
        <v>9.26</v>
      </c>
      <c r="F91" s="145">
        <v>9</v>
      </c>
      <c r="G91" s="145">
        <v>9</v>
      </c>
      <c r="H91" s="145">
        <v>9</v>
      </c>
      <c r="I91" s="145">
        <v>9</v>
      </c>
      <c r="J91" s="185"/>
      <c r="K91" s="140" t="s">
        <v>329</v>
      </c>
      <c r="L91" s="105"/>
      <c r="M91" s="105"/>
      <c r="N91" s="105"/>
      <c r="O91" s="105"/>
      <c r="P91" s="105"/>
      <c r="Q91" s="105"/>
      <c r="R91" s="105"/>
      <c r="S91" s="105"/>
      <c r="T91" s="105"/>
      <c r="U91" s="105"/>
      <c r="V91" s="105"/>
      <c r="W91" s="146"/>
    </row>
    <row r="92" spans="3:23" ht="13.8">
      <c r="C92" s="111" t="s">
        <v>301</v>
      </c>
      <c r="D92" s="111" t="s">
        <v>278</v>
      </c>
      <c r="E92" s="139">
        <v>2.5099999999999998</v>
      </c>
      <c r="F92" s="135">
        <v>2.5099999999999998</v>
      </c>
      <c r="G92" s="135">
        <v>2.5099999999999998</v>
      </c>
      <c r="H92" s="135">
        <v>2.5099999999999998</v>
      </c>
      <c r="I92" s="135">
        <v>2.5099999999999998</v>
      </c>
      <c r="J92" s="111"/>
      <c r="K92" s="140" t="s">
        <v>535</v>
      </c>
      <c r="L92" s="105"/>
      <c r="M92" s="105"/>
      <c r="N92" s="105"/>
      <c r="O92" s="105"/>
      <c r="P92" s="105"/>
      <c r="Q92" s="105"/>
      <c r="R92" s="105"/>
      <c r="S92" s="105"/>
      <c r="T92" s="105"/>
      <c r="U92" s="105"/>
      <c r="V92" s="105"/>
      <c r="W92" s="146"/>
    </row>
    <row r="93" spans="3:23" ht="13.8">
      <c r="C93" s="111" t="s">
        <v>302</v>
      </c>
      <c r="D93" s="111" t="s">
        <v>278</v>
      </c>
      <c r="E93" s="139">
        <v>35.880000000000003</v>
      </c>
      <c r="F93" s="136">
        <v>35.880000000000003</v>
      </c>
      <c r="G93" s="136">
        <v>35.880000000000003</v>
      </c>
      <c r="H93" s="136">
        <v>35.880000000000003</v>
      </c>
      <c r="I93" s="136">
        <v>35.880000000000003</v>
      </c>
      <c r="J93" s="111"/>
      <c r="K93" s="140" t="s">
        <v>535</v>
      </c>
      <c r="L93" s="105"/>
      <c r="M93" s="105"/>
      <c r="N93" s="105"/>
      <c r="O93" s="105"/>
      <c r="P93" s="105"/>
      <c r="Q93" s="105"/>
      <c r="R93" s="105"/>
      <c r="S93" s="105"/>
      <c r="T93" s="105"/>
      <c r="U93" s="105"/>
      <c r="V93" s="105"/>
      <c r="W93" s="146"/>
    </row>
    <row r="94" spans="3:23" ht="13.8">
      <c r="C94" s="111" t="s">
        <v>324</v>
      </c>
      <c r="D94" s="111"/>
      <c r="E94" s="139"/>
      <c r="F94" s="136"/>
      <c r="G94" s="136"/>
      <c r="H94" s="136"/>
      <c r="I94" s="136"/>
      <c r="J94" s="111"/>
      <c r="K94" s="140"/>
      <c r="L94" s="105"/>
      <c r="M94" s="105"/>
      <c r="N94" s="105"/>
      <c r="O94" s="105"/>
      <c r="P94" s="105"/>
      <c r="Q94" s="105"/>
      <c r="R94" s="105"/>
      <c r="S94" s="105"/>
      <c r="T94" s="105"/>
      <c r="U94" s="105"/>
      <c r="V94" s="105"/>
      <c r="W94" s="146"/>
    </row>
    <row r="95" spans="3:23" s="251" customFormat="1" ht="13.8">
      <c r="C95" s="290" t="s">
        <v>532</v>
      </c>
      <c r="D95" s="290" t="s">
        <v>278</v>
      </c>
      <c r="E95" s="299">
        <v>48.61</v>
      </c>
      <c r="F95" s="298">
        <v>48.61</v>
      </c>
      <c r="G95" s="298">
        <v>48.61</v>
      </c>
      <c r="H95" s="298">
        <v>48.61</v>
      </c>
      <c r="I95" s="298">
        <v>48.61</v>
      </c>
      <c r="J95" s="290" t="s">
        <v>338</v>
      </c>
      <c r="K95" s="300" t="s">
        <v>535</v>
      </c>
      <c r="L95" s="288"/>
      <c r="M95" s="288"/>
      <c r="N95" s="288"/>
      <c r="O95" s="288"/>
      <c r="P95" s="288"/>
      <c r="Q95" s="288"/>
      <c r="R95" s="288"/>
      <c r="S95" s="288"/>
      <c r="T95" s="288"/>
      <c r="U95" s="288"/>
      <c r="V95" s="288"/>
      <c r="W95" s="302"/>
    </row>
    <row r="96" spans="3:23" ht="13.8">
      <c r="C96" s="111" t="s">
        <v>303</v>
      </c>
      <c r="D96" s="111" t="s">
        <v>278</v>
      </c>
      <c r="E96" s="139">
        <v>13</v>
      </c>
      <c r="F96" s="136">
        <v>13</v>
      </c>
      <c r="G96" s="136">
        <v>13</v>
      </c>
      <c r="H96" s="136">
        <v>13</v>
      </c>
      <c r="I96" s="136">
        <v>13</v>
      </c>
      <c r="J96" s="111" t="s">
        <v>537</v>
      </c>
      <c r="K96" s="140" t="s">
        <v>535</v>
      </c>
      <c r="L96" s="105"/>
      <c r="M96" s="105"/>
      <c r="N96" s="105"/>
      <c r="O96" s="105"/>
      <c r="P96" s="105"/>
      <c r="Q96" s="105"/>
      <c r="R96" s="105"/>
      <c r="S96" s="105"/>
      <c r="T96" s="105"/>
      <c r="U96" s="105"/>
      <c r="V96" s="105"/>
      <c r="W96" s="146"/>
    </row>
    <row r="97" spans="3:37" ht="13.8">
      <c r="C97" s="111" t="s">
        <v>304</v>
      </c>
      <c r="D97" s="111" t="s">
        <v>278</v>
      </c>
      <c r="E97" s="139">
        <v>5.4</v>
      </c>
      <c r="F97" s="136">
        <v>5.4</v>
      </c>
      <c r="G97" s="136">
        <v>5.4</v>
      </c>
      <c r="H97" s="136">
        <v>5.4</v>
      </c>
      <c r="I97" s="136">
        <v>5.4</v>
      </c>
      <c r="J97" s="111" t="s">
        <v>334</v>
      </c>
      <c r="K97" s="140" t="s">
        <v>329</v>
      </c>
      <c r="L97" s="105"/>
      <c r="M97" s="105"/>
      <c r="N97" s="105"/>
      <c r="O97" s="105"/>
      <c r="P97" s="105"/>
      <c r="Q97" s="105"/>
      <c r="R97" s="105"/>
      <c r="S97" s="105"/>
      <c r="T97" s="105"/>
      <c r="U97" s="105"/>
      <c r="V97" s="105"/>
      <c r="W97" s="146"/>
    </row>
    <row r="98" spans="3:37" ht="13.8">
      <c r="C98" s="111" t="s">
        <v>305</v>
      </c>
      <c r="D98" s="111" t="s">
        <v>278</v>
      </c>
      <c r="E98" s="139">
        <v>5.4</v>
      </c>
      <c r="F98" s="187">
        <v>5.4</v>
      </c>
      <c r="G98" s="187">
        <v>5.4</v>
      </c>
      <c r="H98" s="187">
        <v>5.4</v>
      </c>
      <c r="I98" s="187">
        <v>5.4</v>
      </c>
      <c r="J98" s="188" t="s">
        <v>339</v>
      </c>
      <c r="K98" s="137"/>
      <c r="L98" s="105"/>
      <c r="M98" s="105"/>
      <c r="N98" s="105"/>
      <c r="O98" s="105"/>
      <c r="P98" s="105"/>
      <c r="Q98" s="105"/>
      <c r="R98" s="105"/>
      <c r="S98" s="105"/>
      <c r="T98" s="105"/>
      <c r="U98" s="105"/>
      <c r="V98" s="105"/>
      <c r="W98" s="146"/>
    </row>
    <row r="99" spans="3:37" ht="13.8">
      <c r="C99" s="111" t="s">
        <v>306</v>
      </c>
      <c r="D99" s="111" t="s">
        <v>278</v>
      </c>
      <c r="E99" s="139">
        <v>0.26</v>
      </c>
      <c r="F99" s="139">
        <v>0.26</v>
      </c>
      <c r="G99" s="139">
        <v>0.23</v>
      </c>
      <c r="H99" s="139">
        <v>0.22</v>
      </c>
      <c r="I99" s="139">
        <v>0</v>
      </c>
      <c r="J99" s="189" t="s">
        <v>340</v>
      </c>
      <c r="K99" s="141" t="s">
        <v>538</v>
      </c>
      <c r="L99" s="105"/>
      <c r="M99" s="105"/>
      <c r="N99" s="105"/>
      <c r="O99" s="105"/>
      <c r="P99" s="105"/>
      <c r="Q99" s="105"/>
      <c r="R99" s="105"/>
      <c r="S99" s="105"/>
      <c r="T99" s="105"/>
      <c r="U99" s="105"/>
      <c r="V99" s="105"/>
      <c r="W99" s="146"/>
    </row>
    <row r="100" spans="3:37" ht="13.8">
      <c r="C100" s="111" t="s">
        <v>307</v>
      </c>
      <c r="D100" s="111" t="s">
        <v>278</v>
      </c>
      <c r="E100" s="139">
        <v>0.26</v>
      </c>
      <c r="F100" s="139">
        <v>0.26</v>
      </c>
      <c r="G100" s="139">
        <v>0.23</v>
      </c>
      <c r="H100" s="139">
        <v>0.22</v>
      </c>
      <c r="I100" s="139">
        <v>0</v>
      </c>
      <c r="J100" s="189" t="s">
        <v>340</v>
      </c>
      <c r="K100" s="141" t="s">
        <v>538</v>
      </c>
      <c r="L100" s="105"/>
      <c r="M100" s="105"/>
      <c r="N100" s="105"/>
      <c r="O100" s="105"/>
      <c r="P100" s="105"/>
      <c r="Q100" s="105"/>
      <c r="R100" s="105"/>
      <c r="S100" s="105"/>
      <c r="T100" s="105"/>
      <c r="U100" s="105"/>
      <c r="V100" s="105"/>
      <c r="W100" s="146"/>
    </row>
    <row r="101" spans="3:37" ht="13.8">
      <c r="C101" s="111" t="s">
        <v>308</v>
      </c>
      <c r="D101" s="111" t="s">
        <v>278</v>
      </c>
      <c r="E101" s="139">
        <v>15.32</v>
      </c>
      <c r="F101" s="136">
        <v>15.32</v>
      </c>
      <c r="G101" s="136">
        <v>15.32</v>
      </c>
      <c r="H101" s="136">
        <v>15.32</v>
      </c>
      <c r="I101" s="136">
        <v>15.32</v>
      </c>
      <c r="J101" s="111"/>
      <c r="K101" s="141" t="s">
        <v>539</v>
      </c>
      <c r="L101" s="105"/>
      <c r="M101" s="105"/>
      <c r="N101" s="105"/>
      <c r="O101" s="105"/>
      <c r="P101" s="105"/>
      <c r="Q101" s="105"/>
      <c r="R101" s="105"/>
      <c r="S101" s="105"/>
      <c r="T101" s="105"/>
      <c r="U101" s="105"/>
      <c r="V101" s="105"/>
      <c r="W101" s="146"/>
    </row>
    <row r="102" spans="3:37" ht="13.8">
      <c r="C102" s="111" t="s">
        <v>309</v>
      </c>
      <c r="D102" s="111" t="s">
        <v>278</v>
      </c>
      <c r="E102" s="139">
        <v>22.6</v>
      </c>
      <c r="F102" s="136">
        <v>22.6</v>
      </c>
      <c r="G102" s="136">
        <v>23.19</v>
      </c>
      <c r="H102" s="136">
        <v>21.56</v>
      </c>
      <c r="I102" s="136">
        <v>19.3</v>
      </c>
      <c r="J102" s="111"/>
      <c r="K102" s="140"/>
      <c r="L102" s="105"/>
      <c r="M102" s="105"/>
      <c r="N102" s="105"/>
      <c r="O102" s="105"/>
      <c r="P102" s="105"/>
      <c r="Q102" s="105"/>
      <c r="R102" s="105"/>
      <c r="S102" s="105"/>
      <c r="T102" s="105"/>
      <c r="U102" s="105"/>
      <c r="V102" s="105"/>
      <c r="W102" s="146"/>
      <c r="X102" s="105"/>
      <c r="Y102" s="105"/>
      <c r="Z102" s="105"/>
      <c r="AA102" s="105"/>
      <c r="AB102" s="105"/>
      <c r="AC102" s="105"/>
      <c r="AD102" s="105"/>
      <c r="AE102" s="105"/>
      <c r="AF102" s="105"/>
      <c r="AG102" s="105"/>
      <c r="AH102" s="105"/>
      <c r="AI102" s="105"/>
      <c r="AJ102" s="105"/>
      <c r="AK102" s="105"/>
    </row>
    <row r="103" spans="3:37" ht="13.8">
      <c r="C103" s="111" t="s">
        <v>310</v>
      </c>
      <c r="D103" s="111" t="s">
        <v>278</v>
      </c>
      <c r="E103" s="139">
        <v>3.53</v>
      </c>
      <c r="F103" s="190">
        <v>3.53</v>
      </c>
      <c r="G103" s="190">
        <v>3.53</v>
      </c>
      <c r="H103" s="190">
        <v>3.53</v>
      </c>
      <c r="I103" s="190">
        <v>3.53</v>
      </c>
      <c r="J103" s="189" t="s">
        <v>341</v>
      </c>
      <c r="K103" s="191"/>
      <c r="L103" s="105"/>
      <c r="M103" s="105"/>
      <c r="N103" s="105"/>
      <c r="O103" s="105"/>
      <c r="P103" s="105"/>
      <c r="Q103" s="105"/>
      <c r="R103" s="105"/>
      <c r="S103" s="105"/>
      <c r="T103" s="105"/>
      <c r="U103" s="105"/>
      <c r="V103" s="105"/>
      <c r="W103" s="146"/>
      <c r="X103" s="105"/>
      <c r="Y103" s="105"/>
      <c r="Z103" s="105"/>
      <c r="AA103" s="105"/>
      <c r="AB103" s="105"/>
      <c r="AC103" s="105"/>
      <c r="AD103" s="105"/>
      <c r="AE103" s="105"/>
      <c r="AF103" s="105"/>
      <c r="AG103" s="105"/>
      <c r="AH103" s="105"/>
      <c r="AI103" s="105"/>
      <c r="AJ103" s="105"/>
      <c r="AK103" s="105"/>
    </row>
    <row r="104" spans="3:37" ht="13.8">
      <c r="C104" s="111" t="s">
        <v>311</v>
      </c>
      <c r="D104" s="111" t="s">
        <v>278</v>
      </c>
      <c r="E104" s="139">
        <v>24.16</v>
      </c>
      <c r="F104" s="135">
        <v>24.16</v>
      </c>
      <c r="G104" s="135">
        <v>24.16</v>
      </c>
      <c r="H104" s="135">
        <v>24.16</v>
      </c>
      <c r="I104" s="135">
        <v>24.16</v>
      </c>
      <c r="J104" s="189" t="s">
        <v>342</v>
      </c>
      <c r="K104" s="141" t="s">
        <v>329</v>
      </c>
      <c r="L104" s="105"/>
      <c r="M104" s="105"/>
      <c r="N104" s="105"/>
      <c r="O104" s="105"/>
      <c r="P104" s="105"/>
      <c r="Q104" s="105"/>
      <c r="R104" s="105"/>
      <c r="S104" s="105"/>
      <c r="T104" s="105"/>
      <c r="U104" s="105"/>
      <c r="V104" s="105"/>
      <c r="W104" s="112"/>
      <c r="X104" s="105"/>
      <c r="Y104" s="105"/>
      <c r="Z104" s="105"/>
      <c r="AA104" s="105"/>
      <c r="AB104" s="105"/>
      <c r="AC104" s="105"/>
      <c r="AD104" s="105"/>
      <c r="AE104" s="105"/>
      <c r="AF104" s="105"/>
      <c r="AG104" s="105"/>
      <c r="AH104" s="105"/>
      <c r="AI104" s="105"/>
      <c r="AJ104" s="105"/>
      <c r="AK104" s="105"/>
    </row>
    <row r="105" spans="3:37" ht="13.8">
      <c r="C105" s="111" t="s">
        <v>312</v>
      </c>
      <c r="D105" s="111" t="s">
        <v>278</v>
      </c>
      <c r="E105" s="139">
        <v>67.930000000000007</v>
      </c>
      <c r="F105" s="135">
        <v>67.930000000000007</v>
      </c>
      <c r="G105" s="135">
        <v>67.930000000000007</v>
      </c>
      <c r="H105" s="135">
        <v>67.930000000000007</v>
      </c>
      <c r="I105" s="135">
        <v>67.930000000000007</v>
      </c>
      <c r="J105" s="111" t="s">
        <v>338</v>
      </c>
      <c r="K105" s="141" t="s">
        <v>329</v>
      </c>
      <c r="L105" s="105"/>
      <c r="M105" s="105"/>
      <c r="N105" s="105"/>
      <c r="O105" s="105"/>
      <c r="P105" s="105"/>
      <c r="Q105" s="105"/>
      <c r="R105" s="105"/>
      <c r="S105" s="105"/>
      <c r="T105" s="105"/>
      <c r="U105" s="105"/>
      <c r="V105" s="105"/>
      <c r="W105" s="146"/>
      <c r="X105" s="105"/>
      <c r="Y105" s="105"/>
      <c r="Z105" s="105"/>
      <c r="AA105" s="105"/>
      <c r="AB105" s="105"/>
      <c r="AC105" s="105"/>
      <c r="AD105" s="105"/>
      <c r="AE105" s="105"/>
      <c r="AF105" s="105"/>
      <c r="AG105" s="105"/>
      <c r="AH105" s="105"/>
      <c r="AI105" s="105"/>
      <c r="AJ105" s="105"/>
      <c r="AK105" s="105"/>
    </row>
    <row r="106" spans="3:37" ht="13.8">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7"/>
      <c r="AA106" s="107"/>
      <c r="AB106" s="107"/>
      <c r="AC106" s="107"/>
      <c r="AD106" s="107"/>
      <c r="AE106" s="107"/>
      <c r="AF106" s="107"/>
      <c r="AG106" s="107"/>
      <c r="AH106" s="107"/>
      <c r="AI106" s="107"/>
      <c r="AJ106" s="107"/>
      <c r="AK106" s="107"/>
    </row>
    <row r="107" spans="3:37" ht="14.4">
      <c r="C107" s="177" t="s">
        <v>343</v>
      </c>
      <c r="D107" s="105"/>
      <c r="E107" s="105"/>
      <c r="F107" s="105"/>
      <c r="G107" s="105" t="s">
        <v>344</v>
      </c>
      <c r="H107" s="105" t="s">
        <v>344</v>
      </c>
      <c r="I107" s="105" t="s">
        <v>345</v>
      </c>
      <c r="J107" s="105" t="s">
        <v>345</v>
      </c>
      <c r="K107" s="105" t="s">
        <v>346</v>
      </c>
      <c r="L107" s="105"/>
      <c r="M107" s="105"/>
      <c r="N107" s="105"/>
      <c r="O107" s="105"/>
      <c r="P107" s="105"/>
      <c r="Q107" s="105"/>
      <c r="R107" s="105"/>
      <c r="S107" s="105"/>
      <c r="T107" s="105"/>
      <c r="U107" s="105"/>
      <c r="V107" s="105"/>
      <c r="W107" s="105"/>
      <c r="X107" s="105"/>
      <c r="Y107" s="105"/>
      <c r="Z107" s="107"/>
      <c r="AA107" s="107"/>
      <c r="AB107" s="107"/>
      <c r="AC107" s="107"/>
      <c r="AD107" s="107"/>
      <c r="AE107" s="107"/>
      <c r="AF107" s="107"/>
      <c r="AG107" s="107"/>
      <c r="AH107" s="107"/>
      <c r="AI107" s="107"/>
      <c r="AJ107" s="107"/>
      <c r="AK107" s="107"/>
    </row>
    <row r="108" spans="3:37" ht="14.4">
      <c r="C108" s="132" t="s">
        <v>317</v>
      </c>
      <c r="D108" s="132" t="s">
        <v>6</v>
      </c>
      <c r="E108" s="132" t="s">
        <v>326</v>
      </c>
      <c r="F108" s="132" t="s">
        <v>347</v>
      </c>
      <c r="G108" s="142" t="s">
        <v>348</v>
      </c>
      <c r="H108" s="142" t="s">
        <v>349</v>
      </c>
      <c r="I108" s="132" t="s">
        <v>348</v>
      </c>
      <c r="J108" s="132" t="s">
        <v>349</v>
      </c>
      <c r="K108" s="132" t="s">
        <v>348</v>
      </c>
      <c r="L108" s="132" t="s">
        <v>349</v>
      </c>
      <c r="M108" s="132" t="s">
        <v>327</v>
      </c>
      <c r="N108" s="132" t="s">
        <v>217</v>
      </c>
      <c r="O108" s="105"/>
      <c r="P108" s="105"/>
      <c r="Q108" s="105"/>
      <c r="R108" s="105"/>
      <c r="S108" s="105"/>
      <c r="T108" s="105"/>
      <c r="U108" s="105"/>
      <c r="V108" s="105"/>
      <c r="W108" s="105"/>
      <c r="X108" s="105"/>
      <c r="Y108" s="105"/>
      <c r="Z108" s="107"/>
      <c r="AA108" s="212"/>
      <c r="AB108" s="107"/>
      <c r="AC108" s="107"/>
      <c r="AD108" s="107"/>
      <c r="AE108" s="107"/>
      <c r="AF108" s="107"/>
      <c r="AG108" s="107"/>
      <c r="AH108" s="107"/>
      <c r="AI108" s="107"/>
      <c r="AJ108" s="107"/>
      <c r="AK108" s="107"/>
    </row>
    <row r="109" spans="3:37" ht="13.8">
      <c r="C109" s="111" t="s">
        <v>299</v>
      </c>
      <c r="D109" s="111" t="s">
        <v>350</v>
      </c>
      <c r="E109" s="139">
        <v>9.2799999999999994</v>
      </c>
      <c r="F109" s="134">
        <v>0</v>
      </c>
      <c r="G109" s="134">
        <v>21</v>
      </c>
      <c r="H109" s="134">
        <v>154</v>
      </c>
      <c r="I109" s="141">
        <v>87</v>
      </c>
      <c r="J109" s="141">
        <v>329</v>
      </c>
      <c r="K109" s="141">
        <v>9</v>
      </c>
      <c r="L109" s="141">
        <v>21</v>
      </c>
      <c r="M109" s="111"/>
      <c r="N109" s="140" t="s">
        <v>351</v>
      </c>
      <c r="O109" s="105"/>
      <c r="P109" s="105"/>
      <c r="Q109" s="105"/>
      <c r="R109" s="105"/>
      <c r="S109" s="105"/>
      <c r="T109" s="105"/>
      <c r="U109" s="105"/>
      <c r="V109" s="105"/>
      <c r="W109" s="105"/>
      <c r="X109" s="105"/>
      <c r="Y109" s="105"/>
      <c r="Z109" s="107"/>
      <c r="AA109" s="121"/>
      <c r="AB109" s="121"/>
      <c r="AC109" s="121"/>
      <c r="AD109" s="121"/>
      <c r="AE109" s="121"/>
      <c r="AF109" s="121"/>
      <c r="AG109" s="107"/>
      <c r="AH109" s="107"/>
      <c r="AI109" s="107"/>
      <c r="AJ109" s="107"/>
      <c r="AK109" s="107"/>
    </row>
    <row r="110" spans="3:37" ht="13.8">
      <c r="C110" s="111" t="s">
        <v>300</v>
      </c>
      <c r="D110" s="111" t="s">
        <v>350</v>
      </c>
      <c r="E110" s="139">
        <v>8.94</v>
      </c>
      <c r="F110" s="134">
        <v>0</v>
      </c>
      <c r="G110" s="188">
        <v>21</v>
      </c>
      <c r="H110" s="188">
        <v>154</v>
      </c>
      <c r="I110" s="188">
        <v>87</v>
      </c>
      <c r="J110" s="188">
        <v>329</v>
      </c>
      <c r="K110" s="141">
        <v>9</v>
      </c>
      <c r="L110" s="141">
        <v>36</v>
      </c>
      <c r="M110" s="111"/>
      <c r="N110" s="137" t="s">
        <v>352</v>
      </c>
      <c r="O110" s="105"/>
      <c r="P110" s="105"/>
      <c r="Q110" s="105"/>
      <c r="R110" s="105"/>
      <c r="S110" s="105"/>
      <c r="T110" s="105"/>
      <c r="U110" s="105"/>
      <c r="V110" s="105"/>
      <c r="W110" s="105"/>
      <c r="X110" s="105"/>
      <c r="Y110" s="105"/>
      <c r="Z110" s="107"/>
      <c r="AA110" s="121"/>
      <c r="AB110" s="105"/>
      <c r="AC110" s="105"/>
      <c r="AD110" s="105"/>
      <c r="AE110" s="105"/>
      <c r="AF110" s="105"/>
      <c r="AG110" s="105"/>
      <c r="AH110" s="105"/>
      <c r="AI110" s="105"/>
      <c r="AJ110" s="105"/>
      <c r="AK110" s="105"/>
    </row>
    <row r="111" spans="3:37" ht="13.8">
      <c r="C111" s="111" t="s">
        <v>301</v>
      </c>
      <c r="D111" s="111" t="s">
        <v>350</v>
      </c>
      <c r="E111" s="139">
        <v>0</v>
      </c>
      <c r="F111" s="134">
        <v>0</v>
      </c>
      <c r="G111" s="134">
        <v>6</v>
      </c>
      <c r="H111" s="134">
        <v>6</v>
      </c>
      <c r="I111" s="141">
        <v>-4</v>
      </c>
      <c r="J111" s="141">
        <v>-4</v>
      </c>
      <c r="K111" s="188">
        <v>0</v>
      </c>
      <c r="L111" s="188"/>
      <c r="M111" s="111"/>
      <c r="N111" s="140" t="s">
        <v>353</v>
      </c>
      <c r="O111" s="105"/>
      <c r="P111" s="105"/>
      <c r="Q111" s="105"/>
      <c r="R111" s="105"/>
      <c r="S111" s="105"/>
      <c r="T111" s="105"/>
      <c r="U111" s="105"/>
      <c r="V111" s="105"/>
      <c r="W111" s="105"/>
      <c r="X111" s="105"/>
      <c r="Y111" s="105"/>
      <c r="Z111" s="107"/>
      <c r="AA111" s="121"/>
      <c r="AB111" s="105"/>
      <c r="AC111" s="105"/>
      <c r="AD111" s="105"/>
      <c r="AE111" s="105"/>
      <c r="AF111" s="105"/>
      <c r="AG111" s="105"/>
      <c r="AH111" s="105"/>
      <c r="AI111" s="105"/>
      <c r="AJ111" s="105"/>
      <c r="AK111" s="105"/>
    </row>
    <row r="112" spans="3:37" ht="13.8">
      <c r="C112" s="111" t="s">
        <v>302</v>
      </c>
      <c r="D112" s="111" t="s">
        <v>350</v>
      </c>
      <c r="E112" s="139">
        <v>33.049999999999997</v>
      </c>
      <c r="F112" s="134">
        <v>0</v>
      </c>
      <c r="G112" s="134">
        <v>22</v>
      </c>
      <c r="H112" s="134">
        <v>180</v>
      </c>
      <c r="I112" s="141">
        <v>97</v>
      </c>
      <c r="J112" s="141">
        <v>339</v>
      </c>
      <c r="K112" s="141">
        <v>33</v>
      </c>
      <c r="L112" s="141">
        <v>35</v>
      </c>
      <c r="M112" s="111"/>
      <c r="N112" s="140" t="s">
        <v>351</v>
      </c>
      <c r="O112" s="105"/>
      <c r="P112" s="105"/>
      <c r="Q112" s="105"/>
      <c r="R112" s="105"/>
      <c r="S112" s="105"/>
      <c r="T112" s="105"/>
      <c r="U112" s="105"/>
      <c r="V112" s="105"/>
      <c r="W112" s="105"/>
      <c r="X112" s="105"/>
      <c r="Y112" s="112"/>
      <c r="Z112" s="107"/>
      <c r="AA112" s="121"/>
      <c r="AB112" s="107"/>
      <c r="AC112" s="107"/>
      <c r="AD112" s="107"/>
      <c r="AE112" s="107"/>
      <c r="AF112" s="107"/>
      <c r="AG112" s="107"/>
      <c r="AH112" s="107"/>
      <c r="AI112" s="107"/>
      <c r="AJ112" s="107"/>
      <c r="AK112" s="107"/>
    </row>
    <row r="113" spans="3:37" ht="13.8">
      <c r="C113" s="111" t="s">
        <v>324</v>
      </c>
      <c r="D113" s="111"/>
      <c r="E113" s="139">
        <v>0</v>
      </c>
      <c r="F113" s="134"/>
      <c r="G113" s="134"/>
      <c r="H113" s="134"/>
      <c r="I113" s="141"/>
      <c r="J113" s="141"/>
      <c r="K113" s="141"/>
      <c r="L113" s="141"/>
      <c r="M113" s="111"/>
      <c r="N113" s="140"/>
      <c r="O113" s="105"/>
      <c r="P113" s="105"/>
      <c r="Q113" s="105"/>
      <c r="R113" s="105"/>
      <c r="S113" s="105"/>
      <c r="T113" s="105"/>
      <c r="U113" s="105"/>
      <c r="V113" s="105"/>
      <c r="W113" s="105"/>
      <c r="X113" s="105"/>
      <c r="Y113" s="112"/>
      <c r="Z113" s="107"/>
      <c r="AA113" s="121"/>
      <c r="AB113" s="107"/>
      <c r="AC113" s="107"/>
      <c r="AD113" s="107"/>
      <c r="AE113" s="107"/>
      <c r="AF113" s="107"/>
      <c r="AG113" s="107"/>
      <c r="AH113" s="107"/>
      <c r="AI113" s="107"/>
      <c r="AJ113" s="107"/>
      <c r="AK113" s="107"/>
    </row>
    <row r="114" spans="3:37" s="251" customFormat="1" ht="13.8">
      <c r="C114" s="290"/>
      <c r="D114" s="290"/>
      <c r="E114" s="299"/>
      <c r="F114" s="296"/>
      <c r="G114" s="296"/>
      <c r="H114" s="296"/>
      <c r="I114" s="301"/>
      <c r="J114" s="301"/>
      <c r="K114" s="301"/>
      <c r="L114" s="301"/>
      <c r="M114" s="290"/>
      <c r="N114" s="300"/>
      <c r="O114" s="288"/>
      <c r="P114" s="288"/>
      <c r="Q114" s="288"/>
      <c r="R114" s="288"/>
      <c r="S114" s="288"/>
      <c r="T114" s="288"/>
      <c r="U114" s="288"/>
      <c r="V114" s="288"/>
      <c r="W114" s="288"/>
      <c r="X114" s="288"/>
      <c r="Y114" s="291"/>
      <c r="Z114" s="289"/>
      <c r="AA114" s="294"/>
      <c r="AB114" s="289"/>
      <c r="AC114" s="289"/>
      <c r="AD114" s="289"/>
      <c r="AE114" s="289"/>
      <c r="AF114" s="289"/>
      <c r="AG114" s="289"/>
      <c r="AH114" s="289"/>
      <c r="AI114" s="289"/>
      <c r="AJ114" s="289"/>
      <c r="AK114" s="289"/>
    </row>
    <row r="115" spans="3:37" ht="13.8">
      <c r="C115" s="111" t="s">
        <v>303</v>
      </c>
      <c r="D115" s="111" t="s">
        <v>350</v>
      </c>
      <c r="E115" s="139">
        <v>0</v>
      </c>
      <c r="F115" s="134">
        <v>0</v>
      </c>
      <c r="G115" s="147"/>
      <c r="H115" s="147"/>
      <c r="I115" s="147"/>
      <c r="J115" s="147"/>
      <c r="K115" s="147"/>
      <c r="L115" s="147"/>
      <c r="M115" s="147" t="s">
        <v>354</v>
      </c>
      <c r="N115" s="192"/>
      <c r="O115" s="105"/>
      <c r="P115" s="105"/>
      <c r="Q115" s="105"/>
      <c r="R115" s="105"/>
      <c r="S115" s="105"/>
      <c r="T115" s="105"/>
      <c r="U115" s="105"/>
      <c r="V115" s="105"/>
      <c r="W115" s="105"/>
      <c r="X115" s="105"/>
      <c r="Y115" s="112"/>
      <c r="Z115" s="107"/>
      <c r="AA115" s="121"/>
      <c r="AB115" s="105"/>
      <c r="AC115" s="105"/>
      <c r="AD115" s="105"/>
      <c r="AE115" s="105"/>
      <c r="AF115" s="105"/>
      <c r="AG115" s="105"/>
      <c r="AH115" s="105"/>
      <c r="AI115" s="105"/>
      <c r="AJ115" s="105"/>
      <c r="AK115" s="105"/>
    </row>
    <row r="116" spans="3:37" ht="13.8">
      <c r="C116" s="111" t="s">
        <v>304</v>
      </c>
      <c r="D116" s="111" t="s">
        <v>350</v>
      </c>
      <c r="E116" s="139">
        <v>0</v>
      </c>
      <c r="F116" s="134">
        <v>0</v>
      </c>
      <c r="G116" s="188">
        <v>-17</v>
      </c>
      <c r="H116" s="188">
        <v>-17</v>
      </c>
      <c r="I116" s="141">
        <v>-17</v>
      </c>
      <c r="J116" s="141">
        <v>-17</v>
      </c>
      <c r="K116" s="188">
        <v>0</v>
      </c>
      <c r="L116" s="188">
        <v>0</v>
      </c>
      <c r="M116" s="111"/>
      <c r="N116" s="140" t="s">
        <v>353</v>
      </c>
      <c r="O116" s="105"/>
      <c r="P116" s="105"/>
      <c r="Q116" s="105"/>
      <c r="R116" s="105"/>
      <c r="S116" s="105"/>
      <c r="T116" s="105"/>
      <c r="U116" s="105"/>
      <c r="V116" s="105"/>
      <c r="W116" s="105"/>
      <c r="X116" s="105"/>
      <c r="Y116" s="105"/>
      <c r="Z116" s="107"/>
      <c r="AA116" s="121"/>
      <c r="AB116" s="105"/>
      <c r="AC116" s="105"/>
      <c r="AD116" s="105"/>
      <c r="AE116" s="105"/>
      <c r="AF116" s="105"/>
      <c r="AG116" s="105"/>
      <c r="AH116" s="105"/>
      <c r="AI116" s="105"/>
      <c r="AJ116" s="105"/>
      <c r="AK116" s="105"/>
    </row>
    <row r="117" spans="3:37" ht="13.8">
      <c r="C117" s="111" t="s">
        <v>305</v>
      </c>
      <c r="D117" s="111" t="s">
        <v>350</v>
      </c>
      <c r="E117" s="139">
        <v>0</v>
      </c>
      <c r="F117" s="134">
        <v>0</v>
      </c>
      <c r="G117" s="188">
        <v>-17</v>
      </c>
      <c r="H117" s="188">
        <v>-17</v>
      </c>
      <c r="I117" s="188">
        <v>-17</v>
      </c>
      <c r="J117" s="188">
        <v>-17</v>
      </c>
      <c r="K117" s="188">
        <v>0</v>
      </c>
      <c r="L117" s="188">
        <v>0</v>
      </c>
      <c r="M117" s="111"/>
      <c r="N117" s="140" t="s">
        <v>355</v>
      </c>
      <c r="O117" s="105"/>
      <c r="P117" s="105"/>
      <c r="Q117" s="105"/>
      <c r="R117" s="105"/>
      <c r="S117" s="105"/>
      <c r="T117" s="105"/>
      <c r="U117" s="105"/>
      <c r="V117" s="105"/>
      <c r="W117" s="105"/>
      <c r="X117" s="105"/>
      <c r="Y117" s="105"/>
      <c r="Z117" s="107"/>
      <c r="AA117" s="121"/>
      <c r="AB117" s="107"/>
      <c r="AC117" s="107"/>
      <c r="AD117" s="107"/>
      <c r="AE117" s="107"/>
      <c r="AF117" s="107"/>
      <c r="AG117" s="107"/>
      <c r="AH117" s="107"/>
      <c r="AI117" s="107"/>
      <c r="AJ117" s="107"/>
      <c r="AK117" s="107"/>
    </row>
    <row r="118" spans="3:37" ht="13.8">
      <c r="C118" s="111" t="s">
        <v>306</v>
      </c>
      <c r="D118" s="111" t="s">
        <v>350</v>
      </c>
      <c r="E118" s="139">
        <v>0</v>
      </c>
      <c r="F118" s="134">
        <v>0</v>
      </c>
      <c r="G118" s="147"/>
      <c r="H118" s="147"/>
      <c r="I118" s="147"/>
      <c r="J118" s="147"/>
      <c r="K118" s="147"/>
      <c r="L118" s="147"/>
      <c r="M118" s="147" t="s">
        <v>354</v>
      </c>
      <c r="N118" s="192"/>
      <c r="O118" s="105"/>
      <c r="P118" s="105"/>
      <c r="Q118" s="105"/>
      <c r="R118" s="105"/>
      <c r="S118" s="105"/>
      <c r="T118" s="105"/>
      <c r="U118" s="105"/>
      <c r="V118" s="105"/>
      <c r="W118" s="105"/>
      <c r="X118" s="105"/>
      <c r="Y118" s="105"/>
      <c r="Z118" s="107"/>
      <c r="AA118" s="121"/>
      <c r="AB118" s="107"/>
      <c r="AC118" s="107"/>
      <c r="AD118" s="107"/>
      <c r="AE118" s="107"/>
      <c r="AF118" s="107"/>
      <c r="AG118" s="107"/>
      <c r="AH118" s="107"/>
      <c r="AI118" s="107"/>
      <c r="AJ118" s="107"/>
      <c r="AK118" s="107"/>
    </row>
    <row r="119" spans="3:37" ht="13.8">
      <c r="C119" s="111" t="s">
        <v>307</v>
      </c>
      <c r="D119" s="111" t="s">
        <v>350</v>
      </c>
      <c r="E119" s="139">
        <v>0</v>
      </c>
      <c r="F119" s="134">
        <v>0</v>
      </c>
      <c r="G119" s="147"/>
      <c r="H119" s="147"/>
      <c r="I119" s="147"/>
      <c r="J119" s="147"/>
      <c r="K119" s="147"/>
      <c r="L119" s="147"/>
      <c r="M119" s="147" t="s">
        <v>354</v>
      </c>
      <c r="N119" s="192"/>
      <c r="O119" s="105"/>
      <c r="P119" s="105"/>
      <c r="Q119" s="105"/>
      <c r="R119" s="105"/>
      <c r="S119" s="105"/>
      <c r="T119" s="105"/>
      <c r="U119" s="105"/>
      <c r="V119" s="105"/>
      <c r="W119" s="105"/>
      <c r="X119" s="105"/>
      <c r="Y119" s="105"/>
      <c r="Z119" s="107"/>
      <c r="AA119" s="121"/>
      <c r="AB119" s="105"/>
      <c r="AC119" s="105"/>
      <c r="AD119" s="105"/>
      <c r="AE119" s="105"/>
      <c r="AF119" s="105"/>
      <c r="AG119" s="105"/>
      <c r="AH119" s="105"/>
      <c r="AI119" s="105"/>
      <c r="AJ119" s="105"/>
      <c r="AK119" s="105"/>
    </row>
    <row r="120" spans="3:37" ht="13.8">
      <c r="C120" s="111" t="s">
        <v>308</v>
      </c>
      <c r="D120" s="111" t="s">
        <v>350</v>
      </c>
      <c r="E120" s="139">
        <v>0</v>
      </c>
      <c r="F120" s="134">
        <v>0</v>
      </c>
      <c r="G120" s="147"/>
      <c r="H120" s="147"/>
      <c r="I120" s="147"/>
      <c r="J120" s="147"/>
      <c r="K120" s="147"/>
      <c r="L120" s="147"/>
      <c r="M120" s="147" t="s">
        <v>354</v>
      </c>
      <c r="N120" s="192"/>
      <c r="O120" s="105"/>
      <c r="P120" s="105"/>
      <c r="Q120" s="105"/>
      <c r="R120" s="105"/>
      <c r="S120" s="105"/>
      <c r="T120" s="105"/>
      <c r="U120" s="105"/>
      <c r="V120" s="105"/>
      <c r="W120" s="105"/>
      <c r="X120" s="105"/>
      <c r="Y120" s="105"/>
      <c r="Z120" s="107"/>
      <c r="AA120" s="121"/>
      <c r="AB120" s="105"/>
      <c r="AC120" s="105"/>
      <c r="AD120" s="105"/>
      <c r="AE120" s="105"/>
      <c r="AF120" s="105"/>
      <c r="AG120" s="105"/>
      <c r="AH120" s="105"/>
      <c r="AI120" s="105"/>
      <c r="AJ120" s="105"/>
      <c r="AK120" s="105"/>
    </row>
    <row r="121" spans="3:37" ht="13.8">
      <c r="C121" s="111" t="s">
        <v>309</v>
      </c>
      <c r="D121" s="111" t="s">
        <v>350</v>
      </c>
      <c r="E121" s="139">
        <v>0</v>
      </c>
      <c r="F121" s="134">
        <v>0</v>
      </c>
      <c r="G121" s="147"/>
      <c r="H121" s="147"/>
      <c r="I121" s="147"/>
      <c r="J121" s="147"/>
      <c r="K121" s="147"/>
      <c r="L121" s="147"/>
      <c r="M121" s="147" t="s">
        <v>354</v>
      </c>
      <c r="N121" s="192"/>
      <c r="O121" s="105"/>
      <c r="P121" s="105"/>
      <c r="Q121" s="105"/>
      <c r="R121" s="105"/>
      <c r="S121" s="105"/>
      <c r="T121" s="105"/>
      <c r="U121" s="105"/>
      <c r="V121" s="105"/>
      <c r="W121" s="105"/>
      <c r="X121" s="105"/>
      <c r="Y121" s="105"/>
      <c r="Z121" s="107"/>
      <c r="AA121" s="121"/>
      <c r="AB121" s="107"/>
      <c r="AC121" s="107"/>
      <c r="AD121" s="107"/>
      <c r="AE121" s="107"/>
      <c r="AF121" s="107"/>
      <c r="AG121" s="107"/>
      <c r="AH121" s="107"/>
      <c r="AI121" s="107"/>
      <c r="AJ121" s="107"/>
      <c r="AK121" s="107"/>
    </row>
    <row r="122" spans="3:37" ht="13.8">
      <c r="C122" s="111" t="s">
        <v>310</v>
      </c>
      <c r="D122" s="111" t="s">
        <v>350</v>
      </c>
      <c r="E122" s="139">
        <v>0</v>
      </c>
      <c r="F122" s="134">
        <v>0</v>
      </c>
      <c r="G122" s="147"/>
      <c r="H122" s="147"/>
      <c r="I122" s="147"/>
      <c r="J122" s="147"/>
      <c r="K122" s="147"/>
      <c r="L122" s="147"/>
      <c r="M122" s="111" t="s">
        <v>356</v>
      </c>
      <c r="N122" s="111"/>
      <c r="O122" s="105"/>
      <c r="P122" s="105"/>
      <c r="Q122" s="105"/>
      <c r="R122" s="105"/>
      <c r="S122" s="105"/>
      <c r="T122" s="105"/>
      <c r="U122" s="105"/>
      <c r="V122" s="105"/>
      <c r="W122" s="105"/>
      <c r="X122" s="105"/>
      <c r="Y122" s="105"/>
      <c r="Z122" s="107"/>
      <c r="AA122" s="121"/>
      <c r="AB122" s="107"/>
      <c r="AC122" s="107"/>
      <c r="AD122" s="107"/>
      <c r="AE122" s="107"/>
      <c r="AF122" s="107"/>
      <c r="AG122" s="107"/>
      <c r="AH122" s="107"/>
      <c r="AI122" s="107"/>
      <c r="AJ122" s="107"/>
      <c r="AK122" s="107"/>
    </row>
    <row r="123" spans="3:37" ht="13.8">
      <c r="C123" s="111" t="s">
        <v>311</v>
      </c>
      <c r="D123" s="111" t="s">
        <v>350</v>
      </c>
      <c r="E123" s="139">
        <v>0</v>
      </c>
      <c r="F123" s="134">
        <v>0</v>
      </c>
      <c r="G123" s="134">
        <v>18</v>
      </c>
      <c r="H123" s="134">
        <v>71</v>
      </c>
      <c r="I123" s="205">
        <v>18</v>
      </c>
      <c r="J123" s="205">
        <v>71</v>
      </c>
      <c r="K123" s="141">
        <v>0</v>
      </c>
      <c r="L123" s="141">
        <v>0</v>
      </c>
      <c r="M123" s="111"/>
      <c r="N123" s="140" t="s">
        <v>351</v>
      </c>
      <c r="O123" s="105"/>
      <c r="P123" s="105"/>
      <c r="Q123" s="105"/>
      <c r="R123" s="105"/>
      <c r="S123" s="105"/>
      <c r="T123" s="105"/>
      <c r="U123" s="105"/>
      <c r="V123" s="105"/>
      <c r="W123" s="105"/>
      <c r="X123" s="105"/>
      <c r="Y123" s="105"/>
      <c r="Z123" s="107"/>
      <c r="AA123" s="107"/>
      <c r="AB123" s="107"/>
      <c r="AC123" s="107"/>
      <c r="AD123" s="107"/>
      <c r="AE123" s="107"/>
      <c r="AF123" s="107"/>
      <c r="AG123" s="107"/>
      <c r="AH123" s="107"/>
      <c r="AI123" s="107"/>
      <c r="AJ123" s="107"/>
      <c r="AK123" s="107"/>
    </row>
    <row r="124" spans="3:37" ht="13.8">
      <c r="C124" s="111" t="s">
        <v>312</v>
      </c>
      <c r="D124" s="111" t="s">
        <v>350</v>
      </c>
      <c r="E124" s="139">
        <v>0</v>
      </c>
      <c r="F124" s="134">
        <v>0</v>
      </c>
      <c r="G124" s="134">
        <v>19</v>
      </c>
      <c r="H124" s="134">
        <v>160</v>
      </c>
      <c r="I124" s="205">
        <v>19</v>
      </c>
      <c r="J124" s="205">
        <v>160</v>
      </c>
      <c r="K124" s="141">
        <v>0</v>
      </c>
      <c r="L124" s="141">
        <v>0</v>
      </c>
      <c r="M124" s="111"/>
      <c r="N124" s="140" t="s">
        <v>351</v>
      </c>
      <c r="O124" s="105"/>
      <c r="P124" s="105"/>
      <c r="Q124" s="105"/>
      <c r="R124" s="105"/>
      <c r="S124" s="105"/>
      <c r="T124" s="105"/>
      <c r="U124" s="105"/>
      <c r="V124" s="105"/>
      <c r="W124" s="105"/>
      <c r="X124" s="105"/>
      <c r="Y124" s="105"/>
      <c r="Z124" s="107"/>
      <c r="AA124" s="107"/>
      <c r="AB124" s="107"/>
      <c r="AC124" s="107"/>
      <c r="AD124" s="107"/>
      <c r="AE124" s="107"/>
      <c r="AF124" s="107"/>
      <c r="AG124" s="107"/>
      <c r="AH124" s="107"/>
      <c r="AI124" s="107"/>
      <c r="AJ124" s="107"/>
      <c r="AK124" s="107"/>
    </row>
    <row r="125" spans="3:37" ht="13.8">
      <c r="C125" s="105" t="s">
        <v>357</v>
      </c>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row>
    <row r="126" spans="3:37" ht="13.8">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row>
    <row r="127" spans="3:37" ht="13.8">
      <c r="C127" s="106" t="s">
        <v>358</v>
      </c>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row>
    <row r="128" spans="3:37" ht="13.8">
      <c r="C128" s="111" t="s">
        <v>359</v>
      </c>
      <c r="D128" s="111" t="s">
        <v>350</v>
      </c>
      <c r="E128" s="206">
        <v>29</v>
      </c>
      <c r="F128" s="193" t="s">
        <v>360</v>
      </c>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row>
    <row r="129" spans="3:37" ht="13.8">
      <c r="C129" s="111" t="s">
        <v>262</v>
      </c>
      <c r="D129" s="111" t="s">
        <v>350</v>
      </c>
      <c r="E129" s="206">
        <v>29</v>
      </c>
      <c r="F129" s="193" t="s">
        <v>360</v>
      </c>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row>
    <row r="130" spans="3:37" ht="13.8">
      <c r="C130" s="111" t="s">
        <v>255</v>
      </c>
      <c r="D130" s="111" t="s">
        <v>350</v>
      </c>
      <c r="E130" s="206">
        <v>16.7</v>
      </c>
      <c r="F130" s="193" t="s">
        <v>361</v>
      </c>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row>
    <row r="131" spans="3:37" ht="13.8">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row>
    <row r="132" spans="3:37" ht="14.4">
      <c r="C132" s="125" t="s">
        <v>362</v>
      </c>
      <c r="D132" s="114"/>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c r="AI132" s="113"/>
      <c r="AJ132" s="113"/>
      <c r="AK132" s="113"/>
    </row>
    <row r="133" spans="3:37" ht="13.8">
      <c r="C133" s="111"/>
      <c r="D133" s="111" t="s">
        <v>363</v>
      </c>
      <c r="E133" s="111" t="s">
        <v>326</v>
      </c>
      <c r="F133" s="111">
        <v>2012</v>
      </c>
      <c r="G133" s="111">
        <v>2020</v>
      </c>
      <c r="H133" s="111">
        <v>2035</v>
      </c>
      <c r="I133" s="111">
        <v>2050</v>
      </c>
      <c r="J133" s="113"/>
      <c r="K133" s="113"/>
      <c r="L133" s="113"/>
      <c r="M133" s="113"/>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c r="AI133" s="113"/>
      <c r="AJ133" s="113"/>
      <c r="AK133" s="113"/>
    </row>
    <row r="134" spans="3:37" ht="13.8">
      <c r="C134" s="194" t="s">
        <v>364</v>
      </c>
      <c r="D134" s="194" t="s">
        <v>277</v>
      </c>
      <c r="E134" s="194">
        <v>-11</v>
      </c>
      <c r="F134" s="195">
        <v>-11.2</v>
      </c>
      <c r="G134" s="195">
        <v>-11.2</v>
      </c>
      <c r="H134" s="195">
        <v>16.2</v>
      </c>
      <c r="I134" s="195">
        <v>13.4</v>
      </c>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row>
    <row r="135" spans="3:37" ht="13.8">
      <c r="C135" s="194" t="s">
        <v>69</v>
      </c>
      <c r="D135" s="194" t="s">
        <v>277</v>
      </c>
      <c r="E135" s="194">
        <v>-11</v>
      </c>
      <c r="F135" s="196">
        <v>-11.2</v>
      </c>
      <c r="G135" s="196">
        <v>-11.2</v>
      </c>
      <c r="H135" s="196">
        <v>16.2</v>
      </c>
      <c r="I135" s="196">
        <v>13.4</v>
      </c>
      <c r="J135" s="113" t="s">
        <v>365</v>
      </c>
    </row>
    <row r="136" spans="3:37">
      <c r="C136" s="113"/>
      <c r="D136" s="114"/>
      <c r="E136" s="113"/>
      <c r="F136" s="113"/>
      <c r="G136" s="113"/>
      <c r="H136" s="113"/>
      <c r="I136" s="113"/>
      <c r="J136" s="113"/>
    </row>
    <row r="137" spans="3:37" ht="14.4">
      <c r="C137" s="125" t="s">
        <v>366</v>
      </c>
      <c r="D137" s="114"/>
      <c r="E137" s="113"/>
      <c r="F137" s="113"/>
      <c r="G137" s="113"/>
      <c r="H137" s="113"/>
      <c r="I137" s="113"/>
      <c r="J137" s="113"/>
    </row>
    <row r="138" spans="3:37" ht="13.8">
      <c r="C138" s="111"/>
      <c r="D138" s="110">
        <v>2020</v>
      </c>
      <c r="E138" s="110">
        <v>2035</v>
      </c>
      <c r="F138" s="110">
        <v>2040</v>
      </c>
      <c r="G138" s="110">
        <v>2050</v>
      </c>
      <c r="H138" s="113"/>
      <c r="I138" s="113"/>
      <c r="J138" s="113"/>
    </row>
    <row r="139" spans="3:37" ht="13.8">
      <c r="C139" s="111" t="s">
        <v>367</v>
      </c>
      <c r="D139" s="138">
        <v>8.99</v>
      </c>
      <c r="E139" s="138">
        <v>30.75</v>
      </c>
      <c r="F139" s="138">
        <v>26.9</v>
      </c>
      <c r="G139" s="197">
        <v>13.42</v>
      </c>
      <c r="H139" s="113"/>
      <c r="I139" s="113"/>
      <c r="J139" s="113"/>
    </row>
    <row r="140" spans="3:37" ht="13.8">
      <c r="C140" s="111" t="s">
        <v>368</v>
      </c>
      <c r="D140" s="138">
        <v>13.78</v>
      </c>
      <c r="E140" s="138">
        <v>30.69</v>
      </c>
      <c r="F140" s="197">
        <v>16.16</v>
      </c>
      <c r="G140" s="138">
        <v>0.33</v>
      </c>
      <c r="H140" s="113"/>
      <c r="I140" s="113"/>
      <c r="J140" s="113"/>
    </row>
    <row r="141" spans="3:37" ht="13.8">
      <c r="C141" s="111" t="s">
        <v>369</v>
      </c>
      <c r="D141" s="138">
        <v>-15.42</v>
      </c>
      <c r="E141" s="138">
        <v>-2.35</v>
      </c>
      <c r="F141" s="138">
        <v>4.63</v>
      </c>
      <c r="G141" s="138">
        <v>5.84</v>
      </c>
      <c r="H141" s="113"/>
      <c r="I141" s="113"/>
      <c r="J141" s="113"/>
    </row>
    <row r="142" spans="3:37" ht="13.8">
      <c r="C142" s="111" t="s">
        <v>370</v>
      </c>
      <c r="D142" s="197">
        <v>-11.24</v>
      </c>
      <c r="E142" s="138">
        <v>-3.52</v>
      </c>
      <c r="F142" s="138">
        <v>-3.65</v>
      </c>
      <c r="G142" s="138">
        <v>-1.79</v>
      </c>
      <c r="H142" s="113"/>
      <c r="I142" s="113"/>
      <c r="J142" s="113"/>
    </row>
    <row r="143" spans="3:37">
      <c r="C143" s="113" t="s">
        <v>371</v>
      </c>
      <c r="D143" s="114"/>
      <c r="E143" s="113"/>
      <c r="F143" s="113"/>
      <c r="G143" s="113"/>
      <c r="H143" s="113"/>
      <c r="I143" s="113"/>
      <c r="J143" s="113"/>
    </row>
    <row r="144" spans="3:37">
      <c r="C144" s="113"/>
      <c r="D144" s="114"/>
      <c r="E144" s="113"/>
      <c r="F144" s="113"/>
      <c r="G144" s="113"/>
      <c r="H144" s="113"/>
      <c r="I144" s="113"/>
      <c r="J144" s="113"/>
    </row>
    <row r="145" spans="2:10" ht="13.8">
      <c r="C145" s="108"/>
      <c r="D145" s="108"/>
      <c r="E145" s="108"/>
      <c r="F145" s="108"/>
      <c r="G145" s="108"/>
      <c r="H145" s="108"/>
      <c r="I145" s="113"/>
      <c r="J145" s="113"/>
    </row>
    <row r="146" spans="2:10" ht="14.4">
      <c r="C146" s="125" t="s">
        <v>372</v>
      </c>
      <c r="D146" s="108"/>
      <c r="E146" s="108"/>
      <c r="F146" s="108"/>
      <c r="G146" s="108"/>
      <c r="H146" s="108"/>
      <c r="I146" s="113"/>
      <c r="J146" s="113"/>
    </row>
    <row r="147" spans="2:10" ht="13.8">
      <c r="C147" s="194"/>
      <c r="D147" s="194"/>
      <c r="E147" s="194"/>
      <c r="F147" s="194"/>
      <c r="G147" s="194"/>
      <c r="H147" s="194"/>
      <c r="I147" s="113"/>
      <c r="J147" s="113"/>
    </row>
    <row r="148" spans="2:10" ht="13.8">
      <c r="C148" s="194"/>
      <c r="D148" s="194"/>
      <c r="E148" s="198" t="s">
        <v>373</v>
      </c>
      <c r="F148" s="198"/>
      <c r="G148" s="194" t="s">
        <v>374</v>
      </c>
      <c r="H148" s="194" t="s">
        <v>375</v>
      </c>
      <c r="I148" s="113"/>
      <c r="J148" s="113"/>
    </row>
    <row r="149" spans="2:10" ht="13.8">
      <c r="C149" s="194"/>
      <c r="D149" s="194" t="s">
        <v>376</v>
      </c>
      <c r="E149" s="194" t="s">
        <v>377</v>
      </c>
      <c r="F149" s="194" t="s">
        <v>378</v>
      </c>
      <c r="G149" s="194" t="s">
        <v>379</v>
      </c>
      <c r="H149" s="194" t="s">
        <v>379</v>
      </c>
      <c r="I149" s="113"/>
      <c r="J149" s="113"/>
    </row>
    <row r="150" spans="2:10" ht="13.8">
      <c r="C150" s="194" t="s">
        <v>380</v>
      </c>
      <c r="D150" s="194" t="s">
        <v>381</v>
      </c>
      <c r="E150" s="134">
        <v>210</v>
      </c>
      <c r="F150" s="134">
        <v>-32</v>
      </c>
      <c r="G150" s="199">
        <v>-5.0000000000000001E-3</v>
      </c>
      <c r="H150" s="199">
        <v>0</v>
      </c>
      <c r="I150" s="113"/>
      <c r="J150" s="113"/>
    </row>
    <row r="151" spans="2:10" ht="13.8">
      <c r="B151" s="113"/>
      <c r="C151" s="194" t="s">
        <v>382</v>
      </c>
      <c r="D151" s="194" t="s">
        <v>381</v>
      </c>
      <c r="E151" s="134">
        <v>342</v>
      </c>
      <c r="F151" s="134">
        <v>100</v>
      </c>
      <c r="G151" s="199">
        <v>0</v>
      </c>
      <c r="H151" s="199">
        <v>0</v>
      </c>
      <c r="I151" s="113"/>
    </row>
    <row r="152" spans="2:10" ht="13.8">
      <c r="B152" s="113"/>
      <c r="C152" s="194" t="s">
        <v>383</v>
      </c>
      <c r="D152" s="194" t="s">
        <v>381</v>
      </c>
      <c r="E152" s="134">
        <v>346</v>
      </c>
      <c r="F152" s="134">
        <v>104</v>
      </c>
      <c r="G152" s="199">
        <v>2.1999999999999999E-2</v>
      </c>
      <c r="H152" s="199">
        <v>7.0000000000000001E-3</v>
      </c>
      <c r="I152" s="113"/>
    </row>
    <row r="153" spans="2:10" ht="13.8">
      <c r="B153" s="113"/>
      <c r="C153" s="194" t="s">
        <v>384</v>
      </c>
      <c r="D153" s="194" t="s">
        <v>381</v>
      </c>
      <c r="E153" s="134">
        <v>333</v>
      </c>
      <c r="F153" s="134">
        <v>91</v>
      </c>
      <c r="G153" s="199">
        <v>2.7E-2</v>
      </c>
      <c r="H153" s="199">
        <v>6.0000000000000001E-3</v>
      </c>
      <c r="I153" s="113"/>
    </row>
    <row r="154" spans="2:10" ht="13.8">
      <c r="B154" s="113"/>
      <c r="C154" s="194" t="s">
        <v>385</v>
      </c>
      <c r="D154" s="194" t="s">
        <v>381</v>
      </c>
      <c r="E154" s="134">
        <v>323</v>
      </c>
      <c r="F154" s="134">
        <v>80</v>
      </c>
      <c r="G154" s="199">
        <v>8.9999999999999993E-3</v>
      </c>
      <c r="H154" s="199">
        <v>-4.2999999999999997E-2</v>
      </c>
      <c r="I154" s="113"/>
    </row>
    <row r="155" spans="2:10" ht="13.8">
      <c r="B155" s="113"/>
      <c r="C155" s="194" t="s">
        <v>386</v>
      </c>
      <c r="D155" s="194" t="s">
        <v>381</v>
      </c>
      <c r="E155" s="134">
        <v>368</v>
      </c>
      <c r="F155" s="134">
        <v>126</v>
      </c>
      <c r="G155" s="199">
        <v>0.06</v>
      </c>
      <c r="H155" s="199">
        <v>-6.0000000000000001E-3</v>
      </c>
      <c r="I155" s="113"/>
    </row>
    <row r="156" spans="2:10" ht="13.8">
      <c r="B156" s="113"/>
      <c r="C156" s="194" t="s">
        <v>387</v>
      </c>
      <c r="D156" s="194" t="s">
        <v>388</v>
      </c>
      <c r="E156" s="209">
        <v>1.63</v>
      </c>
      <c r="F156" s="209">
        <v>1.63</v>
      </c>
      <c r="G156" s="210">
        <v>1.2E-2</v>
      </c>
      <c r="H156" s="210">
        <v>3.0000000000000001E-3</v>
      </c>
      <c r="I156" s="113"/>
    </row>
    <row r="157" spans="2:10" ht="13.8">
      <c r="B157" s="113"/>
      <c r="C157" s="194" t="s">
        <v>255</v>
      </c>
      <c r="D157" s="194" t="s">
        <v>389</v>
      </c>
      <c r="E157" s="200">
        <v>346</v>
      </c>
      <c r="F157" s="200">
        <v>104</v>
      </c>
      <c r="G157" s="201">
        <v>2.1999999999999999E-2</v>
      </c>
      <c r="H157" s="201">
        <v>7.0000000000000001E-3</v>
      </c>
      <c r="I157" s="113" t="s">
        <v>390</v>
      </c>
    </row>
    <row r="158" spans="2:10" ht="13.8">
      <c r="B158" s="113"/>
      <c r="C158" s="194" t="s">
        <v>391</v>
      </c>
      <c r="D158" s="194" t="s">
        <v>389</v>
      </c>
      <c r="E158" s="200">
        <v>368</v>
      </c>
      <c r="F158" s="200">
        <v>126</v>
      </c>
      <c r="G158" s="201">
        <v>0.06</v>
      </c>
      <c r="H158" s="201">
        <v>-6.0000000000000001E-3</v>
      </c>
      <c r="I158" s="113" t="s">
        <v>392</v>
      </c>
    </row>
    <row r="159" spans="2:10">
      <c r="B159" s="113"/>
      <c r="C159" s="113" t="s">
        <v>393</v>
      </c>
      <c r="D159" s="114"/>
      <c r="E159" s="113"/>
      <c r="F159" s="113"/>
      <c r="G159" s="113"/>
      <c r="H159" s="113"/>
      <c r="I159" s="113"/>
    </row>
    <row r="161" spans="2:21" ht="21">
      <c r="B161" s="102" t="s">
        <v>400</v>
      </c>
      <c r="C161" s="101"/>
      <c r="D161" s="101"/>
      <c r="E161" s="101"/>
      <c r="F161" s="101"/>
      <c r="G161" s="101"/>
      <c r="H161" s="101"/>
      <c r="I161" s="101"/>
      <c r="J161" s="101"/>
      <c r="K161" s="101"/>
      <c r="L161" s="101"/>
      <c r="M161" s="101"/>
      <c r="N161" s="101"/>
      <c r="O161" s="101"/>
      <c r="P161" s="101"/>
      <c r="Q161" s="101"/>
      <c r="R161" s="101"/>
      <c r="S161" s="101"/>
      <c r="T161" s="101"/>
      <c r="U161" s="101"/>
    </row>
    <row r="162" spans="2:21">
      <c r="B162" s="100" t="s">
        <v>401</v>
      </c>
      <c r="C162" s="100"/>
      <c r="D162" s="100"/>
      <c r="E162" s="100"/>
      <c r="F162" s="100"/>
      <c r="G162" s="100"/>
      <c r="H162" s="100"/>
      <c r="I162" s="100"/>
      <c r="J162" s="100"/>
      <c r="K162" s="100"/>
      <c r="L162" s="100"/>
      <c r="M162" s="100"/>
      <c r="N162" s="100"/>
      <c r="O162" s="100"/>
      <c r="P162" s="100"/>
      <c r="Q162" s="100"/>
      <c r="R162" s="100"/>
      <c r="S162" s="100"/>
      <c r="T162" s="100"/>
      <c r="U162" s="100"/>
    </row>
    <row r="163" spans="2:21" ht="13.8" thickBot="1">
      <c r="B163" s="100"/>
      <c r="C163" s="100"/>
      <c r="D163" s="100"/>
      <c r="E163" s="100" t="s">
        <v>402</v>
      </c>
      <c r="F163" s="100"/>
      <c r="G163" s="100"/>
      <c r="H163" s="100"/>
      <c r="I163" s="100"/>
      <c r="J163" s="100"/>
      <c r="K163" s="100"/>
      <c r="L163" s="100" t="s">
        <v>403</v>
      </c>
      <c r="M163" s="100"/>
      <c r="N163" s="100"/>
      <c r="O163" s="100"/>
      <c r="P163" s="100"/>
      <c r="Q163" s="100"/>
      <c r="R163" s="100"/>
      <c r="S163" s="100"/>
      <c r="T163" s="100"/>
      <c r="U163" s="100"/>
    </row>
    <row r="164" spans="2:21">
      <c r="B164" s="100"/>
      <c r="C164" s="99" t="s">
        <v>404</v>
      </c>
      <c r="D164" s="98" t="s">
        <v>94</v>
      </c>
      <c r="E164" s="98">
        <v>2015</v>
      </c>
      <c r="F164" s="98">
        <v>2020</v>
      </c>
      <c r="G164" s="98">
        <v>2035</v>
      </c>
      <c r="H164" s="98">
        <v>2050</v>
      </c>
      <c r="I164" s="98" t="s">
        <v>405</v>
      </c>
      <c r="J164" s="98" t="s">
        <v>406</v>
      </c>
      <c r="K164" s="98" t="s">
        <v>407</v>
      </c>
      <c r="L164" s="98" t="s">
        <v>408</v>
      </c>
      <c r="M164" s="98" t="s">
        <v>409</v>
      </c>
      <c r="N164" s="98">
        <v>2015</v>
      </c>
      <c r="O164" s="98">
        <v>2020</v>
      </c>
      <c r="P164" s="98">
        <v>2035</v>
      </c>
      <c r="Q164" s="98">
        <v>2050</v>
      </c>
      <c r="R164" s="75" t="s">
        <v>326</v>
      </c>
      <c r="S164" s="98" t="s">
        <v>410</v>
      </c>
      <c r="T164" s="97" t="s">
        <v>411</v>
      </c>
      <c r="U164" s="100"/>
    </row>
    <row r="165" spans="2:21" ht="13.8">
      <c r="B165" s="100"/>
      <c r="C165" s="96" t="s">
        <v>412</v>
      </c>
      <c r="D165" s="95" t="s">
        <v>413</v>
      </c>
      <c r="E165" s="126">
        <v>55.2</v>
      </c>
      <c r="F165" s="126">
        <v>78.900000000000006</v>
      </c>
      <c r="G165" s="126">
        <v>314.39999999999998</v>
      </c>
      <c r="H165" s="120">
        <v>314.39999999999998</v>
      </c>
      <c r="I165" s="208">
        <v>2015</v>
      </c>
      <c r="J165" s="117">
        <v>1</v>
      </c>
      <c r="K165" s="117">
        <v>1</v>
      </c>
      <c r="L165" s="94">
        <v>1</v>
      </c>
      <c r="M165" s="93">
        <v>0</v>
      </c>
      <c r="N165" s="92">
        <v>55.2</v>
      </c>
      <c r="O165" s="92">
        <v>78.900000000000006</v>
      </c>
      <c r="P165" s="92">
        <v>314.39999999999998</v>
      </c>
      <c r="Q165" s="92">
        <v>314.39999999999998</v>
      </c>
      <c r="R165" s="92">
        <v>55.2</v>
      </c>
      <c r="S165" s="95"/>
      <c r="T165" s="239" t="s">
        <v>541</v>
      </c>
      <c r="U165" s="100"/>
    </row>
    <row r="166" spans="2:21" ht="13.8">
      <c r="B166" s="100"/>
      <c r="C166" s="96" t="s">
        <v>414</v>
      </c>
      <c r="D166" s="95" t="s">
        <v>415</v>
      </c>
      <c r="E166" s="126">
        <v>266.10000000000002</v>
      </c>
      <c r="F166" s="91">
        <v>331.2</v>
      </c>
      <c r="G166" s="91">
        <v>573.1</v>
      </c>
      <c r="H166" s="120">
        <v>573.1</v>
      </c>
      <c r="I166" s="208">
        <v>2015</v>
      </c>
      <c r="J166" s="117">
        <v>1</v>
      </c>
      <c r="K166" s="117">
        <v>1</v>
      </c>
      <c r="L166" s="94">
        <v>1</v>
      </c>
      <c r="M166" s="93">
        <v>0</v>
      </c>
      <c r="N166" s="92">
        <v>266.10000000000002</v>
      </c>
      <c r="O166" s="92">
        <v>331.2</v>
      </c>
      <c r="P166" s="92">
        <v>573.1</v>
      </c>
      <c r="Q166" s="92">
        <v>573.1</v>
      </c>
      <c r="R166" s="92">
        <v>266.10000000000002</v>
      </c>
      <c r="S166" s="90"/>
      <c r="T166" s="239" t="s">
        <v>541</v>
      </c>
      <c r="U166" s="100"/>
    </row>
    <row r="167" spans="2:21" ht="13.8">
      <c r="B167" s="100"/>
      <c r="C167" s="96" t="s">
        <v>416</v>
      </c>
      <c r="D167" s="95" t="s">
        <v>415</v>
      </c>
      <c r="E167" s="126">
        <v>445.5</v>
      </c>
      <c r="F167" s="91">
        <v>513.29999999999995</v>
      </c>
      <c r="G167" s="91">
        <v>769.9</v>
      </c>
      <c r="H167" s="120">
        <v>769.9</v>
      </c>
      <c r="I167" s="208">
        <v>2015</v>
      </c>
      <c r="J167" s="117">
        <v>1</v>
      </c>
      <c r="K167" s="117">
        <v>1</v>
      </c>
      <c r="L167" s="94">
        <v>1</v>
      </c>
      <c r="M167" s="93">
        <v>0</v>
      </c>
      <c r="N167" s="92">
        <v>445.5</v>
      </c>
      <c r="O167" s="92">
        <v>513.29999999999995</v>
      </c>
      <c r="P167" s="92">
        <v>769.9</v>
      </c>
      <c r="Q167" s="92">
        <v>769.9</v>
      </c>
      <c r="R167" s="92">
        <v>445.5</v>
      </c>
      <c r="S167" s="90"/>
      <c r="T167" s="239" t="s">
        <v>541</v>
      </c>
      <c r="U167" s="95"/>
    </row>
    <row r="168" spans="2:21" ht="13.8">
      <c r="B168" s="100"/>
      <c r="C168" s="96" t="s">
        <v>417</v>
      </c>
      <c r="D168" s="95" t="s">
        <v>277</v>
      </c>
      <c r="E168" s="126">
        <v>72</v>
      </c>
      <c r="F168" s="126">
        <v>73.3</v>
      </c>
      <c r="G168" s="126">
        <v>78.3</v>
      </c>
      <c r="H168" s="120">
        <v>78.3</v>
      </c>
      <c r="I168" s="208">
        <v>2015</v>
      </c>
      <c r="J168" s="117">
        <v>1</v>
      </c>
      <c r="K168" s="117">
        <v>1</v>
      </c>
      <c r="L168" s="94">
        <v>1</v>
      </c>
      <c r="M168" s="93">
        <v>0</v>
      </c>
      <c r="N168" s="92">
        <v>72</v>
      </c>
      <c r="O168" s="92">
        <v>73.3</v>
      </c>
      <c r="P168" s="92">
        <v>78.3</v>
      </c>
      <c r="Q168" s="92">
        <v>78.3</v>
      </c>
      <c r="R168" s="92">
        <v>72</v>
      </c>
      <c r="S168" s="95"/>
      <c r="T168" s="239" t="s">
        <v>541</v>
      </c>
      <c r="U168" s="100"/>
    </row>
    <row r="169" spans="2:21" ht="13.8">
      <c r="B169" s="100"/>
      <c r="C169" s="96" t="s">
        <v>418</v>
      </c>
      <c r="D169" s="95" t="s">
        <v>415</v>
      </c>
      <c r="E169" s="126">
        <v>485.5</v>
      </c>
      <c r="F169" s="91">
        <v>553.29999999999995</v>
      </c>
      <c r="G169" s="91">
        <v>809.9</v>
      </c>
      <c r="H169" s="120">
        <v>809.9</v>
      </c>
      <c r="I169" s="208">
        <v>2015</v>
      </c>
      <c r="J169" s="117">
        <v>1</v>
      </c>
      <c r="K169" s="117">
        <v>1</v>
      </c>
      <c r="L169" s="94">
        <v>1</v>
      </c>
      <c r="M169" s="93">
        <v>0</v>
      </c>
      <c r="N169" s="92">
        <v>485.5</v>
      </c>
      <c r="O169" s="92">
        <v>553.29999999999995</v>
      </c>
      <c r="P169" s="92">
        <v>809.9</v>
      </c>
      <c r="Q169" s="92">
        <v>809.9</v>
      </c>
      <c r="R169" s="92">
        <v>485.5</v>
      </c>
      <c r="S169" s="90"/>
      <c r="T169" s="239" t="s">
        <v>541</v>
      </c>
      <c r="U169" s="100"/>
    </row>
    <row r="170" spans="2:21" ht="13.8">
      <c r="B170" s="100"/>
      <c r="C170" s="89" t="s">
        <v>419</v>
      </c>
      <c r="D170" s="95" t="s">
        <v>277</v>
      </c>
      <c r="E170" s="126">
        <v>102.2</v>
      </c>
      <c r="F170" s="126">
        <v>119.9</v>
      </c>
      <c r="G170" s="126">
        <v>135.30000000000001</v>
      </c>
      <c r="H170" s="120">
        <v>135.30000000000001</v>
      </c>
      <c r="I170" s="208">
        <v>2015</v>
      </c>
      <c r="J170" s="117">
        <v>1</v>
      </c>
      <c r="K170" s="117">
        <v>1</v>
      </c>
      <c r="L170" s="94">
        <v>1</v>
      </c>
      <c r="M170" s="93">
        <v>0</v>
      </c>
      <c r="N170" s="92">
        <v>102.2</v>
      </c>
      <c r="O170" s="92">
        <v>119.9</v>
      </c>
      <c r="P170" s="92">
        <v>135.30000000000001</v>
      </c>
      <c r="Q170" s="92">
        <v>135.30000000000001</v>
      </c>
      <c r="R170" s="92">
        <v>102.2</v>
      </c>
      <c r="S170" s="95"/>
      <c r="T170" s="239" t="s">
        <v>541</v>
      </c>
      <c r="U170" s="100"/>
    </row>
    <row r="171" spans="2:21" ht="13.8">
      <c r="B171" s="100"/>
      <c r="C171" s="96" t="s">
        <v>420</v>
      </c>
      <c r="D171" s="95" t="s">
        <v>277</v>
      </c>
      <c r="E171" s="126">
        <v>20.2</v>
      </c>
      <c r="F171" s="126">
        <v>24.9</v>
      </c>
      <c r="G171" s="126">
        <v>25.8</v>
      </c>
      <c r="H171" s="120">
        <v>25.8</v>
      </c>
      <c r="I171" s="208">
        <v>2015</v>
      </c>
      <c r="J171" s="117">
        <v>1</v>
      </c>
      <c r="K171" s="117">
        <v>1</v>
      </c>
      <c r="L171" s="94">
        <v>1</v>
      </c>
      <c r="M171" s="130">
        <v>0</v>
      </c>
      <c r="N171" s="92">
        <v>20.2</v>
      </c>
      <c r="O171" s="92">
        <v>24.9</v>
      </c>
      <c r="P171" s="92">
        <v>25.8</v>
      </c>
      <c r="Q171" s="92">
        <v>25.8</v>
      </c>
      <c r="R171" s="92">
        <v>20.2</v>
      </c>
      <c r="S171" s="95"/>
      <c r="T171" s="239" t="s">
        <v>541</v>
      </c>
      <c r="U171" s="100"/>
    </row>
    <row r="172" spans="2:21" ht="13.8">
      <c r="B172" s="100"/>
      <c r="C172" s="96" t="s">
        <v>421</v>
      </c>
      <c r="D172" s="95" t="s">
        <v>277</v>
      </c>
      <c r="E172" s="126">
        <v>69.8</v>
      </c>
      <c r="F172" s="126">
        <v>71.099999999999994</v>
      </c>
      <c r="G172" s="126">
        <v>76.099999999999994</v>
      </c>
      <c r="H172" s="120">
        <v>76.099999999999994</v>
      </c>
      <c r="I172" s="208">
        <v>2015</v>
      </c>
      <c r="J172" s="117">
        <v>1</v>
      </c>
      <c r="K172" s="117">
        <v>1</v>
      </c>
      <c r="L172" s="94">
        <v>1</v>
      </c>
      <c r="M172" s="93">
        <v>0</v>
      </c>
      <c r="N172" s="92">
        <v>69.8</v>
      </c>
      <c r="O172" s="92">
        <v>71.099999999999994</v>
      </c>
      <c r="P172" s="92">
        <v>76.099999999999994</v>
      </c>
      <c r="Q172" s="92">
        <v>76.099999999999994</v>
      </c>
      <c r="R172" s="92">
        <v>69.8</v>
      </c>
      <c r="S172" s="95"/>
      <c r="T172" s="239" t="s">
        <v>541</v>
      </c>
      <c r="U172" s="100"/>
    </row>
    <row r="173" spans="2:21" ht="13.8">
      <c r="B173" s="100"/>
      <c r="C173" s="89" t="s">
        <v>422</v>
      </c>
      <c r="D173" s="95" t="s">
        <v>277</v>
      </c>
      <c r="E173" s="126">
        <v>119.6</v>
      </c>
      <c r="F173" s="126">
        <v>138.4</v>
      </c>
      <c r="G173" s="127">
        <v>154.6</v>
      </c>
      <c r="H173" s="120">
        <v>154.6</v>
      </c>
      <c r="I173" s="208">
        <v>2015</v>
      </c>
      <c r="J173" s="117">
        <v>1</v>
      </c>
      <c r="K173" s="117">
        <v>1</v>
      </c>
      <c r="L173" s="94">
        <v>1</v>
      </c>
      <c r="M173" s="93">
        <v>0</v>
      </c>
      <c r="N173" s="92">
        <v>119.6</v>
      </c>
      <c r="O173" s="92">
        <v>138.4</v>
      </c>
      <c r="P173" s="92">
        <v>154.6</v>
      </c>
      <c r="Q173" s="92">
        <v>154.6</v>
      </c>
      <c r="R173" s="92">
        <v>119.6</v>
      </c>
      <c r="S173" s="95"/>
      <c r="T173" s="239" t="s">
        <v>541</v>
      </c>
      <c r="U173" s="100"/>
    </row>
    <row r="174" spans="2:21" ht="13.8">
      <c r="B174" s="100"/>
      <c r="C174" s="89" t="s">
        <v>423</v>
      </c>
      <c r="D174" s="95" t="s">
        <v>277</v>
      </c>
      <c r="E174" s="126">
        <v>118.5</v>
      </c>
      <c r="F174" s="126">
        <v>137.19999999999999</v>
      </c>
      <c r="G174" s="127">
        <v>153.4</v>
      </c>
      <c r="H174" s="120">
        <v>153.4</v>
      </c>
      <c r="I174" s="208">
        <v>2015</v>
      </c>
      <c r="J174" s="117">
        <v>1</v>
      </c>
      <c r="K174" s="117">
        <v>1</v>
      </c>
      <c r="L174" s="94">
        <v>1</v>
      </c>
      <c r="M174" s="93">
        <v>0</v>
      </c>
      <c r="N174" s="92">
        <v>118.5</v>
      </c>
      <c r="O174" s="92">
        <v>137.19999999999999</v>
      </c>
      <c r="P174" s="92">
        <v>153.4</v>
      </c>
      <c r="Q174" s="92">
        <v>153.4</v>
      </c>
      <c r="R174" s="92">
        <v>118.5</v>
      </c>
      <c r="S174" s="95"/>
      <c r="T174" s="239" t="s">
        <v>541</v>
      </c>
      <c r="U174" s="100"/>
    </row>
    <row r="175" spans="2:21" ht="13.8">
      <c r="B175" s="100"/>
      <c r="C175" s="89" t="s">
        <v>424</v>
      </c>
      <c r="D175" s="95" t="s">
        <v>277</v>
      </c>
      <c r="E175" s="126">
        <v>115.7</v>
      </c>
      <c r="F175" s="126">
        <v>134.4</v>
      </c>
      <c r="G175" s="126">
        <v>150.6</v>
      </c>
      <c r="H175" s="120">
        <v>150.6</v>
      </c>
      <c r="I175" s="208">
        <v>2015</v>
      </c>
      <c r="J175" s="117">
        <v>1</v>
      </c>
      <c r="K175" s="117">
        <v>1</v>
      </c>
      <c r="L175" s="94">
        <v>1</v>
      </c>
      <c r="M175" s="93">
        <v>0</v>
      </c>
      <c r="N175" s="92">
        <v>115.7</v>
      </c>
      <c r="O175" s="92">
        <v>134.4</v>
      </c>
      <c r="P175" s="92">
        <v>150.6</v>
      </c>
      <c r="Q175" s="92">
        <v>150.6</v>
      </c>
      <c r="R175" s="92">
        <v>115.7</v>
      </c>
      <c r="S175" s="95"/>
      <c r="T175" s="239" t="s">
        <v>541</v>
      </c>
      <c r="U175" s="100"/>
    </row>
    <row r="176" spans="2:21" ht="13.8">
      <c r="B176" s="100"/>
      <c r="C176" s="89" t="s">
        <v>425</v>
      </c>
      <c r="D176" s="95" t="s">
        <v>277</v>
      </c>
      <c r="E176" s="126">
        <v>89.8</v>
      </c>
      <c r="F176" s="126">
        <v>108.5</v>
      </c>
      <c r="G176" s="126">
        <v>124.7</v>
      </c>
      <c r="H176" s="120">
        <v>124.7</v>
      </c>
      <c r="I176" s="208">
        <v>2015</v>
      </c>
      <c r="J176" s="117">
        <v>1</v>
      </c>
      <c r="K176" s="117">
        <v>1</v>
      </c>
      <c r="L176" s="94">
        <v>1</v>
      </c>
      <c r="M176" s="93">
        <v>0</v>
      </c>
      <c r="N176" s="92">
        <v>89.8</v>
      </c>
      <c r="O176" s="92">
        <v>108.5</v>
      </c>
      <c r="P176" s="92">
        <v>124.7</v>
      </c>
      <c r="Q176" s="92">
        <v>124.7</v>
      </c>
      <c r="R176" s="92">
        <v>89.8</v>
      </c>
      <c r="S176" s="95"/>
      <c r="T176" s="239" t="s">
        <v>541</v>
      </c>
      <c r="U176" s="100"/>
    </row>
    <row r="177" spans="2:21" ht="13.8">
      <c r="B177" s="100"/>
      <c r="C177" s="96" t="s">
        <v>426</v>
      </c>
      <c r="D177" s="95" t="s">
        <v>277</v>
      </c>
      <c r="E177" s="126">
        <v>34.799999999999997</v>
      </c>
      <c r="F177" s="126">
        <v>34.799999999999997</v>
      </c>
      <c r="G177" s="126">
        <v>34.799999999999997</v>
      </c>
      <c r="H177" s="120">
        <v>34.799999999999997</v>
      </c>
      <c r="I177" s="208">
        <v>2015</v>
      </c>
      <c r="J177" s="117">
        <v>1</v>
      </c>
      <c r="K177" s="117">
        <v>1</v>
      </c>
      <c r="L177" s="94">
        <v>1</v>
      </c>
      <c r="M177" s="130">
        <v>0</v>
      </c>
      <c r="N177" s="92">
        <v>34.799999999999997</v>
      </c>
      <c r="O177" s="92">
        <v>34.799999999999997</v>
      </c>
      <c r="P177" s="92">
        <v>34.799999999999997</v>
      </c>
      <c r="Q177" s="92">
        <v>34.799999999999997</v>
      </c>
      <c r="R177" s="92">
        <v>34.799999999999997</v>
      </c>
      <c r="S177" s="95"/>
      <c r="T177" s="239" t="s">
        <v>541</v>
      </c>
      <c r="U177" s="100"/>
    </row>
    <row r="178" spans="2:21" ht="13.8">
      <c r="B178" s="100"/>
      <c r="C178" s="96" t="s">
        <v>427</v>
      </c>
      <c r="D178" s="95" t="s">
        <v>277</v>
      </c>
      <c r="E178" s="126">
        <v>28.7</v>
      </c>
      <c r="F178" s="126">
        <v>28.7</v>
      </c>
      <c r="G178" s="126">
        <v>28.7</v>
      </c>
      <c r="H178" s="120">
        <v>28.7</v>
      </c>
      <c r="I178" s="208">
        <v>2015</v>
      </c>
      <c r="J178" s="117">
        <v>1</v>
      </c>
      <c r="K178" s="117">
        <v>1</v>
      </c>
      <c r="L178" s="94">
        <v>1</v>
      </c>
      <c r="M178" s="130">
        <v>0</v>
      </c>
      <c r="N178" s="92">
        <v>28.7</v>
      </c>
      <c r="O178" s="92">
        <v>28.7</v>
      </c>
      <c r="P178" s="92">
        <v>28.7</v>
      </c>
      <c r="Q178" s="92">
        <v>28.7</v>
      </c>
      <c r="R178" s="92">
        <v>28.7</v>
      </c>
      <c r="S178" s="95"/>
      <c r="T178" s="239" t="s">
        <v>541</v>
      </c>
      <c r="U178" s="100"/>
    </row>
    <row r="179" spans="2:21" ht="13.8">
      <c r="B179" s="100"/>
      <c r="C179" s="96" t="s">
        <v>428</v>
      </c>
      <c r="D179" s="95" t="s">
        <v>277</v>
      </c>
      <c r="E179" s="126">
        <v>2.2000000000000002</v>
      </c>
      <c r="F179" s="126">
        <v>2.2000000000000002</v>
      </c>
      <c r="G179" s="126">
        <v>2.2000000000000002</v>
      </c>
      <c r="H179" s="120">
        <v>2.2000000000000002</v>
      </c>
      <c r="I179" s="208">
        <v>2015</v>
      </c>
      <c r="J179" s="117">
        <v>1</v>
      </c>
      <c r="K179" s="117">
        <v>1</v>
      </c>
      <c r="L179" s="94">
        <v>1</v>
      </c>
      <c r="M179" s="130">
        <v>0</v>
      </c>
      <c r="N179" s="92">
        <v>2.2000000000000002</v>
      </c>
      <c r="O179" s="92">
        <v>2.2000000000000002</v>
      </c>
      <c r="P179" s="92">
        <v>2.2000000000000002</v>
      </c>
      <c r="Q179" s="92">
        <v>2.2000000000000002</v>
      </c>
      <c r="R179" s="92">
        <v>2.2000000000000002</v>
      </c>
      <c r="S179" s="95"/>
      <c r="T179" s="239" t="s">
        <v>541</v>
      </c>
      <c r="U179" s="100"/>
    </row>
    <row r="180" spans="2:21" ht="13.8">
      <c r="B180" s="100"/>
      <c r="C180" s="96" t="s">
        <v>429</v>
      </c>
      <c r="D180" s="95" t="s">
        <v>277</v>
      </c>
      <c r="E180" s="131">
        <v>61</v>
      </c>
      <c r="F180" s="131">
        <v>61.7</v>
      </c>
      <c r="G180" s="131">
        <v>65.8</v>
      </c>
      <c r="H180" s="120">
        <v>65.8</v>
      </c>
      <c r="I180" s="208">
        <v>2015</v>
      </c>
      <c r="J180" s="117">
        <v>1</v>
      </c>
      <c r="K180" s="117">
        <v>1</v>
      </c>
      <c r="L180" s="94">
        <v>1</v>
      </c>
      <c r="M180" s="93">
        <v>0</v>
      </c>
      <c r="N180" s="92">
        <v>61</v>
      </c>
      <c r="O180" s="92">
        <v>61.7</v>
      </c>
      <c r="P180" s="92">
        <v>65.8</v>
      </c>
      <c r="Q180" s="92">
        <v>65.8</v>
      </c>
      <c r="R180" s="92">
        <v>61</v>
      </c>
      <c r="S180" s="95" t="s">
        <v>430</v>
      </c>
      <c r="T180" s="239" t="s">
        <v>541</v>
      </c>
      <c r="U180" s="100"/>
    </row>
    <row r="181" spans="2:21" ht="13.8">
      <c r="B181" s="100"/>
      <c r="C181" s="96" t="s">
        <v>431</v>
      </c>
      <c r="D181" s="95" t="s">
        <v>277</v>
      </c>
      <c r="E181" s="131">
        <v>49.8</v>
      </c>
      <c r="F181" s="131">
        <v>50.6</v>
      </c>
      <c r="G181" s="131">
        <v>54.7</v>
      </c>
      <c r="H181" s="120">
        <v>54.7</v>
      </c>
      <c r="I181" s="208">
        <v>2015</v>
      </c>
      <c r="J181" s="117">
        <v>1</v>
      </c>
      <c r="K181" s="117">
        <v>1</v>
      </c>
      <c r="L181" s="94">
        <v>1</v>
      </c>
      <c r="M181" s="93">
        <v>0</v>
      </c>
      <c r="N181" s="92">
        <v>49.8</v>
      </c>
      <c r="O181" s="92">
        <v>50.6</v>
      </c>
      <c r="P181" s="92">
        <v>54.7</v>
      </c>
      <c r="Q181" s="92">
        <v>54.7</v>
      </c>
      <c r="R181" s="92">
        <v>49.8</v>
      </c>
      <c r="S181" s="95" t="s">
        <v>430</v>
      </c>
      <c r="T181" s="239" t="s">
        <v>541</v>
      </c>
      <c r="U181" s="100"/>
    </row>
    <row r="182" spans="2:21" ht="13.8">
      <c r="B182" s="100"/>
      <c r="C182" s="96" t="s">
        <v>432</v>
      </c>
      <c r="D182" s="95" t="s">
        <v>277</v>
      </c>
      <c r="E182" s="126">
        <v>7</v>
      </c>
      <c r="F182" s="126">
        <v>7</v>
      </c>
      <c r="G182" s="126">
        <v>7</v>
      </c>
      <c r="H182" s="120">
        <v>7</v>
      </c>
      <c r="I182" s="208">
        <v>2015</v>
      </c>
      <c r="J182" s="117">
        <v>1</v>
      </c>
      <c r="K182" s="117">
        <v>1</v>
      </c>
      <c r="L182" s="94">
        <v>1</v>
      </c>
      <c r="M182" s="130">
        <v>0</v>
      </c>
      <c r="N182" s="92">
        <v>7</v>
      </c>
      <c r="O182" s="92">
        <v>7</v>
      </c>
      <c r="P182" s="92">
        <v>7</v>
      </c>
      <c r="Q182" s="92">
        <v>7</v>
      </c>
      <c r="R182" s="92">
        <v>7</v>
      </c>
      <c r="S182" s="95"/>
      <c r="T182" s="239" t="s">
        <v>541</v>
      </c>
      <c r="U182" s="100"/>
    </row>
    <row r="183" spans="2:21" ht="13.8">
      <c r="B183" s="100"/>
      <c r="C183" s="96" t="s">
        <v>433</v>
      </c>
      <c r="D183" s="95" t="s">
        <v>277</v>
      </c>
      <c r="E183" s="126">
        <v>30.2</v>
      </c>
      <c r="F183" s="126">
        <v>30.2</v>
      </c>
      <c r="G183" s="126">
        <v>30.2</v>
      </c>
      <c r="H183" s="120">
        <v>30.2</v>
      </c>
      <c r="I183" s="208">
        <v>2015</v>
      </c>
      <c r="J183" s="117">
        <v>1</v>
      </c>
      <c r="K183" s="117">
        <v>1</v>
      </c>
      <c r="L183" s="94">
        <v>1</v>
      </c>
      <c r="M183" s="130">
        <v>0</v>
      </c>
      <c r="N183" s="92">
        <v>30.2</v>
      </c>
      <c r="O183" s="92">
        <v>30.2</v>
      </c>
      <c r="P183" s="92">
        <v>30.2</v>
      </c>
      <c r="Q183" s="92">
        <v>30.2</v>
      </c>
      <c r="R183" s="92">
        <v>30.2</v>
      </c>
      <c r="S183" s="95"/>
      <c r="T183" s="239" t="s">
        <v>541</v>
      </c>
      <c r="U183" s="100"/>
    </row>
    <row r="184" spans="2:21" ht="13.8">
      <c r="B184" s="100"/>
      <c r="C184" s="96" t="s">
        <v>68</v>
      </c>
      <c r="D184" s="95" t="s">
        <v>277</v>
      </c>
      <c r="E184" s="233">
        <v>143.69999999999999</v>
      </c>
      <c r="F184" s="233">
        <v>146.4</v>
      </c>
      <c r="G184" s="233">
        <v>156.80000000000001</v>
      </c>
      <c r="H184" s="233">
        <v>156.80000000000001</v>
      </c>
      <c r="I184" s="208">
        <v>2015</v>
      </c>
      <c r="J184" s="117">
        <v>1</v>
      </c>
      <c r="K184" s="117">
        <v>1</v>
      </c>
      <c r="L184" s="94">
        <v>1</v>
      </c>
      <c r="M184" s="93">
        <v>0</v>
      </c>
      <c r="N184" s="92">
        <v>143.69999999999999</v>
      </c>
      <c r="O184" s="92">
        <v>146.4</v>
      </c>
      <c r="P184" s="92">
        <v>156.80000000000001</v>
      </c>
      <c r="Q184" s="92">
        <v>156.80000000000001</v>
      </c>
      <c r="R184" s="92">
        <v>143.69999999999999</v>
      </c>
      <c r="S184" s="95" t="s">
        <v>434</v>
      </c>
      <c r="T184" s="239"/>
      <c r="U184" s="100"/>
    </row>
    <row r="185" spans="2:21" ht="13.8">
      <c r="B185" s="100"/>
      <c r="C185" s="96" t="s">
        <v>435</v>
      </c>
      <c r="D185" s="95" t="s">
        <v>277</v>
      </c>
      <c r="E185" s="126">
        <v>67</v>
      </c>
      <c r="F185" s="126">
        <v>66.2</v>
      </c>
      <c r="G185" s="126">
        <v>73.3</v>
      </c>
      <c r="H185" s="120">
        <v>73.3</v>
      </c>
      <c r="I185" s="208">
        <v>2011</v>
      </c>
      <c r="J185" s="117">
        <v>1</v>
      </c>
      <c r="K185" s="117">
        <v>1.0640000000000001</v>
      </c>
      <c r="L185" s="94">
        <v>1.0640000000000001</v>
      </c>
      <c r="M185" s="93">
        <v>0</v>
      </c>
      <c r="N185" s="92">
        <v>71.3</v>
      </c>
      <c r="O185" s="92">
        <v>70.400000000000006</v>
      </c>
      <c r="P185" s="92">
        <v>78</v>
      </c>
      <c r="Q185" s="92">
        <v>78</v>
      </c>
      <c r="R185" s="92">
        <v>71.3</v>
      </c>
      <c r="S185" s="95" t="s">
        <v>436</v>
      </c>
      <c r="T185" s="239" t="s">
        <v>542</v>
      </c>
      <c r="U185" s="100"/>
    </row>
    <row r="186" spans="2:21" ht="13.8">
      <c r="B186" s="100"/>
      <c r="C186" s="96" t="s">
        <v>299</v>
      </c>
      <c r="D186" s="95" t="s">
        <v>277</v>
      </c>
      <c r="E186" s="234">
        <v>69.7</v>
      </c>
      <c r="F186" s="234">
        <v>76.8</v>
      </c>
      <c r="G186" s="234">
        <v>77</v>
      </c>
      <c r="H186" s="234">
        <v>77</v>
      </c>
      <c r="I186" s="208">
        <v>2013</v>
      </c>
      <c r="J186" s="117">
        <v>1</v>
      </c>
      <c r="K186" s="117">
        <v>1.038</v>
      </c>
      <c r="L186" s="94">
        <v>1.038</v>
      </c>
      <c r="M186" s="93">
        <v>0</v>
      </c>
      <c r="N186" s="92">
        <v>72.400000000000006</v>
      </c>
      <c r="O186" s="92">
        <v>79.7</v>
      </c>
      <c r="P186" s="92">
        <v>79.900000000000006</v>
      </c>
      <c r="Q186" s="92">
        <v>79.900000000000006</v>
      </c>
      <c r="R186" s="92">
        <v>72.400000000000006</v>
      </c>
      <c r="S186" s="88" t="s">
        <v>437</v>
      </c>
      <c r="T186" s="239" t="s">
        <v>543</v>
      </c>
      <c r="U186" s="100"/>
    </row>
    <row r="187" spans="2:21" ht="13.8">
      <c r="B187" s="100"/>
      <c r="C187" s="96" t="s">
        <v>300</v>
      </c>
      <c r="D187" s="95" t="s">
        <v>277</v>
      </c>
      <c r="E187" s="235">
        <v>10.3</v>
      </c>
      <c r="F187" s="235">
        <v>10.3</v>
      </c>
      <c r="G187" s="235">
        <v>10.3</v>
      </c>
      <c r="H187" s="235">
        <v>10.3</v>
      </c>
      <c r="I187" s="208">
        <v>2014</v>
      </c>
      <c r="J187" s="117">
        <v>1</v>
      </c>
      <c r="K187" s="117">
        <v>1.0249999999999999</v>
      </c>
      <c r="L187" s="94">
        <v>1.0249999999999999</v>
      </c>
      <c r="M187" s="93">
        <v>0</v>
      </c>
      <c r="N187" s="92">
        <v>10.6</v>
      </c>
      <c r="O187" s="92">
        <v>10.6</v>
      </c>
      <c r="P187" s="92">
        <v>10.6</v>
      </c>
      <c r="Q187" s="92">
        <v>10.6</v>
      </c>
      <c r="R187" s="92">
        <v>10.6</v>
      </c>
      <c r="S187" s="88"/>
      <c r="T187" s="239" t="s">
        <v>438</v>
      </c>
      <c r="U187" s="100"/>
    </row>
    <row r="188" spans="2:21" ht="13.8">
      <c r="B188" s="100"/>
      <c r="C188" s="96" t="s">
        <v>301</v>
      </c>
      <c r="D188" s="95" t="s">
        <v>277</v>
      </c>
      <c r="E188" s="120">
        <v>38.6</v>
      </c>
      <c r="F188" s="120">
        <v>41.2</v>
      </c>
      <c r="G188" s="120">
        <v>46.9</v>
      </c>
      <c r="H188" s="120">
        <v>51.9</v>
      </c>
      <c r="I188" s="208">
        <v>2012</v>
      </c>
      <c r="J188" s="117">
        <v>1</v>
      </c>
      <c r="K188" s="117">
        <v>1.0589999999999999</v>
      </c>
      <c r="L188" s="94">
        <v>1.0589999999999999</v>
      </c>
      <c r="M188" s="93"/>
      <c r="N188" s="92">
        <v>40.9</v>
      </c>
      <c r="O188" s="92">
        <v>43.6</v>
      </c>
      <c r="P188" s="92">
        <v>49.6</v>
      </c>
      <c r="Q188" s="92">
        <v>55</v>
      </c>
      <c r="R188" s="92">
        <v>40.9</v>
      </c>
      <c r="S188" s="88"/>
      <c r="T188" s="239" t="s">
        <v>544</v>
      </c>
      <c r="U188" s="100"/>
    </row>
    <row r="189" spans="2:21" ht="13.8">
      <c r="B189" s="100"/>
      <c r="C189" s="96" t="s">
        <v>302</v>
      </c>
      <c r="D189" s="95" t="s">
        <v>277</v>
      </c>
      <c r="E189" s="236">
        <v>101.7</v>
      </c>
      <c r="F189" s="236">
        <v>112.5</v>
      </c>
      <c r="G189" s="236">
        <v>118.1</v>
      </c>
      <c r="H189" s="236">
        <v>118.1</v>
      </c>
      <c r="I189" s="208">
        <v>2015</v>
      </c>
      <c r="J189" s="117">
        <v>1</v>
      </c>
      <c r="K189" s="117">
        <v>1</v>
      </c>
      <c r="L189" s="94">
        <v>1</v>
      </c>
      <c r="M189" s="93"/>
      <c r="N189" s="92">
        <v>101.7</v>
      </c>
      <c r="O189" s="92">
        <v>112.5</v>
      </c>
      <c r="P189" s="92">
        <v>118.1</v>
      </c>
      <c r="Q189" s="92">
        <v>118.1</v>
      </c>
      <c r="R189" s="92">
        <v>101.7</v>
      </c>
      <c r="S189" s="88" t="s">
        <v>439</v>
      </c>
      <c r="T189" s="239" t="s">
        <v>543</v>
      </c>
      <c r="U189" s="100"/>
    </row>
    <row r="190" spans="2:21" ht="13.8">
      <c r="B190" s="100"/>
      <c r="C190" s="96" t="s">
        <v>324</v>
      </c>
      <c r="D190" s="95" t="s">
        <v>277</v>
      </c>
      <c r="E190" s="236">
        <v>91.8</v>
      </c>
      <c r="F190" s="236">
        <v>102.2</v>
      </c>
      <c r="G190" s="236">
        <v>114.4</v>
      </c>
      <c r="H190" s="236">
        <v>114.4</v>
      </c>
      <c r="I190" s="208">
        <v>2015</v>
      </c>
      <c r="J190" s="117">
        <v>1</v>
      </c>
      <c r="K190" s="117">
        <v>1</v>
      </c>
      <c r="L190" s="94">
        <v>1</v>
      </c>
      <c r="M190" s="93"/>
      <c r="N190" s="92">
        <v>91.8</v>
      </c>
      <c r="O190" s="92">
        <v>102.2</v>
      </c>
      <c r="P190" s="92">
        <v>114.4</v>
      </c>
      <c r="Q190" s="92">
        <v>114.4</v>
      </c>
      <c r="R190" s="92">
        <v>91.8</v>
      </c>
      <c r="S190" s="88"/>
      <c r="T190" s="239"/>
      <c r="U190" s="100"/>
    </row>
    <row r="191" spans="2:21" s="251" customFormat="1" ht="13.8">
      <c r="B191" s="100"/>
      <c r="C191" s="96" t="s">
        <v>532</v>
      </c>
      <c r="D191" s="95" t="s">
        <v>277</v>
      </c>
      <c r="E191" s="316">
        <v>148.80000000000001</v>
      </c>
      <c r="F191" s="316">
        <v>176.4</v>
      </c>
      <c r="G191" s="316">
        <v>187.5</v>
      </c>
      <c r="H191" s="316">
        <v>187.5</v>
      </c>
      <c r="I191" s="310">
        <v>2015</v>
      </c>
      <c r="J191" s="293">
        <v>1</v>
      </c>
      <c r="K191" s="293">
        <v>1</v>
      </c>
      <c r="L191" s="94">
        <v>1</v>
      </c>
      <c r="M191" s="93">
        <v>0</v>
      </c>
      <c r="N191" s="92">
        <v>148.80000000000001</v>
      </c>
      <c r="O191" s="92">
        <v>176.4</v>
      </c>
      <c r="P191" s="92">
        <v>187.5</v>
      </c>
      <c r="Q191" s="92">
        <v>187.5</v>
      </c>
      <c r="R191" s="92">
        <v>148.80000000000001</v>
      </c>
      <c r="S191" s="88"/>
      <c r="T191" s="317" t="s">
        <v>545</v>
      </c>
      <c r="U191" s="100"/>
    </row>
    <row r="192" spans="2:21" ht="13.8">
      <c r="B192" s="100"/>
      <c r="C192" s="96" t="s">
        <v>304</v>
      </c>
      <c r="D192" s="95" t="s">
        <v>277</v>
      </c>
      <c r="E192" s="120">
        <v>45.4</v>
      </c>
      <c r="F192" s="120">
        <v>48.4</v>
      </c>
      <c r="G192" s="120">
        <v>55.1</v>
      </c>
      <c r="H192" s="120">
        <v>61.1</v>
      </c>
      <c r="I192" s="208">
        <v>2012</v>
      </c>
      <c r="J192" s="117">
        <v>1</v>
      </c>
      <c r="K192" s="117">
        <v>1.0589999999999999</v>
      </c>
      <c r="L192" s="94">
        <v>1.0589999999999999</v>
      </c>
      <c r="M192" s="93"/>
      <c r="N192" s="92">
        <v>48.1</v>
      </c>
      <c r="O192" s="92">
        <v>51.3</v>
      </c>
      <c r="P192" s="92">
        <v>58.4</v>
      </c>
      <c r="Q192" s="92">
        <v>64.7</v>
      </c>
      <c r="R192" s="92">
        <v>48.1</v>
      </c>
      <c r="S192" s="88" t="s">
        <v>440</v>
      </c>
      <c r="T192" s="239" t="s">
        <v>544</v>
      </c>
      <c r="U192" s="100"/>
    </row>
    <row r="193" spans="2:21" ht="13.8">
      <c r="B193" s="100"/>
      <c r="C193" s="96" t="s">
        <v>305</v>
      </c>
      <c r="D193" s="95" t="s">
        <v>277</v>
      </c>
      <c r="E193" s="237">
        <v>61.8</v>
      </c>
      <c r="F193" s="237">
        <v>63.3</v>
      </c>
      <c r="G193" s="237">
        <v>67.8</v>
      </c>
      <c r="H193" s="237">
        <v>71.5</v>
      </c>
      <c r="I193" s="208">
        <v>2012</v>
      </c>
      <c r="J193" s="117">
        <v>1</v>
      </c>
      <c r="K193" s="117">
        <v>1.0589999999999999</v>
      </c>
      <c r="L193" s="94">
        <v>1.0589999999999999</v>
      </c>
      <c r="M193" s="93"/>
      <c r="N193" s="92">
        <v>65.5</v>
      </c>
      <c r="O193" s="92">
        <v>67.099999999999994</v>
      </c>
      <c r="P193" s="92">
        <v>71.8</v>
      </c>
      <c r="Q193" s="92">
        <v>75.7</v>
      </c>
      <c r="R193" s="92">
        <v>65.5</v>
      </c>
      <c r="S193" s="88" t="s">
        <v>440</v>
      </c>
      <c r="T193" s="239" t="s">
        <v>544</v>
      </c>
      <c r="U193" s="100"/>
    </row>
    <row r="194" spans="2:21" ht="13.8">
      <c r="B194" s="100"/>
      <c r="C194" s="96" t="s">
        <v>306</v>
      </c>
      <c r="D194" s="95" t="s">
        <v>277</v>
      </c>
      <c r="E194" s="165">
        <v>72.5</v>
      </c>
      <c r="F194" s="165">
        <v>91.24</v>
      </c>
      <c r="G194" s="165">
        <v>157.88999999999999</v>
      </c>
      <c r="H194" s="165">
        <v>157.88999999999999</v>
      </c>
      <c r="I194" s="208">
        <v>2015</v>
      </c>
      <c r="J194" s="117">
        <v>1</v>
      </c>
      <c r="K194" s="117">
        <v>1</v>
      </c>
      <c r="L194" s="94">
        <v>1</v>
      </c>
      <c r="M194" s="93"/>
      <c r="N194" s="92">
        <v>72.5</v>
      </c>
      <c r="O194" s="92">
        <v>91.2</v>
      </c>
      <c r="P194" s="92">
        <v>157.9</v>
      </c>
      <c r="Q194" s="92">
        <v>157.9</v>
      </c>
      <c r="R194" s="92">
        <v>72.5</v>
      </c>
      <c r="S194" s="88"/>
      <c r="T194" s="239" t="s">
        <v>542</v>
      </c>
      <c r="U194" s="100"/>
    </row>
    <row r="195" spans="2:21" ht="13.8">
      <c r="B195" s="100"/>
      <c r="C195" s="96" t="s">
        <v>307</v>
      </c>
      <c r="D195" s="95" t="s">
        <v>277</v>
      </c>
      <c r="E195" s="165">
        <v>72.5</v>
      </c>
      <c r="F195" s="165">
        <v>91.24</v>
      </c>
      <c r="G195" s="165">
        <v>157.88999999999999</v>
      </c>
      <c r="H195" s="165">
        <v>157.88999999999999</v>
      </c>
      <c r="I195" s="208">
        <v>2015</v>
      </c>
      <c r="J195" s="117">
        <v>1</v>
      </c>
      <c r="K195" s="117">
        <v>1</v>
      </c>
      <c r="L195" s="94">
        <v>1</v>
      </c>
      <c r="M195" s="93"/>
      <c r="N195" s="92">
        <v>72.5</v>
      </c>
      <c r="O195" s="92">
        <v>91.2</v>
      </c>
      <c r="P195" s="92">
        <v>157.9</v>
      </c>
      <c r="Q195" s="92">
        <v>157.9</v>
      </c>
      <c r="R195" s="92">
        <v>72.5</v>
      </c>
      <c r="S195" s="88" t="s">
        <v>441</v>
      </c>
      <c r="T195" s="239" t="s">
        <v>542</v>
      </c>
      <c r="U195" s="100"/>
    </row>
    <row r="196" spans="2:21" ht="13.8">
      <c r="B196" s="100"/>
      <c r="C196" s="96" t="s">
        <v>310</v>
      </c>
      <c r="D196" s="95" t="s">
        <v>277</v>
      </c>
      <c r="E196" s="238">
        <v>44.31</v>
      </c>
      <c r="F196" s="238">
        <v>44.31</v>
      </c>
      <c r="G196" s="238">
        <v>44.31</v>
      </c>
      <c r="H196" s="238">
        <v>44.31</v>
      </c>
      <c r="I196" s="208">
        <v>2011</v>
      </c>
      <c r="J196" s="117">
        <v>1</v>
      </c>
      <c r="K196" s="117">
        <v>1.0640000000000001</v>
      </c>
      <c r="L196" s="94">
        <v>1.0640000000000001</v>
      </c>
      <c r="M196" s="93"/>
      <c r="N196" s="92">
        <v>47.2</v>
      </c>
      <c r="O196" s="92">
        <v>47.2</v>
      </c>
      <c r="P196" s="92">
        <v>47.2</v>
      </c>
      <c r="Q196" s="92">
        <v>47.2</v>
      </c>
      <c r="R196" s="92">
        <v>47.2</v>
      </c>
      <c r="S196" s="88"/>
      <c r="T196" s="240" t="s">
        <v>546</v>
      </c>
      <c r="U196" s="100"/>
    </row>
    <row r="197" spans="2:21" ht="13.8">
      <c r="B197" s="100"/>
      <c r="C197" s="96" t="s">
        <v>311</v>
      </c>
      <c r="D197" s="95" t="s">
        <v>277</v>
      </c>
      <c r="E197" s="235">
        <v>187</v>
      </c>
      <c r="F197" s="235">
        <v>186.2</v>
      </c>
      <c r="G197" s="235">
        <v>205</v>
      </c>
      <c r="H197" s="235">
        <v>205</v>
      </c>
      <c r="I197" s="208">
        <v>2010</v>
      </c>
      <c r="J197" s="117">
        <v>1</v>
      </c>
      <c r="K197" s="117">
        <v>1.1100000000000001</v>
      </c>
      <c r="L197" s="94">
        <v>1.1100000000000001</v>
      </c>
      <c r="M197" s="93"/>
      <c r="N197" s="92">
        <v>207.6</v>
      </c>
      <c r="O197" s="92">
        <v>206.6</v>
      </c>
      <c r="P197" s="92">
        <v>227.6</v>
      </c>
      <c r="Q197" s="92">
        <v>227.6</v>
      </c>
      <c r="R197" s="92">
        <v>207.6</v>
      </c>
      <c r="S197" s="88" t="s">
        <v>442</v>
      </c>
      <c r="T197" s="241" t="s">
        <v>547</v>
      </c>
      <c r="U197" s="100"/>
    </row>
    <row r="198" spans="2:21" ht="13.8">
      <c r="B198" s="100"/>
      <c r="C198" s="96" t="s">
        <v>312</v>
      </c>
      <c r="D198" s="95" t="s">
        <v>277</v>
      </c>
      <c r="E198" s="235">
        <v>146.80000000000001</v>
      </c>
      <c r="F198" s="235">
        <v>146.1</v>
      </c>
      <c r="G198" s="235">
        <v>160.9</v>
      </c>
      <c r="H198" s="235">
        <v>160.9</v>
      </c>
      <c r="I198" s="208">
        <v>2010</v>
      </c>
      <c r="J198" s="117">
        <v>1</v>
      </c>
      <c r="K198" s="117">
        <v>1.1100000000000001</v>
      </c>
      <c r="L198" s="94">
        <v>1.1100000000000001</v>
      </c>
      <c r="M198" s="93"/>
      <c r="N198" s="92">
        <v>162.9</v>
      </c>
      <c r="O198" s="92">
        <v>162.19999999999999</v>
      </c>
      <c r="P198" s="92">
        <v>178.6</v>
      </c>
      <c r="Q198" s="92">
        <v>178.6</v>
      </c>
      <c r="R198" s="92">
        <v>162.9</v>
      </c>
      <c r="S198" s="88" t="s">
        <v>442</v>
      </c>
      <c r="T198" s="241" t="s">
        <v>547</v>
      </c>
      <c r="U198" s="100"/>
    </row>
    <row r="199" spans="2:21" ht="13.8">
      <c r="B199" s="100"/>
      <c r="C199" s="96" t="s">
        <v>262</v>
      </c>
      <c r="D199" s="95" t="s">
        <v>277</v>
      </c>
      <c r="E199" s="236">
        <v>80</v>
      </c>
      <c r="F199" s="236">
        <v>94.8</v>
      </c>
      <c r="G199" s="236">
        <v>100.8</v>
      </c>
      <c r="H199" s="236">
        <v>100.8</v>
      </c>
      <c r="I199" s="208">
        <v>2013</v>
      </c>
      <c r="J199" s="117">
        <v>1</v>
      </c>
      <c r="K199" s="117">
        <v>1.038</v>
      </c>
      <c r="L199" s="94">
        <v>1.038</v>
      </c>
      <c r="M199" s="93"/>
      <c r="N199" s="92">
        <v>83.1</v>
      </c>
      <c r="O199" s="92">
        <v>98.5</v>
      </c>
      <c r="P199" s="92">
        <v>104.7</v>
      </c>
      <c r="Q199" s="92">
        <v>104.7</v>
      </c>
      <c r="R199" s="92">
        <v>83.1</v>
      </c>
      <c r="S199" s="95"/>
      <c r="T199" s="87"/>
      <c r="U199" s="100"/>
    </row>
    <row r="200" spans="2:21" ht="13.8">
      <c r="B200" s="100"/>
      <c r="C200" s="96" t="s">
        <v>443</v>
      </c>
      <c r="D200" s="95" t="s">
        <v>444</v>
      </c>
      <c r="E200" s="235">
        <v>0</v>
      </c>
      <c r="F200" s="235">
        <v>0</v>
      </c>
      <c r="G200" s="235">
        <v>0</v>
      </c>
      <c r="H200" s="235">
        <v>0</v>
      </c>
      <c r="I200" s="208">
        <v>2010</v>
      </c>
      <c r="J200" s="117">
        <v>1</v>
      </c>
      <c r="K200" s="117">
        <v>1.1100000000000001</v>
      </c>
      <c r="L200" s="94">
        <v>1.1100000000000001</v>
      </c>
      <c r="M200" s="93"/>
      <c r="N200" s="92">
        <v>0.1</v>
      </c>
      <c r="O200" s="92">
        <v>0.1</v>
      </c>
      <c r="P200" s="92">
        <v>0.1</v>
      </c>
      <c r="Q200" s="92">
        <v>0.1</v>
      </c>
      <c r="R200" s="94">
        <v>5.2999999999999999E-2</v>
      </c>
      <c r="S200" s="95"/>
      <c r="T200" s="241" t="s">
        <v>454</v>
      </c>
      <c r="U200" s="100"/>
    </row>
    <row r="201" spans="2:21" ht="13.8">
      <c r="B201" s="100"/>
      <c r="C201" s="96" t="s">
        <v>445</v>
      </c>
      <c r="D201" s="95" t="s">
        <v>444</v>
      </c>
      <c r="E201" s="235">
        <v>0</v>
      </c>
      <c r="F201" s="235">
        <v>0</v>
      </c>
      <c r="G201" s="235">
        <v>0</v>
      </c>
      <c r="H201" s="235">
        <v>0</v>
      </c>
      <c r="I201" s="208">
        <v>2010</v>
      </c>
      <c r="J201" s="117">
        <v>1</v>
      </c>
      <c r="K201" s="117">
        <v>1.1100000000000001</v>
      </c>
      <c r="L201" s="94">
        <v>1.1100000000000001</v>
      </c>
      <c r="M201" s="93"/>
      <c r="N201" s="92">
        <v>0.1</v>
      </c>
      <c r="O201" s="92">
        <v>0.1</v>
      </c>
      <c r="P201" s="92">
        <v>0.1</v>
      </c>
      <c r="Q201" s="92">
        <v>0.1</v>
      </c>
      <c r="R201" s="94">
        <v>5.2999999999999999E-2</v>
      </c>
      <c r="S201" s="95"/>
      <c r="T201" s="241" t="s">
        <v>454</v>
      </c>
      <c r="U201" s="100"/>
    </row>
    <row r="202" spans="2:21" ht="13.8">
      <c r="B202" s="100"/>
      <c r="C202" s="96" t="s">
        <v>446</v>
      </c>
      <c r="D202" s="95" t="s">
        <v>444</v>
      </c>
      <c r="E202" s="235">
        <v>0</v>
      </c>
      <c r="F202" s="235">
        <v>0</v>
      </c>
      <c r="G202" s="235">
        <v>0</v>
      </c>
      <c r="H202" s="235">
        <v>0</v>
      </c>
      <c r="I202" s="208">
        <v>2010</v>
      </c>
      <c r="J202" s="117">
        <v>1</v>
      </c>
      <c r="K202" s="117">
        <v>1.1100000000000001</v>
      </c>
      <c r="L202" s="94">
        <v>1.1100000000000001</v>
      </c>
      <c r="M202" s="93"/>
      <c r="N202" s="92">
        <v>0</v>
      </c>
      <c r="O202" s="92">
        <v>0</v>
      </c>
      <c r="P202" s="92">
        <v>0</v>
      </c>
      <c r="Q202" s="92">
        <v>0</v>
      </c>
      <c r="R202" s="94">
        <v>0.02</v>
      </c>
      <c r="S202" s="95"/>
      <c r="T202" s="241" t="s">
        <v>454</v>
      </c>
      <c r="U202" s="100"/>
    </row>
    <row r="203" spans="2:21" ht="13.8">
      <c r="B203" s="100"/>
      <c r="C203" s="96" t="s">
        <v>447</v>
      </c>
      <c r="D203" s="95" t="s">
        <v>444</v>
      </c>
      <c r="E203" s="235">
        <v>0.1</v>
      </c>
      <c r="F203" s="235">
        <v>0.1</v>
      </c>
      <c r="G203" s="235">
        <v>0.1</v>
      </c>
      <c r="H203" s="235">
        <v>0.1</v>
      </c>
      <c r="I203" s="208">
        <v>2010</v>
      </c>
      <c r="J203" s="117">
        <v>1</v>
      </c>
      <c r="K203" s="117">
        <v>1.1100000000000001</v>
      </c>
      <c r="L203" s="94">
        <v>1.1100000000000001</v>
      </c>
      <c r="M203" s="93"/>
      <c r="N203" s="92">
        <v>0.1</v>
      </c>
      <c r="O203" s="92">
        <v>0.1</v>
      </c>
      <c r="P203" s="92">
        <v>0.1</v>
      </c>
      <c r="Q203" s="92">
        <v>0.1</v>
      </c>
      <c r="R203" s="94">
        <v>0.108</v>
      </c>
      <c r="S203" s="95"/>
      <c r="T203" s="241" t="s">
        <v>454</v>
      </c>
      <c r="U203" s="100"/>
    </row>
    <row r="204" spans="2:21" ht="13.8">
      <c r="B204" s="100"/>
      <c r="C204" s="96" t="s">
        <v>448</v>
      </c>
      <c r="D204" s="95" t="s">
        <v>444</v>
      </c>
      <c r="E204" s="235">
        <v>0</v>
      </c>
      <c r="F204" s="235">
        <v>0</v>
      </c>
      <c r="G204" s="235">
        <v>0</v>
      </c>
      <c r="H204" s="235">
        <v>0</v>
      </c>
      <c r="I204" s="208">
        <v>2010</v>
      </c>
      <c r="J204" s="117">
        <v>1</v>
      </c>
      <c r="K204" s="117">
        <v>1.1100000000000001</v>
      </c>
      <c r="L204" s="94">
        <v>1.1100000000000001</v>
      </c>
      <c r="M204" s="93"/>
      <c r="N204" s="92">
        <v>0</v>
      </c>
      <c r="O204" s="92">
        <v>0</v>
      </c>
      <c r="P204" s="92">
        <v>0</v>
      </c>
      <c r="Q204" s="92">
        <v>0</v>
      </c>
      <c r="R204" s="94">
        <v>0</v>
      </c>
      <c r="S204" s="95"/>
      <c r="T204" s="241" t="s">
        <v>454</v>
      </c>
      <c r="U204" s="100"/>
    </row>
    <row r="205" spans="2:21" ht="13.8">
      <c r="B205" s="100"/>
      <c r="C205" s="96" t="s">
        <v>449</v>
      </c>
      <c r="D205" s="95" t="s">
        <v>444</v>
      </c>
      <c r="E205" s="235">
        <v>0</v>
      </c>
      <c r="F205" s="235">
        <v>0</v>
      </c>
      <c r="G205" s="235">
        <v>0</v>
      </c>
      <c r="H205" s="235">
        <v>0</v>
      </c>
      <c r="I205" s="208">
        <v>2010</v>
      </c>
      <c r="J205" s="117">
        <v>1</v>
      </c>
      <c r="K205" s="117">
        <v>1.1100000000000001</v>
      </c>
      <c r="L205" s="94">
        <v>1.1100000000000001</v>
      </c>
      <c r="M205" s="93"/>
      <c r="N205" s="92">
        <v>0</v>
      </c>
      <c r="O205" s="92">
        <v>0</v>
      </c>
      <c r="P205" s="92">
        <v>0</v>
      </c>
      <c r="Q205" s="92">
        <v>0</v>
      </c>
      <c r="R205" s="94">
        <v>0</v>
      </c>
      <c r="S205" s="95"/>
      <c r="T205" s="241" t="s">
        <v>454</v>
      </c>
      <c r="U205" s="100"/>
    </row>
    <row r="206" spans="2:21" ht="13.8">
      <c r="B206" s="100"/>
      <c r="C206" s="96" t="s">
        <v>450</v>
      </c>
      <c r="D206" s="95" t="s">
        <v>444</v>
      </c>
      <c r="E206" s="235">
        <v>0</v>
      </c>
      <c r="F206" s="235">
        <v>0</v>
      </c>
      <c r="G206" s="235">
        <v>0</v>
      </c>
      <c r="H206" s="235">
        <v>0</v>
      </c>
      <c r="I206" s="208">
        <v>2010</v>
      </c>
      <c r="J206" s="117">
        <v>1</v>
      </c>
      <c r="K206" s="117">
        <v>1.1100000000000001</v>
      </c>
      <c r="L206" s="94">
        <v>1.1100000000000001</v>
      </c>
      <c r="M206" s="93"/>
      <c r="N206" s="92">
        <v>0</v>
      </c>
      <c r="O206" s="92">
        <v>0</v>
      </c>
      <c r="P206" s="92">
        <v>0</v>
      </c>
      <c r="Q206" s="92">
        <v>0</v>
      </c>
      <c r="R206" s="94">
        <v>0</v>
      </c>
      <c r="S206" s="95"/>
      <c r="T206" s="241" t="s">
        <v>454</v>
      </c>
      <c r="U206" s="100"/>
    </row>
    <row r="207" spans="2:21" ht="13.8">
      <c r="B207" s="100"/>
      <c r="C207" s="96" t="s">
        <v>451</v>
      </c>
      <c r="D207" s="95" t="s">
        <v>444</v>
      </c>
      <c r="E207" s="235">
        <v>0</v>
      </c>
      <c r="F207" s="235">
        <v>0</v>
      </c>
      <c r="G207" s="235">
        <v>0</v>
      </c>
      <c r="H207" s="235">
        <v>0</v>
      </c>
      <c r="I207" s="208">
        <v>2010</v>
      </c>
      <c r="J207" s="117">
        <v>1</v>
      </c>
      <c r="K207" s="117">
        <v>1.1100000000000001</v>
      </c>
      <c r="L207" s="94">
        <v>1.1100000000000001</v>
      </c>
      <c r="M207" s="93"/>
      <c r="N207" s="92">
        <v>0</v>
      </c>
      <c r="O207" s="92">
        <v>0</v>
      </c>
      <c r="P207" s="92">
        <v>0</v>
      </c>
      <c r="Q207" s="92">
        <v>0</v>
      </c>
      <c r="R207" s="94">
        <v>0</v>
      </c>
      <c r="S207" s="95"/>
      <c r="T207" s="241" t="s">
        <v>454</v>
      </c>
      <c r="U207" s="100"/>
    </row>
    <row r="208" spans="2:21" ht="13.8">
      <c r="B208" s="100"/>
      <c r="C208" s="96" t="s">
        <v>548</v>
      </c>
      <c r="D208" s="95" t="s">
        <v>277</v>
      </c>
      <c r="E208" s="126">
        <v>467.1</v>
      </c>
      <c r="F208" s="126">
        <v>287.89999999999998</v>
      </c>
      <c r="G208" s="126">
        <v>355.4</v>
      </c>
      <c r="H208" s="120">
        <v>357.4</v>
      </c>
      <c r="I208" s="86">
        <v>2015</v>
      </c>
      <c r="J208" s="117">
        <v>1</v>
      </c>
      <c r="K208" s="117">
        <v>1</v>
      </c>
      <c r="L208" s="94">
        <v>1</v>
      </c>
      <c r="M208" s="93"/>
      <c r="N208" s="92">
        <v>467.1</v>
      </c>
      <c r="O208" s="92">
        <v>287.89999999999998</v>
      </c>
      <c r="P208" s="92">
        <v>355.4</v>
      </c>
      <c r="Q208" s="92">
        <v>357.4</v>
      </c>
      <c r="R208" s="92">
        <v>467.1</v>
      </c>
      <c r="S208" s="95"/>
      <c r="T208" s="87" t="s">
        <v>549</v>
      </c>
      <c r="U208" s="100"/>
    </row>
    <row r="209" spans="2:21" ht="13.8">
      <c r="B209" s="100"/>
      <c r="C209" s="96"/>
      <c r="D209" s="95"/>
      <c r="E209" s="126"/>
      <c r="F209" s="126"/>
      <c r="G209" s="126"/>
      <c r="H209" s="120"/>
      <c r="I209" s="86"/>
      <c r="J209" s="117"/>
      <c r="K209" s="117"/>
      <c r="L209" s="94"/>
      <c r="M209" s="93"/>
      <c r="N209" s="92"/>
      <c r="O209" s="92"/>
      <c r="P209" s="92"/>
      <c r="Q209" s="92"/>
      <c r="R209" s="92"/>
      <c r="S209" s="95"/>
      <c r="T209" s="87"/>
      <c r="U209" s="100"/>
    </row>
    <row r="210" spans="2:21" ht="13.8">
      <c r="B210" s="100"/>
      <c r="C210" s="96"/>
      <c r="D210" s="95"/>
      <c r="E210" s="126"/>
      <c r="F210" s="126"/>
      <c r="G210" s="126"/>
      <c r="H210" s="120"/>
      <c r="I210" s="86"/>
      <c r="J210" s="117"/>
      <c r="K210" s="117"/>
      <c r="L210" s="94"/>
      <c r="M210" s="93"/>
      <c r="N210" s="92"/>
      <c r="O210" s="92"/>
      <c r="P210" s="92"/>
      <c r="Q210" s="92"/>
      <c r="R210" s="92"/>
      <c r="S210" s="95"/>
      <c r="T210" s="87"/>
      <c r="U210" s="100"/>
    </row>
    <row r="211" spans="2:21" ht="13.8">
      <c r="B211" s="100"/>
      <c r="C211" s="96"/>
      <c r="D211" s="95"/>
      <c r="E211" s="126"/>
      <c r="F211" s="126"/>
      <c r="G211" s="126"/>
      <c r="H211" s="120"/>
      <c r="I211" s="86"/>
      <c r="J211" s="117"/>
      <c r="K211" s="117"/>
      <c r="L211" s="94"/>
      <c r="M211" s="93"/>
      <c r="N211" s="92"/>
      <c r="O211" s="92"/>
      <c r="P211" s="92"/>
      <c r="Q211" s="92"/>
      <c r="R211" s="92"/>
      <c r="S211" s="95"/>
      <c r="T211" s="87"/>
      <c r="U211" s="100"/>
    </row>
    <row r="212" spans="2:21" ht="13.8">
      <c r="B212" s="100"/>
      <c r="C212" s="96"/>
      <c r="D212" s="95"/>
      <c r="E212" s="126"/>
      <c r="F212" s="126"/>
      <c r="G212" s="126"/>
      <c r="H212" s="120"/>
      <c r="I212" s="86"/>
      <c r="J212" s="117"/>
      <c r="K212" s="117"/>
      <c r="L212" s="94"/>
      <c r="M212" s="93"/>
      <c r="N212" s="92"/>
      <c r="O212" s="92"/>
      <c r="P212" s="92"/>
      <c r="Q212" s="92"/>
      <c r="R212" s="92"/>
      <c r="S212" s="95"/>
      <c r="T212" s="87"/>
      <c r="U212" s="100"/>
    </row>
    <row r="213" spans="2:21" ht="14.4" thickBot="1">
      <c r="B213" s="100"/>
      <c r="C213" s="85"/>
      <c r="D213" s="84"/>
      <c r="E213" s="128"/>
      <c r="F213" s="128"/>
      <c r="G213" s="128"/>
      <c r="H213" s="129"/>
      <c r="I213" s="83"/>
      <c r="J213" s="118"/>
      <c r="K213" s="118"/>
      <c r="L213" s="82"/>
      <c r="M213" s="81"/>
      <c r="N213" s="80"/>
      <c r="O213" s="80"/>
      <c r="P213" s="80"/>
      <c r="Q213" s="80"/>
      <c r="R213" s="80"/>
      <c r="S213" s="84"/>
      <c r="T213" s="79"/>
      <c r="U213" s="100"/>
    </row>
    <row r="214" spans="2:21" ht="14.4" thickBot="1">
      <c r="B214" s="100"/>
      <c r="C214" s="78" t="s">
        <v>452</v>
      </c>
      <c r="D214" s="77"/>
      <c r="E214" s="77">
        <v>1</v>
      </c>
      <c r="F214" s="77"/>
      <c r="G214" s="77"/>
      <c r="H214" s="77"/>
      <c r="I214" s="77">
        <v>2005</v>
      </c>
      <c r="J214" s="119">
        <v>1</v>
      </c>
      <c r="K214" s="119">
        <v>1.2689999999999999</v>
      </c>
      <c r="L214" s="76">
        <v>0.78800000000000003</v>
      </c>
      <c r="M214" s="76"/>
      <c r="N214" s="77"/>
      <c r="O214" s="77"/>
      <c r="P214" s="77"/>
      <c r="Q214" s="77"/>
      <c r="R214" s="77"/>
      <c r="S214" s="79"/>
      <c r="T214" s="100"/>
      <c r="U214" s="100"/>
    </row>
    <row r="215" spans="2:21" ht="13.8">
      <c r="B215" s="100"/>
      <c r="C215" s="318" t="s">
        <v>453</v>
      </c>
      <c r="D215" s="100"/>
      <c r="E215" s="100"/>
      <c r="F215" s="100"/>
      <c r="G215" s="100"/>
      <c r="H215" s="100"/>
      <c r="I215" s="100"/>
      <c r="J215" s="100"/>
      <c r="K215" s="100"/>
      <c r="L215" s="100"/>
      <c r="M215" s="100"/>
      <c r="N215" s="100"/>
      <c r="O215" s="100"/>
      <c r="P215" s="100"/>
      <c r="Q215" s="100"/>
      <c r="R215" s="100"/>
      <c r="S215" s="100"/>
      <c r="T215" s="100"/>
      <c r="U215" s="100"/>
    </row>
    <row r="216" spans="2:21" ht="13.8">
      <c r="B216" s="100"/>
      <c r="C216" s="319" t="s">
        <v>550</v>
      </c>
      <c r="D216" s="100"/>
      <c r="E216" s="100"/>
      <c r="F216" s="100"/>
      <c r="G216" s="100"/>
      <c r="H216" s="100"/>
      <c r="I216" s="100"/>
      <c r="J216" s="100"/>
      <c r="K216" s="100"/>
      <c r="L216" s="100"/>
      <c r="M216" s="100"/>
      <c r="N216" s="100"/>
      <c r="O216" s="100"/>
      <c r="P216" s="100"/>
      <c r="Q216" s="100"/>
      <c r="R216" s="100"/>
      <c r="S216" s="100"/>
      <c r="T216" s="100"/>
      <c r="U216" s="100"/>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85CE1-D29F-44FE-8CBD-E0222279B098}">
  <sheetPr>
    <tabColor theme="4" tint="0.39997558519241921"/>
  </sheetPr>
  <dimension ref="A1:AM155"/>
  <sheetViews>
    <sheetView workbookViewId="0">
      <selection activeCell="M24" sqref="M24"/>
    </sheetView>
  </sheetViews>
  <sheetFormatPr defaultRowHeight="13.2"/>
  <cols>
    <col min="2" max="2" width="31.33203125" bestFit="1" customWidth="1"/>
    <col min="36" max="36" width="8.88671875" style="437"/>
  </cols>
  <sheetData>
    <row r="1" spans="1:39" ht="13.8">
      <c r="B1" s="439" t="s">
        <v>217</v>
      </c>
      <c r="C1" s="439" t="s">
        <v>787</v>
      </c>
      <c r="D1" s="439"/>
    </row>
    <row r="2" spans="1:39" s="437" customFormat="1" ht="13.8">
      <c r="B2" s="439" t="s">
        <v>810</v>
      </c>
      <c r="C2" s="439"/>
      <c r="D2" s="439"/>
    </row>
    <row r="3" spans="1:39">
      <c r="Z3" t="s">
        <v>823</v>
      </c>
    </row>
    <row r="4" spans="1:39">
      <c r="B4" s="437"/>
      <c r="C4" s="437"/>
      <c r="D4" s="437" t="s">
        <v>790</v>
      </c>
      <c r="E4" s="437" t="s">
        <v>790</v>
      </c>
      <c r="F4" s="437" t="s">
        <v>790</v>
      </c>
      <c r="G4" s="437" t="s">
        <v>790</v>
      </c>
      <c r="H4" s="437" t="s">
        <v>791</v>
      </c>
      <c r="I4" s="437" t="s">
        <v>791</v>
      </c>
      <c r="J4" s="437" t="s">
        <v>791</v>
      </c>
      <c r="K4" s="437" t="s">
        <v>791</v>
      </c>
      <c r="L4" s="437" t="s">
        <v>792</v>
      </c>
      <c r="M4" s="437" t="s">
        <v>792</v>
      </c>
      <c r="N4" s="437" t="s">
        <v>792</v>
      </c>
      <c r="O4" s="437" t="s">
        <v>792</v>
      </c>
      <c r="P4" s="437" t="s">
        <v>793</v>
      </c>
      <c r="Q4" s="437" t="s">
        <v>793</v>
      </c>
      <c r="R4" s="437" t="s">
        <v>793</v>
      </c>
      <c r="S4" s="437" t="s">
        <v>793</v>
      </c>
      <c r="T4" s="437" t="s">
        <v>794</v>
      </c>
      <c r="U4" s="437" t="s">
        <v>794</v>
      </c>
      <c r="V4" s="437" t="s">
        <v>794</v>
      </c>
      <c r="W4" s="437" t="s">
        <v>794</v>
      </c>
    </row>
    <row r="5" spans="1:39" s="437" customFormat="1">
      <c r="C5" s="437" t="s">
        <v>817</v>
      </c>
      <c r="D5"/>
      <c r="E5"/>
      <c r="F5"/>
      <c r="G5"/>
      <c r="H5"/>
      <c r="I5"/>
      <c r="J5"/>
      <c r="K5"/>
      <c r="L5"/>
      <c r="M5"/>
      <c r="N5"/>
      <c r="O5"/>
      <c r="P5"/>
      <c r="Q5"/>
      <c r="R5"/>
      <c r="S5"/>
      <c r="T5"/>
      <c r="U5"/>
      <c r="V5"/>
      <c r="W5"/>
      <c r="Z5" s="437" t="s">
        <v>816</v>
      </c>
      <c r="AA5" s="437" t="s">
        <v>818</v>
      </c>
      <c r="AB5" s="437" t="s">
        <v>819</v>
      </c>
      <c r="AC5" s="437" t="s">
        <v>820</v>
      </c>
      <c r="AD5" s="437" t="s">
        <v>821</v>
      </c>
      <c r="AE5" s="437" t="s">
        <v>822</v>
      </c>
      <c r="AF5" s="437" t="s">
        <v>811</v>
      </c>
      <c r="AG5" s="437" t="s">
        <v>812</v>
      </c>
      <c r="AH5" s="437" t="s">
        <v>813</v>
      </c>
      <c r="AI5" s="437" t="s">
        <v>814</v>
      </c>
      <c r="AJ5" s="437" t="s">
        <v>827</v>
      </c>
    </row>
    <row r="6" spans="1:39">
      <c r="B6" s="437" t="s">
        <v>795</v>
      </c>
      <c r="C6" s="437" t="s">
        <v>796</v>
      </c>
      <c r="D6" s="437">
        <v>2010</v>
      </c>
      <c r="E6" s="437">
        <v>2012</v>
      </c>
      <c r="F6" s="437">
        <v>2015</v>
      </c>
      <c r="G6" s="437">
        <v>2018</v>
      </c>
      <c r="H6" s="437">
        <v>2010</v>
      </c>
      <c r="I6" s="437">
        <v>2012</v>
      </c>
      <c r="J6" s="437">
        <v>2015</v>
      </c>
      <c r="K6" s="437">
        <v>2018</v>
      </c>
      <c r="L6" s="437">
        <v>2010</v>
      </c>
      <c r="M6" s="437">
        <v>2012</v>
      </c>
      <c r="N6" s="437">
        <v>2015</v>
      </c>
      <c r="O6" s="437">
        <v>2018</v>
      </c>
      <c r="P6" s="437">
        <v>2010</v>
      </c>
      <c r="Q6" s="437">
        <v>2012</v>
      </c>
      <c r="R6" s="437">
        <v>2015</v>
      </c>
      <c r="S6" s="437">
        <v>2018</v>
      </c>
      <c r="T6" s="437">
        <v>2010</v>
      </c>
      <c r="U6" s="437">
        <v>2012</v>
      </c>
      <c r="V6" s="437">
        <v>2015</v>
      </c>
      <c r="W6" s="437">
        <v>2018</v>
      </c>
    </row>
    <row r="7" spans="1:39">
      <c r="A7" t="str">
        <f>"MIN"&amp;C7</f>
        <v>MINCOA</v>
      </c>
      <c r="B7" s="437" t="s">
        <v>797</v>
      </c>
      <c r="C7" s="437" t="s">
        <v>40</v>
      </c>
      <c r="D7" s="437">
        <v>0</v>
      </c>
      <c r="E7" s="437">
        <v>0</v>
      </c>
      <c r="F7" s="437">
        <v>0</v>
      </c>
      <c r="G7" s="437">
        <v>0</v>
      </c>
      <c r="H7" s="437">
        <v>54373.5</v>
      </c>
      <c r="I7" s="437">
        <v>34534.9</v>
      </c>
      <c r="J7" s="437">
        <v>31078.6</v>
      </c>
      <c r="K7" s="437">
        <v>4224.9470000000001</v>
      </c>
      <c r="L7" s="437">
        <v>0</v>
      </c>
      <c r="M7" s="437">
        <v>0</v>
      </c>
      <c r="N7" s="437">
        <v>0</v>
      </c>
      <c r="O7" s="437">
        <v>0</v>
      </c>
      <c r="P7" s="437">
        <v>0</v>
      </c>
      <c r="Q7" s="437">
        <v>0</v>
      </c>
      <c r="R7" s="437">
        <v>0</v>
      </c>
      <c r="S7" s="437">
        <v>0</v>
      </c>
      <c r="T7" s="437">
        <v>0</v>
      </c>
      <c r="U7" s="437">
        <v>0</v>
      </c>
      <c r="V7" s="437">
        <v>0</v>
      </c>
      <c r="W7" s="437">
        <v>0</v>
      </c>
      <c r="Z7" s="498">
        <v>0.46071648475633875</v>
      </c>
      <c r="AA7" s="498">
        <f>1-Z7</f>
        <v>0.53928351524366125</v>
      </c>
      <c r="AB7" s="498">
        <v>0.77041495132801496</v>
      </c>
      <c r="AC7" s="498">
        <v>0.22958504867198506</v>
      </c>
      <c r="AD7" s="404">
        <v>0.9</v>
      </c>
      <c r="AE7" s="404">
        <v>0.1</v>
      </c>
      <c r="AF7" s="412">
        <v>3.1911631478497848E-2</v>
      </c>
      <c r="AG7" s="412">
        <v>7.8874630001157672E-2</v>
      </c>
      <c r="AH7" s="412">
        <v>0.6677189378869256</v>
      </c>
      <c r="AI7" s="412">
        <v>0.22149480063341889</v>
      </c>
      <c r="AJ7" s="499">
        <v>1</v>
      </c>
      <c r="AK7" t="s">
        <v>824</v>
      </c>
      <c r="AM7" s="432" t="s">
        <v>829</v>
      </c>
    </row>
    <row r="8" spans="1:39">
      <c r="A8" s="437" t="str">
        <f t="shared" ref="A8:A24" si="0">"MIN"&amp;C8</f>
        <v>MINOTH</v>
      </c>
      <c r="B8" s="437" t="s">
        <v>797</v>
      </c>
      <c r="C8" s="437" t="s">
        <v>785</v>
      </c>
      <c r="D8" s="437">
        <v>0</v>
      </c>
      <c r="E8" s="437">
        <v>0</v>
      </c>
      <c r="F8" s="437">
        <v>0</v>
      </c>
      <c r="G8" s="437">
        <v>0</v>
      </c>
      <c r="H8" s="437">
        <v>4857.6000000000004</v>
      </c>
      <c r="I8" s="437">
        <v>4158.3999999999996</v>
      </c>
      <c r="J8" s="437">
        <v>2723.2</v>
      </c>
      <c r="K8" s="437">
        <v>2576</v>
      </c>
      <c r="L8" s="437">
        <v>2847.5</v>
      </c>
      <c r="M8" s="437">
        <v>2975</v>
      </c>
      <c r="N8" s="437">
        <v>0</v>
      </c>
      <c r="O8" s="437">
        <v>0</v>
      </c>
      <c r="P8" s="437">
        <v>0</v>
      </c>
      <c r="Q8" s="437">
        <v>0</v>
      </c>
      <c r="R8" s="437">
        <v>0</v>
      </c>
      <c r="S8" s="437">
        <v>0</v>
      </c>
      <c r="T8" s="437">
        <v>0</v>
      </c>
      <c r="U8" s="437">
        <v>0</v>
      </c>
      <c r="V8" s="437">
        <v>0</v>
      </c>
      <c r="W8" s="437">
        <v>0</v>
      </c>
      <c r="Z8" s="498">
        <v>0.46071648475633875</v>
      </c>
      <c r="AA8" s="498">
        <f>1-Z8</f>
        <v>0.53928351524366125</v>
      </c>
      <c r="AB8" s="498">
        <v>0.77041495132801496</v>
      </c>
      <c r="AC8" s="498">
        <v>0.22958504867198506</v>
      </c>
      <c r="AD8" s="404">
        <v>0.9</v>
      </c>
      <c r="AE8" s="404">
        <v>0.1</v>
      </c>
      <c r="AF8" s="412">
        <v>3.1911631478497848E-2</v>
      </c>
      <c r="AG8" s="412">
        <v>7.8874630001157672E-2</v>
      </c>
      <c r="AH8" s="412">
        <v>0.6677189378869256</v>
      </c>
      <c r="AI8" s="412">
        <v>0.22149480063341889</v>
      </c>
      <c r="AJ8" s="499">
        <v>1</v>
      </c>
      <c r="AK8" s="437" t="s">
        <v>824</v>
      </c>
      <c r="AM8" s="432" t="s">
        <v>829</v>
      </c>
    </row>
    <row r="9" spans="1:39">
      <c r="A9" s="437" t="str">
        <f t="shared" si="0"/>
        <v>MINNGA</v>
      </c>
      <c r="B9" s="437" t="s">
        <v>797</v>
      </c>
      <c r="C9" s="437" t="s">
        <v>41</v>
      </c>
      <c r="D9" s="437">
        <v>307427.16600000003</v>
      </c>
      <c r="E9" s="437">
        <v>216002.88099999999</v>
      </c>
      <c r="F9" s="437">
        <v>173509.95300000001</v>
      </c>
      <c r="G9" s="437">
        <v>155071.34099999999</v>
      </c>
      <c r="H9" s="437">
        <v>3965792.4</v>
      </c>
      <c r="I9" s="437">
        <v>4247581.682</v>
      </c>
      <c r="J9" s="437">
        <v>4305995.0999999996</v>
      </c>
      <c r="K9" s="437">
        <v>4455448.193</v>
      </c>
      <c r="L9" s="437">
        <v>0</v>
      </c>
      <c r="M9" s="437">
        <v>0</v>
      </c>
      <c r="N9" s="437">
        <v>0</v>
      </c>
      <c r="O9" s="437">
        <v>0</v>
      </c>
      <c r="P9" s="437">
        <v>0</v>
      </c>
      <c r="Q9" s="437">
        <v>0</v>
      </c>
      <c r="R9" s="437">
        <v>0</v>
      </c>
      <c r="S9" s="437">
        <v>0</v>
      </c>
      <c r="T9" s="437">
        <v>0</v>
      </c>
      <c r="U9" s="437">
        <v>0</v>
      </c>
      <c r="V9" s="437">
        <v>0</v>
      </c>
      <c r="W9" s="437">
        <v>0</v>
      </c>
      <c r="Z9">
        <v>0</v>
      </c>
      <c r="AA9">
        <v>1</v>
      </c>
      <c r="AB9">
        <v>0</v>
      </c>
      <c r="AC9">
        <v>1</v>
      </c>
      <c r="AD9" s="404">
        <v>0</v>
      </c>
      <c r="AE9" s="404">
        <v>0</v>
      </c>
      <c r="AF9" s="412">
        <v>3.1911631478497848E-2</v>
      </c>
      <c r="AG9" s="412">
        <v>7.8874630001157672E-2</v>
      </c>
      <c r="AH9" s="412">
        <v>0.6677189378869256</v>
      </c>
      <c r="AI9" s="412">
        <v>0.22149480063341889</v>
      </c>
      <c r="AJ9" s="499">
        <v>0</v>
      </c>
      <c r="AK9" s="432" t="s">
        <v>832</v>
      </c>
    </row>
    <row r="10" spans="1:39" ht="14.4">
      <c r="A10" s="437" t="str">
        <f t="shared" si="0"/>
        <v>MINPEA</v>
      </c>
      <c r="B10" s="437" t="s">
        <v>797</v>
      </c>
      <c r="C10" s="437" t="s">
        <v>675</v>
      </c>
      <c r="D10" s="437">
        <v>0</v>
      </c>
      <c r="E10" s="437">
        <v>0</v>
      </c>
      <c r="F10" s="437">
        <v>0</v>
      </c>
      <c r="G10" s="437">
        <v>0</v>
      </c>
      <c r="H10" s="437">
        <v>0</v>
      </c>
      <c r="I10" s="437">
        <v>0</v>
      </c>
      <c r="J10" s="437">
        <v>0</v>
      </c>
      <c r="K10" s="437">
        <v>0</v>
      </c>
      <c r="L10" s="437">
        <v>151372.9</v>
      </c>
      <c r="M10" s="437">
        <v>83084.039999999994</v>
      </c>
      <c r="N10" s="437">
        <v>70128.899999999994</v>
      </c>
      <c r="O10" s="437">
        <v>155519.64000000001</v>
      </c>
      <c r="P10" s="437">
        <v>19925</v>
      </c>
      <c r="Q10" s="437">
        <v>11800</v>
      </c>
      <c r="R10" s="437">
        <v>9225</v>
      </c>
      <c r="S10" s="437">
        <v>13375</v>
      </c>
      <c r="T10" s="437">
        <v>0</v>
      </c>
      <c r="U10" s="437">
        <v>0</v>
      </c>
      <c r="V10" s="437">
        <v>0</v>
      </c>
      <c r="W10" s="437">
        <v>0</v>
      </c>
      <c r="Z10" s="498">
        <v>0.2278820625087335</v>
      </c>
      <c r="AA10" s="498">
        <v>0.77211793749126656</v>
      </c>
      <c r="AB10" s="500">
        <v>0.43589157466609557</v>
      </c>
      <c r="AC10" s="500">
        <v>0.56410842533390437</v>
      </c>
      <c r="AD10" s="404">
        <v>0.1</v>
      </c>
      <c r="AE10" s="404">
        <v>0.9</v>
      </c>
      <c r="AF10" s="500">
        <v>0.23945933192550606</v>
      </c>
      <c r="AG10" s="500">
        <v>0.35198143890868033</v>
      </c>
      <c r="AH10" s="500">
        <v>0.32686697982049234</v>
      </c>
      <c r="AI10" s="500">
        <v>8.1692249345321322E-2</v>
      </c>
      <c r="AJ10" s="499">
        <v>1</v>
      </c>
      <c r="AK10" s="437" t="s">
        <v>826</v>
      </c>
      <c r="AM10" s="432" t="s">
        <v>831</v>
      </c>
    </row>
    <row r="11" spans="1:39">
      <c r="A11" s="437" t="str">
        <f t="shared" si="0"/>
        <v>MINCRD</v>
      </c>
      <c r="B11" s="437" t="s">
        <v>797</v>
      </c>
      <c r="C11" s="437" t="s">
        <v>90</v>
      </c>
      <c r="D11" s="437">
        <v>522751</v>
      </c>
      <c r="E11" s="437">
        <v>429140</v>
      </c>
      <c r="F11" s="437">
        <v>330661.91600000003</v>
      </c>
      <c r="G11" s="437">
        <v>243628.84099999999</v>
      </c>
      <c r="H11" s="437">
        <v>4221776.83</v>
      </c>
      <c r="I11" s="437">
        <v>3720402.395</v>
      </c>
      <c r="J11" s="437">
        <v>3726420.8600000003</v>
      </c>
      <c r="K11" s="437">
        <v>3556611.07</v>
      </c>
      <c r="L11" s="437">
        <v>0</v>
      </c>
      <c r="M11" s="437">
        <v>0</v>
      </c>
      <c r="N11" s="437">
        <v>0</v>
      </c>
      <c r="O11" s="437">
        <v>0</v>
      </c>
      <c r="P11" s="437">
        <v>0</v>
      </c>
      <c r="Q11" s="437">
        <v>0</v>
      </c>
      <c r="R11" s="437">
        <v>0</v>
      </c>
      <c r="S11" s="437">
        <v>0</v>
      </c>
      <c r="T11" s="437">
        <v>0</v>
      </c>
      <c r="U11" s="437">
        <v>0</v>
      </c>
      <c r="V11" s="437">
        <v>0</v>
      </c>
      <c r="W11" s="437">
        <v>0</v>
      </c>
      <c r="Z11" s="437">
        <v>0</v>
      </c>
      <c r="AA11" s="437">
        <v>1</v>
      </c>
      <c r="AB11" s="437">
        <v>0</v>
      </c>
      <c r="AC11" s="437">
        <v>1</v>
      </c>
      <c r="AD11" s="404">
        <v>0</v>
      </c>
      <c r="AE11" s="404">
        <v>0</v>
      </c>
      <c r="AF11" s="412">
        <v>0</v>
      </c>
      <c r="AG11" s="412">
        <v>0</v>
      </c>
      <c r="AH11" s="412">
        <v>1</v>
      </c>
      <c r="AI11" s="412">
        <v>0</v>
      </c>
      <c r="AJ11" s="499">
        <v>0</v>
      </c>
      <c r="AK11" s="437" t="s">
        <v>825</v>
      </c>
    </row>
    <row r="12" spans="1:39" ht="14.4">
      <c r="A12" s="437" t="str">
        <f t="shared" si="0"/>
        <v>MINLPG</v>
      </c>
      <c r="B12" s="437" t="s">
        <v>797</v>
      </c>
      <c r="C12" s="494" t="s">
        <v>73</v>
      </c>
      <c r="D12" s="437">
        <v>0</v>
      </c>
      <c r="E12" s="437">
        <v>0</v>
      </c>
      <c r="F12" s="437">
        <v>0</v>
      </c>
      <c r="G12" s="437">
        <v>0</v>
      </c>
      <c r="H12" s="437">
        <v>0</v>
      </c>
      <c r="I12" s="437">
        <v>0</v>
      </c>
      <c r="J12" s="437">
        <v>0</v>
      </c>
      <c r="K12" s="437">
        <v>0</v>
      </c>
      <c r="L12" s="437">
        <v>0</v>
      </c>
      <c r="M12" s="437">
        <v>0</v>
      </c>
      <c r="N12" s="437">
        <v>0</v>
      </c>
      <c r="O12" s="437">
        <v>0</v>
      </c>
      <c r="P12" s="437">
        <v>0</v>
      </c>
      <c r="Q12" s="437">
        <v>0</v>
      </c>
      <c r="R12" s="437">
        <v>0</v>
      </c>
      <c r="S12" s="437">
        <v>0</v>
      </c>
      <c r="T12" s="437">
        <v>0</v>
      </c>
      <c r="U12" s="437">
        <v>0</v>
      </c>
      <c r="V12" s="437">
        <v>0</v>
      </c>
      <c r="W12" s="437">
        <v>0</v>
      </c>
      <c r="Z12" s="498">
        <v>0.46071648475633875</v>
      </c>
      <c r="AA12" s="498">
        <f t="shared" ref="AA12:AA20" si="1">1-Z12</f>
        <v>0.53928351524366125</v>
      </c>
      <c r="AB12" s="498">
        <v>0.77041495132801496</v>
      </c>
      <c r="AC12" s="498">
        <v>0.22958504867198506</v>
      </c>
      <c r="AD12" s="404">
        <v>0.9</v>
      </c>
      <c r="AE12" s="404">
        <v>0.1</v>
      </c>
      <c r="AF12" s="412">
        <v>3.1911631478497848E-2</v>
      </c>
      <c r="AG12" s="412">
        <v>7.8874630001157672E-2</v>
      </c>
      <c r="AH12" s="412">
        <v>0.6677189378869256</v>
      </c>
      <c r="AI12" s="412">
        <v>0.22149480063341889</v>
      </c>
      <c r="AJ12" s="499">
        <v>1</v>
      </c>
      <c r="AK12" s="437" t="s">
        <v>824</v>
      </c>
      <c r="AM12" s="432" t="s">
        <v>829</v>
      </c>
    </row>
    <row r="13" spans="1:39" ht="14.4">
      <c r="A13" s="437" t="str">
        <f t="shared" si="0"/>
        <v>MINLVN</v>
      </c>
      <c r="B13" s="437" t="s">
        <v>797</v>
      </c>
      <c r="C13" s="494" t="s">
        <v>93</v>
      </c>
      <c r="D13" s="437">
        <v>0</v>
      </c>
      <c r="E13" s="437">
        <v>0</v>
      </c>
      <c r="F13" s="437">
        <v>0</v>
      </c>
      <c r="G13" s="437">
        <v>0</v>
      </c>
      <c r="H13" s="437">
        <v>0</v>
      </c>
      <c r="I13" s="437">
        <v>0</v>
      </c>
      <c r="J13" s="437">
        <v>0</v>
      </c>
      <c r="K13" s="437">
        <v>0</v>
      </c>
      <c r="L13" s="437">
        <v>0</v>
      </c>
      <c r="M13" s="437">
        <v>0</v>
      </c>
      <c r="N13" s="437">
        <v>0</v>
      </c>
      <c r="O13" s="437">
        <v>0</v>
      </c>
      <c r="P13" s="437">
        <v>0</v>
      </c>
      <c r="Q13" s="437">
        <v>0</v>
      </c>
      <c r="R13" s="437">
        <v>0</v>
      </c>
      <c r="S13" s="437">
        <v>0</v>
      </c>
      <c r="T13" s="437">
        <v>0</v>
      </c>
      <c r="U13" s="437">
        <v>0</v>
      </c>
      <c r="V13" s="437">
        <v>0</v>
      </c>
      <c r="W13" s="437">
        <v>0</v>
      </c>
      <c r="Z13" s="498">
        <v>0.46071648475633875</v>
      </c>
      <c r="AA13" s="498">
        <f t="shared" si="1"/>
        <v>0.53928351524366125</v>
      </c>
      <c r="AB13" s="498">
        <v>0.77041495132801496</v>
      </c>
      <c r="AC13" s="498">
        <v>0.22958504867198506</v>
      </c>
      <c r="AD13" s="404">
        <v>0.9</v>
      </c>
      <c r="AE13" s="404">
        <v>0.1</v>
      </c>
      <c r="AF13" s="412">
        <v>3.1911631478497848E-2</v>
      </c>
      <c r="AG13" s="412">
        <v>7.8874630001157672E-2</v>
      </c>
      <c r="AH13" s="412">
        <v>0.6677189378869256</v>
      </c>
      <c r="AI13" s="412">
        <v>0.22149480063341889</v>
      </c>
      <c r="AJ13" s="499">
        <v>1</v>
      </c>
      <c r="AK13" s="437" t="s">
        <v>824</v>
      </c>
      <c r="AM13" s="432" t="s">
        <v>829</v>
      </c>
    </row>
    <row r="14" spans="1:39" ht="14.4">
      <c r="A14" s="437" t="str">
        <f t="shared" si="0"/>
        <v>MINKER</v>
      </c>
      <c r="B14" s="437" t="s">
        <v>797</v>
      </c>
      <c r="C14" s="494" t="s">
        <v>77</v>
      </c>
      <c r="D14" s="437">
        <v>0</v>
      </c>
      <c r="E14" s="437">
        <v>0</v>
      </c>
      <c r="F14" s="437">
        <v>0</v>
      </c>
      <c r="G14" s="437">
        <v>0</v>
      </c>
      <c r="H14" s="437">
        <v>0</v>
      </c>
      <c r="I14" s="437">
        <v>0</v>
      </c>
      <c r="J14" s="437">
        <v>0</v>
      </c>
      <c r="K14" s="437">
        <v>0</v>
      </c>
      <c r="L14" s="437">
        <v>0</v>
      </c>
      <c r="M14" s="437">
        <v>0</v>
      </c>
      <c r="N14" s="437">
        <v>0</v>
      </c>
      <c r="O14" s="437">
        <v>0</v>
      </c>
      <c r="P14" s="437">
        <v>0</v>
      </c>
      <c r="Q14" s="437">
        <v>0</v>
      </c>
      <c r="R14" s="437">
        <v>0</v>
      </c>
      <c r="S14" s="437">
        <v>0</v>
      </c>
      <c r="T14" s="437">
        <v>0</v>
      </c>
      <c r="U14" s="437">
        <v>0</v>
      </c>
      <c r="V14" s="437">
        <v>0</v>
      </c>
      <c r="W14" s="437">
        <v>0</v>
      </c>
      <c r="Z14" s="498">
        <v>0.46071648475633875</v>
      </c>
      <c r="AA14" s="498">
        <f t="shared" si="1"/>
        <v>0.53928351524366125</v>
      </c>
      <c r="AB14" s="498">
        <v>0.77041495132801496</v>
      </c>
      <c r="AC14" s="498">
        <v>0.22958504867198506</v>
      </c>
      <c r="AD14" s="404">
        <v>0.9</v>
      </c>
      <c r="AE14" s="404">
        <v>0.1</v>
      </c>
      <c r="AF14" s="412">
        <v>3.1911631478497848E-2</v>
      </c>
      <c r="AG14" s="412">
        <v>7.8874630001157672E-2</v>
      </c>
      <c r="AH14" s="412">
        <v>0.6677189378869256</v>
      </c>
      <c r="AI14" s="412">
        <v>0.22149480063341889</v>
      </c>
      <c r="AJ14" s="499">
        <v>1</v>
      </c>
      <c r="AK14" s="437" t="s">
        <v>824</v>
      </c>
      <c r="AM14" s="432" t="s">
        <v>829</v>
      </c>
    </row>
    <row r="15" spans="1:39" ht="14.4">
      <c r="A15" s="437" t="str">
        <f t="shared" si="0"/>
        <v>MINGSL</v>
      </c>
      <c r="B15" s="437" t="s">
        <v>797</v>
      </c>
      <c r="C15" s="494" t="s">
        <v>74</v>
      </c>
      <c r="D15" s="437">
        <v>0</v>
      </c>
      <c r="E15" s="437">
        <v>0</v>
      </c>
      <c r="F15" s="437">
        <v>0</v>
      </c>
      <c r="G15" s="437">
        <v>0</v>
      </c>
      <c r="H15" s="437">
        <v>0</v>
      </c>
      <c r="I15" s="437">
        <v>0</v>
      </c>
      <c r="J15" s="437">
        <v>0</v>
      </c>
      <c r="K15" s="437">
        <v>0</v>
      </c>
      <c r="L15" s="437">
        <v>0</v>
      </c>
      <c r="M15" s="437">
        <v>0</v>
      </c>
      <c r="N15" s="437">
        <v>0</v>
      </c>
      <c r="O15" s="437">
        <v>0</v>
      </c>
      <c r="P15" s="437">
        <v>0</v>
      </c>
      <c r="Q15" s="437">
        <v>0</v>
      </c>
      <c r="R15" s="437">
        <v>0</v>
      </c>
      <c r="S15" s="437">
        <v>0</v>
      </c>
      <c r="T15" s="437">
        <v>0</v>
      </c>
      <c r="U15" s="437">
        <v>0</v>
      </c>
      <c r="V15" s="437">
        <v>0</v>
      </c>
      <c r="W15" s="437">
        <v>0</v>
      </c>
      <c r="Z15" s="498">
        <v>0.46071648475633875</v>
      </c>
      <c r="AA15" s="498">
        <f t="shared" si="1"/>
        <v>0.53928351524366125</v>
      </c>
      <c r="AB15" s="498">
        <v>0.77041495132801496</v>
      </c>
      <c r="AC15" s="498">
        <v>0.22958504867198506</v>
      </c>
      <c r="AD15" s="404">
        <v>0.9</v>
      </c>
      <c r="AE15" s="404">
        <v>0.1</v>
      </c>
      <c r="AF15" s="412">
        <v>3.1911631478497848E-2</v>
      </c>
      <c r="AG15" s="412">
        <v>7.8874630001157672E-2</v>
      </c>
      <c r="AH15" s="412">
        <v>0.6677189378869256</v>
      </c>
      <c r="AI15" s="412">
        <v>0.22149480063341889</v>
      </c>
      <c r="AJ15" s="499">
        <v>1</v>
      </c>
      <c r="AK15" s="437" t="s">
        <v>824</v>
      </c>
      <c r="AM15" s="432" t="s">
        <v>829</v>
      </c>
    </row>
    <row r="16" spans="1:39" ht="14.4">
      <c r="A16" s="437" t="str">
        <f t="shared" si="0"/>
        <v>MINDSL</v>
      </c>
      <c r="B16" s="437" t="s">
        <v>797</v>
      </c>
      <c r="C16" s="494" t="s">
        <v>45</v>
      </c>
      <c r="D16" s="437">
        <v>0</v>
      </c>
      <c r="E16" s="437">
        <v>0</v>
      </c>
      <c r="F16" s="437">
        <v>0</v>
      </c>
      <c r="G16" s="437">
        <v>0</v>
      </c>
      <c r="H16" s="437">
        <v>0</v>
      </c>
      <c r="I16" s="437">
        <v>0</v>
      </c>
      <c r="J16" s="437">
        <v>0</v>
      </c>
      <c r="K16" s="437">
        <v>0</v>
      </c>
      <c r="L16" s="437">
        <v>0</v>
      </c>
      <c r="M16" s="437">
        <v>0</v>
      </c>
      <c r="N16" s="437">
        <v>0</v>
      </c>
      <c r="O16" s="437">
        <v>0</v>
      </c>
      <c r="P16" s="437">
        <v>0</v>
      </c>
      <c r="Q16" s="437">
        <v>0</v>
      </c>
      <c r="R16" s="437">
        <v>0</v>
      </c>
      <c r="S16" s="437">
        <v>0</v>
      </c>
      <c r="T16" s="437">
        <v>0</v>
      </c>
      <c r="U16" s="437">
        <v>0</v>
      </c>
      <c r="V16" s="437">
        <v>0</v>
      </c>
      <c r="W16" s="437">
        <v>0</v>
      </c>
      <c r="Z16" s="498">
        <v>0.46071648475633875</v>
      </c>
      <c r="AA16" s="498">
        <f t="shared" si="1"/>
        <v>0.53928351524366125</v>
      </c>
      <c r="AB16" s="498">
        <v>0.77041495132801496</v>
      </c>
      <c r="AC16" s="498">
        <v>0.22958504867198506</v>
      </c>
      <c r="AD16" s="404">
        <v>0.9</v>
      </c>
      <c r="AE16" s="404">
        <v>0.1</v>
      </c>
      <c r="AF16" s="412">
        <v>3.1911631478497848E-2</v>
      </c>
      <c r="AG16" s="412">
        <v>7.8874630001157672E-2</v>
      </c>
      <c r="AH16" s="412">
        <v>0.6677189378869256</v>
      </c>
      <c r="AI16" s="412">
        <v>0.22149480063341889</v>
      </c>
      <c r="AJ16" s="499">
        <v>1</v>
      </c>
      <c r="AK16" s="437" t="s">
        <v>824</v>
      </c>
      <c r="AM16" s="432" t="s">
        <v>829</v>
      </c>
    </row>
    <row r="17" spans="1:39" ht="14.4">
      <c r="A17" s="437" t="str">
        <f t="shared" si="0"/>
        <v>MINHFO</v>
      </c>
      <c r="B17" s="437" t="s">
        <v>797</v>
      </c>
      <c r="C17" s="494" t="s">
        <v>44</v>
      </c>
      <c r="D17" s="437">
        <v>0</v>
      </c>
      <c r="E17" s="437">
        <v>0</v>
      </c>
      <c r="F17" s="437">
        <v>0</v>
      </c>
      <c r="G17" s="437">
        <v>0</v>
      </c>
      <c r="H17" s="437">
        <v>0</v>
      </c>
      <c r="I17" s="437">
        <v>0</v>
      </c>
      <c r="J17" s="437">
        <v>0</v>
      </c>
      <c r="K17" s="437">
        <v>0</v>
      </c>
      <c r="L17" s="437">
        <v>0</v>
      </c>
      <c r="M17" s="437">
        <v>0</v>
      </c>
      <c r="N17" s="437">
        <v>0</v>
      </c>
      <c r="O17" s="437">
        <v>0</v>
      </c>
      <c r="P17" s="437">
        <v>0</v>
      </c>
      <c r="Q17" s="437">
        <v>0</v>
      </c>
      <c r="R17" s="437">
        <v>0</v>
      </c>
      <c r="S17" s="437">
        <v>0</v>
      </c>
      <c r="T17" s="437">
        <v>0</v>
      </c>
      <c r="U17" s="437">
        <v>0</v>
      </c>
      <c r="V17" s="437">
        <v>0</v>
      </c>
      <c r="W17" s="437">
        <v>0</v>
      </c>
      <c r="Z17" s="498">
        <v>0.46071648475633875</v>
      </c>
      <c r="AA17" s="498">
        <f t="shared" si="1"/>
        <v>0.53928351524366125</v>
      </c>
      <c r="AB17" s="498">
        <v>0.77041495132801496</v>
      </c>
      <c r="AC17" s="498">
        <v>0.22958504867198506</v>
      </c>
      <c r="AD17" s="404">
        <v>0.9</v>
      </c>
      <c r="AE17" s="404">
        <v>0.1</v>
      </c>
      <c r="AF17" s="412">
        <v>3.1911631478497848E-2</v>
      </c>
      <c r="AG17" s="412">
        <v>7.8874630001157672E-2</v>
      </c>
      <c r="AH17" s="412">
        <v>0.6677189378869256</v>
      </c>
      <c r="AI17" s="412">
        <v>0.22149480063341889</v>
      </c>
      <c r="AJ17" s="499">
        <v>1</v>
      </c>
      <c r="AK17" s="437" t="s">
        <v>824</v>
      </c>
      <c r="AM17" s="432" t="s">
        <v>829</v>
      </c>
    </row>
    <row r="18" spans="1:39" ht="14.4">
      <c r="A18" s="437" t="str">
        <f t="shared" si="0"/>
        <v>MINGSB</v>
      </c>
      <c r="B18" s="437" t="s">
        <v>797</v>
      </c>
      <c r="C18" s="494" t="s">
        <v>798</v>
      </c>
      <c r="D18" s="437">
        <v>0</v>
      </c>
      <c r="E18" s="437">
        <v>0</v>
      </c>
      <c r="F18" s="437">
        <v>0</v>
      </c>
      <c r="G18" s="437">
        <v>0</v>
      </c>
      <c r="H18" s="437">
        <v>0</v>
      </c>
      <c r="I18" s="437">
        <v>0</v>
      </c>
      <c r="J18" s="437">
        <v>0</v>
      </c>
      <c r="K18" s="437">
        <v>0</v>
      </c>
      <c r="L18" s="437">
        <v>145.012</v>
      </c>
      <c r="M18" s="437">
        <v>396.17099999999999</v>
      </c>
      <c r="N18" s="437">
        <v>0</v>
      </c>
      <c r="O18" s="437">
        <v>0</v>
      </c>
      <c r="P18" s="437">
        <v>4015.1280000000002</v>
      </c>
      <c r="Q18" s="437">
        <v>4765.2209999999995</v>
      </c>
      <c r="R18" s="437">
        <v>3960.0120000000002</v>
      </c>
      <c r="S18" s="437">
        <v>4410.1220000000003</v>
      </c>
      <c r="T18" s="437">
        <v>0</v>
      </c>
      <c r="U18" s="437">
        <v>0</v>
      </c>
      <c r="V18" s="437">
        <v>0</v>
      </c>
      <c r="W18" s="437">
        <v>0</v>
      </c>
      <c r="Z18" s="498">
        <v>0.46071648475633875</v>
      </c>
      <c r="AA18" s="498">
        <f t="shared" si="1"/>
        <v>0.53928351524366125</v>
      </c>
      <c r="AB18" s="498">
        <v>0.77041495132801496</v>
      </c>
      <c r="AC18" s="498">
        <v>0.22958504867198506</v>
      </c>
      <c r="AD18" s="404">
        <v>0.9</v>
      </c>
      <c r="AE18" s="404">
        <v>0.1</v>
      </c>
      <c r="AF18" s="412">
        <v>3.1911631478497848E-2</v>
      </c>
      <c r="AG18" s="412">
        <v>7.8874630001157672E-2</v>
      </c>
      <c r="AH18" s="412">
        <v>0.6677189378869256</v>
      </c>
      <c r="AI18" s="412">
        <v>0.22149480063341889</v>
      </c>
      <c r="AJ18" s="499">
        <v>1</v>
      </c>
      <c r="AK18" s="437" t="s">
        <v>824</v>
      </c>
      <c r="AM18" s="432" t="s">
        <v>829</v>
      </c>
    </row>
    <row r="19" spans="1:39" ht="14.4">
      <c r="A19" s="437" t="str">
        <f t="shared" si="0"/>
        <v>MINDSB</v>
      </c>
      <c r="B19" s="437" t="s">
        <v>797</v>
      </c>
      <c r="C19" s="494" t="s">
        <v>799</v>
      </c>
      <c r="D19" s="437">
        <v>0</v>
      </c>
      <c r="E19" s="437">
        <v>0</v>
      </c>
      <c r="F19" s="437">
        <v>0</v>
      </c>
      <c r="G19" s="437">
        <v>0</v>
      </c>
      <c r="H19" s="437">
        <v>0</v>
      </c>
      <c r="I19" s="437">
        <v>0</v>
      </c>
      <c r="J19" s="437">
        <v>0</v>
      </c>
      <c r="K19" s="437">
        <v>3733.1759999999999</v>
      </c>
      <c r="L19" s="437">
        <v>12447.375</v>
      </c>
      <c r="M19" s="437">
        <v>10638.29</v>
      </c>
      <c r="N19" s="437">
        <v>18026.875</v>
      </c>
      <c r="O19" s="437">
        <v>11774.637000000001</v>
      </c>
      <c r="P19" s="437">
        <v>4666.1549999999997</v>
      </c>
      <c r="Q19" s="437">
        <v>4772.9139999999998</v>
      </c>
      <c r="R19" s="437">
        <v>5199.9129999999996</v>
      </c>
      <c r="S19" s="437">
        <v>10849.157999999999</v>
      </c>
      <c r="T19" s="437">
        <v>0</v>
      </c>
      <c r="U19" s="437">
        <v>2.8679999999999999</v>
      </c>
      <c r="V19" s="437">
        <v>0</v>
      </c>
      <c r="W19" s="437">
        <v>0</v>
      </c>
      <c r="Z19" s="498">
        <v>0.46071648475633875</v>
      </c>
      <c r="AA19" s="498">
        <f t="shared" si="1"/>
        <v>0.53928351524366125</v>
      </c>
      <c r="AB19" s="498">
        <v>0.77041495132801496</v>
      </c>
      <c r="AC19" s="498">
        <v>0.22958504867198506</v>
      </c>
      <c r="AD19" s="404">
        <v>0.9</v>
      </c>
      <c r="AE19" s="404">
        <v>0.1</v>
      </c>
      <c r="AF19" s="412">
        <v>3.1911631478497848E-2</v>
      </c>
      <c r="AG19" s="412">
        <v>7.8874630001157672E-2</v>
      </c>
      <c r="AH19" s="412">
        <v>0.6677189378869256</v>
      </c>
      <c r="AI19" s="412">
        <v>0.22149480063341889</v>
      </c>
      <c r="AJ19" s="499">
        <v>1</v>
      </c>
      <c r="AK19" s="437" t="s">
        <v>824</v>
      </c>
      <c r="AM19" s="432" t="s">
        <v>829</v>
      </c>
    </row>
    <row r="20" spans="1:39" ht="14.4">
      <c r="A20" s="437" t="str">
        <f t="shared" si="0"/>
        <v>MINKRB</v>
      </c>
      <c r="B20" s="437" t="s">
        <v>797</v>
      </c>
      <c r="C20" s="494" t="s">
        <v>800</v>
      </c>
      <c r="D20" s="437">
        <v>0</v>
      </c>
      <c r="E20" s="437">
        <v>0</v>
      </c>
      <c r="F20" s="437">
        <v>0</v>
      </c>
      <c r="G20" s="437">
        <v>0</v>
      </c>
      <c r="H20" s="437">
        <v>0</v>
      </c>
      <c r="I20" s="437">
        <v>0</v>
      </c>
      <c r="J20" s="437">
        <v>0</v>
      </c>
      <c r="K20" s="437">
        <v>0</v>
      </c>
      <c r="L20" s="437">
        <v>0</v>
      </c>
      <c r="M20" s="437">
        <v>0</v>
      </c>
      <c r="N20" s="437">
        <v>43.1</v>
      </c>
      <c r="O20" s="437">
        <v>301.7</v>
      </c>
      <c r="P20" s="437">
        <v>0</v>
      </c>
      <c r="Q20" s="437">
        <v>0</v>
      </c>
      <c r="R20" s="437">
        <v>0</v>
      </c>
      <c r="S20" s="437">
        <v>0</v>
      </c>
      <c r="T20" s="437">
        <v>0</v>
      </c>
      <c r="U20" s="437">
        <v>0</v>
      </c>
      <c r="V20" s="437">
        <v>0</v>
      </c>
      <c r="W20" s="437">
        <v>0</v>
      </c>
      <c r="Z20" s="498">
        <v>0.46071648475633875</v>
      </c>
      <c r="AA20" s="498">
        <f t="shared" si="1"/>
        <v>0.53928351524366125</v>
      </c>
      <c r="AB20" s="498">
        <v>0.77041495132801496</v>
      </c>
      <c r="AC20" s="498">
        <v>0.22958504867198506</v>
      </c>
      <c r="AD20" s="404">
        <v>0.9</v>
      </c>
      <c r="AE20" s="404">
        <v>0.1</v>
      </c>
      <c r="AF20" s="412">
        <v>3.1911631478497848E-2</v>
      </c>
      <c r="AG20" s="412">
        <v>7.8874630001157672E-2</v>
      </c>
      <c r="AH20" s="412">
        <v>0.6677189378869256</v>
      </c>
      <c r="AI20" s="412">
        <v>0.22149480063341889</v>
      </c>
      <c r="AJ20" s="499">
        <v>1</v>
      </c>
      <c r="AK20" s="437" t="s">
        <v>824</v>
      </c>
      <c r="AM20" s="432" t="s">
        <v>829</v>
      </c>
    </row>
    <row r="21" spans="1:39" ht="14.4">
      <c r="A21" s="437" t="str">
        <f t="shared" si="0"/>
        <v>MINBGA</v>
      </c>
      <c r="B21" s="437" t="s">
        <v>797</v>
      </c>
      <c r="C21" s="494" t="s">
        <v>126</v>
      </c>
      <c r="D21" s="437">
        <v>4336.5519999999997</v>
      </c>
      <c r="E21" s="437">
        <v>4399.1469999999999</v>
      </c>
      <c r="F21" s="437">
        <v>6285.2479999999996</v>
      </c>
      <c r="G21" s="437">
        <v>13414.258</v>
      </c>
      <c r="H21" s="437">
        <v>753</v>
      </c>
      <c r="I21" s="437">
        <v>800</v>
      </c>
      <c r="J21" s="437">
        <v>1100</v>
      </c>
      <c r="K21" s="437">
        <v>2219.2399999999998</v>
      </c>
      <c r="L21" s="437">
        <v>1692</v>
      </c>
      <c r="M21" s="437">
        <v>2425</v>
      </c>
      <c r="N21" s="437">
        <v>4321</v>
      </c>
      <c r="O21" s="437">
        <v>7796</v>
      </c>
      <c r="P21" s="437">
        <v>4654</v>
      </c>
      <c r="Q21" s="437">
        <v>5303</v>
      </c>
      <c r="R21" s="437">
        <v>7009</v>
      </c>
      <c r="S21" s="437">
        <v>7359</v>
      </c>
      <c r="T21" s="437">
        <v>22</v>
      </c>
      <c r="U21" s="437">
        <v>73</v>
      </c>
      <c r="V21" s="437">
        <v>69</v>
      </c>
      <c r="W21" s="437">
        <v>77.968999999999994</v>
      </c>
      <c r="Z21" s="500">
        <v>0.16985317211055276</v>
      </c>
      <c r="AA21" s="500">
        <v>0.83014682788944727</v>
      </c>
      <c r="AB21" s="500">
        <v>0.48632184165814718</v>
      </c>
      <c r="AC21" s="500">
        <v>0.51367815834185271</v>
      </c>
      <c r="AD21" s="404">
        <v>0.1</v>
      </c>
      <c r="AE21" s="404">
        <v>0.9</v>
      </c>
      <c r="AF21" s="500">
        <v>2.8368794326241134E-2</v>
      </c>
      <c r="AG21" s="500">
        <v>7.0921985815602835E-3</v>
      </c>
      <c r="AH21" s="500">
        <v>0.55319148936170215</v>
      </c>
      <c r="AI21" s="500">
        <v>0.41134751773049644</v>
      </c>
      <c r="AJ21" s="499">
        <v>1</v>
      </c>
      <c r="AK21" s="432" t="s">
        <v>830</v>
      </c>
      <c r="AM21" s="432" t="s">
        <v>831</v>
      </c>
    </row>
    <row r="22" spans="1:39">
      <c r="A22" s="437" t="str">
        <f t="shared" si="0"/>
        <v>MINWST</v>
      </c>
      <c r="B22" s="437" t="s">
        <v>797</v>
      </c>
      <c r="C22" s="437" t="s">
        <v>42</v>
      </c>
      <c r="D22" s="437">
        <v>55254.906000000003</v>
      </c>
      <c r="E22" s="437">
        <v>51648.437999999995</v>
      </c>
      <c r="F22" s="437">
        <v>50477.506999999998</v>
      </c>
      <c r="G22" s="437">
        <v>48665.5</v>
      </c>
      <c r="H22" s="437">
        <v>19378</v>
      </c>
      <c r="I22" s="437">
        <v>24954</v>
      </c>
      <c r="J22" s="437">
        <v>29493</v>
      </c>
      <c r="K22" s="437">
        <v>31280.879000000001</v>
      </c>
      <c r="L22" s="437">
        <v>18327</v>
      </c>
      <c r="M22" s="437">
        <v>23478</v>
      </c>
      <c r="N22" s="437">
        <v>31520</v>
      </c>
      <c r="O22" s="437">
        <v>39220</v>
      </c>
      <c r="P22" s="437">
        <v>70046</v>
      </c>
      <c r="Q22" s="437">
        <v>69569</v>
      </c>
      <c r="R22" s="437">
        <v>81042</v>
      </c>
      <c r="S22" s="437">
        <v>87788</v>
      </c>
      <c r="T22" s="437">
        <v>54</v>
      </c>
      <c r="U22" s="437">
        <v>0</v>
      </c>
      <c r="V22" s="437">
        <v>0</v>
      </c>
      <c r="W22" s="437">
        <v>0</v>
      </c>
      <c r="Z22" s="498">
        <v>0.46071648475633875</v>
      </c>
      <c r="AA22" s="498">
        <f>1-Z22</f>
        <v>0.53928351524366125</v>
      </c>
      <c r="AB22" s="498">
        <v>0.77041495132801496</v>
      </c>
      <c r="AC22" s="498">
        <v>0.22958504867198506</v>
      </c>
      <c r="AD22" s="404">
        <v>0.9</v>
      </c>
      <c r="AE22" s="404">
        <v>0.1</v>
      </c>
      <c r="AF22" s="412">
        <v>3.1911631478497848E-2</v>
      </c>
      <c r="AG22" s="412">
        <v>7.8874630001157672E-2</v>
      </c>
      <c r="AH22" s="412">
        <v>0.6677189378869256</v>
      </c>
      <c r="AI22" s="412">
        <v>0.22149480063341889</v>
      </c>
      <c r="AJ22" s="499">
        <v>1</v>
      </c>
      <c r="AK22" s="437" t="s">
        <v>824</v>
      </c>
      <c r="AM22" s="432" t="s">
        <v>829</v>
      </c>
    </row>
    <row r="23" spans="1:39" ht="14.4">
      <c r="A23" s="437" t="str">
        <f t="shared" si="0"/>
        <v>MINBIO</v>
      </c>
      <c r="B23" s="437" t="s">
        <v>797</v>
      </c>
      <c r="C23" s="495" t="s">
        <v>801</v>
      </c>
      <c r="D23" s="437">
        <v>72745.036000000007</v>
      </c>
      <c r="E23" s="437">
        <v>60763.535000000003</v>
      </c>
      <c r="F23" s="437">
        <v>71521.337</v>
      </c>
      <c r="G23" s="437">
        <v>74502.672999999995</v>
      </c>
      <c r="H23" s="437">
        <v>50128.5</v>
      </c>
      <c r="I23" s="437">
        <v>47021.5</v>
      </c>
      <c r="J23" s="437">
        <v>35976.5</v>
      </c>
      <c r="K23" s="437">
        <v>36747.012000000002</v>
      </c>
      <c r="L23" s="437">
        <v>326924.2</v>
      </c>
      <c r="M23" s="437">
        <v>333468.40299999999</v>
      </c>
      <c r="N23" s="437">
        <v>332493.978</v>
      </c>
      <c r="O23" s="437">
        <v>372798.76</v>
      </c>
      <c r="P23" s="437">
        <v>407834.64199999999</v>
      </c>
      <c r="Q23" s="437">
        <v>399843.00199999998</v>
      </c>
      <c r="R23" s="437">
        <v>382323.745</v>
      </c>
      <c r="S23" s="437">
        <v>389928.31</v>
      </c>
      <c r="T23" s="437">
        <v>0</v>
      </c>
      <c r="U23" s="437">
        <v>0</v>
      </c>
      <c r="V23" s="437">
        <v>454.8</v>
      </c>
      <c r="W23" s="437">
        <v>901.86699999999996</v>
      </c>
      <c r="Z23" s="498">
        <v>0.2278820625087335</v>
      </c>
      <c r="AA23" s="498">
        <v>0.77211793749126656</v>
      </c>
      <c r="AB23" s="500">
        <v>0.43589157466609557</v>
      </c>
      <c r="AC23" s="500">
        <v>0.56410842533390437</v>
      </c>
      <c r="AD23" s="404">
        <v>0.1</v>
      </c>
      <c r="AE23" s="404">
        <v>0.9</v>
      </c>
      <c r="AF23" s="500">
        <v>0.23945933192550606</v>
      </c>
      <c r="AG23" s="500">
        <v>0.35198143890868033</v>
      </c>
      <c r="AH23" s="500">
        <v>0.32686697982049234</v>
      </c>
      <c r="AI23" s="500">
        <v>8.1692249345321322E-2</v>
      </c>
      <c r="AJ23" s="499">
        <v>1</v>
      </c>
      <c r="AK23" s="437" t="s">
        <v>826</v>
      </c>
      <c r="AM23" s="432" t="s">
        <v>831</v>
      </c>
    </row>
    <row r="24" spans="1:39" ht="14.4">
      <c r="A24" s="437" t="str">
        <f t="shared" si="0"/>
        <v>MINURN</v>
      </c>
      <c r="B24" s="437" t="s">
        <v>797</v>
      </c>
      <c r="C24" s="494" t="s">
        <v>684</v>
      </c>
      <c r="D24" s="437">
        <v>0</v>
      </c>
      <c r="E24" s="437">
        <v>0</v>
      </c>
      <c r="F24" s="437">
        <v>0</v>
      </c>
      <c r="G24" s="437">
        <v>0</v>
      </c>
      <c r="H24" s="437">
        <v>0</v>
      </c>
      <c r="I24" s="437">
        <v>0</v>
      </c>
      <c r="J24" s="437">
        <v>0</v>
      </c>
      <c r="K24" s="437">
        <v>0</v>
      </c>
      <c r="L24" s="437">
        <v>232995.42</v>
      </c>
      <c r="M24" s="437">
        <v>231781.24799999999</v>
      </c>
      <c r="N24" s="437">
        <v>234720.38200000001</v>
      </c>
      <c r="O24" s="437">
        <v>227933.579</v>
      </c>
      <c r="P24" s="437">
        <v>607002.26399999997</v>
      </c>
      <c r="Q24" s="437">
        <v>654480.576</v>
      </c>
      <c r="R24" s="437">
        <v>650293.77599999995</v>
      </c>
      <c r="S24" s="437">
        <v>700326.03599999996</v>
      </c>
      <c r="T24" s="437">
        <v>0</v>
      </c>
      <c r="U24" s="437">
        <v>0</v>
      </c>
      <c r="V24" s="437">
        <v>0</v>
      </c>
      <c r="W24" s="437">
        <v>0</v>
      </c>
      <c r="Z24">
        <v>0</v>
      </c>
      <c r="AA24" s="437">
        <v>0</v>
      </c>
      <c r="AB24" s="437">
        <v>0</v>
      </c>
      <c r="AC24" s="437">
        <v>0</v>
      </c>
      <c r="AD24" s="404">
        <v>0</v>
      </c>
      <c r="AE24" s="404">
        <v>1</v>
      </c>
      <c r="AF24" s="412">
        <f>2/3</f>
        <v>0.66666666666666663</v>
      </c>
      <c r="AG24" s="412">
        <v>0</v>
      </c>
      <c r="AH24" s="412">
        <f>1/3</f>
        <v>0.33333333333333331</v>
      </c>
      <c r="AI24">
        <v>0</v>
      </c>
      <c r="AJ24" s="499">
        <v>1</v>
      </c>
      <c r="AK24" t="s">
        <v>825</v>
      </c>
      <c r="AM24" t="s">
        <v>828</v>
      </c>
    </row>
    <row r="25" spans="1:39">
      <c r="A25" s="437"/>
      <c r="B25" s="437" t="s">
        <v>802</v>
      </c>
      <c r="C25" s="437" t="s">
        <v>40</v>
      </c>
      <c r="D25" s="437">
        <v>116108.60000000002</v>
      </c>
      <c r="E25" s="437">
        <v>103174.94</v>
      </c>
      <c r="F25" s="437">
        <v>72437.555999999982</v>
      </c>
      <c r="G25" s="437">
        <v>79750.34599999999</v>
      </c>
      <c r="H25" s="437">
        <v>45739.4</v>
      </c>
      <c r="I25" s="437">
        <v>47915.8</v>
      </c>
      <c r="J25" s="437">
        <v>46655.3</v>
      </c>
      <c r="K25" s="437">
        <v>49353.332999999999</v>
      </c>
      <c r="L25" s="437">
        <v>170481.25199999998</v>
      </c>
      <c r="M25" s="437">
        <v>112617.147</v>
      </c>
      <c r="N25" s="437">
        <v>110124.338</v>
      </c>
      <c r="O25" s="437">
        <v>121141.386</v>
      </c>
      <c r="P25" s="437">
        <v>103173.06</v>
      </c>
      <c r="Q25" s="437">
        <v>68146.86</v>
      </c>
      <c r="R25" s="437">
        <v>83006.16</v>
      </c>
      <c r="S25" s="437">
        <v>84681.32</v>
      </c>
      <c r="T25" s="437">
        <v>3640.0499999999997</v>
      </c>
      <c r="U25" s="437">
        <v>4130.01</v>
      </c>
      <c r="V25" s="437">
        <v>4157.88</v>
      </c>
      <c r="W25" s="437">
        <v>4667.57</v>
      </c>
      <c r="Z25" s="498">
        <v>0.46071648475633875</v>
      </c>
      <c r="AA25" s="498">
        <f>1-Z25</f>
        <v>0.53928351524366125</v>
      </c>
      <c r="AB25" s="498">
        <v>0.77041495132801496</v>
      </c>
      <c r="AC25" s="498">
        <v>0.22958504867198506</v>
      </c>
      <c r="AD25" s="404">
        <v>0.9</v>
      </c>
      <c r="AE25" s="404">
        <v>0.1</v>
      </c>
      <c r="AF25" s="412">
        <v>3.1911631478497848E-2</v>
      </c>
      <c r="AG25" s="412">
        <v>7.8874630001157672E-2</v>
      </c>
      <c r="AH25" s="412">
        <v>0.6677189378869256</v>
      </c>
      <c r="AI25" s="412">
        <v>0.22149480063341889</v>
      </c>
      <c r="AJ25" s="499">
        <v>1</v>
      </c>
      <c r="AK25" s="437" t="s">
        <v>824</v>
      </c>
      <c r="AL25" s="437"/>
      <c r="AM25" s="432" t="s">
        <v>829</v>
      </c>
    </row>
    <row r="26" spans="1:39">
      <c r="A26" s="437"/>
      <c r="B26" s="437" t="s">
        <v>802</v>
      </c>
      <c r="C26" s="437" t="s">
        <v>785</v>
      </c>
      <c r="D26" s="437">
        <v>11614.9</v>
      </c>
      <c r="E26" s="437">
        <v>11813.9</v>
      </c>
      <c r="F26" s="437">
        <v>10707.466</v>
      </c>
      <c r="G26" s="437">
        <v>10342.825000000001</v>
      </c>
      <c r="H26" s="437">
        <v>20472</v>
      </c>
      <c r="I26" s="437">
        <v>20746.099999999999</v>
      </c>
      <c r="J26" s="437">
        <v>22319.8</v>
      </c>
      <c r="K26" s="437">
        <v>53026.100000000006</v>
      </c>
      <c r="L26" s="437">
        <v>26820.673999999999</v>
      </c>
      <c r="M26" s="437">
        <v>30261.572</v>
      </c>
      <c r="N26" s="437">
        <v>12695.39</v>
      </c>
      <c r="O26" s="437">
        <v>17460.884000000002</v>
      </c>
      <c r="P26" s="437">
        <v>21771.100000000002</v>
      </c>
      <c r="Q26" s="437">
        <v>21728.799999999999</v>
      </c>
      <c r="R26" s="437">
        <v>20886.400000000001</v>
      </c>
      <c r="S26" s="437">
        <v>29974.742999999999</v>
      </c>
      <c r="T26" s="437">
        <v>760</v>
      </c>
      <c r="U26" s="437">
        <v>480</v>
      </c>
      <c r="V26" s="437">
        <v>840</v>
      </c>
      <c r="W26" s="437">
        <v>1983.318</v>
      </c>
      <c r="Z26" s="498">
        <v>0.46071648475633875</v>
      </c>
      <c r="AA26" s="498">
        <f>1-Z26</f>
        <v>0.53928351524366125</v>
      </c>
      <c r="AB26" s="498">
        <v>0.77041495132801496</v>
      </c>
      <c r="AC26" s="498">
        <v>0.22958504867198506</v>
      </c>
      <c r="AD26" s="404">
        <v>0.9</v>
      </c>
      <c r="AE26" s="404">
        <v>0.1</v>
      </c>
      <c r="AF26" s="412">
        <v>3.1911631478497848E-2</v>
      </c>
      <c r="AG26" s="412">
        <v>7.8874630001157672E-2</v>
      </c>
      <c r="AH26" s="412">
        <v>0.6677189378869256</v>
      </c>
      <c r="AI26" s="412">
        <v>0.22149480063341889</v>
      </c>
      <c r="AJ26" s="499">
        <v>1</v>
      </c>
      <c r="AK26" s="437" t="s">
        <v>824</v>
      </c>
      <c r="AL26" s="437"/>
      <c r="AM26" s="432" t="s">
        <v>829</v>
      </c>
    </row>
    <row r="27" spans="1:39">
      <c r="A27" s="437"/>
      <c r="B27" s="437" t="s">
        <v>802</v>
      </c>
      <c r="C27" s="437" t="s">
        <v>41</v>
      </c>
      <c r="D27" s="437">
        <v>5695.2460000000001</v>
      </c>
      <c r="E27" s="437">
        <v>34405.659</v>
      </c>
      <c r="F27" s="437">
        <v>24743.294000000002</v>
      </c>
      <c r="G27" s="437">
        <v>14522.531000000001</v>
      </c>
      <c r="H27" s="437">
        <v>213.3</v>
      </c>
      <c r="I27" s="437">
        <v>21.6</v>
      </c>
      <c r="J27" s="437">
        <v>0</v>
      </c>
      <c r="K27" s="437">
        <v>0</v>
      </c>
      <c r="L27" s="437">
        <v>160651.79999999999</v>
      </c>
      <c r="M27" s="437">
        <v>125819.1</v>
      </c>
      <c r="N27" s="437">
        <v>93637.8</v>
      </c>
      <c r="O27" s="437">
        <v>91234.409</v>
      </c>
      <c r="P27" s="437">
        <v>61375.5</v>
      </c>
      <c r="Q27" s="437">
        <v>42144.3</v>
      </c>
      <c r="R27" s="437">
        <v>30295.8</v>
      </c>
      <c r="S27" s="437">
        <v>43384.5</v>
      </c>
      <c r="T27" s="437">
        <v>0</v>
      </c>
      <c r="U27" s="437">
        <v>0</v>
      </c>
      <c r="V27" s="437">
        <v>0</v>
      </c>
      <c r="W27" s="437">
        <v>0</v>
      </c>
      <c r="Z27" s="437">
        <v>0</v>
      </c>
      <c r="AA27" s="437">
        <v>1</v>
      </c>
      <c r="AB27" s="437">
        <v>0</v>
      </c>
      <c r="AC27" s="437">
        <v>1</v>
      </c>
      <c r="AD27" s="404">
        <v>0</v>
      </c>
      <c r="AE27" s="404">
        <v>0</v>
      </c>
      <c r="AF27" s="412">
        <v>3.1911631478497848E-2</v>
      </c>
      <c r="AG27" s="412">
        <v>7.8874630001157672E-2</v>
      </c>
      <c r="AH27" s="412">
        <v>0.6677189378869256</v>
      </c>
      <c r="AI27" s="412">
        <v>0.22149480063341889</v>
      </c>
      <c r="AJ27" s="499">
        <v>0</v>
      </c>
      <c r="AK27" s="432" t="s">
        <v>832</v>
      </c>
      <c r="AL27" s="437"/>
      <c r="AM27" s="437"/>
    </row>
    <row r="28" spans="1:39" ht="14.4">
      <c r="A28" s="437"/>
      <c r="B28" s="437" t="s">
        <v>802</v>
      </c>
      <c r="C28" s="437" t="s">
        <v>675</v>
      </c>
      <c r="D28" s="437">
        <v>0</v>
      </c>
      <c r="E28" s="437">
        <v>0</v>
      </c>
      <c r="F28" s="437">
        <v>0</v>
      </c>
      <c r="G28" s="437">
        <v>0</v>
      </c>
      <c r="H28" s="437">
        <v>0</v>
      </c>
      <c r="I28" s="437">
        <v>0</v>
      </c>
      <c r="J28" s="437">
        <v>0</v>
      </c>
      <c r="K28" s="437">
        <v>0</v>
      </c>
      <c r="L28" s="437">
        <v>141.47</v>
      </c>
      <c r="M28" s="437">
        <v>1765.296</v>
      </c>
      <c r="N28" s="437">
        <v>1226.0999999999999</v>
      </c>
      <c r="O28" s="437">
        <v>894.96</v>
      </c>
      <c r="P28" s="437">
        <v>9446.2000000000007</v>
      </c>
      <c r="Q28" s="437">
        <v>9394.44</v>
      </c>
      <c r="R28" s="437">
        <v>2122.16</v>
      </c>
      <c r="S28" s="437">
        <v>2510.36</v>
      </c>
      <c r="T28" s="437">
        <v>0</v>
      </c>
      <c r="U28" s="437">
        <v>0</v>
      </c>
      <c r="V28" s="437">
        <v>0</v>
      </c>
      <c r="W28" s="437">
        <v>0</v>
      </c>
      <c r="Z28" s="498">
        <v>0.2278820625087335</v>
      </c>
      <c r="AA28" s="498">
        <v>0.77211793749126656</v>
      </c>
      <c r="AB28" s="500">
        <v>0.43589157466609557</v>
      </c>
      <c r="AC28" s="500">
        <v>0.56410842533390437</v>
      </c>
      <c r="AD28" s="404">
        <v>0.1</v>
      </c>
      <c r="AE28" s="404">
        <v>0.9</v>
      </c>
      <c r="AF28" s="500">
        <v>0.23945933192550606</v>
      </c>
      <c r="AG28" s="500">
        <v>0.35198143890868033</v>
      </c>
      <c r="AH28" s="500">
        <v>0.32686697982049234</v>
      </c>
      <c r="AI28" s="500">
        <v>8.1692249345321322E-2</v>
      </c>
      <c r="AJ28" s="499">
        <v>1</v>
      </c>
      <c r="AK28" s="437" t="s">
        <v>826</v>
      </c>
      <c r="AL28" s="437"/>
      <c r="AM28" s="432" t="s">
        <v>831</v>
      </c>
    </row>
    <row r="29" spans="1:39">
      <c r="A29" s="437"/>
      <c r="B29" s="437" t="s">
        <v>802</v>
      </c>
      <c r="C29" s="437" t="s">
        <v>90</v>
      </c>
      <c r="D29" s="437">
        <v>116914.9</v>
      </c>
      <c r="E29" s="437">
        <v>186945.5</v>
      </c>
      <c r="F29" s="437">
        <v>183881.962</v>
      </c>
      <c r="G29" s="437">
        <v>205302.93100000001</v>
      </c>
      <c r="H29" s="437">
        <v>63830.7</v>
      </c>
      <c r="I29" s="437">
        <v>57866.400000000001</v>
      </c>
      <c r="J29" s="437">
        <v>49871.7</v>
      </c>
      <c r="K29" s="437">
        <v>138870.9</v>
      </c>
      <c r="L29" s="437">
        <v>478896.2</v>
      </c>
      <c r="M29" s="437">
        <v>498803.86</v>
      </c>
      <c r="N29" s="437">
        <v>465574.18</v>
      </c>
      <c r="O29" s="437">
        <v>543375.26</v>
      </c>
      <c r="P29" s="437">
        <v>853021.99700000009</v>
      </c>
      <c r="Q29" s="437">
        <v>891017.46900000004</v>
      </c>
      <c r="R29" s="437">
        <v>863520.08600000001</v>
      </c>
      <c r="S29" s="437">
        <v>880449.53299999994</v>
      </c>
      <c r="T29" s="437">
        <v>0</v>
      </c>
      <c r="U29" s="437">
        <v>0</v>
      </c>
      <c r="V29" s="437">
        <v>0</v>
      </c>
      <c r="W29" s="437">
        <v>0</v>
      </c>
      <c r="Z29" s="437">
        <v>0</v>
      </c>
      <c r="AA29" s="437">
        <v>1</v>
      </c>
      <c r="AB29" s="437">
        <v>0</v>
      </c>
      <c r="AC29" s="437">
        <v>1</v>
      </c>
      <c r="AD29" s="404">
        <v>0</v>
      </c>
      <c r="AE29" s="404">
        <v>0</v>
      </c>
      <c r="AF29" s="412">
        <v>0</v>
      </c>
      <c r="AG29" s="412">
        <v>0</v>
      </c>
      <c r="AH29" s="412">
        <v>1</v>
      </c>
      <c r="AI29" s="412">
        <v>0</v>
      </c>
      <c r="AJ29" s="499">
        <v>0</v>
      </c>
      <c r="AK29" s="437" t="s">
        <v>825</v>
      </c>
      <c r="AL29" s="437"/>
      <c r="AM29" s="437"/>
    </row>
    <row r="30" spans="1:39">
      <c r="A30" s="437"/>
      <c r="B30" s="437" t="s">
        <v>802</v>
      </c>
      <c r="C30" s="437" t="s">
        <v>73</v>
      </c>
      <c r="D30" s="437">
        <v>322</v>
      </c>
      <c r="E30" s="437">
        <v>230</v>
      </c>
      <c r="F30" s="437">
        <v>1197.4259999999999</v>
      </c>
      <c r="G30" s="437">
        <v>946.68</v>
      </c>
      <c r="H30" s="437">
        <v>11064</v>
      </c>
      <c r="I30" s="437">
        <v>11017.9</v>
      </c>
      <c r="J30" s="437">
        <v>6546.2</v>
      </c>
      <c r="K30" s="437">
        <v>13046.3</v>
      </c>
      <c r="L30" s="437">
        <v>11827.2</v>
      </c>
      <c r="M30" s="437">
        <v>13398</v>
      </c>
      <c r="N30" s="437">
        <v>35928.800000000003</v>
      </c>
      <c r="O30" s="437">
        <v>36345.5</v>
      </c>
      <c r="P30" s="437">
        <v>42806.5</v>
      </c>
      <c r="Q30" s="437">
        <v>38738.699999999997</v>
      </c>
      <c r="R30" s="437">
        <v>46637.8</v>
      </c>
      <c r="S30" s="437">
        <v>51615.324000000001</v>
      </c>
      <c r="T30" s="437">
        <v>141</v>
      </c>
      <c r="U30" s="437">
        <v>141</v>
      </c>
      <c r="V30" s="437">
        <v>141</v>
      </c>
      <c r="W30" s="437">
        <v>122.059</v>
      </c>
      <c r="Z30" s="498">
        <v>0.46071648475633875</v>
      </c>
      <c r="AA30" s="498">
        <f t="shared" ref="AA30:AA38" si="2">1-Z30</f>
        <v>0.53928351524366125</v>
      </c>
      <c r="AB30" s="498">
        <v>0.77041495132801496</v>
      </c>
      <c r="AC30" s="498">
        <v>0.22958504867198506</v>
      </c>
      <c r="AD30" s="404">
        <v>0.9</v>
      </c>
      <c r="AE30" s="404">
        <v>0.1</v>
      </c>
      <c r="AF30" s="412">
        <v>3.1911631478497848E-2</v>
      </c>
      <c r="AG30" s="412">
        <v>7.8874630001157672E-2</v>
      </c>
      <c r="AH30" s="412">
        <v>0.6677189378869256</v>
      </c>
      <c r="AI30" s="412">
        <v>0.22149480063341889</v>
      </c>
      <c r="AJ30" s="499">
        <v>1</v>
      </c>
      <c r="AK30" s="437" t="s">
        <v>824</v>
      </c>
      <c r="AL30" s="437"/>
      <c r="AM30" s="432" t="s">
        <v>829</v>
      </c>
    </row>
    <row r="31" spans="1:39">
      <c r="A31" s="437"/>
      <c r="B31" s="437" t="s">
        <v>802</v>
      </c>
      <c r="C31" s="437" t="s">
        <v>93</v>
      </c>
      <c r="D31" s="437">
        <v>0</v>
      </c>
      <c r="E31" s="437">
        <v>0</v>
      </c>
      <c r="F31" s="437">
        <v>0</v>
      </c>
      <c r="G31" s="437">
        <v>0</v>
      </c>
      <c r="H31" s="437">
        <v>4170.5</v>
      </c>
      <c r="I31" s="437">
        <v>2238.9</v>
      </c>
      <c r="J31" s="437">
        <v>3775.4</v>
      </c>
      <c r="K31" s="437">
        <v>4697.3</v>
      </c>
      <c r="L31" s="437">
        <v>19403.400000000001</v>
      </c>
      <c r="M31" s="437">
        <v>6512.1</v>
      </c>
      <c r="N31" s="437">
        <v>12581.2</v>
      </c>
      <c r="O31" s="437">
        <v>19890.7</v>
      </c>
      <c r="P31" s="437">
        <v>22072</v>
      </c>
      <c r="Q31" s="437">
        <v>16287</v>
      </c>
      <c r="R31" s="437">
        <v>10546.5</v>
      </c>
      <c r="S31" s="437">
        <v>25042.377</v>
      </c>
      <c r="T31" s="437">
        <v>0</v>
      </c>
      <c r="U31" s="437">
        <v>0</v>
      </c>
      <c r="V31" s="437">
        <v>0</v>
      </c>
      <c r="W31" s="437">
        <v>0</v>
      </c>
      <c r="Z31" s="498">
        <v>0.46071648475633875</v>
      </c>
      <c r="AA31" s="498">
        <f t="shared" si="2"/>
        <v>0.53928351524366125</v>
      </c>
      <c r="AB31" s="498">
        <v>0.77041495132801496</v>
      </c>
      <c r="AC31" s="498">
        <v>0.22958504867198506</v>
      </c>
      <c r="AD31" s="404">
        <v>0.9</v>
      </c>
      <c r="AE31" s="404">
        <v>0.1</v>
      </c>
      <c r="AF31" s="412">
        <v>3.1911631478497848E-2</v>
      </c>
      <c r="AG31" s="412">
        <v>7.8874630001157672E-2</v>
      </c>
      <c r="AH31" s="412">
        <v>0.6677189378869256</v>
      </c>
      <c r="AI31" s="412">
        <v>0.22149480063341889</v>
      </c>
      <c r="AJ31" s="499">
        <v>1</v>
      </c>
      <c r="AK31" s="437" t="s">
        <v>824</v>
      </c>
      <c r="AL31" s="437"/>
      <c r="AM31" s="432" t="s">
        <v>829</v>
      </c>
    </row>
    <row r="32" spans="1:39">
      <c r="A32" s="437"/>
      <c r="B32" s="437" t="s">
        <v>802</v>
      </c>
      <c r="C32" s="437" t="s">
        <v>77</v>
      </c>
      <c r="D32" s="437">
        <v>35453.4</v>
      </c>
      <c r="E32" s="437">
        <v>29710.799999999999</v>
      </c>
      <c r="F32" s="437">
        <v>39163.588000000003</v>
      </c>
      <c r="G32" s="437">
        <v>41055.727999999996</v>
      </c>
      <c r="H32" s="437">
        <v>14585.8</v>
      </c>
      <c r="I32" s="437">
        <v>21380.400000000001</v>
      </c>
      <c r="J32" s="437">
        <v>22853.7</v>
      </c>
      <c r="K32" s="437">
        <v>12845.399999999998</v>
      </c>
      <c r="L32" s="437">
        <v>33788.339999999997</v>
      </c>
      <c r="M32" s="437">
        <v>13276.580000000002</v>
      </c>
      <c r="N32" s="437">
        <v>20239.260000000002</v>
      </c>
      <c r="O32" s="437">
        <v>23574.6</v>
      </c>
      <c r="P32" s="437">
        <v>29900</v>
      </c>
      <c r="Q32" s="437">
        <v>28974</v>
      </c>
      <c r="R32" s="437">
        <v>34839.200000000004</v>
      </c>
      <c r="S32" s="437">
        <v>45015.921999999999</v>
      </c>
      <c r="T32" s="437">
        <v>5324.3</v>
      </c>
      <c r="U32" s="437">
        <v>6512</v>
      </c>
      <c r="V32" s="437">
        <v>9592</v>
      </c>
      <c r="W32" s="437">
        <v>19510.896000000001</v>
      </c>
      <c r="Z32" s="498">
        <v>0.46071648475633875</v>
      </c>
      <c r="AA32" s="498">
        <f t="shared" si="2"/>
        <v>0.53928351524366125</v>
      </c>
      <c r="AB32" s="498">
        <v>0.77041495132801496</v>
      </c>
      <c r="AC32" s="498">
        <v>0.22958504867198506</v>
      </c>
      <c r="AD32" s="404">
        <v>0.9</v>
      </c>
      <c r="AE32" s="404">
        <v>0.1</v>
      </c>
      <c r="AF32" s="412">
        <v>3.1911631478497848E-2</v>
      </c>
      <c r="AG32" s="412">
        <v>7.8874630001157672E-2</v>
      </c>
      <c r="AH32" s="412">
        <v>0.6677189378869256</v>
      </c>
      <c r="AI32" s="412">
        <v>0.22149480063341889</v>
      </c>
      <c r="AJ32" s="499">
        <v>1</v>
      </c>
      <c r="AK32" s="437" t="s">
        <v>824</v>
      </c>
      <c r="AL32" s="437"/>
      <c r="AM32" s="432" t="s">
        <v>829</v>
      </c>
    </row>
    <row r="33" spans="1:39">
      <c r="A33" s="437"/>
      <c r="B33" s="437" t="s">
        <v>802</v>
      </c>
      <c r="C33" s="437" t="s">
        <v>74</v>
      </c>
      <c r="D33" s="437">
        <v>32762.400000000001</v>
      </c>
      <c r="E33" s="437">
        <v>33200.400000000001</v>
      </c>
      <c r="F33" s="437">
        <v>29237.638999999999</v>
      </c>
      <c r="G33" s="437">
        <v>18738.341</v>
      </c>
      <c r="H33" s="437">
        <v>11385.1</v>
      </c>
      <c r="I33" s="437">
        <v>8077.6</v>
      </c>
      <c r="J33" s="437">
        <v>13213.9</v>
      </c>
      <c r="K33" s="437">
        <v>17121</v>
      </c>
      <c r="L33" s="437">
        <v>731</v>
      </c>
      <c r="M33" s="437">
        <v>2666</v>
      </c>
      <c r="N33" s="437">
        <v>21656.6</v>
      </c>
      <c r="O33" s="437">
        <v>25128.6</v>
      </c>
      <c r="P33" s="437">
        <v>82309.399999999994</v>
      </c>
      <c r="Q33" s="437">
        <v>52141.1</v>
      </c>
      <c r="R33" s="437">
        <v>75177.100000000006</v>
      </c>
      <c r="S33" s="437">
        <v>34751.949999999997</v>
      </c>
      <c r="T33" s="437">
        <v>6336</v>
      </c>
      <c r="U33" s="437">
        <v>6072</v>
      </c>
      <c r="V33" s="437">
        <v>6116</v>
      </c>
      <c r="W33" s="437">
        <v>5919.0119999999997</v>
      </c>
      <c r="Z33" s="498">
        <v>0.46071648475633875</v>
      </c>
      <c r="AA33" s="498">
        <f t="shared" si="2"/>
        <v>0.53928351524366125</v>
      </c>
      <c r="AB33" s="498">
        <v>0.77041495132801496</v>
      </c>
      <c r="AC33" s="498">
        <v>0.22958504867198506</v>
      </c>
      <c r="AD33" s="404">
        <v>0.9</v>
      </c>
      <c r="AE33" s="404">
        <v>0.1</v>
      </c>
      <c r="AF33" s="412">
        <v>3.1911631478497848E-2</v>
      </c>
      <c r="AG33" s="412">
        <v>7.8874630001157672E-2</v>
      </c>
      <c r="AH33" s="412">
        <v>0.6677189378869256</v>
      </c>
      <c r="AI33" s="412">
        <v>0.22149480063341889</v>
      </c>
      <c r="AJ33" s="499">
        <v>1</v>
      </c>
      <c r="AK33" s="437" t="s">
        <v>824</v>
      </c>
      <c r="AL33" s="437"/>
      <c r="AM33" s="432" t="s">
        <v>829</v>
      </c>
    </row>
    <row r="34" spans="1:39">
      <c r="A34" s="437"/>
      <c r="B34" s="437" t="s">
        <v>802</v>
      </c>
      <c r="C34" s="437" t="s">
        <v>45</v>
      </c>
      <c r="D34" s="437">
        <v>94751.3</v>
      </c>
      <c r="E34" s="437">
        <v>84033.600000000006</v>
      </c>
      <c r="F34" s="437">
        <v>158668.845</v>
      </c>
      <c r="G34" s="437">
        <v>103811.514</v>
      </c>
      <c r="H34" s="437">
        <v>48805</v>
      </c>
      <c r="I34" s="437">
        <v>62995</v>
      </c>
      <c r="J34" s="437">
        <v>73057</v>
      </c>
      <c r="K34" s="437">
        <v>68098</v>
      </c>
      <c r="L34" s="437">
        <v>78255.593999999997</v>
      </c>
      <c r="M34" s="437">
        <v>100960.8</v>
      </c>
      <c r="N34" s="437">
        <v>77270.903999999995</v>
      </c>
      <c r="O34" s="437">
        <v>66853.539999999994</v>
      </c>
      <c r="P34" s="437">
        <v>91934</v>
      </c>
      <c r="Q34" s="437">
        <v>89440</v>
      </c>
      <c r="R34" s="437">
        <v>110854</v>
      </c>
      <c r="S34" s="437">
        <v>95560.452000000005</v>
      </c>
      <c r="T34" s="437">
        <v>12556</v>
      </c>
      <c r="U34" s="437">
        <v>11997</v>
      </c>
      <c r="V34" s="437">
        <v>14706</v>
      </c>
      <c r="W34" s="437">
        <v>15881.834999999999</v>
      </c>
      <c r="Z34" s="498">
        <v>0.46071648475633875</v>
      </c>
      <c r="AA34" s="498">
        <f t="shared" si="2"/>
        <v>0.53928351524366125</v>
      </c>
      <c r="AB34" s="498">
        <v>0.77041495132801496</v>
      </c>
      <c r="AC34" s="498">
        <v>0.22958504867198506</v>
      </c>
      <c r="AD34" s="404">
        <v>0.9</v>
      </c>
      <c r="AE34" s="404">
        <v>0.1</v>
      </c>
      <c r="AF34" s="412">
        <v>3.1911631478497848E-2</v>
      </c>
      <c r="AG34" s="412">
        <v>7.8874630001157672E-2</v>
      </c>
      <c r="AH34" s="412">
        <v>0.6677189378869256</v>
      </c>
      <c r="AI34" s="412">
        <v>0.22149480063341889</v>
      </c>
      <c r="AJ34" s="499">
        <v>1</v>
      </c>
      <c r="AK34" s="437" t="s">
        <v>824</v>
      </c>
      <c r="AL34" s="437"/>
      <c r="AM34" s="432" t="s">
        <v>829</v>
      </c>
    </row>
    <row r="35" spans="1:39">
      <c r="A35" s="437"/>
      <c r="B35" s="437" t="s">
        <v>802</v>
      </c>
      <c r="C35" s="437" t="s">
        <v>44</v>
      </c>
      <c r="D35" s="437">
        <v>102454.39999999999</v>
      </c>
      <c r="E35" s="437">
        <v>69649.600000000006</v>
      </c>
      <c r="F35" s="437">
        <v>156480.391</v>
      </c>
      <c r="G35" s="437">
        <v>72562.44</v>
      </c>
      <c r="H35" s="437">
        <v>65447.199999999997</v>
      </c>
      <c r="I35" s="437">
        <v>48841.8</v>
      </c>
      <c r="J35" s="437">
        <v>66381</v>
      </c>
      <c r="K35" s="437">
        <v>58176</v>
      </c>
      <c r="L35" s="437">
        <v>29209.200000000001</v>
      </c>
      <c r="M35" s="437">
        <v>32683.599999999999</v>
      </c>
      <c r="N35" s="437">
        <v>44480.4</v>
      </c>
      <c r="O35" s="437">
        <v>18139.599999999999</v>
      </c>
      <c r="P35" s="437">
        <v>42339.199999999997</v>
      </c>
      <c r="Q35" s="437">
        <v>31633.200000000001</v>
      </c>
      <c r="R35" s="437">
        <v>27835.599999999999</v>
      </c>
      <c r="S35" s="437">
        <v>74971.525999999998</v>
      </c>
      <c r="T35" s="437">
        <v>3757.2</v>
      </c>
      <c r="U35" s="437">
        <v>4282.3999999999996</v>
      </c>
      <c r="V35" s="437">
        <v>4242</v>
      </c>
      <c r="W35" s="437">
        <v>4814.9530000000004</v>
      </c>
      <c r="Z35" s="498">
        <v>0.46071648475633875</v>
      </c>
      <c r="AA35" s="498">
        <f t="shared" si="2"/>
        <v>0.53928351524366125</v>
      </c>
      <c r="AB35" s="498">
        <v>0.77041495132801496</v>
      </c>
      <c r="AC35" s="498">
        <v>0.22958504867198506</v>
      </c>
      <c r="AD35" s="404">
        <v>0.9</v>
      </c>
      <c r="AE35" s="404">
        <v>0.1</v>
      </c>
      <c r="AF35" s="412">
        <v>3.1911631478497848E-2</v>
      </c>
      <c r="AG35" s="412">
        <v>7.8874630001157672E-2</v>
      </c>
      <c r="AH35" s="412">
        <v>0.6677189378869256</v>
      </c>
      <c r="AI35" s="412">
        <v>0.22149480063341889</v>
      </c>
      <c r="AJ35" s="499">
        <v>1</v>
      </c>
      <c r="AK35" s="437" t="s">
        <v>824</v>
      </c>
      <c r="AL35" s="437"/>
      <c r="AM35" s="432" t="s">
        <v>829</v>
      </c>
    </row>
    <row r="36" spans="1:39">
      <c r="A36" s="437"/>
      <c r="B36" s="437" t="s">
        <v>802</v>
      </c>
      <c r="C36" s="437" t="s">
        <v>798</v>
      </c>
      <c r="D36" s="437">
        <v>1121.4000000000001</v>
      </c>
      <c r="E36" s="437">
        <v>1922.4</v>
      </c>
      <c r="F36" s="437">
        <v>1818.35</v>
      </c>
      <c r="G36" s="437">
        <v>1811.9960000000001</v>
      </c>
      <c r="H36" s="437">
        <v>203.6</v>
      </c>
      <c r="I36" s="437">
        <v>388.49299999999999</v>
      </c>
      <c r="J36" s="437">
        <v>433.43599999999998</v>
      </c>
      <c r="K36" s="437">
        <v>1500.5050000000001</v>
      </c>
      <c r="L36" s="437">
        <v>3255.634</v>
      </c>
      <c r="M36" s="437">
        <v>3638.2220000000002</v>
      </c>
      <c r="N36" s="437">
        <v>2925.991</v>
      </c>
      <c r="O36" s="437">
        <v>3737.915</v>
      </c>
      <c r="P36" s="437">
        <v>5826.8149999999996</v>
      </c>
      <c r="Q36" s="437">
        <v>5457.6970000000001</v>
      </c>
      <c r="R36" s="437">
        <v>6075.6710000000003</v>
      </c>
      <c r="S36" s="437">
        <v>6774.585</v>
      </c>
      <c r="T36" s="437">
        <v>0</v>
      </c>
      <c r="U36" s="437">
        <v>0</v>
      </c>
      <c r="V36" s="437">
        <v>51.723999999999997</v>
      </c>
      <c r="W36" s="437">
        <v>176.39099999999999</v>
      </c>
      <c r="Z36" s="498">
        <v>0.46071648475633875</v>
      </c>
      <c r="AA36" s="498">
        <f t="shared" si="2"/>
        <v>0.53928351524366125</v>
      </c>
      <c r="AB36" s="498">
        <v>0.77041495132801496</v>
      </c>
      <c r="AC36" s="498">
        <v>0.22958504867198506</v>
      </c>
      <c r="AD36" s="404">
        <v>0.9</v>
      </c>
      <c r="AE36" s="404">
        <v>0.1</v>
      </c>
      <c r="AF36" s="412">
        <v>3.1911631478497848E-2</v>
      </c>
      <c r="AG36" s="412">
        <v>7.8874630001157672E-2</v>
      </c>
      <c r="AH36" s="412">
        <v>0.6677189378869256</v>
      </c>
      <c r="AI36" s="412">
        <v>0.22149480063341889</v>
      </c>
      <c r="AJ36" s="499">
        <v>1</v>
      </c>
      <c r="AK36" s="437" t="s">
        <v>824</v>
      </c>
      <c r="AL36" s="437"/>
      <c r="AM36" s="432" t="s">
        <v>829</v>
      </c>
    </row>
    <row r="37" spans="1:39">
      <c r="A37" s="437"/>
      <c r="B37" s="437" t="s">
        <v>802</v>
      </c>
      <c r="C37" s="437" t="s">
        <v>799</v>
      </c>
      <c r="D37" s="437">
        <v>2887.5</v>
      </c>
      <c r="E37" s="437">
        <v>8587.5</v>
      </c>
      <c r="F37" s="437">
        <v>8485.5</v>
      </c>
      <c r="G37" s="437">
        <v>9324.9380000000001</v>
      </c>
      <c r="H37" s="437">
        <v>4669.6989999999996</v>
      </c>
      <c r="I37" s="437">
        <v>8457.0079999999998</v>
      </c>
      <c r="J37" s="437">
        <v>5656.0129999999999</v>
      </c>
      <c r="K37" s="437">
        <v>12107.715</v>
      </c>
      <c r="L37" s="437">
        <v>179.06800000000001</v>
      </c>
      <c r="M37" s="437">
        <v>4983.5870000000004</v>
      </c>
      <c r="N37" s="437">
        <v>0</v>
      </c>
      <c r="O37" s="437">
        <v>0</v>
      </c>
      <c r="P37" s="437">
        <v>3644.1030000000001</v>
      </c>
      <c r="Q37" s="437">
        <v>7030.9870000000001</v>
      </c>
      <c r="R37" s="437">
        <v>29264.874</v>
      </c>
      <c r="S37" s="437">
        <v>62319.582000000002</v>
      </c>
      <c r="T37" s="437">
        <v>4.3659999999999997</v>
      </c>
      <c r="U37" s="437">
        <v>7.875</v>
      </c>
      <c r="V37" s="437">
        <v>510.048</v>
      </c>
      <c r="W37" s="437">
        <v>539.20000000000005</v>
      </c>
      <c r="Z37" s="498">
        <v>0.46071648475633875</v>
      </c>
      <c r="AA37" s="498">
        <f t="shared" si="2"/>
        <v>0.53928351524366125</v>
      </c>
      <c r="AB37" s="498">
        <v>0.77041495132801496</v>
      </c>
      <c r="AC37" s="498">
        <v>0.22958504867198506</v>
      </c>
      <c r="AD37" s="404">
        <v>0.9</v>
      </c>
      <c r="AE37" s="404">
        <v>0.1</v>
      </c>
      <c r="AF37" s="412">
        <v>3.1911631478497848E-2</v>
      </c>
      <c r="AG37" s="412">
        <v>7.8874630001157672E-2</v>
      </c>
      <c r="AH37" s="412">
        <v>0.6677189378869256</v>
      </c>
      <c r="AI37" s="412">
        <v>0.22149480063341889</v>
      </c>
      <c r="AJ37" s="499">
        <v>1</v>
      </c>
      <c r="AK37" s="437" t="s">
        <v>824</v>
      </c>
      <c r="AL37" s="437"/>
      <c r="AM37" s="432" t="s">
        <v>829</v>
      </c>
    </row>
    <row r="38" spans="1:39">
      <c r="A38" s="437"/>
      <c r="B38" s="437" t="s">
        <v>802</v>
      </c>
      <c r="C38" s="437" t="s">
        <v>800</v>
      </c>
      <c r="D38" s="437">
        <v>0</v>
      </c>
      <c r="E38" s="437">
        <v>0</v>
      </c>
      <c r="F38" s="437">
        <v>0</v>
      </c>
      <c r="G38" s="437">
        <v>0</v>
      </c>
      <c r="H38" s="437">
        <v>0</v>
      </c>
      <c r="I38" s="437">
        <v>0</v>
      </c>
      <c r="J38" s="437">
        <v>0</v>
      </c>
      <c r="K38" s="437">
        <v>0</v>
      </c>
      <c r="L38" s="437">
        <v>0</v>
      </c>
      <c r="M38" s="437">
        <v>0</v>
      </c>
      <c r="N38" s="437">
        <v>0</v>
      </c>
      <c r="O38" s="437">
        <v>0</v>
      </c>
      <c r="P38" s="437">
        <v>0</v>
      </c>
      <c r="Q38" s="437">
        <v>0</v>
      </c>
      <c r="R38" s="437">
        <v>0</v>
      </c>
      <c r="S38" s="437">
        <v>0</v>
      </c>
      <c r="T38" s="437">
        <v>0</v>
      </c>
      <c r="U38" s="437">
        <v>0</v>
      </c>
      <c r="V38" s="437">
        <v>0</v>
      </c>
      <c r="W38" s="437">
        <v>0</v>
      </c>
      <c r="Z38" s="498">
        <v>0.46071648475633875</v>
      </c>
      <c r="AA38" s="498">
        <f t="shared" si="2"/>
        <v>0.53928351524366125</v>
      </c>
      <c r="AB38" s="498">
        <v>0.77041495132801496</v>
      </c>
      <c r="AC38" s="498">
        <v>0.22958504867198506</v>
      </c>
      <c r="AD38" s="404">
        <v>0.9</v>
      </c>
      <c r="AE38" s="404">
        <v>0.1</v>
      </c>
      <c r="AF38" s="412">
        <v>3.1911631478497848E-2</v>
      </c>
      <c r="AG38" s="412">
        <v>7.8874630001157672E-2</v>
      </c>
      <c r="AH38" s="412">
        <v>0.6677189378869256</v>
      </c>
      <c r="AI38" s="412">
        <v>0.22149480063341889</v>
      </c>
      <c r="AJ38" s="499">
        <v>1</v>
      </c>
      <c r="AK38" s="437" t="s">
        <v>824</v>
      </c>
      <c r="AL38" s="437"/>
      <c r="AM38" s="432" t="s">
        <v>829</v>
      </c>
    </row>
    <row r="39" spans="1:39" ht="14.4">
      <c r="A39" s="437"/>
      <c r="B39" s="437" t="s">
        <v>802</v>
      </c>
      <c r="C39" s="437" t="s">
        <v>126</v>
      </c>
      <c r="D39" s="437">
        <v>0</v>
      </c>
      <c r="E39" s="437">
        <v>0</v>
      </c>
      <c r="F39" s="437">
        <v>0</v>
      </c>
      <c r="G39" s="437">
        <v>0</v>
      </c>
      <c r="H39" s="437">
        <v>0</v>
      </c>
      <c r="I39" s="437">
        <v>0</v>
      </c>
      <c r="J39" s="437">
        <v>0</v>
      </c>
      <c r="K39" s="437">
        <v>0</v>
      </c>
      <c r="L39" s="437">
        <v>0</v>
      </c>
      <c r="M39" s="437">
        <v>0</v>
      </c>
      <c r="N39" s="437">
        <v>0</v>
      </c>
      <c r="O39" s="437">
        <v>0</v>
      </c>
      <c r="P39" s="437">
        <v>0</v>
      </c>
      <c r="Q39" s="437">
        <v>0</v>
      </c>
      <c r="R39" s="437">
        <v>0</v>
      </c>
      <c r="S39" s="437">
        <v>0</v>
      </c>
      <c r="T39" s="437">
        <v>0</v>
      </c>
      <c r="U39" s="437">
        <v>0</v>
      </c>
      <c r="V39" s="437">
        <v>0</v>
      </c>
      <c r="W39" s="437">
        <v>0</v>
      </c>
      <c r="Z39" s="500">
        <v>0.16985317211055276</v>
      </c>
      <c r="AA39" s="500">
        <v>0.83014682788944727</v>
      </c>
      <c r="AB39" s="500">
        <v>0.48632184165814718</v>
      </c>
      <c r="AC39" s="500">
        <v>0.51367815834185271</v>
      </c>
      <c r="AD39" s="404">
        <v>0.1</v>
      </c>
      <c r="AE39" s="404">
        <v>0.9</v>
      </c>
      <c r="AF39" s="500">
        <v>2.8368794326241134E-2</v>
      </c>
      <c r="AG39" s="500">
        <v>7.0921985815602835E-3</v>
      </c>
      <c r="AH39" s="500">
        <v>0.55319148936170215</v>
      </c>
      <c r="AI39" s="500">
        <v>0.41134751773049644</v>
      </c>
      <c r="AJ39" s="499">
        <v>1</v>
      </c>
      <c r="AK39" s="432" t="s">
        <v>830</v>
      </c>
      <c r="AL39" s="437"/>
      <c r="AM39" s="432" t="s">
        <v>831</v>
      </c>
    </row>
    <row r="40" spans="1:39">
      <c r="A40" s="437"/>
      <c r="B40" s="437" t="s">
        <v>802</v>
      </c>
      <c r="C40" s="437" t="s">
        <v>42</v>
      </c>
      <c r="D40" s="437">
        <v>0</v>
      </c>
      <c r="E40" s="437">
        <v>2501</v>
      </c>
      <c r="F40" s="437">
        <v>7074.7950000000001</v>
      </c>
      <c r="G40" s="437">
        <v>7070.2</v>
      </c>
      <c r="H40" s="437">
        <v>0</v>
      </c>
      <c r="I40" s="437">
        <v>0</v>
      </c>
      <c r="J40" s="437">
        <v>0</v>
      </c>
      <c r="K40" s="437">
        <v>0</v>
      </c>
      <c r="L40" s="437">
        <v>0</v>
      </c>
      <c r="M40" s="437">
        <v>0</v>
      </c>
      <c r="N40" s="437">
        <v>0</v>
      </c>
      <c r="O40" s="437">
        <v>0</v>
      </c>
      <c r="P40" s="437">
        <v>4193</v>
      </c>
      <c r="Q40" s="437">
        <v>7160</v>
      </c>
      <c r="R40" s="437">
        <v>9201</v>
      </c>
      <c r="S40" s="437">
        <v>11100</v>
      </c>
      <c r="T40" s="437">
        <v>0</v>
      </c>
      <c r="U40" s="437">
        <v>0</v>
      </c>
      <c r="V40" s="437">
        <v>0</v>
      </c>
      <c r="W40" s="437">
        <v>0</v>
      </c>
      <c r="Z40" s="498">
        <v>0.46071648475633875</v>
      </c>
      <c r="AA40" s="498">
        <f>1-Z40</f>
        <v>0.53928351524366125</v>
      </c>
      <c r="AB40" s="498">
        <v>0.77041495132801496</v>
      </c>
      <c r="AC40" s="498">
        <v>0.22958504867198506</v>
      </c>
      <c r="AD40" s="404">
        <v>0.9</v>
      </c>
      <c r="AE40" s="404">
        <v>0.1</v>
      </c>
      <c r="AF40" s="412">
        <v>3.1911631478497848E-2</v>
      </c>
      <c r="AG40" s="412">
        <v>7.8874630001157672E-2</v>
      </c>
      <c r="AH40" s="412">
        <v>0.6677189378869256</v>
      </c>
      <c r="AI40" s="412">
        <v>0.22149480063341889</v>
      </c>
      <c r="AJ40" s="499">
        <v>1</v>
      </c>
      <c r="AK40" s="437" t="s">
        <v>824</v>
      </c>
      <c r="AL40" s="437"/>
      <c r="AM40" s="432" t="s">
        <v>829</v>
      </c>
    </row>
    <row r="41" spans="1:39" ht="14.4">
      <c r="A41" s="437"/>
      <c r="B41" s="437" t="s">
        <v>802</v>
      </c>
      <c r="C41" s="495" t="s">
        <v>801</v>
      </c>
      <c r="D41" s="437">
        <v>35479.605000000003</v>
      </c>
      <c r="E41" s="437">
        <v>41344.343000000001</v>
      </c>
      <c r="F41" s="437">
        <v>39598.720000000001</v>
      </c>
      <c r="G41" s="437">
        <v>61827.542999999998</v>
      </c>
      <c r="H41" s="437">
        <v>3616.2449999999999</v>
      </c>
      <c r="I41" s="437">
        <v>3371.0929999999998</v>
      </c>
      <c r="J41" s="437">
        <v>1751.615</v>
      </c>
      <c r="K41" s="437">
        <v>2771.4139999999998</v>
      </c>
      <c r="L41" s="437">
        <v>4029.0329999999999</v>
      </c>
      <c r="M41" s="437">
        <v>3092.8629999999998</v>
      </c>
      <c r="N41" s="437">
        <v>2818</v>
      </c>
      <c r="O41" s="437">
        <v>2778</v>
      </c>
      <c r="P41" s="437">
        <v>0</v>
      </c>
      <c r="Q41" s="437">
        <v>8461</v>
      </c>
      <c r="R41" s="437">
        <v>6169</v>
      </c>
      <c r="S41" s="437">
        <v>6668</v>
      </c>
      <c r="T41" s="437">
        <v>0</v>
      </c>
      <c r="U41" s="437">
        <v>0</v>
      </c>
      <c r="V41" s="437">
        <v>0</v>
      </c>
      <c r="W41" s="437">
        <v>0</v>
      </c>
      <c r="Z41" s="498">
        <v>0.2278820625087335</v>
      </c>
      <c r="AA41" s="498">
        <v>0.77211793749126656</v>
      </c>
      <c r="AB41" s="500">
        <v>0.43589157466609557</v>
      </c>
      <c r="AC41" s="500">
        <v>0.56410842533390437</v>
      </c>
      <c r="AD41" s="404">
        <v>0.1</v>
      </c>
      <c r="AE41" s="404">
        <v>0.9</v>
      </c>
      <c r="AF41" s="500">
        <v>0.23945933192550606</v>
      </c>
      <c r="AG41" s="500">
        <v>0.35198143890868033</v>
      </c>
      <c r="AH41" s="500">
        <v>0.32686697982049234</v>
      </c>
      <c r="AI41" s="500">
        <v>8.1692249345321322E-2</v>
      </c>
      <c r="AJ41" s="499">
        <v>1</v>
      </c>
      <c r="AK41" s="437" t="s">
        <v>826</v>
      </c>
      <c r="AL41" s="437"/>
      <c r="AM41" s="432" t="s">
        <v>831</v>
      </c>
    </row>
    <row r="42" spans="1:39" ht="14.4">
      <c r="A42" s="437"/>
      <c r="B42" s="437" t="s">
        <v>802</v>
      </c>
      <c r="C42" s="495" t="s">
        <v>684</v>
      </c>
      <c r="D42" s="437">
        <v>0</v>
      </c>
      <c r="E42" s="437">
        <v>0</v>
      </c>
      <c r="F42" s="437">
        <v>0</v>
      </c>
      <c r="G42" s="437">
        <v>0</v>
      </c>
      <c r="H42" s="437">
        <v>0</v>
      </c>
      <c r="I42" s="437">
        <v>0</v>
      </c>
      <c r="J42" s="437">
        <v>0</v>
      </c>
      <c r="K42" s="437">
        <v>0</v>
      </c>
      <c r="L42" s="437">
        <v>0</v>
      </c>
      <c r="M42" s="437">
        <v>0</v>
      </c>
      <c r="N42" s="437">
        <v>0</v>
      </c>
      <c r="O42" s="437">
        <v>0</v>
      </c>
      <c r="P42" s="437">
        <v>0</v>
      </c>
      <c r="Q42" s="437">
        <v>0</v>
      </c>
      <c r="R42" s="437">
        <v>0</v>
      </c>
      <c r="S42" s="437">
        <v>0</v>
      </c>
      <c r="T42" s="437">
        <v>0</v>
      </c>
      <c r="U42" s="437">
        <v>0</v>
      </c>
      <c r="V42" s="437">
        <v>0</v>
      </c>
      <c r="W42" s="437">
        <v>0</v>
      </c>
      <c r="Z42" s="437">
        <v>0</v>
      </c>
      <c r="AA42" s="437">
        <v>0</v>
      </c>
      <c r="AB42" s="437">
        <v>0</v>
      </c>
      <c r="AC42" s="437">
        <v>0</v>
      </c>
      <c r="AD42" s="404">
        <v>0</v>
      </c>
      <c r="AE42" s="404">
        <v>1</v>
      </c>
      <c r="AF42" s="412">
        <f>2/3</f>
        <v>0.66666666666666663</v>
      </c>
      <c r="AG42" s="412">
        <v>0</v>
      </c>
      <c r="AH42" s="412">
        <f>1/3</f>
        <v>0.33333333333333331</v>
      </c>
      <c r="AI42" s="437">
        <v>0</v>
      </c>
      <c r="AJ42" s="499">
        <v>1</v>
      </c>
      <c r="AK42" s="437" t="s">
        <v>825</v>
      </c>
      <c r="AL42" s="437"/>
      <c r="AM42" s="437" t="s">
        <v>828</v>
      </c>
    </row>
    <row r="43" spans="1:39" ht="14.4">
      <c r="A43" s="437" t="str">
        <f>"EXP"&amp;C43</f>
        <v>EXPCOA</v>
      </c>
      <c r="B43" s="437" t="s">
        <v>803</v>
      </c>
      <c r="C43" s="437" t="s">
        <v>40</v>
      </c>
      <c r="D43" s="494">
        <v>2143.44</v>
      </c>
      <c r="E43" s="494">
        <v>486.33</v>
      </c>
      <c r="F43" s="494">
        <v>2298.7359999999999</v>
      </c>
      <c r="G43" s="494">
        <v>466.08799999999997</v>
      </c>
      <c r="H43" s="494">
        <v>48349.599999999999</v>
      </c>
      <c r="I43" s="494">
        <v>36748.300000000003</v>
      </c>
      <c r="J43" s="494">
        <v>37033.4</v>
      </c>
      <c r="K43" s="494">
        <v>8684.237000000001</v>
      </c>
      <c r="L43" s="494">
        <v>146.5</v>
      </c>
      <c r="M43" s="494">
        <v>1347.8</v>
      </c>
      <c r="N43" s="494">
        <v>2431.9</v>
      </c>
      <c r="O43" s="494">
        <v>2080.3000000000002</v>
      </c>
      <c r="P43" s="494">
        <v>954.04</v>
      </c>
      <c r="Q43" s="494">
        <v>645.16</v>
      </c>
      <c r="R43" s="494">
        <v>2274.48</v>
      </c>
      <c r="S43" s="494">
        <v>252.72</v>
      </c>
      <c r="T43" s="494">
        <v>0</v>
      </c>
      <c r="U43" s="494">
        <v>0</v>
      </c>
      <c r="V43" s="494">
        <v>0</v>
      </c>
      <c r="W43" s="494">
        <v>0</v>
      </c>
      <c r="Z43" s="498">
        <v>0.46071648475633875</v>
      </c>
      <c r="AA43" s="498">
        <f>1-Z43</f>
        <v>0.53928351524366125</v>
      </c>
      <c r="AB43" s="498">
        <v>0.77041495132801496</v>
      </c>
      <c r="AC43" s="498">
        <v>0.22958504867198506</v>
      </c>
      <c r="AD43" s="404">
        <v>0.9</v>
      </c>
      <c r="AE43" s="404">
        <v>0.1</v>
      </c>
      <c r="AF43" s="412">
        <v>3.1911631478497848E-2</v>
      </c>
      <c r="AG43" s="412">
        <v>7.8874630001157672E-2</v>
      </c>
      <c r="AH43" s="412">
        <v>0.6677189378869256</v>
      </c>
      <c r="AI43" s="412">
        <v>0.22149480063341889</v>
      </c>
      <c r="AJ43" s="499">
        <v>1</v>
      </c>
      <c r="AK43" s="437" t="s">
        <v>824</v>
      </c>
      <c r="AL43" s="437"/>
      <c r="AM43" s="432" t="s">
        <v>829</v>
      </c>
    </row>
    <row r="44" spans="1:39" ht="14.4">
      <c r="A44" s="437" t="str">
        <f t="shared" ref="A44:A60" si="3">"EXP"&amp;C44</f>
        <v>EXPOTH</v>
      </c>
      <c r="B44" s="437" t="s">
        <v>803</v>
      </c>
      <c r="C44" s="437" t="s">
        <v>785</v>
      </c>
      <c r="D44" s="494">
        <v>246.7</v>
      </c>
      <c r="E44" s="494">
        <v>326.3</v>
      </c>
      <c r="F44" s="494">
        <v>175.38299999999998</v>
      </c>
      <c r="G44" s="494">
        <v>113.613</v>
      </c>
      <c r="H44" s="494">
        <v>14745.9</v>
      </c>
      <c r="I44" s="494">
        <v>38930.899999999994</v>
      </c>
      <c r="J44" s="494">
        <v>51227.799999999996</v>
      </c>
      <c r="K44" s="494">
        <v>53135.6</v>
      </c>
      <c r="L44" s="494">
        <v>29850.969000000001</v>
      </c>
      <c r="M44" s="494">
        <v>30769.392</v>
      </c>
      <c r="N44" s="494">
        <v>26859.690000000002</v>
      </c>
      <c r="O44" s="494">
        <v>38434.941999999995</v>
      </c>
      <c r="P44" s="494">
        <v>32843.4</v>
      </c>
      <c r="Q44" s="494">
        <v>31155</v>
      </c>
      <c r="R44" s="494">
        <v>43134.6</v>
      </c>
      <c r="S44" s="494">
        <v>35895.300000000003</v>
      </c>
      <c r="T44" s="494">
        <v>0</v>
      </c>
      <c r="U44" s="494">
        <v>0</v>
      </c>
      <c r="V44" s="494">
        <v>0</v>
      </c>
      <c r="W44" s="494">
        <v>0</v>
      </c>
      <c r="Z44" s="498">
        <v>0.46071648475633875</v>
      </c>
      <c r="AA44" s="498">
        <f>1-Z44</f>
        <v>0.53928351524366125</v>
      </c>
      <c r="AB44" s="498">
        <v>0.77041495132801496</v>
      </c>
      <c r="AC44" s="498">
        <v>0.22958504867198506</v>
      </c>
      <c r="AD44" s="404">
        <v>0.9</v>
      </c>
      <c r="AE44" s="404">
        <v>0.1</v>
      </c>
      <c r="AF44" s="412">
        <v>3.1911631478497848E-2</v>
      </c>
      <c r="AG44" s="412">
        <v>7.8874630001157672E-2</v>
      </c>
      <c r="AH44" s="412">
        <v>0.6677189378869256</v>
      </c>
      <c r="AI44" s="412">
        <v>0.22149480063341889</v>
      </c>
      <c r="AJ44" s="499">
        <v>1</v>
      </c>
      <c r="AK44" s="437" t="s">
        <v>824</v>
      </c>
      <c r="AL44" s="437"/>
      <c r="AM44" s="432" t="s">
        <v>829</v>
      </c>
    </row>
    <row r="45" spans="1:39" ht="14.4">
      <c r="A45" s="437" t="str">
        <f t="shared" si="3"/>
        <v>EXPNGA</v>
      </c>
      <c r="B45" s="437" t="s">
        <v>803</v>
      </c>
      <c r="C45" s="437" t="s">
        <v>41</v>
      </c>
      <c r="D45" s="494">
        <v>132210.16</v>
      </c>
      <c r="E45" s="494">
        <v>111920.09299999999</v>
      </c>
      <c r="F45" s="494">
        <v>82349.498000000007</v>
      </c>
      <c r="G45" s="494">
        <v>57669.023999999998</v>
      </c>
      <c r="H45" s="494">
        <v>3704508.9</v>
      </c>
      <c r="I45" s="494">
        <v>4020610.5</v>
      </c>
      <c r="J45" s="494">
        <v>4050689.17</v>
      </c>
      <c r="K45" s="494">
        <v>4239612.5290000001</v>
      </c>
      <c r="L45" s="494">
        <v>0</v>
      </c>
      <c r="M45" s="494">
        <v>1.8</v>
      </c>
      <c r="N45" s="494">
        <v>9.9</v>
      </c>
      <c r="O45" s="494">
        <v>0</v>
      </c>
      <c r="P45" s="494">
        <v>0</v>
      </c>
      <c r="Q45" s="494">
        <v>0</v>
      </c>
      <c r="R45" s="494">
        <v>0</v>
      </c>
      <c r="S45" s="494">
        <v>594.9</v>
      </c>
      <c r="T45" s="494">
        <v>0</v>
      </c>
      <c r="U45" s="494">
        <v>0</v>
      </c>
      <c r="V45" s="494">
        <v>0</v>
      </c>
      <c r="W45" s="494">
        <v>0</v>
      </c>
      <c r="Z45" s="437">
        <v>0</v>
      </c>
      <c r="AA45" s="437">
        <v>1</v>
      </c>
      <c r="AB45" s="437">
        <v>0</v>
      </c>
      <c r="AC45" s="437">
        <v>1</v>
      </c>
      <c r="AD45" s="404">
        <v>0</v>
      </c>
      <c r="AE45" s="404">
        <v>0</v>
      </c>
      <c r="AF45" s="412">
        <v>3.1911631478497848E-2</v>
      </c>
      <c r="AG45" s="412">
        <v>7.8874630001157672E-2</v>
      </c>
      <c r="AH45" s="412">
        <v>0.6677189378869256</v>
      </c>
      <c r="AI45" s="412">
        <v>0.22149480063341889</v>
      </c>
      <c r="AJ45" s="499">
        <v>0</v>
      </c>
      <c r="AK45" s="432" t="s">
        <v>832</v>
      </c>
      <c r="AL45" s="437"/>
      <c r="AM45" s="437"/>
    </row>
    <row r="46" spans="1:39" ht="14.4">
      <c r="A46" s="437" t="str">
        <f t="shared" si="3"/>
        <v>EXPPEA</v>
      </c>
      <c r="B46" s="437" t="s">
        <v>803</v>
      </c>
      <c r="C46" s="437" t="s">
        <v>675</v>
      </c>
      <c r="D46" s="494">
        <v>0</v>
      </c>
      <c r="E46" s="494">
        <v>0</v>
      </c>
      <c r="F46" s="494">
        <v>0</v>
      </c>
      <c r="G46" s="494">
        <v>0</v>
      </c>
      <c r="H46" s="494">
        <v>0</v>
      </c>
      <c r="I46" s="494">
        <v>0</v>
      </c>
      <c r="J46" s="494">
        <v>0</v>
      </c>
      <c r="K46" s="494">
        <v>0</v>
      </c>
      <c r="L46" s="494">
        <v>411.17</v>
      </c>
      <c r="M46" s="494">
        <v>172.69200000000001</v>
      </c>
      <c r="N46" s="494">
        <v>20.100000000000001</v>
      </c>
      <c r="O46" s="494">
        <v>0</v>
      </c>
      <c r="P46" s="494">
        <v>0</v>
      </c>
      <c r="Q46" s="494">
        <v>0</v>
      </c>
      <c r="R46" s="494">
        <v>0</v>
      </c>
      <c r="S46" s="494">
        <v>0</v>
      </c>
      <c r="T46" s="494">
        <v>0</v>
      </c>
      <c r="U46" s="494">
        <v>0</v>
      </c>
      <c r="V46" s="494">
        <v>0</v>
      </c>
      <c r="W46" s="494">
        <v>0</v>
      </c>
      <c r="Z46" s="498">
        <v>0.2278820625087335</v>
      </c>
      <c r="AA46" s="498">
        <v>0.77211793749126656</v>
      </c>
      <c r="AB46" s="500">
        <v>0.43589157466609557</v>
      </c>
      <c r="AC46" s="500">
        <v>0.56410842533390437</v>
      </c>
      <c r="AD46" s="404">
        <v>0.1</v>
      </c>
      <c r="AE46" s="404">
        <v>0.9</v>
      </c>
      <c r="AF46" s="500">
        <v>0.23945933192550606</v>
      </c>
      <c r="AG46" s="500">
        <v>0.35198143890868033</v>
      </c>
      <c r="AH46" s="500">
        <v>0.32686697982049234</v>
      </c>
      <c r="AI46" s="500">
        <v>8.1692249345321322E-2</v>
      </c>
      <c r="AJ46" s="499">
        <v>1</v>
      </c>
      <c r="AK46" s="437" t="s">
        <v>826</v>
      </c>
      <c r="AL46" s="437"/>
      <c r="AM46" s="432" t="s">
        <v>831</v>
      </c>
    </row>
    <row r="47" spans="1:39" ht="14.4">
      <c r="A47" s="437" t="str">
        <f t="shared" si="3"/>
        <v>EXPCRD</v>
      </c>
      <c r="B47" s="437" t="s">
        <v>803</v>
      </c>
      <c r="C47" s="437" t="s">
        <v>90</v>
      </c>
      <c r="D47" s="494">
        <v>335327.90000000002</v>
      </c>
      <c r="E47" s="494">
        <v>291366.40000000002</v>
      </c>
      <c r="F47" s="494">
        <v>208528.83499999999</v>
      </c>
      <c r="G47" s="494">
        <v>149682.91099999999</v>
      </c>
      <c r="H47" s="494">
        <v>3351767.4</v>
      </c>
      <c r="I47" s="494">
        <v>2826486</v>
      </c>
      <c r="J47" s="494">
        <v>2747088.9</v>
      </c>
      <c r="K47" s="494">
        <v>2602930.5</v>
      </c>
      <c r="L47" s="494">
        <v>0</v>
      </c>
      <c r="M47" s="494">
        <v>0</v>
      </c>
      <c r="N47" s="494">
        <v>0</v>
      </c>
      <c r="O47" s="494">
        <v>0</v>
      </c>
      <c r="P47" s="494">
        <v>35660.663999999997</v>
      </c>
      <c r="Q47" s="494">
        <v>27680.581000000002</v>
      </c>
      <c r="R47" s="494">
        <v>51013.332000000002</v>
      </c>
      <c r="S47" s="494">
        <v>53092.800000000003</v>
      </c>
      <c r="T47" s="494">
        <v>0</v>
      </c>
      <c r="U47" s="494">
        <v>0</v>
      </c>
      <c r="V47" s="494">
        <v>0</v>
      </c>
      <c r="W47" s="494">
        <v>0</v>
      </c>
      <c r="Z47" s="437">
        <v>0</v>
      </c>
      <c r="AA47" s="437">
        <v>1</v>
      </c>
      <c r="AB47" s="437">
        <v>0</v>
      </c>
      <c r="AC47" s="437">
        <v>1</v>
      </c>
      <c r="AD47" s="404">
        <v>0</v>
      </c>
      <c r="AE47" s="404">
        <v>0</v>
      </c>
      <c r="AF47" s="412">
        <v>0</v>
      </c>
      <c r="AG47" s="412">
        <v>0</v>
      </c>
      <c r="AH47" s="412">
        <v>1</v>
      </c>
      <c r="AI47" s="412">
        <v>0</v>
      </c>
      <c r="AJ47" s="499">
        <v>0</v>
      </c>
      <c r="AK47" s="437" t="s">
        <v>825</v>
      </c>
      <c r="AL47" s="437"/>
      <c r="AM47" s="437"/>
    </row>
    <row r="48" spans="1:39" ht="14.4">
      <c r="A48" s="437" t="str">
        <f t="shared" si="3"/>
        <v>EXPLPG</v>
      </c>
      <c r="B48" s="437" t="s">
        <v>803</v>
      </c>
      <c r="C48" s="437" t="s">
        <v>73</v>
      </c>
      <c r="D48" s="494">
        <v>5060</v>
      </c>
      <c r="E48" s="494">
        <v>5382</v>
      </c>
      <c r="F48" s="494">
        <v>4380.3959999999997</v>
      </c>
      <c r="G48" s="494">
        <v>4020.4920000000002</v>
      </c>
      <c r="H48" s="494">
        <v>200903.8</v>
      </c>
      <c r="I48" s="494">
        <v>241241.3</v>
      </c>
      <c r="J48" s="494">
        <v>273188.59999999998</v>
      </c>
      <c r="K48" s="494">
        <v>342015.9</v>
      </c>
      <c r="L48" s="494">
        <v>231</v>
      </c>
      <c r="M48" s="494">
        <v>277.2</v>
      </c>
      <c r="N48" s="494">
        <v>46.3</v>
      </c>
      <c r="O48" s="494">
        <v>231.5</v>
      </c>
      <c r="P48" s="494">
        <v>20149.8</v>
      </c>
      <c r="Q48" s="494">
        <v>27008.3</v>
      </c>
      <c r="R48" s="494">
        <v>26866.400000000001</v>
      </c>
      <c r="S48" s="494">
        <v>26475.3</v>
      </c>
      <c r="T48" s="494">
        <v>0</v>
      </c>
      <c r="U48" s="494">
        <v>0</v>
      </c>
      <c r="V48" s="494">
        <v>0</v>
      </c>
      <c r="W48" s="494">
        <v>0</v>
      </c>
      <c r="Z48" s="498">
        <v>0.46071648475633875</v>
      </c>
      <c r="AA48" s="498">
        <f t="shared" ref="AA48:AA56" si="4">1-Z48</f>
        <v>0.53928351524366125</v>
      </c>
      <c r="AB48" s="498">
        <v>0.77041495132801496</v>
      </c>
      <c r="AC48" s="498">
        <v>0.22958504867198506</v>
      </c>
      <c r="AD48" s="404">
        <v>0.9</v>
      </c>
      <c r="AE48" s="404">
        <v>0.1</v>
      </c>
      <c r="AF48" s="412">
        <v>3.1911631478497848E-2</v>
      </c>
      <c r="AG48" s="412">
        <v>7.8874630001157672E-2</v>
      </c>
      <c r="AH48" s="412">
        <v>0.6677189378869256</v>
      </c>
      <c r="AI48" s="412">
        <v>0.22149480063341889</v>
      </c>
      <c r="AJ48" s="499">
        <v>1</v>
      </c>
      <c r="AK48" s="437" t="s">
        <v>824</v>
      </c>
      <c r="AL48" s="437"/>
      <c r="AM48" s="432" t="s">
        <v>829</v>
      </c>
    </row>
    <row r="49" spans="1:39" ht="14.4">
      <c r="A49" s="437" t="str">
        <f t="shared" si="3"/>
        <v>EXPLVN</v>
      </c>
      <c r="B49" s="437" t="s">
        <v>803</v>
      </c>
      <c r="C49" s="437" t="s">
        <v>93</v>
      </c>
      <c r="D49" s="494">
        <v>1691</v>
      </c>
      <c r="E49" s="494">
        <v>0</v>
      </c>
      <c r="F49" s="494">
        <v>0</v>
      </c>
      <c r="G49" s="494">
        <v>0</v>
      </c>
      <c r="H49" s="494">
        <v>89512.1</v>
      </c>
      <c r="I49" s="494">
        <v>108257.4</v>
      </c>
      <c r="J49" s="494">
        <v>114052.2</v>
      </c>
      <c r="K49" s="494">
        <v>97633.600000000006</v>
      </c>
      <c r="L49" s="494">
        <v>0</v>
      </c>
      <c r="M49" s="494">
        <v>132.9</v>
      </c>
      <c r="N49" s="494">
        <v>2082.1</v>
      </c>
      <c r="O49" s="494">
        <v>3499.7</v>
      </c>
      <c r="P49" s="494">
        <v>10279.5</v>
      </c>
      <c r="Q49" s="494">
        <v>10769</v>
      </c>
      <c r="R49" s="494">
        <v>0</v>
      </c>
      <c r="S49" s="494">
        <v>1432.2329999999999</v>
      </c>
      <c r="T49" s="494">
        <v>0</v>
      </c>
      <c r="U49" s="494">
        <v>0</v>
      </c>
      <c r="V49" s="494">
        <v>0</v>
      </c>
      <c r="W49" s="494">
        <v>0</v>
      </c>
      <c r="Z49" s="498">
        <v>0.46071648475633875</v>
      </c>
      <c r="AA49" s="498">
        <f t="shared" si="4"/>
        <v>0.53928351524366125</v>
      </c>
      <c r="AB49" s="498">
        <v>0.77041495132801496</v>
      </c>
      <c r="AC49" s="498">
        <v>0.22958504867198506</v>
      </c>
      <c r="AD49" s="404">
        <v>0.9</v>
      </c>
      <c r="AE49" s="404">
        <v>0.1</v>
      </c>
      <c r="AF49" s="412">
        <v>3.1911631478497848E-2</v>
      </c>
      <c r="AG49" s="412">
        <v>7.8874630001157672E-2</v>
      </c>
      <c r="AH49" s="412">
        <v>0.6677189378869256</v>
      </c>
      <c r="AI49" s="412">
        <v>0.22149480063341889</v>
      </c>
      <c r="AJ49" s="499">
        <v>1</v>
      </c>
      <c r="AK49" s="437" t="s">
        <v>824</v>
      </c>
      <c r="AL49" s="437"/>
      <c r="AM49" s="432" t="s">
        <v>829</v>
      </c>
    </row>
    <row r="50" spans="1:39" ht="14.4">
      <c r="A50" s="437" t="str">
        <f t="shared" si="3"/>
        <v>EXPKER</v>
      </c>
      <c r="B50" s="437" t="s">
        <v>803</v>
      </c>
      <c r="C50" s="437" t="s">
        <v>77</v>
      </c>
      <c r="D50" s="494">
        <v>15094.5</v>
      </c>
      <c r="E50" s="494">
        <v>6568.5</v>
      </c>
      <c r="F50" s="494">
        <v>2794.828</v>
      </c>
      <c r="G50" s="494">
        <v>2472.5839999999998</v>
      </c>
      <c r="H50" s="494">
        <v>7233.7000000000007</v>
      </c>
      <c r="I50" s="494">
        <v>15096.8</v>
      </c>
      <c r="J50" s="494">
        <v>19605.399999999998</v>
      </c>
      <c r="K50" s="494">
        <v>2716.1</v>
      </c>
      <c r="L50" s="494">
        <v>3927.3999999999996</v>
      </c>
      <c r="M50" s="494">
        <v>7174.76</v>
      </c>
      <c r="N50" s="494">
        <v>3797.46</v>
      </c>
      <c r="O50" s="494">
        <v>2415.88</v>
      </c>
      <c r="P50" s="494">
        <v>1498.7</v>
      </c>
      <c r="Q50" s="494">
        <v>1940.6</v>
      </c>
      <c r="R50" s="494">
        <v>0</v>
      </c>
      <c r="S50" s="494">
        <v>3974.4</v>
      </c>
      <c r="T50" s="494">
        <v>0</v>
      </c>
      <c r="U50" s="494">
        <v>0</v>
      </c>
      <c r="V50" s="494">
        <v>0</v>
      </c>
      <c r="W50" s="494">
        <v>0</v>
      </c>
      <c r="Z50" s="498">
        <v>0.46071648475633875</v>
      </c>
      <c r="AA50" s="498">
        <f t="shared" si="4"/>
        <v>0.53928351524366125</v>
      </c>
      <c r="AB50" s="498">
        <v>0.77041495132801496</v>
      </c>
      <c r="AC50" s="498">
        <v>0.22958504867198506</v>
      </c>
      <c r="AD50" s="404">
        <v>0.9</v>
      </c>
      <c r="AE50" s="404">
        <v>0.1</v>
      </c>
      <c r="AF50" s="412">
        <v>3.1911631478497848E-2</v>
      </c>
      <c r="AG50" s="412">
        <v>7.8874630001157672E-2</v>
      </c>
      <c r="AH50" s="412">
        <v>0.6677189378869256</v>
      </c>
      <c r="AI50" s="412">
        <v>0.22149480063341889</v>
      </c>
      <c r="AJ50" s="499">
        <v>1</v>
      </c>
      <c r="AK50" s="437" t="s">
        <v>824</v>
      </c>
      <c r="AL50" s="437"/>
      <c r="AM50" s="432" t="s">
        <v>829</v>
      </c>
    </row>
    <row r="51" spans="1:39" ht="14.4">
      <c r="A51" s="437" t="str">
        <f t="shared" si="3"/>
        <v>EXPGSL</v>
      </c>
      <c r="B51" s="437" t="s">
        <v>803</v>
      </c>
      <c r="C51" s="437" t="s">
        <v>74</v>
      </c>
      <c r="D51" s="494">
        <v>41785.199999999997</v>
      </c>
      <c r="E51" s="494">
        <v>59743.199999999997</v>
      </c>
      <c r="F51" s="494">
        <v>58497.309000000001</v>
      </c>
      <c r="G51" s="494">
        <v>51884.56</v>
      </c>
      <c r="H51" s="494">
        <v>87536.8</v>
      </c>
      <c r="I51" s="494">
        <v>117169.1</v>
      </c>
      <c r="J51" s="494">
        <v>138241.1</v>
      </c>
      <c r="K51" s="494">
        <v>170551.5</v>
      </c>
      <c r="L51" s="494">
        <v>100233</v>
      </c>
      <c r="M51" s="494">
        <v>107113</v>
      </c>
      <c r="N51" s="494">
        <v>103465.60000000001</v>
      </c>
      <c r="O51" s="494">
        <v>130417</v>
      </c>
      <c r="P51" s="494">
        <v>94491.9</v>
      </c>
      <c r="Q51" s="494">
        <v>125324.7</v>
      </c>
      <c r="R51" s="494">
        <v>170998</v>
      </c>
      <c r="S51" s="494">
        <v>157645.47</v>
      </c>
      <c r="T51" s="494">
        <v>0</v>
      </c>
      <c r="U51" s="494">
        <v>0</v>
      </c>
      <c r="V51" s="494">
        <v>0</v>
      </c>
      <c r="W51" s="494">
        <v>0</v>
      </c>
      <c r="Z51" s="498">
        <v>0.46071648475633875</v>
      </c>
      <c r="AA51" s="498">
        <f t="shared" si="4"/>
        <v>0.53928351524366125</v>
      </c>
      <c r="AB51" s="498">
        <v>0.77041495132801496</v>
      </c>
      <c r="AC51" s="498">
        <v>0.22958504867198506</v>
      </c>
      <c r="AD51" s="404">
        <v>0.9</v>
      </c>
      <c r="AE51" s="404">
        <v>0.1</v>
      </c>
      <c r="AF51" s="412">
        <v>3.1911631478497848E-2</v>
      </c>
      <c r="AG51" s="412">
        <v>7.8874630001157672E-2</v>
      </c>
      <c r="AH51" s="412">
        <v>0.6677189378869256</v>
      </c>
      <c r="AI51" s="412">
        <v>0.22149480063341889</v>
      </c>
      <c r="AJ51" s="499">
        <v>1</v>
      </c>
      <c r="AK51" s="437" t="s">
        <v>824</v>
      </c>
      <c r="AL51" s="437"/>
      <c r="AM51" s="432" t="s">
        <v>829</v>
      </c>
    </row>
    <row r="52" spans="1:39" ht="14.4">
      <c r="A52" s="437" t="str">
        <f t="shared" si="3"/>
        <v>EXPDSL</v>
      </c>
      <c r="B52" s="437" t="s">
        <v>803</v>
      </c>
      <c r="C52" s="437" t="s">
        <v>45</v>
      </c>
      <c r="D52" s="494">
        <v>43169.7</v>
      </c>
      <c r="E52" s="494">
        <v>63196</v>
      </c>
      <c r="F52" s="494">
        <v>109848.056</v>
      </c>
      <c r="G52" s="494">
        <v>73388.062999999995</v>
      </c>
      <c r="H52" s="494">
        <v>82775</v>
      </c>
      <c r="I52" s="494">
        <v>108704</v>
      </c>
      <c r="J52" s="494">
        <v>143792</v>
      </c>
      <c r="K52" s="494">
        <v>177356.5</v>
      </c>
      <c r="L52" s="494">
        <v>124592.83199999999</v>
      </c>
      <c r="M52" s="494">
        <v>133601.94</v>
      </c>
      <c r="N52" s="494">
        <v>125549.04</v>
      </c>
      <c r="O52" s="494">
        <v>154115.45499999999</v>
      </c>
      <c r="P52" s="494">
        <v>197327</v>
      </c>
      <c r="Q52" s="494">
        <v>219257</v>
      </c>
      <c r="R52" s="494">
        <v>238908</v>
      </c>
      <c r="S52" s="494">
        <v>267966.37800000003</v>
      </c>
      <c r="T52" s="494">
        <v>0</v>
      </c>
      <c r="U52" s="494">
        <v>0</v>
      </c>
      <c r="V52" s="494">
        <v>0</v>
      </c>
      <c r="W52" s="494">
        <v>0</v>
      </c>
      <c r="Z52" s="498">
        <v>0.46071648475633875</v>
      </c>
      <c r="AA52" s="498">
        <f t="shared" si="4"/>
        <v>0.53928351524366125</v>
      </c>
      <c r="AB52" s="498">
        <v>0.77041495132801496</v>
      </c>
      <c r="AC52" s="498">
        <v>0.22958504867198506</v>
      </c>
      <c r="AD52" s="404">
        <v>0.9</v>
      </c>
      <c r="AE52" s="404">
        <v>0.1</v>
      </c>
      <c r="AF52" s="412">
        <v>3.1911631478497848E-2</v>
      </c>
      <c r="AG52" s="412">
        <v>7.8874630001157672E-2</v>
      </c>
      <c r="AH52" s="412">
        <v>0.6677189378869256</v>
      </c>
      <c r="AI52" s="412">
        <v>0.22149480063341889</v>
      </c>
      <c r="AJ52" s="499">
        <v>1</v>
      </c>
      <c r="AK52" s="437" t="s">
        <v>824</v>
      </c>
      <c r="AL52" s="437"/>
      <c r="AM52" s="432" t="s">
        <v>829</v>
      </c>
    </row>
    <row r="53" spans="1:39" ht="14.4">
      <c r="A53" s="437" t="str">
        <f t="shared" si="3"/>
        <v>EXPHFO</v>
      </c>
      <c r="B53" s="437" t="s">
        <v>803</v>
      </c>
      <c r="C53" s="437" t="s">
        <v>44</v>
      </c>
      <c r="D53" s="494">
        <v>113160.4</v>
      </c>
      <c r="E53" s="494">
        <v>106858</v>
      </c>
      <c r="F53" s="494">
        <v>183887.06400000001</v>
      </c>
      <c r="G53" s="494">
        <v>114842.25199999999</v>
      </c>
      <c r="H53" s="494">
        <v>66827.600000000006</v>
      </c>
      <c r="I53" s="494">
        <v>67193</v>
      </c>
      <c r="J53" s="494">
        <v>59073</v>
      </c>
      <c r="K53" s="494">
        <v>57327.6</v>
      </c>
      <c r="L53" s="494">
        <v>28441.599999999999</v>
      </c>
      <c r="M53" s="494">
        <v>44318.8</v>
      </c>
      <c r="N53" s="494">
        <v>31673.599999999999</v>
      </c>
      <c r="O53" s="494">
        <v>47066</v>
      </c>
      <c r="P53" s="494">
        <v>146530.79999999999</v>
      </c>
      <c r="Q53" s="494">
        <v>130128.4</v>
      </c>
      <c r="R53" s="494">
        <v>115180.4</v>
      </c>
      <c r="S53" s="494">
        <v>181781.98800000001</v>
      </c>
      <c r="T53" s="494">
        <v>0</v>
      </c>
      <c r="U53" s="494">
        <v>0</v>
      </c>
      <c r="V53" s="494">
        <v>0</v>
      </c>
      <c r="W53" s="494">
        <v>0</v>
      </c>
      <c r="Z53" s="498">
        <v>0.46071648475633875</v>
      </c>
      <c r="AA53" s="498">
        <f t="shared" si="4"/>
        <v>0.53928351524366125</v>
      </c>
      <c r="AB53" s="498">
        <v>0.77041495132801496</v>
      </c>
      <c r="AC53" s="498">
        <v>0.22958504867198506</v>
      </c>
      <c r="AD53" s="404">
        <v>0.9</v>
      </c>
      <c r="AE53" s="404">
        <v>0.1</v>
      </c>
      <c r="AF53" s="412">
        <v>3.1911631478497848E-2</v>
      </c>
      <c r="AG53" s="412">
        <v>7.8874630001157672E-2</v>
      </c>
      <c r="AH53" s="412">
        <v>0.6677189378869256</v>
      </c>
      <c r="AI53" s="412">
        <v>0.22149480063341889</v>
      </c>
      <c r="AJ53" s="499">
        <v>1</v>
      </c>
      <c r="AK53" s="437" t="s">
        <v>824</v>
      </c>
      <c r="AL53" s="437"/>
      <c r="AM53" s="432" t="s">
        <v>829</v>
      </c>
    </row>
    <row r="54" spans="1:39" ht="14.4">
      <c r="A54" s="437" t="str">
        <f t="shared" si="3"/>
        <v>EXPGSB</v>
      </c>
      <c r="B54" s="437" t="s">
        <v>803</v>
      </c>
      <c r="C54" s="437" t="s">
        <v>798</v>
      </c>
      <c r="D54" s="494">
        <v>0</v>
      </c>
      <c r="E54" s="494">
        <v>0</v>
      </c>
      <c r="F54" s="494">
        <v>0</v>
      </c>
      <c r="G54" s="494">
        <v>0</v>
      </c>
      <c r="H54" s="494">
        <v>0</v>
      </c>
      <c r="I54" s="494">
        <v>0</v>
      </c>
      <c r="J54" s="494">
        <v>0</v>
      </c>
      <c r="K54" s="494">
        <v>0</v>
      </c>
      <c r="L54" s="494">
        <v>0</v>
      </c>
      <c r="M54" s="494">
        <v>0</v>
      </c>
      <c r="N54" s="494">
        <v>0</v>
      </c>
      <c r="O54" s="494">
        <v>0</v>
      </c>
      <c r="P54" s="494">
        <v>1589.393</v>
      </c>
      <c r="Q54" s="494">
        <v>985.23699999999997</v>
      </c>
      <c r="R54" s="494">
        <v>3245.194</v>
      </c>
      <c r="S54" s="494">
        <v>6083.8430000000008</v>
      </c>
      <c r="T54" s="494">
        <v>0</v>
      </c>
      <c r="U54" s="494">
        <v>0</v>
      </c>
      <c r="V54" s="494">
        <v>0</v>
      </c>
      <c r="W54" s="494">
        <v>0</v>
      </c>
      <c r="Z54" s="498">
        <v>0.46071648475633875</v>
      </c>
      <c r="AA54" s="498">
        <f t="shared" si="4"/>
        <v>0.53928351524366125</v>
      </c>
      <c r="AB54" s="498">
        <v>0.77041495132801496</v>
      </c>
      <c r="AC54" s="498">
        <v>0.22958504867198506</v>
      </c>
      <c r="AD54" s="404">
        <v>0.9</v>
      </c>
      <c r="AE54" s="404">
        <v>0.1</v>
      </c>
      <c r="AF54" s="412">
        <v>3.1911631478497848E-2</v>
      </c>
      <c r="AG54" s="412">
        <v>7.8874630001157672E-2</v>
      </c>
      <c r="AH54" s="412">
        <v>0.6677189378869256</v>
      </c>
      <c r="AI54" s="412">
        <v>0.22149480063341889</v>
      </c>
      <c r="AJ54" s="499">
        <v>1</v>
      </c>
      <c r="AK54" s="437" t="s">
        <v>824</v>
      </c>
      <c r="AL54" s="437"/>
      <c r="AM54" s="432" t="s">
        <v>829</v>
      </c>
    </row>
    <row r="55" spans="1:39" ht="14.4">
      <c r="A55" s="437" t="str">
        <f t="shared" si="3"/>
        <v>EXPDSB</v>
      </c>
      <c r="B55" s="437" t="s">
        <v>803</v>
      </c>
      <c r="C55" s="437" t="s">
        <v>799</v>
      </c>
      <c r="D55" s="494">
        <v>2850</v>
      </c>
      <c r="E55" s="494">
        <v>1687.5</v>
      </c>
      <c r="F55" s="494">
        <v>1084.3499999999999</v>
      </c>
      <c r="G55" s="494">
        <v>2115.5250000000001</v>
      </c>
      <c r="H55" s="494">
        <v>0</v>
      </c>
      <c r="I55" s="494">
        <v>3288.5949999999998</v>
      </c>
      <c r="J55" s="494">
        <v>166.41</v>
      </c>
      <c r="K55" s="494">
        <v>2031.654</v>
      </c>
      <c r="L55" s="494">
        <v>7468.4250000000002</v>
      </c>
      <c r="M55" s="494">
        <v>9475.4</v>
      </c>
      <c r="N55" s="494">
        <v>0</v>
      </c>
      <c r="O55" s="494">
        <v>0</v>
      </c>
      <c r="P55" s="494">
        <v>140.40700000000001</v>
      </c>
      <c r="Q55" s="494">
        <v>112.236</v>
      </c>
      <c r="R55" s="494">
        <v>146.709</v>
      </c>
      <c r="S55" s="494">
        <v>6559.9559999999992</v>
      </c>
      <c r="T55" s="494">
        <v>0</v>
      </c>
      <c r="U55" s="494">
        <v>0</v>
      </c>
      <c r="V55" s="494">
        <v>0</v>
      </c>
      <c r="W55" s="494">
        <v>0</v>
      </c>
      <c r="Z55" s="498">
        <v>0.46071648475633875</v>
      </c>
      <c r="AA55" s="498">
        <f t="shared" si="4"/>
        <v>0.53928351524366125</v>
      </c>
      <c r="AB55" s="498">
        <v>0.77041495132801496</v>
      </c>
      <c r="AC55" s="498">
        <v>0.22958504867198506</v>
      </c>
      <c r="AD55" s="404">
        <v>0.9</v>
      </c>
      <c r="AE55" s="404">
        <v>0.1</v>
      </c>
      <c r="AF55" s="412">
        <v>3.1911631478497848E-2</v>
      </c>
      <c r="AG55" s="412">
        <v>7.8874630001157672E-2</v>
      </c>
      <c r="AH55" s="412">
        <v>0.6677189378869256</v>
      </c>
      <c r="AI55" s="412">
        <v>0.22149480063341889</v>
      </c>
      <c r="AJ55" s="499">
        <v>1</v>
      </c>
      <c r="AK55" s="437" t="s">
        <v>824</v>
      </c>
      <c r="AL55" s="437"/>
      <c r="AM55" s="432" t="s">
        <v>829</v>
      </c>
    </row>
    <row r="56" spans="1:39" ht="14.4">
      <c r="A56" s="437" t="str">
        <f t="shared" si="3"/>
        <v>EXPKRB</v>
      </c>
      <c r="B56" s="437" t="s">
        <v>803</v>
      </c>
      <c r="C56" s="437" t="s">
        <v>800</v>
      </c>
      <c r="D56" s="494">
        <v>0</v>
      </c>
      <c r="E56" s="494">
        <v>0</v>
      </c>
      <c r="F56" s="494">
        <v>0</v>
      </c>
      <c r="G56" s="494">
        <v>0</v>
      </c>
      <c r="H56" s="494">
        <v>0</v>
      </c>
      <c r="I56" s="494">
        <v>0</v>
      </c>
      <c r="J56" s="494">
        <v>0</v>
      </c>
      <c r="K56" s="494">
        <v>0</v>
      </c>
      <c r="L56" s="494">
        <v>0</v>
      </c>
      <c r="M56" s="494">
        <v>0</v>
      </c>
      <c r="N56" s="494">
        <v>43.1</v>
      </c>
      <c r="O56" s="494">
        <v>301.7</v>
      </c>
      <c r="P56" s="494">
        <v>0</v>
      </c>
      <c r="Q56" s="494">
        <v>0</v>
      </c>
      <c r="R56" s="494">
        <v>0</v>
      </c>
      <c r="S56" s="494">
        <v>0</v>
      </c>
      <c r="T56" s="494">
        <v>0</v>
      </c>
      <c r="U56" s="494">
        <v>0</v>
      </c>
      <c r="V56" s="494">
        <v>0</v>
      </c>
      <c r="W56" s="494">
        <v>0</v>
      </c>
      <c r="Z56" s="498">
        <v>0.46071648475633875</v>
      </c>
      <c r="AA56" s="498">
        <f t="shared" si="4"/>
        <v>0.53928351524366125</v>
      </c>
      <c r="AB56" s="498">
        <v>0.77041495132801496</v>
      </c>
      <c r="AC56" s="498">
        <v>0.22958504867198506</v>
      </c>
      <c r="AD56" s="404">
        <v>0.9</v>
      </c>
      <c r="AE56" s="404">
        <v>0.1</v>
      </c>
      <c r="AF56" s="412">
        <v>3.1911631478497848E-2</v>
      </c>
      <c r="AG56" s="412">
        <v>7.8874630001157672E-2</v>
      </c>
      <c r="AH56" s="412">
        <v>0.6677189378869256</v>
      </c>
      <c r="AI56" s="412">
        <v>0.22149480063341889</v>
      </c>
      <c r="AJ56" s="499">
        <v>1</v>
      </c>
      <c r="AK56" s="437" t="s">
        <v>824</v>
      </c>
      <c r="AL56" s="437"/>
      <c r="AM56" s="432" t="s">
        <v>829</v>
      </c>
    </row>
    <row r="57" spans="1:39" ht="14.4">
      <c r="A57" s="437" t="str">
        <f t="shared" si="3"/>
        <v>EXPBGA</v>
      </c>
      <c r="B57" s="437" t="s">
        <v>803</v>
      </c>
      <c r="C57" s="437" t="s">
        <v>126</v>
      </c>
      <c r="D57" s="494">
        <v>0</v>
      </c>
      <c r="E57" s="494">
        <v>0</v>
      </c>
      <c r="F57" s="494">
        <v>0</v>
      </c>
      <c r="G57" s="494">
        <v>0</v>
      </c>
      <c r="H57" s="494">
        <v>0</v>
      </c>
      <c r="I57" s="494">
        <v>0</v>
      </c>
      <c r="J57" s="494">
        <v>0</v>
      </c>
      <c r="K57" s="494">
        <v>0</v>
      </c>
      <c r="L57" s="494">
        <v>0</v>
      </c>
      <c r="M57" s="494">
        <v>0</v>
      </c>
      <c r="N57" s="494">
        <v>0</v>
      </c>
      <c r="O57" s="494">
        <v>0</v>
      </c>
      <c r="P57" s="494">
        <v>0</v>
      </c>
      <c r="Q57" s="494">
        <v>0</v>
      </c>
      <c r="R57" s="494">
        <v>0</v>
      </c>
      <c r="S57" s="494">
        <v>0</v>
      </c>
      <c r="T57" s="494">
        <v>0</v>
      </c>
      <c r="U57" s="494">
        <v>0</v>
      </c>
      <c r="V57" s="494">
        <v>0</v>
      </c>
      <c r="W57" s="494">
        <v>0</v>
      </c>
      <c r="Z57" s="500">
        <v>0.16985317211055276</v>
      </c>
      <c r="AA57" s="500">
        <v>0.83014682788944727</v>
      </c>
      <c r="AB57" s="500">
        <v>0.48632184165814718</v>
      </c>
      <c r="AC57" s="500">
        <v>0.51367815834185271</v>
      </c>
      <c r="AD57" s="404">
        <v>0.1</v>
      </c>
      <c r="AE57" s="404">
        <v>0.9</v>
      </c>
      <c r="AF57" s="500">
        <v>2.8368794326241134E-2</v>
      </c>
      <c r="AG57" s="500">
        <v>7.0921985815602835E-3</v>
      </c>
      <c r="AH57" s="500">
        <v>0.55319148936170215</v>
      </c>
      <c r="AI57" s="500">
        <v>0.41134751773049644</v>
      </c>
      <c r="AJ57" s="499">
        <v>1</v>
      </c>
      <c r="AK57" s="432" t="s">
        <v>830</v>
      </c>
      <c r="AL57" s="437"/>
      <c r="AM57" s="432" t="s">
        <v>831</v>
      </c>
    </row>
    <row r="58" spans="1:39" ht="14.4">
      <c r="A58" s="437" t="str">
        <f t="shared" si="3"/>
        <v>EXPWST</v>
      </c>
      <c r="B58" s="437" t="s">
        <v>803</v>
      </c>
      <c r="C58" s="437" t="s">
        <v>42</v>
      </c>
      <c r="D58" s="494">
        <v>0</v>
      </c>
      <c r="E58" s="494">
        <v>0</v>
      </c>
      <c r="F58" s="494">
        <v>0</v>
      </c>
      <c r="G58" s="494">
        <v>0</v>
      </c>
      <c r="H58" s="494">
        <v>0</v>
      </c>
      <c r="I58" s="494">
        <v>0</v>
      </c>
      <c r="J58" s="494">
        <v>0</v>
      </c>
      <c r="K58" s="494">
        <v>0</v>
      </c>
      <c r="L58" s="494">
        <v>0</v>
      </c>
      <c r="M58" s="494">
        <v>0</v>
      </c>
      <c r="N58" s="494">
        <v>0</v>
      </c>
      <c r="O58" s="494">
        <v>0</v>
      </c>
      <c r="P58" s="494">
        <v>3</v>
      </c>
      <c r="Q58" s="494">
        <v>24</v>
      </c>
      <c r="R58" s="494">
        <v>3</v>
      </c>
      <c r="S58" s="494">
        <v>6</v>
      </c>
      <c r="T58" s="494">
        <v>0</v>
      </c>
      <c r="U58" s="494">
        <v>0</v>
      </c>
      <c r="V58" s="494">
        <v>0</v>
      </c>
      <c r="W58" s="494">
        <v>0</v>
      </c>
      <c r="Z58" s="498">
        <v>0.46071648475633875</v>
      </c>
      <c r="AA58" s="498">
        <f>1-Z58</f>
        <v>0.53928351524366125</v>
      </c>
      <c r="AB58" s="498">
        <v>0.77041495132801496</v>
      </c>
      <c r="AC58" s="498">
        <v>0.22958504867198506</v>
      </c>
      <c r="AD58" s="404">
        <v>0.9</v>
      </c>
      <c r="AE58" s="404">
        <v>0.1</v>
      </c>
      <c r="AF58" s="412">
        <v>3.1911631478497848E-2</v>
      </c>
      <c r="AG58" s="412">
        <v>7.8874630001157672E-2</v>
      </c>
      <c r="AH58" s="412">
        <v>0.6677189378869256</v>
      </c>
      <c r="AI58" s="412">
        <v>0.22149480063341889</v>
      </c>
      <c r="AJ58" s="499">
        <v>1</v>
      </c>
      <c r="AK58" s="437" t="s">
        <v>824</v>
      </c>
      <c r="AL58" s="437"/>
      <c r="AM58" s="432" t="s">
        <v>829</v>
      </c>
    </row>
    <row r="59" spans="1:39" ht="14.4">
      <c r="A59" s="437" t="str">
        <f t="shared" si="3"/>
        <v>EXPBIO</v>
      </c>
      <c r="B59" s="437" t="s">
        <v>803</v>
      </c>
      <c r="C59" s="437" t="s">
        <v>801</v>
      </c>
      <c r="D59" s="494">
        <v>0</v>
      </c>
      <c r="E59" s="494">
        <v>0</v>
      </c>
      <c r="F59" s="494">
        <v>0</v>
      </c>
      <c r="G59" s="494">
        <v>0</v>
      </c>
      <c r="H59" s="494">
        <v>266.5</v>
      </c>
      <c r="I59" s="494">
        <v>813.5</v>
      </c>
      <c r="J59" s="494">
        <v>585</v>
      </c>
      <c r="K59" s="494">
        <v>461.5</v>
      </c>
      <c r="L59" s="494">
        <v>3372</v>
      </c>
      <c r="M59" s="494">
        <v>1497</v>
      </c>
      <c r="N59" s="494">
        <v>1738</v>
      </c>
      <c r="O59" s="494">
        <v>1560</v>
      </c>
      <c r="P59" s="494">
        <v>0</v>
      </c>
      <c r="Q59" s="494">
        <v>3399</v>
      </c>
      <c r="R59" s="494">
        <v>4198</v>
      </c>
      <c r="S59" s="494">
        <v>2951</v>
      </c>
      <c r="T59" s="494">
        <v>0</v>
      </c>
      <c r="U59" s="494">
        <v>0</v>
      </c>
      <c r="V59" s="494">
        <v>0</v>
      </c>
      <c r="W59" s="494">
        <v>0</v>
      </c>
      <c r="Z59" s="498">
        <v>0.2278820625087335</v>
      </c>
      <c r="AA59" s="498">
        <v>0.77211793749126656</v>
      </c>
      <c r="AB59" s="500">
        <v>0.43589157466609557</v>
      </c>
      <c r="AC59" s="500">
        <v>0.56410842533390437</v>
      </c>
      <c r="AD59" s="404">
        <v>0.1</v>
      </c>
      <c r="AE59" s="404">
        <v>0.9</v>
      </c>
      <c r="AF59" s="500">
        <v>0.23945933192550606</v>
      </c>
      <c r="AG59" s="500">
        <v>0.35198143890868033</v>
      </c>
      <c r="AH59" s="500">
        <v>0.32686697982049234</v>
      </c>
      <c r="AI59" s="500">
        <v>8.1692249345321322E-2</v>
      </c>
      <c r="AJ59" s="499">
        <v>1</v>
      </c>
      <c r="AK59" s="437" t="s">
        <v>826</v>
      </c>
      <c r="AL59" s="437"/>
      <c r="AM59" s="432" t="s">
        <v>831</v>
      </c>
    </row>
    <row r="60" spans="1:39" ht="14.4">
      <c r="A60" s="437" t="str">
        <f t="shared" si="3"/>
        <v>EXPURN</v>
      </c>
      <c r="B60" s="437" t="s">
        <v>803</v>
      </c>
      <c r="C60" s="437" t="s">
        <v>684</v>
      </c>
      <c r="D60" s="494">
        <v>0</v>
      </c>
      <c r="E60" s="494">
        <v>0</v>
      </c>
      <c r="F60" s="494">
        <v>0</v>
      </c>
      <c r="G60" s="494">
        <v>0</v>
      </c>
      <c r="H60" s="494">
        <v>0</v>
      </c>
      <c r="I60" s="494">
        <v>0</v>
      </c>
      <c r="J60" s="494">
        <v>0</v>
      </c>
      <c r="K60" s="494">
        <v>0</v>
      </c>
      <c r="L60" s="494">
        <v>0</v>
      </c>
      <c r="M60" s="494">
        <v>0</v>
      </c>
      <c r="N60" s="494">
        <v>0</v>
      </c>
      <c r="O60" s="494">
        <v>0</v>
      </c>
      <c r="P60" s="494">
        <v>0</v>
      </c>
      <c r="Q60" s="494">
        <v>0</v>
      </c>
      <c r="R60" s="494">
        <v>0</v>
      </c>
      <c r="S60" s="494">
        <v>0</v>
      </c>
      <c r="T60" s="494">
        <v>0</v>
      </c>
      <c r="U60" s="494">
        <v>0</v>
      </c>
      <c r="V60" s="494">
        <v>0</v>
      </c>
      <c r="W60" s="494">
        <v>0</v>
      </c>
      <c r="Z60" s="437">
        <v>0</v>
      </c>
      <c r="AA60" s="437">
        <v>0</v>
      </c>
      <c r="AB60" s="437">
        <v>0</v>
      </c>
      <c r="AC60" s="437">
        <v>0</v>
      </c>
      <c r="AD60" s="404">
        <v>0</v>
      </c>
      <c r="AE60" s="404">
        <v>1</v>
      </c>
      <c r="AF60" s="412">
        <f>2/3</f>
        <v>0.66666666666666663</v>
      </c>
      <c r="AG60" s="412">
        <v>0</v>
      </c>
      <c r="AH60" s="412">
        <f>1/3</f>
        <v>0.33333333333333331</v>
      </c>
      <c r="AI60" s="437">
        <v>0</v>
      </c>
      <c r="AJ60" s="499">
        <v>1</v>
      </c>
      <c r="AK60" s="437" t="s">
        <v>825</v>
      </c>
      <c r="AL60" s="437"/>
      <c r="AM60" s="437" t="s">
        <v>828</v>
      </c>
    </row>
    <row r="61" spans="1:39">
      <c r="B61" s="437" t="s">
        <v>804</v>
      </c>
      <c r="C61" s="437" t="s">
        <v>40</v>
      </c>
      <c r="D61" s="437">
        <v>50688.58</v>
      </c>
      <c r="E61" s="437">
        <v>7319.93</v>
      </c>
      <c r="F61" s="437">
        <v>12527.786</v>
      </c>
      <c r="G61" s="437">
        <v>-467.28999999999996</v>
      </c>
      <c r="H61" s="437">
        <v>-7885.7</v>
      </c>
      <c r="I61" s="437">
        <v>1949.5</v>
      </c>
      <c r="J61" s="437">
        <v>2357.3000000000002</v>
      </c>
      <c r="K61" s="437">
        <v>68.161000000000058</v>
      </c>
      <c r="L61" s="437">
        <v>26306.442999999999</v>
      </c>
      <c r="M61" s="437">
        <v>16517.77</v>
      </c>
      <c r="N61" s="437">
        <v>8545.652</v>
      </c>
      <c r="O61" s="437">
        <v>-661.40000000000009</v>
      </c>
      <c r="P61" s="437">
        <v>-11611.46</v>
      </c>
      <c r="Q61" s="437">
        <v>14569.039999999999</v>
      </c>
      <c r="R61" s="437">
        <v>2176</v>
      </c>
      <c r="S61" s="437">
        <v>-217.88000000000011</v>
      </c>
      <c r="T61" s="437">
        <v>133.35</v>
      </c>
      <c r="U61" s="437">
        <v>-185.31</v>
      </c>
      <c r="V61" s="437">
        <v>0</v>
      </c>
      <c r="W61" s="437">
        <v>361.33299999999997</v>
      </c>
      <c r="Z61" s="498">
        <v>0.46071648475633875</v>
      </c>
      <c r="AA61" s="498">
        <f>1-Z61</f>
        <v>0.53928351524366125</v>
      </c>
      <c r="AB61" s="498">
        <v>0.77041495132801496</v>
      </c>
      <c r="AC61" s="498">
        <v>0.22958504867198506</v>
      </c>
      <c r="AD61" s="404">
        <v>0.9</v>
      </c>
      <c r="AE61" s="404">
        <v>0.1</v>
      </c>
      <c r="AF61" s="412">
        <v>3.1911631478497848E-2</v>
      </c>
      <c r="AG61" s="412">
        <v>7.8874630001157672E-2</v>
      </c>
      <c r="AH61" s="412">
        <v>0.6677189378869256</v>
      </c>
      <c r="AI61" s="412">
        <v>0.22149480063341889</v>
      </c>
      <c r="AJ61" s="499">
        <v>1</v>
      </c>
      <c r="AK61" s="437" t="s">
        <v>824</v>
      </c>
      <c r="AL61" s="437"/>
      <c r="AM61" s="432" t="s">
        <v>829</v>
      </c>
    </row>
    <row r="62" spans="1:39">
      <c r="A62" s="437"/>
      <c r="B62" s="437" t="s">
        <v>804</v>
      </c>
      <c r="C62" s="437" t="s">
        <v>785</v>
      </c>
      <c r="D62" s="437">
        <v>-238.8</v>
      </c>
      <c r="E62" s="437">
        <v>-146</v>
      </c>
      <c r="F62" s="437">
        <v>104.276</v>
      </c>
      <c r="G62" s="437">
        <v>130.624</v>
      </c>
      <c r="H62" s="437">
        <v>334</v>
      </c>
      <c r="I62" s="437">
        <v>0</v>
      </c>
      <c r="J62" s="437">
        <v>-230.5</v>
      </c>
      <c r="K62" s="437">
        <v>-46.1</v>
      </c>
      <c r="L62" s="437">
        <v>0</v>
      </c>
      <c r="M62" s="437">
        <v>315.87200000000001</v>
      </c>
      <c r="N62" s="437">
        <v>111</v>
      </c>
      <c r="O62" s="437">
        <v>7.715999999999994</v>
      </c>
      <c r="P62" s="437">
        <v>884.4</v>
      </c>
      <c r="Q62" s="437">
        <v>-1626.6</v>
      </c>
      <c r="R62" s="437">
        <v>158.5</v>
      </c>
      <c r="S62" s="437">
        <v>-1553.386</v>
      </c>
      <c r="T62" s="437">
        <v>0</v>
      </c>
      <c r="U62" s="437">
        <v>0</v>
      </c>
      <c r="V62" s="437">
        <v>0</v>
      </c>
      <c r="W62" s="437">
        <v>0</v>
      </c>
      <c r="Z62" s="498">
        <v>0.46071648475633875</v>
      </c>
      <c r="AA62" s="498">
        <f>1-Z62</f>
        <v>0.53928351524366125</v>
      </c>
      <c r="AB62" s="498">
        <v>0.77041495132801496</v>
      </c>
      <c r="AC62" s="498">
        <v>0.22958504867198506</v>
      </c>
      <c r="AD62" s="404">
        <v>0.9</v>
      </c>
      <c r="AE62" s="404">
        <v>0.1</v>
      </c>
      <c r="AF62" s="412">
        <v>3.1911631478497848E-2</v>
      </c>
      <c r="AG62" s="412">
        <v>7.8874630001157672E-2</v>
      </c>
      <c r="AH62" s="412">
        <v>0.6677189378869256</v>
      </c>
      <c r="AI62" s="412">
        <v>0.22149480063341889</v>
      </c>
      <c r="AJ62" s="499">
        <v>1</v>
      </c>
      <c r="AK62" s="437" t="s">
        <v>824</v>
      </c>
      <c r="AL62" s="437"/>
      <c r="AM62" s="432" t="s">
        <v>829</v>
      </c>
    </row>
    <row r="63" spans="1:39">
      <c r="A63" s="437"/>
      <c r="B63" s="437" t="s">
        <v>804</v>
      </c>
      <c r="C63" s="437" t="s">
        <v>41</v>
      </c>
      <c r="D63" s="437">
        <v>4229.134</v>
      </c>
      <c r="E63" s="437">
        <v>7398.9989999999998</v>
      </c>
      <c r="F63" s="437">
        <v>3521.1779999999999</v>
      </c>
      <c r="G63" s="437">
        <v>6.6609999999999996</v>
      </c>
      <c r="H63" s="437">
        <v>2891.732</v>
      </c>
      <c r="I63" s="437">
        <v>1407.596</v>
      </c>
      <c r="J63" s="437">
        <v>3249.9090000000001</v>
      </c>
      <c r="K63" s="437">
        <v>1804.5</v>
      </c>
      <c r="L63" s="437">
        <v>0</v>
      </c>
      <c r="M63" s="437">
        <v>0</v>
      </c>
      <c r="N63" s="437">
        <v>0</v>
      </c>
      <c r="O63" s="437">
        <v>-231.32400000000001</v>
      </c>
      <c r="P63" s="437">
        <v>0</v>
      </c>
      <c r="Q63" s="437">
        <v>0</v>
      </c>
      <c r="R63" s="437">
        <v>0</v>
      </c>
      <c r="S63" s="437">
        <v>0</v>
      </c>
      <c r="T63" s="437">
        <v>0</v>
      </c>
      <c r="U63" s="437">
        <v>0</v>
      </c>
      <c r="V63" s="437">
        <v>0</v>
      </c>
      <c r="W63" s="437">
        <v>0</v>
      </c>
      <c r="Z63" s="437">
        <v>0</v>
      </c>
      <c r="AA63" s="437">
        <v>1</v>
      </c>
      <c r="AB63" s="437">
        <v>0</v>
      </c>
      <c r="AC63" s="437">
        <v>1</v>
      </c>
      <c r="AD63" s="404">
        <v>0</v>
      </c>
      <c r="AE63" s="404">
        <v>0</v>
      </c>
      <c r="AF63" s="412">
        <v>3.1911631478497848E-2</v>
      </c>
      <c r="AG63" s="412">
        <v>7.8874630001157672E-2</v>
      </c>
      <c r="AH63" s="412">
        <v>0.6677189378869256</v>
      </c>
      <c r="AI63" s="412">
        <v>0.22149480063341889</v>
      </c>
      <c r="AJ63" s="499">
        <v>0</v>
      </c>
      <c r="AK63" s="432" t="s">
        <v>832</v>
      </c>
      <c r="AL63" s="437"/>
      <c r="AM63" s="437"/>
    </row>
    <row r="64" spans="1:39" ht="14.4">
      <c r="A64" s="437"/>
      <c r="B64" s="437" t="s">
        <v>804</v>
      </c>
      <c r="C64" s="437" t="s">
        <v>675</v>
      </c>
      <c r="D64" s="437">
        <v>0</v>
      </c>
      <c r="E64" s="437">
        <v>0</v>
      </c>
      <c r="F64" s="437">
        <v>0</v>
      </c>
      <c r="G64" s="437">
        <v>0</v>
      </c>
      <c r="H64" s="437">
        <v>0</v>
      </c>
      <c r="I64" s="437">
        <v>0</v>
      </c>
      <c r="J64" s="437">
        <v>0</v>
      </c>
      <c r="K64" s="437">
        <v>0</v>
      </c>
      <c r="L64" s="437">
        <v>40723.15</v>
      </c>
      <c r="M64" s="437">
        <v>45763.38</v>
      </c>
      <c r="N64" s="437">
        <v>44644.799999999996</v>
      </c>
      <c r="O64" s="437">
        <v>-32666.04</v>
      </c>
      <c r="P64" s="437">
        <v>0</v>
      </c>
      <c r="Q64" s="437">
        <v>0</v>
      </c>
      <c r="R64" s="437">
        <v>0</v>
      </c>
      <c r="S64" s="437">
        <v>0</v>
      </c>
      <c r="T64" s="437">
        <v>0</v>
      </c>
      <c r="U64" s="437">
        <v>0</v>
      </c>
      <c r="V64" s="437">
        <v>0</v>
      </c>
      <c r="W64" s="437">
        <v>0</v>
      </c>
      <c r="Z64" s="498">
        <v>0.2278820625087335</v>
      </c>
      <c r="AA64" s="498">
        <v>0.77211793749126656</v>
      </c>
      <c r="AB64" s="500">
        <v>0.43589157466609557</v>
      </c>
      <c r="AC64" s="500">
        <v>0.56410842533390437</v>
      </c>
      <c r="AD64" s="404">
        <v>0.1</v>
      </c>
      <c r="AE64" s="404">
        <v>0.9</v>
      </c>
      <c r="AF64" s="500">
        <v>0.23945933192550606</v>
      </c>
      <c r="AG64" s="500">
        <v>0.35198143890868033</v>
      </c>
      <c r="AH64" s="500">
        <v>0.32686697982049234</v>
      </c>
      <c r="AI64" s="500">
        <v>8.1692249345321322E-2</v>
      </c>
      <c r="AJ64" s="499">
        <v>1</v>
      </c>
      <c r="AK64" s="437" t="s">
        <v>826</v>
      </c>
      <c r="AL64" s="437"/>
      <c r="AM64" s="432" t="s">
        <v>831</v>
      </c>
    </row>
    <row r="65" spans="1:39">
      <c r="A65" s="437"/>
      <c r="B65" s="437" t="s">
        <v>804</v>
      </c>
      <c r="C65" s="437" t="s">
        <v>90</v>
      </c>
      <c r="D65" s="437">
        <v>2799.8</v>
      </c>
      <c r="E65" s="437">
        <v>-7427.6</v>
      </c>
      <c r="F65" s="437">
        <v>-1510.3520000000001</v>
      </c>
      <c r="G65" s="437">
        <v>-1622.0500000000002</v>
      </c>
      <c r="H65" s="437">
        <v>-6387.3</v>
      </c>
      <c r="I65" s="437">
        <v>-3976.2</v>
      </c>
      <c r="J65" s="437">
        <v>-5076</v>
      </c>
      <c r="K65" s="437">
        <v>-28679.4</v>
      </c>
      <c r="L65" s="437">
        <v>-5629.2</v>
      </c>
      <c r="M65" s="437">
        <v>1259.3199999999997</v>
      </c>
      <c r="N65" s="437">
        <v>-24124.6</v>
      </c>
      <c r="O65" s="437">
        <v>-809.42000000000007</v>
      </c>
      <c r="P65" s="437">
        <v>9317.08</v>
      </c>
      <c r="Q65" s="437">
        <v>6463.1310000000003</v>
      </c>
      <c r="R65" s="437">
        <v>-29365.387000000002</v>
      </c>
      <c r="S65" s="437">
        <v>16565.344000000001</v>
      </c>
      <c r="T65" s="437">
        <v>0</v>
      </c>
      <c r="U65" s="437">
        <v>0</v>
      </c>
      <c r="V65" s="437">
        <v>0</v>
      </c>
      <c r="W65" s="437">
        <v>0</v>
      </c>
      <c r="Z65" s="437">
        <v>0</v>
      </c>
      <c r="AA65" s="437">
        <v>1</v>
      </c>
      <c r="AB65" s="437">
        <v>0</v>
      </c>
      <c r="AC65" s="437">
        <v>1</v>
      </c>
      <c r="AD65" s="404">
        <v>0</v>
      </c>
      <c r="AE65" s="404">
        <v>0</v>
      </c>
      <c r="AF65" s="412">
        <v>0</v>
      </c>
      <c r="AG65" s="412">
        <v>0</v>
      </c>
      <c r="AH65" s="412">
        <v>1</v>
      </c>
      <c r="AI65" s="412">
        <v>0</v>
      </c>
      <c r="AJ65" s="499">
        <v>0</v>
      </c>
      <c r="AK65" s="437" t="s">
        <v>825</v>
      </c>
      <c r="AL65" s="437"/>
      <c r="AM65" s="437"/>
    </row>
    <row r="66" spans="1:39">
      <c r="A66" s="437"/>
      <c r="B66" s="437" t="s">
        <v>804</v>
      </c>
      <c r="C66" s="437" t="s">
        <v>73</v>
      </c>
      <c r="D66" s="437">
        <v>46</v>
      </c>
      <c r="E66" s="437">
        <v>-46</v>
      </c>
      <c r="F66" s="437">
        <v>-59.753999999999998</v>
      </c>
      <c r="G66" s="437">
        <v>-2.1160000000000001</v>
      </c>
      <c r="H66" s="437">
        <v>-2766</v>
      </c>
      <c r="I66" s="437">
        <v>-3273.1</v>
      </c>
      <c r="J66" s="437">
        <v>-5439.8</v>
      </c>
      <c r="K66" s="437">
        <v>-1613.5</v>
      </c>
      <c r="L66" s="437">
        <v>646.79999999999995</v>
      </c>
      <c r="M66" s="437">
        <v>1570.8</v>
      </c>
      <c r="N66" s="437">
        <v>694.5</v>
      </c>
      <c r="O66" s="437">
        <v>2453.9</v>
      </c>
      <c r="P66" s="437">
        <v>4730</v>
      </c>
      <c r="Q66" s="437">
        <v>8561.2999999999993</v>
      </c>
      <c r="R66" s="437">
        <v>2743.4</v>
      </c>
      <c r="S66" s="437">
        <v>368.35199999999998</v>
      </c>
      <c r="T66" s="437">
        <v>0</v>
      </c>
      <c r="U66" s="437">
        <v>0</v>
      </c>
      <c r="V66" s="437">
        <v>0</v>
      </c>
      <c r="W66" s="437">
        <v>0</v>
      </c>
      <c r="Z66" s="498">
        <v>0.46071648475633875</v>
      </c>
      <c r="AA66" s="498">
        <f t="shared" ref="AA66:AA74" si="5">1-Z66</f>
        <v>0.53928351524366125</v>
      </c>
      <c r="AB66" s="498">
        <v>0.77041495132801496</v>
      </c>
      <c r="AC66" s="498">
        <v>0.22958504867198506</v>
      </c>
      <c r="AD66" s="404">
        <v>0.9</v>
      </c>
      <c r="AE66" s="404">
        <v>0.1</v>
      </c>
      <c r="AF66" s="412">
        <v>3.1911631478497848E-2</v>
      </c>
      <c r="AG66" s="412">
        <v>7.8874630001157672E-2</v>
      </c>
      <c r="AH66" s="412">
        <v>0.6677189378869256</v>
      </c>
      <c r="AI66" s="412">
        <v>0.22149480063341889</v>
      </c>
      <c r="AJ66" s="499">
        <v>1</v>
      </c>
      <c r="AK66" s="437" t="s">
        <v>824</v>
      </c>
      <c r="AL66" s="437"/>
      <c r="AM66" s="432" t="s">
        <v>829</v>
      </c>
    </row>
    <row r="67" spans="1:39">
      <c r="A67" s="437"/>
      <c r="B67" s="437" t="s">
        <v>804</v>
      </c>
      <c r="C67" s="437" t="s">
        <v>93</v>
      </c>
      <c r="D67" s="437">
        <v>-89</v>
      </c>
      <c r="E67" s="437">
        <v>0</v>
      </c>
      <c r="F67" s="437">
        <v>0</v>
      </c>
      <c r="G67" s="437">
        <v>0</v>
      </c>
      <c r="H67" s="437">
        <v>1756</v>
      </c>
      <c r="I67" s="437">
        <v>-570.70000000000005</v>
      </c>
      <c r="J67" s="437">
        <v>-131.69999999999999</v>
      </c>
      <c r="K67" s="437">
        <v>-1229.2</v>
      </c>
      <c r="L67" s="437">
        <v>221.5</v>
      </c>
      <c r="M67" s="437">
        <v>531.6</v>
      </c>
      <c r="N67" s="437">
        <v>44.3</v>
      </c>
      <c r="O67" s="437">
        <v>443</v>
      </c>
      <c r="P67" s="437">
        <v>756.5</v>
      </c>
      <c r="Q67" s="437">
        <v>-89</v>
      </c>
      <c r="R67" s="437">
        <v>133.5</v>
      </c>
      <c r="S67" s="437">
        <v>477.411</v>
      </c>
      <c r="T67" s="437">
        <v>0</v>
      </c>
      <c r="U67" s="437">
        <v>0</v>
      </c>
      <c r="V67" s="437">
        <v>0</v>
      </c>
      <c r="W67" s="437">
        <v>0</v>
      </c>
      <c r="Z67" s="498">
        <v>0.46071648475633875</v>
      </c>
      <c r="AA67" s="498">
        <f t="shared" si="5"/>
        <v>0.53928351524366125</v>
      </c>
      <c r="AB67" s="498">
        <v>0.77041495132801496</v>
      </c>
      <c r="AC67" s="498">
        <v>0.22958504867198506</v>
      </c>
      <c r="AD67" s="404">
        <v>0.9</v>
      </c>
      <c r="AE67" s="404">
        <v>0.1</v>
      </c>
      <c r="AF67" s="412">
        <v>3.1911631478497848E-2</v>
      </c>
      <c r="AG67" s="412">
        <v>7.8874630001157672E-2</v>
      </c>
      <c r="AH67" s="412">
        <v>0.6677189378869256</v>
      </c>
      <c r="AI67" s="412">
        <v>0.22149480063341889</v>
      </c>
      <c r="AJ67" s="499">
        <v>1</v>
      </c>
      <c r="AK67" s="437" t="s">
        <v>824</v>
      </c>
      <c r="AL67" s="437"/>
      <c r="AM67" s="432" t="s">
        <v>829</v>
      </c>
    </row>
    <row r="68" spans="1:39">
      <c r="A68" s="437"/>
      <c r="B68" s="437" t="s">
        <v>804</v>
      </c>
      <c r="C68" s="437" t="s">
        <v>77</v>
      </c>
      <c r="D68" s="437">
        <v>-739.5</v>
      </c>
      <c r="E68" s="437">
        <v>4698</v>
      </c>
      <c r="F68" s="437">
        <v>-3595.6579999999999</v>
      </c>
      <c r="G68" s="437">
        <v>1461.3400000000001</v>
      </c>
      <c r="H68" s="437">
        <v>704.50000000000023</v>
      </c>
      <c r="I68" s="437">
        <v>441</v>
      </c>
      <c r="J68" s="437">
        <v>-220.5</v>
      </c>
      <c r="K68" s="437">
        <v>-1767.1</v>
      </c>
      <c r="L68" s="437">
        <v>1212.8</v>
      </c>
      <c r="M68" s="437">
        <v>562.9</v>
      </c>
      <c r="N68" s="437">
        <v>43.3</v>
      </c>
      <c r="O68" s="437">
        <v>-692.8</v>
      </c>
      <c r="P68" s="437">
        <v>1543.5</v>
      </c>
      <c r="Q68" s="437">
        <v>1146.8</v>
      </c>
      <c r="R68" s="437">
        <v>220.7</v>
      </c>
      <c r="S68" s="437">
        <v>-604.79999999999995</v>
      </c>
      <c r="T68" s="437">
        <v>352</v>
      </c>
      <c r="U68" s="437">
        <v>-88</v>
      </c>
      <c r="V68" s="437">
        <v>88</v>
      </c>
      <c r="W68" s="437">
        <v>-1152.6570000000002</v>
      </c>
      <c r="Z68" s="498">
        <v>0.46071648475633875</v>
      </c>
      <c r="AA68" s="498">
        <f t="shared" si="5"/>
        <v>0.53928351524366125</v>
      </c>
      <c r="AB68" s="498">
        <v>0.77041495132801496</v>
      </c>
      <c r="AC68" s="498">
        <v>0.22958504867198506</v>
      </c>
      <c r="AD68" s="404">
        <v>0.9</v>
      </c>
      <c r="AE68" s="404">
        <v>0.1</v>
      </c>
      <c r="AF68" s="412">
        <v>3.1911631478497848E-2</v>
      </c>
      <c r="AG68" s="412">
        <v>7.8874630001157672E-2</v>
      </c>
      <c r="AH68" s="412">
        <v>0.6677189378869256</v>
      </c>
      <c r="AI68" s="412">
        <v>0.22149480063341889</v>
      </c>
      <c r="AJ68" s="499">
        <v>1</v>
      </c>
      <c r="AK68" s="437" t="s">
        <v>824</v>
      </c>
      <c r="AL68" s="437"/>
      <c r="AM68" s="432" t="s">
        <v>829</v>
      </c>
    </row>
    <row r="69" spans="1:39">
      <c r="A69" s="437"/>
      <c r="B69" s="437" t="s">
        <v>804</v>
      </c>
      <c r="C69" s="437" t="s">
        <v>74</v>
      </c>
      <c r="D69" s="437">
        <v>-350.4</v>
      </c>
      <c r="E69" s="437">
        <v>569.4</v>
      </c>
      <c r="F69" s="437">
        <v>-1072.6179999999999</v>
      </c>
      <c r="G69" s="437">
        <v>1418.5070000000001</v>
      </c>
      <c r="H69" s="437">
        <v>5891.9</v>
      </c>
      <c r="I69" s="437">
        <v>-570.70000000000005</v>
      </c>
      <c r="J69" s="437">
        <v>-746.3</v>
      </c>
      <c r="K69" s="437">
        <v>-175.6</v>
      </c>
      <c r="L69" s="437">
        <v>8987</v>
      </c>
      <c r="M69" s="437">
        <v>-387</v>
      </c>
      <c r="N69" s="437">
        <v>-347.2</v>
      </c>
      <c r="O69" s="437">
        <v>-911.4</v>
      </c>
      <c r="P69" s="437">
        <v>2037.8</v>
      </c>
      <c r="Q69" s="437">
        <v>2436.5</v>
      </c>
      <c r="R69" s="437">
        <v>2436.5</v>
      </c>
      <c r="S69" s="437">
        <v>752.59</v>
      </c>
      <c r="T69" s="437">
        <v>176</v>
      </c>
      <c r="U69" s="437">
        <v>-44</v>
      </c>
      <c r="V69" s="437">
        <v>-308</v>
      </c>
      <c r="W69" s="437">
        <v>-239.88499999999999</v>
      </c>
      <c r="Z69" s="498">
        <v>0.46071648475633875</v>
      </c>
      <c r="AA69" s="498">
        <f t="shared" si="5"/>
        <v>0.53928351524366125</v>
      </c>
      <c r="AB69" s="498">
        <v>0.77041495132801496</v>
      </c>
      <c r="AC69" s="498">
        <v>0.22958504867198506</v>
      </c>
      <c r="AD69" s="404">
        <v>0.9</v>
      </c>
      <c r="AE69" s="404">
        <v>0.1</v>
      </c>
      <c r="AF69" s="412">
        <v>3.1911631478497848E-2</v>
      </c>
      <c r="AG69" s="412">
        <v>7.8874630001157672E-2</v>
      </c>
      <c r="AH69" s="412">
        <v>0.6677189378869256</v>
      </c>
      <c r="AI69" s="412">
        <v>0.22149480063341889</v>
      </c>
      <c r="AJ69" s="499">
        <v>1</v>
      </c>
      <c r="AK69" s="437" t="s">
        <v>824</v>
      </c>
      <c r="AL69" s="437"/>
      <c r="AM69" s="432" t="s">
        <v>829</v>
      </c>
    </row>
    <row r="70" spans="1:39">
      <c r="A70" s="437"/>
      <c r="B70" s="437" t="s">
        <v>804</v>
      </c>
      <c r="C70" s="437" t="s">
        <v>45</v>
      </c>
      <c r="D70" s="437">
        <v>-256.2</v>
      </c>
      <c r="E70" s="437">
        <v>1537.2</v>
      </c>
      <c r="F70" s="437">
        <v>-18678.388999999999</v>
      </c>
      <c r="G70" s="437">
        <v>8282.0920000000006</v>
      </c>
      <c r="H70" s="437">
        <v>6966</v>
      </c>
      <c r="I70" s="437">
        <v>-3569</v>
      </c>
      <c r="J70" s="437">
        <v>-516</v>
      </c>
      <c r="K70" s="437">
        <v>-1724</v>
      </c>
      <c r="L70" s="437">
        <v>23147.225999999999</v>
      </c>
      <c r="M70" s="437">
        <v>4705.8</v>
      </c>
      <c r="N70" s="437">
        <v>-3667.24</v>
      </c>
      <c r="O70" s="437">
        <v>6917.3649999999998</v>
      </c>
      <c r="P70" s="437">
        <v>18705</v>
      </c>
      <c r="Q70" s="437">
        <v>2838</v>
      </c>
      <c r="R70" s="437">
        <v>-19909</v>
      </c>
      <c r="S70" s="437">
        <v>6252.4080000000004</v>
      </c>
      <c r="T70" s="437">
        <v>1032</v>
      </c>
      <c r="U70" s="437">
        <v>43</v>
      </c>
      <c r="V70" s="437">
        <v>-344</v>
      </c>
      <c r="W70" s="437">
        <v>-1238.9590000000001</v>
      </c>
      <c r="Z70" s="498">
        <v>0.46071648475633875</v>
      </c>
      <c r="AA70" s="498">
        <f t="shared" si="5"/>
        <v>0.53928351524366125</v>
      </c>
      <c r="AB70" s="498">
        <v>0.77041495132801496</v>
      </c>
      <c r="AC70" s="498">
        <v>0.22958504867198506</v>
      </c>
      <c r="AD70" s="404">
        <v>0.9</v>
      </c>
      <c r="AE70" s="404">
        <v>0.1</v>
      </c>
      <c r="AF70" s="412">
        <v>3.1911631478497848E-2</v>
      </c>
      <c r="AG70" s="412">
        <v>7.8874630001157672E-2</v>
      </c>
      <c r="AH70" s="412">
        <v>0.6677189378869256</v>
      </c>
      <c r="AI70" s="412">
        <v>0.22149480063341889</v>
      </c>
      <c r="AJ70" s="499">
        <v>1</v>
      </c>
      <c r="AK70" s="437" t="s">
        <v>824</v>
      </c>
      <c r="AL70" s="437"/>
      <c r="AM70" s="432" t="s">
        <v>829</v>
      </c>
    </row>
    <row r="71" spans="1:39">
      <c r="A71" s="437"/>
      <c r="B71" s="437" t="s">
        <v>804</v>
      </c>
      <c r="C71" s="437" t="s">
        <v>44</v>
      </c>
      <c r="D71" s="437">
        <v>-11312</v>
      </c>
      <c r="E71" s="437">
        <v>3030</v>
      </c>
      <c r="F71" s="437">
        <v>-11501.314</v>
      </c>
      <c r="G71" s="437">
        <v>6868.0810000000001</v>
      </c>
      <c r="H71" s="437">
        <v>771.4</v>
      </c>
      <c r="I71" s="437">
        <v>649.6</v>
      </c>
      <c r="J71" s="437">
        <v>-649.6</v>
      </c>
      <c r="K71" s="437">
        <v>-969.6</v>
      </c>
      <c r="L71" s="437">
        <v>1010</v>
      </c>
      <c r="M71" s="437">
        <v>4767.2</v>
      </c>
      <c r="N71" s="437">
        <v>-8322.4</v>
      </c>
      <c r="O71" s="437">
        <v>-2585.6</v>
      </c>
      <c r="P71" s="437">
        <v>5171.2</v>
      </c>
      <c r="Q71" s="437">
        <v>7958.8</v>
      </c>
      <c r="R71" s="437">
        <v>-25936.799999999999</v>
      </c>
      <c r="S71" s="437">
        <v>9918.4120000000003</v>
      </c>
      <c r="T71" s="437">
        <v>-242.4</v>
      </c>
      <c r="U71" s="437">
        <v>-121.2</v>
      </c>
      <c r="V71" s="437">
        <v>-323.2</v>
      </c>
      <c r="W71" s="437">
        <v>-112.27200000000001</v>
      </c>
      <c r="Z71" s="498">
        <v>0.46071648475633875</v>
      </c>
      <c r="AA71" s="498">
        <f t="shared" si="5"/>
        <v>0.53928351524366125</v>
      </c>
      <c r="AB71" s="498">
        <v>0.77041495132801496</v>
      </c>
      <c r="AC71" s="498">
        <v>0.22958504867198506</v>
      </c>
      <c r="AD71" s="404">
        <v>0.9</v>
      </c>
      <c r="AE71" s="404">
        <v>0.1</v>
      </c>
      <c r="AF71" s="412">
        <v>3.1911631478497848E-2</v>
      </c>
      <c r="AG71" s="412">
        <v>7.8874630001157672E-2</v>
      </c>
      <c r="AH71" s="412">
        <v>0.6677189378869256</v>
      </c>
      <c r="AI71" s="412">
        <v>0.22149480063341889</v>
      </c>
      <c r="AJ71" s="499">
        <v>1</v>
      </c>
      <c r="AK71" s="437" t="s">
        <v>824</v>
      </c>
      <c r="AL71" s="437"/>
      <c r="AM71" s="432" t="s">
        <v>829</v>
      </c>
    </row>
    <row r="72" spans="1:39">
      <c r="A72" s="437"/>
      <c r="B72" s="437" t="s">
        <v>804</v>
      </c>
      <c r="C72" s="437" t="s">
        <v>798</v>
      </c>
      <c r="D72" s="437">
        <v>0</v>
      </c>
      <c r="E72" s="437">
        <v>5.4740000000000002</v>
      </c>
      <c r="F72" s="437">
        <v>5.34</v>
      </c>
      <c r="G72" s="437">
        <v>31.8</v>
      </c>
      <c r="H72" s="437">
        <v>-16</v>
      </c>
      <c r="I72" s="437">
        <v>-13.292999999999999</v>
      </c>
      <c r="J72" s="437">
        <v>-4.6360000000000001</v>
      </c>
      <c r="K72" s="437">
        <v>0</v>
      </c>
      <c r="L72" s="437">
        <v>2.391</v>
      </c>
      <c r="M72" s="437">
        <v>12.664</v>
      </c>
      <c r="N72" s="437">
        <v>-10.473000000000001</v>
      </c>
      <c r="O72" s="437">
        <v>-11.51</v>
      </c>
      <c r="P72" s="437">
        <v>-385.06099999999998</v>
      </c>
      <c r="Q72" s="437">
        <v>250.65799999999999</v>
      </c>
      <c r="R72" s="437">
        <v>-1411.7840000000001</v>
      </c>
      <c r="S72" s="437">
        <v>185.96899999999999</v>
      </c>
      <c r="T72" s="437">
        <v>0</v>
      </c>
      <c r="U72" s="437">
        <v>0</v>
      </c>
      <c r="V72" s="437">
        <v>1.8759999999999999</v>
      </c>
      <c r="W72" s="437">
        <v>-9.8279999999999994</v>
      </c>
      <c r="Z72" s="498">
        <v>0.46071648475633875</v>
      </c>
      <c r="AA72" s="498">
        <f t="shared" si="5"/>
        <v>0.53928351524366125</v>
      </c>
      <c r="AB72" s="498">
        <v>0.77041495132801496</v>
      </c>
      <c r="AC72" s="498">
        <v>0.22958504867198506</v>
      </c>
      <c r="AD72" s="404">
        <v>0.9</v>
      </c>
      <c r="AE72" s="404">
        <v>0.1</v>
      </c>
      <c r="AF72" s="412">
        <v>3.1911631478497848E-2</v>
      </c>
      <c r="AG72" s="412">
        <v>7.8874630001157672E-2</v>
      </c>
      <c r="AH72" s="412">
        <v>0.6677189378869256</v>
      </c>
      <c r="AI72" s="412">
        <v>0.22149480063341889</v>
      </c>
      <c r="AJ72" s="499">
        <v>1</v>
      </c>
      <c r="AK72" s="437" t="s">
        <v>824</v>
      </c>
      <c r="AL72" s="437"/>
      <c r="AM72" s="432" t="s">
        <v>829</v>
      </c>
    </row>
    <row r="73" spans="1:39">
      <c r="A73" s="437"/>
      <c r="B73" s="437" t="s">
        <v>804</v>
      </c>
      <c r="C73" s="437" t="s">
        <v>799</v>
      </c>
      <c r="D73" s="437">
        <v>0</v>
      </c>
      <c r="E73" s="437">
        <v>-285.18799999999999</v>
      </c>
      <c r="F73" s="437">
        <v>-4.875</v>
      </c>
      <c r="G73" s="437">
        <v>26.4</v>
      </c>
      <c r="H73" s="437">
        <v>-32.899000000000001</v>
      </c>
      <c r="I73" s="437">
        <v>-16.413</v>
      </c>
      <c r="J73" s="437">
        <v>-6.44</v>
      </c>
      <c r="K73" s="437">
        <v>0</v>
      </c>
      <c r="L73" s="437">
        <v>15.243</v>
      </c>
      <c r="M73" s="437">
        <v>-9.6479999999999997</v>
      </c>
      <c r="N73" s="437">
        <v>-11.994999999999999</v>
      </c>
      <c r="O73" s="437">
        <v>9.7349999999999994</v>
      </c>
      <c r="P73" s="437">
        <v>117.6</v>
      </c>
      <c r="Q73" s="437">
        <v>112.911</v>
      </c>
      <c r="R73" s="437">
        <v>-12.004000000000019</v>
      </c>
      <c r="S73" s="437">
        <v>-4751.7629999999999</v>
      </c>
      <c r="T73" s="437">
        <v>-4.3659999999999997</v>
      </c>
      <c r="U73" s="437">
        <v>-10.743</v>
      </c>
      <c r="V73" s="437">
        <v>3.552</v>
      </c>
      <c r="W73" s="437">
        <v>0</v>
      </c>
      <c r="Z73" s="498">
        <v>0.46071648475633875</v>
      </c>
      <c r="AA73" s="498">
        <f t="shared" si="5"/>
        <v>0.53928351524366125</v>
      </c>
      <c r="AB73" s="498">
        <v>0.77041495132801496</v>
      </c>
      <c r="AC73" s="498">
        <v>0.22958504867198506</v>
      </c>
      <c r="AD73" s="404">
        <v>0.9</v>
      </c>
      <c r="AE73" s="404">
        <v>0.1</v>
      </c>
      <c r="AF73" s="412">
        <v>3.1911631478497848E-2</v>
      </c>
      <c r="AG73" s="412">
        <v>7.8874630001157672E-2</v>
      </c>
      <c r="AH73" s="412">
        <v>0.6677189378869256</v>
      </c>
      <c r="AI73" s="412">
        <v>0.22149480063341889</v>
      </c>
      <c r="AJ73" s="499">
        <v>1</v>
      </c>
      <c r="AK73" s="437" t="s">
        <v>824</v>
      </c>
      <c r="AL73" s="437"/>
      <c r="AM73" s="432" t="s">
        <v>829</v>
      </c>
    </row>
    <row r="74" spans="1:39">
      <c r="A74" s="437"/>
      <c r="B74" s="437" t="s">
        <v>804</v>
      </c>
      <c r="C74" s="437" t="s">
        <v>800</v>
      </c>
      <c r="D74" s="437">
        <v>0</v>
      </c>
      <c r="E74" s="437">
        <v>0</v>
      </c>
      <c r="F74" s="437">
        <v>0</v>
      </c>
      <c r="G74" s="437">
        <v>0</v>
      </c>
      <c r="H74" s="437">
        <v>0</v>
      </c>
      <c r="I74" s="437">
        <v>0</v>
      </c>
      <c r="J74" s="437">
        <v>0</v>
      </c>
      <c r="K74" s="437">
        <v>0</v>
      </c>
      <c r="L74" s="437">
        <v>0</v>
      </c>
      <c r="M74" s="437">
        <v>0</v>
      </c>
      <c r="N74" s="437">
        <v>0</v>
      </c>
      <c r="O74" s="437">
        <v>0</v>
      </c>
      <c r="P74" s="437">
        <v>0</v>
      </c>
      <c r="Q74" s="437">
        <v>0</v>
      </c>
      <c r="R74" s="437">
        <v>0</v>
      </c>
      <c r="S74" s="437">
        <v>0</v>
      </c>
      <c r="T74" s="437">
        <v>0</v>
      </c>
      <c r="U74" s="437">
        <v>0</v>
      </c>
      <c r="V74" s="437">
        <v>0</v>
      </c>
      <c r="W74" s="437">
        <v>0</v>
      </c>
      <c r="Z74" s="498">
        <v>0.46071648475633875</v>
      </c>
      <c r="AA74" s="498">
        <f t="shared" si="5"/>
        <v>0.53928351524366125</v>
      </c>
      <c r="AB74" s="498">
        <v>0.77041495132801496</v>
      </c>
      <c r="AC74" s="498">
        <v>0.22958504867198506</v>
      </c>
      <c r="AD74" s="404">
        <v>0.9</v>
      </c>
      <c r="AE74" s="404">
        <v>0.1</v>
      </c>
      <c r="AF74" s="412">
        <v>3.1911631478497848E-2</v>
      </c>
      <c r="AG74" s="412">
        <v>7.8874630001157672E-2</v>
      </c>
      <c r="AH74" s="412">
        <v>0.6677189378869256</v>
      </c>
      <c r="AI74" s="412">
        <v>0.22149480063341889</v>
      </c>
      <c r="AJ74" s="499">
        <v>1</v>
      </c>
      <c r="AK74" s="437" t="s">
        <v>824</v>
      </c>
      <c r="AL74" s="437"/>
      <c r="AM74" s="432" t="s">
        <v>829</v>
      </c>
    </row>
    <row r="75" spans="1:39" ht="14.4">
      <c r="A75" s="437"/>
      <c r="B75" s="437" t="s">
        <v>804</v>
      </c>
      <c r="C75" s="437" t="s">
        <v>126</v>
      </c>
      <c r="D75" s="437">
        <v>0</v>
      </c>
      <c r="E75" s="437">
        <v>0</v>
      </c>
      <c r="F75" s="437">
        <v>0</v>
      </c>
      <c r="G75" s="437">
        <v>0</v>
      </c>
      <c r="H75" s="437">
        <v>0</v>
      </c>
      <c r="I75" s="437">
        <v>0</v>
      </c>
      <c r="J75" s="437">
        <v>0</v>
      </c>
      <c r="K75" s="437">
        <v>58.253</v>
      </c>
      <c r="L75" s="437">
        <v>0</v>
      </c>
      <c r="M75" s="437">
        <v>0</v>
      </c>
      <c r="N75" s="437">
        <v>0</v>
      </c>
      <c r="O75" s="437">
        <v>0</v>
      </c>
      <c r="P75" s="437">
        <v>0</v>
      </c>
      <c r="Q75" s="437">
        <v>0</v>
      </c>
      <c r="R75" s="437">
        <v>0</v>
      </c>
      <c r="S75" s="437">
        <v>0</v>
      </c>
      <c r="T75" s="437">
        <v>0</v>
      </c>
      <c r="U75" s="437">
        <v>0</v>
      </c>
      <c r="V75" s="437">
        <v>0</v>
      </c>
      <c r="W75" s="437">
        <v>0</v>
      </c>
      <c r="Z75" s="500">
        <v>0.16985317211055276</v>
      </c>
      <c r="AA75" s="500">
        <v>0.83014682788944727</v>
      </c>
      <c r="AB75" s="500">
        <v>0.48632184165814718</v>
      </c>
      <c r="AC75" s="500">
        <v>0.51367815834185271</v>
      </c>
      <c r="AD75" s="404">
        <v>0.1</v>
      </c>
      <c r="AE75" s="404">
        <v>0.9</v>
      </c>
      <c r="AF75" s="500">
        <v>2.8368794326241134E-2</v>
      </c>
      <c r="AG75" s="500">
        <v>7.0921985815602835E-3</v>
      </c>
      <c r="AH75" s="500">
        <v>0.55319148936170215</v>
      </c>
      <c r="AI75" s="500">
        <v>0.41134751773049644</v>
      </c>
      <c r="AJ75" s="499">
        <v>1</v>
      </c>
      <c r="AK75" s="432" t="s">
        <v>830</v>
      </c>
      <c r="AL75" s="437"/>
      <c r="AM75" s="432" t="s">
        <v>831</v>
      </c>
    </row>
    <row r="76" spans="1:39">
      <c r="A76" s="437"/>
      <c r="B76" s="437" t="s">
        <v>804</v>
      </c>
      <c r="C76" s="437" t="s">
        <v>42</v>
      </c>
      <c r="D76" s="437">
        <v>0</v>
      </c>
      <c r="E76" s="437">
        <v>0</v>
      </c>
      <c r="F76" s="437">
        <v>0</v>
      </c>
      <c r="G76" s="437">
        <v>0</v>
      </c>
      <c r="H76" s="437">
        <v>0</v>
      </c>
      <c r="I76" s="437">
        <v>0</v>
      </c>
      <c r="J76" s="437">
        <v>0</v>
      </c>
      <c r="K76" s="437">
        <v>0</v>
      </c>
      <c r="L76" s="437">
        <v>0</v>
      </c>
      <c r="M76" s="437">
        <v>0</v>
      </c>
      <c r="N76" s="437">
        <v>0</v>
      </c>
      <c r="O76" s="437">
        <v>0</v>
      </c>
      <c r="P76" s="437">
        <v>0</v>
      </c>
      <c r="Q76" s="437">
        <v>0</v>
      </c>
      <c r="R76" s="437">
        <v>0</v>
      </c>
      <c r="S76" s="437">
        <v>0</v>
      </c>
      <c r="T76" s="437">
        <v>0</v>
      </c>
      <c r="U76" s="437">
        <v>0</v>
      </c>
      <c r="V76" s="437">
        <v>0</v>
      </c>
      <c r="W76" s="437">
        <v>0</v>
      </c>
      <c r="Z76" s="498">
        <v>0.46071648475633875</v>
      </c>
      <c r="AA76" s="498">
        <f>1-Z76</f>
        <v>0.53928351524366125</v>
      </c>
      <c r="AB76" s="498">
        <v>0.77041495132801496</v>
      </c>
      <c r="AC76" s="498">
        <v>0.22958504867198506</v>
      </c>
      <c r="AD76" s="404">
        <v>0.9</v>
      </c>
      <c r="AE76" s="404">
        <v>0.1</v>
      </c>
      <c r="AF76" s="412">
        <v>3.1911631478497848E-2</v>
      </c>
      <c r="AG76" s="412">
        <v>7.8874630001157672E-2</v>
      </c>
      <c r="AH76" s="412">
        <v>0.6677189378869256</v>
      </c>
      <c r="AI76" s="412">
        <v>0.22149480063341889</v>
      </c>
      <c r="AJ76" s="499">
        <v>1</v>
      </c>
      <c r="AK76" s="437" t="s">
        <v>824</v>
      </c>
      <c r="AL76" s="437"/>
      <c r="AM76" s="432" t="s">
        <v>829</v>
      </c>
    </row>
    <row r="77" spans="1:39" ht="14.4">
      <c r="A77" s="437"/>
      <c r="B77" s="437" t="s">
        <v>804</v>
      </c>
      <c r="C77" s="437" t="s">
        <v>801</v>
      </c>
      <c r="D77" s="437">
        <v>0</v>
      </c>
      <c r="E77" s="437">
        <v>0</v>
      </c>
      <c r="F77" s="437">
        <v>0</v>
      </c>
      <c r="G77" s="437">
        <v>0</v>
      </c>
      <c r="H77" s="437">
        <v>0</v>
      </c>
      <c r="I77" s="437">
        <v>0</v>
      </c>
      <c r="J77" s="437">
        <v>0</v>
      </c>
      <c r="K77" s="437">
        <v>0</v>
      </c>
      <c r="L77" s="437">
        <v>0</v>
      </c>
      <c r="M77" s="437">
        <v>0</v>
      </c>
      <c r="N77" s="437">
        <v>0</v>
      </c>
      <c r="O77" s="437">
        <v>0</v>
      </c>
      <c r="P77" s="437">
        <v>0</v>
      </c>
      <c r="Q77" s="437">
        <v>0</v>
      </c>
      <c r="R77" s="437">
        <v>0</v>
      </c>
      <c r="S77" s="437">
        <v>0</v>
      </c>
      <c r="T77" s="437">
        <v>0</v>
      </c>
      <c r="U77" s="437">
        <v>0</v>
      </c>
      <c r="V77" s="437">
        <v>0</v>
      </c>
      <c r="W77" s="437">
        <v>0</v>
      </c>
      <c r="Z77" s="498">
        <v>0.2278820625087335</v>
      </c>
      <c r="AA77" s="498">
        <v>0.77211793749126656</v>
      </c>
      <c r="AB77" s="500">
        <v>0.43589157466609557</v>
      </c>
      <c r="AC77" s="500">
        <v>0.56410842533390437</v>
      </c>
      <c r="AD77" s="404">
        <v>0.1</v>
      </c>
      <c r="AE77" s="404">
        <v>0.9</v>
      </c>
      <c r="AF77" s="500">
        <v>0.23945933192550606</v>
      </c>
      <c r="AG77" s="500">
        <v>0.35198143890868033</v>
      </c>
      <c r="AH77" s="500">
        <v>0.32686697982049234</v>
      </c>
      <c r="AI77" s="500">
        <v>8.1692249345321322E-2</v>
      </c>
      <c r="AJ77" s="499">
        <v>1</v>
      </c>
      <c r="AK77" s="437" t="s">
        <v>826</v>
      </c>
      <c r="AL77" s="437"/>
      <c r="AM77" s="432" t="s">
        <v>831</v>
      </c>
    </row>
    <row r="78" spans="1:39">
      <c r="B78" s="437" t="s">
        <v>804</v>
      </c>
      <c r="C78" s="437" t="s">
        <v>684</v>
      </c>
      <c r="D78" s="437">
        <v>0</v>
      </c>
      <c r="E78" s="437">
        <v>0</v>
      </c>
      <c r="F78" s="437">
        <v>0</v>
      </c>
      <c r="G78" s="437">
        <v>0</v>
      </c>
      <c r="H78" s="437">
        <v>0</v>
      </c>
      <c r="I78" s="437">
        <v>0</v>
      </c>
      <c r="J78" s="437">
        <v>0</v>
      </c>
      <c r="K78" s="437">
        <v>0</v>
      </c>
      <c r="L78" s="437">
        <v>0</v>
      </c>
      <c r="M78" s="437">
        <v>0</v>
      </c>
      <c r="N78" s="437">
        <v>0</v>
      </c>
      <c r="O78" s="437">
        <v>0</v>
      </c>
      <c r="P78" s="437">
        <v>0</v>
      </c>
      <c r="Q78" s="437">
        <v>0</v>
      </c>
      <c r="R78" s="437">
        <v>0</v>
      </c>
      <c r="S78" s="437">
        <v>0</v>
      </c>
      <c r="T78" s="437">
        <v>0</v>
      </c>
      <c r="U78" s="437">
        <v>0</v>
      </c>
      <c r="V78" s="437">
        <v>0</v>
      </c>
      <c r="W78" s="437">
        <v>0</v>
      </c>
      <c r="Z78" s="437">
        <v>0</v>
      </c>
      <c r="AA78" s="437">
        <v>0</v>
      </c>
      <c r="AB78" s="437">
        <v>0</v>
      </c>
      <c r="AC78" s="437">
        <v>0</v>
      </c>
      <c r="AD78" s="404">
        <v>0</v>
      </c>
      <c r="AE78" s="404">
        <v>1</v>
      </c>
      <c r="AF78" s="412">
        <f>2/3</f>
        <v>0.66666666666666663</v>
      </c>
      <c r="AG78" s="412">
        <v>0</v>
      </c>
      <c r="AH78" s="412">
        <f>1/3</f>
        <v>0.33333333333333331</v>
      </c>
      <c r="AI78" s="437">
        <v>0</v>
      </c>
      <c r="AJ78" s="499">
        <v>1</v>
      </c>
      <c r="AK78" s="437" t="s">
        <v>825</v>
      </c>
      <c r="AL78" s="437"/>
      <c r="AM78" s="437" t="s">
        <v>828</v>
      </c>
    </row>
    <row r="79" spans="1:39" ht="14.4">
      <c r="B79" s="437" t="s">
        <v>805</v>
      </c>
      <c r="C79" s="494" t="s">
        <v>785</v>
      </c>
      <c r="D79" s="495">
        <v>83.8</v>
      </c>
      <c r="E79" s="495">
        <v>83.8</v>
      </c>
      <c r="F79" s="495">
        <v>100.56</v>
      </c>
      <c r="G79" s="495">
        <v>100.56</v>
      </c>
      <c r="H79" s="495">
        <v>0</v>
      </c>
      <c r="I79" s="495">
        <v>0</v>
      </c>
      <c r="J79" s="495">
        <v>0</v>
      </c>
      <c r="K79" s="495">
        <v>0</v>
      </c>
      <c r="L79" s="495">
        <v>0</v>
      </c>
      <c r="M79" s="495">
        <v>0</v>
      </c>
      <c r="N79" s="495">
        <v>0</v>
      </c>
      <c r="O79" s="495">
        <v>0</v>
      </c>
      <c r="P79" s="495">
        <v>80.400000000000006</v>
      </c>
      <c r="Q79" s="495">
        <v>40.200000000000003</v>
      </c>
      <c r="R79" s="495">
        <v>0</v>
      </c>
      <c r="S79" s="495">
        <v>0</v>
      </c>
      <c r="T79" s="495">
        <v>0</v>
      </c>
      <c r="U79" s="495">
        <v>0</v>
      </c>
      <c r="V79" s="495">
        <v>0</v>
      </c>
      <c r="W79" s="495">
        <v>0</v>
      </c>
    </row>
    <row r="80" spans="1:39" ht="14.4">
      <c r="B80" s="437" t="s">
        <v>805</v>
      </c>
      <c r="C80" s="437" t="s">
        <v>41</v>
      </c>
      <c r="D80" s="495">
        <v>0</v>
      </c>
      <c r="E80" s="495">
        <v>0</v>
      </c>
      <c r="F80" s="495">
        <v>0</v>
      </c>
      <c r="G80" s="495">
        <v>0</v>
      </c>
      <c r="H80" s="495">
        <v>0</v>
      </c>
      <c r="I80" s="495">
        <v>0</v>
      </c>
      <c r="J80" s="495">
        <v>1447.2</v>
      </c>
      <c r="K80" s="495">
        <v>1973.405</v>
      </c>
      <c r="L80" s="495">
        <v>0</v>
      </c>
      <c r="M80" s="495">
        <v>0</v>
      </c>
      <c r="N80" s="495">
        <v>0</v>
      </c>
      <c r="O80" s="495">
        <v>44.103999999999999</v>
      </c>
      <c r="P80" s="495">
        <v>0</v>
      </c>
      <c r="Q80" s="495">
        <v>0</v>
      </c>
      <c r="R80" s="495">
        <v>0</v>
      </c>
      <c r="S80" s="495">
        <v>895.5</v>
      </c>
      <c r="T80" s="495">
        <v>0</v>
      </c>
      <c r="U80" s="495">
        <v>0</v>
      </c>
      <c r="V80" s="495">
        <v>0</v>
      </c>
      <c r="W80" s="495">
        <v>0</v>
      </c>
    </row>
    <row r="81" spans="2:39" ht="14.4">
      <c r="B81" s="437" t="s">
        <v>805</v>
      </c>
      <c r="C81" s="437" t="s">
        <v>45</v>
      </c>
      <c r="D81" s="495">
        <v>11486.3</v>
      </c>
      <c r="E81" s="495">
        <v>10418.799999999999</v>
      </c>
      <c r="F81" s="495">
        <v>18579.539000000001</v>
      </c>
      <c r="G81" s="495">
        <v>15809.59</v>
      </c>
      <c r="H81" s="495">
        <v>8084</v>
      </c>
      <c r="I81" s="495">
        <v>5934</v>
      </c>
      <c r="J81" s="495">
        <v>3913</v>
      </c>
      <c r="K81" s="495">
        <v>5732.3</v>
      </c>
      <c r="L81" s="495">
        <v>2695.518</v>
      </c>
      <c r="M81" s="495">
        <v>1796.76</v>
      </c>
      <c r="N81" s="495">
        <v>1898.336</v>
      </c>
      <c r="O81" s="495">
        <v>2449.0050000000001</v>
      </c>
      <c r="P81" s="495">
        <v>7697</v>
      </c>
      <c r="Q81" s="495">
        <v>10191</v>
      </c>
      <c r="R81" s="495">
        <v>33282</v>
      </c>
      <c r="S81" s="495">
        <v>22094.657999999999</v>
      </c>
      <c r="T81" s="495">
        <v>1290</v>
      </c>
      <c r="U81" s="495">
        <v>1376</v>
      </c>
      <c r="V81" s="495">
        <v>1462</v>
      </c>
      <c r="W81" s="495">
        <v>1808.752</v>
      </c>
    </row>
    <row r="82" spans="2:39" ht="14.4">
      <c r="B82" s="437" t="s">
        <v>805</v>
      </c>
      <c r="C82" s="437" t="s">
        <v>44</v>
      </c>
      <c r="D82" s="495">
        <v>17372</v>
      </c>
      <c r="E82" s="495">
        <v>11190.8</v>
      </c>
      <c r="F82" s="495">
        <v>13514.366</v>
      </c>
      <c r="G82" s="495">
        <v>8910.7450000000008</v>
      </c>
      <c r="H82" s="495">
        <v>8282.4</v>
      </c>
      <c r="I82" s="495">
        <v>7105</v>
      </c>
      <c r="J82" s="495">
        <v>649.6</v>
      </c>
      <c r="K82" s="495">
        <v>1212</v>
      </c>
      <c r="L82" s="495">
        <v>6140.8</v>
      </c>
      <c r="M82" s="495">
        <v>3312.8</v>
      </c>
      <c r="N82" s="495">
        <v>10504</v>
      </c>
      <c r="O82" s="495">
        <v>11150.4</v>
      </c>
      <c r="P82" s="495">
        <v>74174.399999999994</v>
      </c>
      <c r="Q82" s="495">
        <v>60519.199999999997</v>
      </c>
      <c r="R82" s="495">
        <v>43187.6</v>
      </c>
      <c r="S82" s="495">
        <v>54842.983999999997</v>
      </c>
      <c r="T82" s="495">
        <v>1131.2</v>
      </c>
      <c r="U82" s="495">
        <v>1090.8</v>
      </c>
      <c r="V82" s="495">
        <v>525.20000000000005</v>
      </c>
      <c r="W82" s="495">
        <v>1375.499</v>
      </c>
    </row>
    <row r="83" spans="2:39" ht="14.4">
      <c r="B83" s="437" t="s">
        <v>806</v>
      </c>
      <c r="C83" s="437" t="s">
        <v>77</v>
      </c>
      <c r="D83" s="495">
        <v>33930</v>
      </c>
      <c r="E83" s="495">
        <v>35148</v>
      </c>
      <c r="F83" s="495">
        <v>36961.300999999999</v>
      </c>
      <c r="G83" s="495">
        <v>42943.896000000001</v>
      </c>
      <c r="H83" s="495">
        <v>18477.900000000001</v>
      </c>
      <c r="I83" s="495">
        <v>22755.599999999999</v>
      </c>
      <c r="J83" s="495">
        <v>25710.3</v>
      </c>
      <c r="K83" s="495">
        <v>23576.5</v>
      </c>
      <c r="L83" s="495">
        <v>22602.6</v>
      </c>
      <c r="M83" s="495">
        <v>25806.799999999999</v>
      </c>
      <c r="N83" s="495">
        <v>26802.7</v>
      </c>
      <c r="O83" s="495">
        <v>32604.9</v>
      </c>
      <c r="P83" s="495">
        <v>29591.1</v>
      </c>
      <c r="Q83" s="495">
        <v>30252.6</v>
      </c>
      <c r="R83" s="495">
        <v>31752</v>
      </c>
      <c r="S83" s="495">
        <v>39433.002999999997</v>
      </c>
      <c r="T83" s="495">
        <v>5280</v>
      </c>
      <c r="U83" s="495">
        <v>6160</v>
      </c>
      <c r="V83" s="495">
        <v>9416</v>
      </c>
      <c r="W83" s="495">
        <v>17972.601999999999</v>
      </c>
    </row>
    <row r="84" spans="2:39" ht="14.4">
      <c r="B84" s="496" t="s">
        <v>807</v>
      </c>
      <c r="C84" s="496" t="s">
        <v>40</v>
      </c>
      <c r="D84" s="497">
        <v>164653.74</v>
      </c>
      <c r="E84" s="497">
        <v>110008.54000000001</v>
      </c>
      <c r="F84" s="497">
        <v>82666.604999999996</v>
      </c>
      <c r="G84" s="497">
        <v>78816.968000000008</v>
      </c>
      <c r="H84" s="497">
        <v>43877.599999999999</v>
      </c>
      <c r="I84" s="497">
        <v>47651.9</v>
      </c>
      <c r="J84" s="497">
        <v>43057.8</v>
      </c>
      <c r="K84" s="497">
        <v>44962.203999999998</v>
      </c>
      <c r="L84" s="497">
        <v>196641.19499999998</v>
      </c>
      <c r="M84" s="497">
        <v>127787.11700000001</v>
      </c>
      <c r="N84" s="497">
        <v>116238.09000000001</v>
      </c>
      <c r="O84" s="497">
        <v>118399.686</v>
      </c>
      <c r="P84" s="497">
        <v>90607.56</v>
      </c>
      <c r="Q84" s="497">
        <v>82070.739999999991</v>
      </c>
      <c r="R84" s="497">
        <v>82907.679999999993</v>
      </c>
      <c r="S84" s="497">
        <v>84210.72</v>
      </c>
      <c r="T84" s="497">
        <v>3773.3999999999996</v>
      </c>
      <c r="U84" s="497">
        <v>3944.7</v>
      </c>
      <c r="V84" s="497">
        <v>4157.88</v>
      </c>
      <c r="W84" s="497">
        <v>5028.9030000000002</v>
      </c>
      <c r="Z84" s="498">
        <v>0.46071648475633875</v>
      </c>
      <c r="AA84" s="498">
        <f>1-Z84</f>
        <v>0.53928351524366125</v>
      </c>
      <c r="AB84" s="498">
        <v>0.77041495132801496</v>
      </c>
      <c r="AC84" s="498">
        <v>0.22958504867198506</v>
      </c>
      <c r="AD84" s="404">
        <v>0.9</v>
      </c>
      <c r="AE84" s="404">
        <v>0.1</v>
      </c>
      <c r="AF84" s="412">
        <v>3.1911631478497848E-2</v>
      </c>
      <c r="AG84" s="412">
        <v>7.8874630001157672E-2</v>
      </c>
      <c r="AH84" s="412">
        <v>0.6677189378869256</v>
      </c>
      <c r="AI84" s="412">
        <v>0.22149480063341889</v>
      </c>
      <c r="AJ84" s="499">
        <v>1</v>
      </c>
      <c r="AK84" s="437" t="s">
        <v>824</v>
      </c>
      <c r="AL84" s="437"/>
      <c r="AM84" s="432" t="s">
        <v>829</v>
      </c>
    </row>
    <row r="85" spans="2:39" ht="14.4">
      <c r="B85" s="496" t="s">
        <v>807</v>
      </c>
      <c r="C85" s="496" t="s">
        <v>785</v>
      </c>
      <c r="D85" s="497">
        <v>11087.5</v>
      </c>
      <c r="E85" s="497">
        <v>11257.8</v>
      </c>
      <c r="F85" s="497">
        <v>10535.798999999999</v>
      </c>
      <c r="G85" s="497">
        <v>10259.276</v>
      </c>
      <c r="H85" s="497">
        <v>10917.7</v>
      </c>
      <c r="I85" s="497">
        <v>-14026.399999999998</v>
      </c>
      <c r="J85" s="497">
        <v>-26415.299999999996</v>
      </c>
      <c r="K85" s="497">
        <v>2420.3999999999996</v>
      </c>
      <c r="L85" s="497">
        <v>546.25400000000081</v>
      </c>
      <c r="M85" s="497">
        <v>3651.7000000000007</v>
      </c>
      <c r="N85" s="497">
        <v>-13609.3</v>
      </c>
      <c r="O85" s="497">
        <v>-20557.762000000002</v>
      </c>
      <c r="P85" s="497">
        <v>-10268.299999999997</v>
      </c>
      <c r="Q85" s="497">
        <v>-11092.999999999998</v>
      </c>
      <c r="R85" s="497">
        <v>-22089.7</v>
      </c>
      <c r="S85" s="497">
        <v>-7473.9429999999993</v>
      </c>
      <c r="T85" s="497">
        <v>760</v>
      </c>
      <c r="U85" s="497">
        <v>480</v>
      </c>
      <c r="V85" s="497">
        <v>840</v>
      </c>
      <c r="W85" s="497">
        <v>1983.318</v>
      </c>
      <c r="Z85" s="498">
        <v>0.46071648475633875</v>
      </c>
      <c r="AA85" s="498">
        <f>1-Z85</f>
        <v>0.53928351524366125</v>
      </c>
      <c r="AB85" s="498">
        <v>0.77041495132801496</v>
      </c>
      <c r="AC85" s="498">
        <v>0.22958504867198506</v>
      </c>
      <c r="AD85" s="404">
        <v>0.9</v>
      </c>
      <c r="AE85" s="404">
        <v>0.1</v>
      </c>
      <c r="AF85" s="412">
        <v>3.1911631478497848E-2</v>
      </c>
      <c r="AG85" s="412">
        <v>7.8874630001157672E-2</v>
      </c>
      <c r="AH85" s="412">
        <v>0.6677189378869256</v>
      </c>
      <c r="AI85" s="412">
        <v>0.22149480063341889</v>
      </c>
      <c r="AJ85" s="499">
        <v>1</v>
      </c>
      <c r="AK85" s="437" t="s">
        <v>824</v>
      </c>
      <c r="AL85" s="437"/>
      <c r="AM85" s="432" t="s">
        <v>829</v>
      </c>
    </row>
    <row r="86" spans="2:39" ht="14.4">
      <c r="B86" s="496" t="s">
        <v>807</v>
      </c>
      <c r="C86" s="496" t="s">
        <v>41</v>
      </c>
      <c r="D86" s="497">
        <v>185141.38500000001</v>
      </c>
      <c r="E86" s="497">
        <v>145887.446</v>
      </c>
      <c r="F86" s="497">
        <v>119424.928</v>
      </c>
      <c r="G86" s="497">
        <v>111931.51</v>
      </c>
      <c r="H86" s="497">
        <v>264388.53200000001</v>
      </c>
      <c r="I86" s="497">
        <v>228400.378</v>
      </c>
      <c r="J86" s="497">
        <v>257108.64</v>
      </c>
      <c r="K86" s="497">
        <v>215666.758</v>
      </c>
      <c r="L86" s="497">
        <v>160651.79999999999</v>
      </c>
      <c r="M86" s="497">
        <v>125817.3</v>
      </c>
      <c r="N86" s="497">
        <v>93627.9</v>
      </c>
      <c r="O86" s="497">
        <v>90958.98</v>
      </c>
      <c r="P86" s="497">
        <v>61375.5</v>
      </c>
      <c r="Q86" s="497">
        <v>42144.3</v>
      </c>
      <c r="R86" s="497">
        <v>30295.8</v>
      </c>
      <c r="S86" s="497">
        <v>41894.1</v>
      </c>
      <c r="T86" s="497">
        <v>0</v>
      </c>
      <c r="U86" s="497">
        <v>0</v>
      </c>
      <c r="V86" s="497">
        <v>0</v>
      </c>
      <c r="W86" s="497">
        <v>0</v>
      </c>
      <c r="Z86" s="437">
        <v>0</v>
      </c>
      <c r="AA86" s="437">
        <v>1</v>
      </c>
      <c r="AB86" s="437">
        <v>0</v>
      </c>
      <c r="AC86" s="437">
        <v>1</v>
      </c>
      <c r="AD86" s="404">
        <v>0</v>
      </c>
      <c r="AE86" s="404">
        <v>0</v>
      </c>
      <c r="AF86" s="412">
        <v>3.1911631478497848E-2</v>
      </c>
      <c r="AG86" s="412">
        <v>7.8874630001157672E-2</v>
      </c>
      <c r="AH86" s="412">
        <v>0.6677189378869256</v>
      </c>
      <c r="AI86" s="412">
        <v>0.22149480063341889</v>
      </c>
      <c r="AJ86" s="499">
        <v>0</v>
      </c>
      <c r="AK86" s="432" t="s">
        <v>832</v>
      </c>
      <c r="AL86" s="437"/>
      <c r="AM86" s="437"/>
    </row>
    <row r="87" spans="2:39" ht="14.4">
      <c r="B87" s="496" t="s">
        <v>807</v>
      </c>
      <c r="C87" s="496" t="s">
        <v>675</v>
      </c>
      <c r="D87" s="497">
        <v>0</v>
      </c>
      <c r="E87" s="497">
        <v>0</v>
      </c>
      <c r="F87" s="497">
        <v>0</v>
      </c>
      <c r="G87" s="497">
        <v>0</v>
      </c>
      <c r="H87" s="497">
        <v>0</v>
      </c>
      <c r="I87" s="497">
        <v>0</v>
      </c>
      <c r="J87" s="497">
        <v>0</v>
      </c>
      <c r="K87" s="497">
        <v>0</v>
      </c>
      <c r="L87" s="497">
        <v>191826.35000000003</v>
      </c>
      <c r="M87" s="497">
        <v>130440.024</v>
      </c>
      <c r="N87" s="497">
        <v>115979.70000000001</v>
      </c>
      <c r="O87" s="497">
        <v>123748.56</v>
      </c>
      <c r="P87" s="497">
        <v>29371.200000000001</v>
      </c>
      <c r="Q87" s="497">
        <v>21194.44</v>
      </c>
      <c r="R87" s="497">
        <v>11347.16</v>
      </c>
      <c r="S87" s="497">
        <v>15885.36</v>
      </c>
      <c r="T87" s="497">
        <v>0</v>
      </c>
      <c r="U87" s="497">
        <v>0</v>
      </c>
      <c r="V87" s="497">
        <v>0</v>
      </c>
      <c r="W87" s="497">
        <v>0</v>
      </c>
      <c r="Z87" s="498">
        <v>0.2278820625087335</v>
      </c>
      <c r="AA87" s="498">
        <v>0.77211793749126656</v>
      </c>
      <c r="AB87" s="500">
        <v>0.43589157466609557</v>
      </c>
      <c r="AC87" s="500">
        <v>0.56410842533390437</v>
      </c>
      <c r="AD87" s="404">
        <v>0.1</v>
      </c>
      <c r="AE87" s="404">
        <v>0.9</v>
      </c>
      <c r="AF87" s="500">
        <v>0.23945933192550606</v>
      </c>
      <c r="AG87" s="500">
        <v>0.35198143890868033</v>
      </c>
      <c r="AH87" s="500">
        <v>0.32686697982049234</v>
      </c>
      <c r="AI87" s="500">
        <v>8.1692249345321322E-2</v>
      </c>
      <c r="AJ87" s="499">
        <v>1</v>
      </c>
      <c r="AK87" s="437" t="s">
        <v>826</v>
      </c>
      <c r="AL87" s="437"/>
      <c r="AM87" s="432" t="s">
        <v>831</v>
      </c>
    </row>
    <row r="88" spans="2:39" ht="14.4">
      <c r="B88" s="496" t="s">
        <v>807</v>
      </c>
      <c r="C88" s="496" t="s">
        <v>90</v>
      </c>
      <c r="D88" s="497">
        <v>307137.8</v>
      </c>
      <c r="E88" s="497">
        <v>317291.5</v>
      </c>
      <c r="F88" s="497">
        <v>304504.69100000005</v>
      </c>
      <c r="G88" s="497">
        <v>297626.81099999999</v>
      </c>
      <c r="H88" s="497">
        <v>927452.83</v>
      </c>
      <c r="I88" s="497">
        <v>947806.59499999997</v>
      </c>
      <c r="J88" s="497">
        <v>1024127.6599999999</v>
      </c>
      <c r="K88" s="497">
        <v>1063872.07</v>
      </c>
      <c r="L88" s="497">
        <v>473267</v>
      </c>
      <c r="M88" s="497">
        <v>500063.18</v>
      </c>
      <c r="N88" s="497">
        <v>441449.58</v>
      </c>
      <c r="O88" s="497">
        <v>542565.84000000008</v>
      </c>
      <c r="P88" s="497">
        <v>826678.41299999994</v>
      </c>
      <c r="Q88" s="497">
        <v>869800.01899999997</v>
      </c>
      <c r="R88" s="497">
        <v>783141.36700000009</v>
      </c>
      <c r="S88" s="497">
        <v>843922.07700000005</v>
      </c>
      <c r="T88" s="497">
        <v>0</v>
      </c>
      <c r="U88" s="497">
        <v>0</v>
      </c>
      <c r="V88" s="497">
        <v>0</v>
      </c>
      <c r="W88" s="497">
        <v>0</v>
      </c>
      <c r="Z88" s="437">
        <v>0</v>
      </c>
      <c r="AA88" s="437">
        <v>1</v>
      </c>
      <c r="AB88" s="437">
        <v>0</v>
      </c>
      <c r="AC88" s="437">
        <v>1</v>
      </c>
      <c r="AD88" s="404">
        <v>0</v>
      </c>
      <c r="AE88" s="404">
        <v>0</v>
      </c>
      <c r="AF88" s="412">
        <v>0</v>
      </c>
      <c r="AG88" s="412">
        <v>0</v>
      </c>
      <c r="AH88" s="412">
        <v>1</v>
      </c>
      <c r="AI88" s="412">
        <v>0</v>
      </c>
      <c r="AJ88" s="499">
        <v>0</v>
      </c>
      <c r="AK88" s="437" t="s">
        <v>825</v>
      </c>
      <c r="AL88" s="437"/>
      <c r="AM88" s="437"/>
    </row>
    <row r="89" spans="2:39" ht="14.4">
      <c r="B89" s="496" t="s">
        <v>807</v>
      </c>
      <c r="C89" s="496" t="s">
        <v>73</v>
      </c>
      <c r="D89" s="497">
        <v>-4692</v>
      </c>
      <c r="E89" s="497">
        <v>-5198</v>
      </c>
      <c r="F89" s="497">
        <v>-3242.7240000000002</v>
      </c>
      <c r="G89" s="497">
        <v>-3075.9279999999999</v>
      </c>
      <c r="H89" s="497">
        <v>-192605.8</v>
      </c>
      <c r="I89" s="497">
        <v>-233496.5</v>
      </c>
      <c r="J89" s="497">
        <v>-272082.2</v>
      </c>
      <c r="K89" s="497">
        <v>-330583.09999999998</v>
      </c>
      <c r="L89" s="497">
        <v>12243</v>
      </c>
      <c r="M89" s="497">
        <v>14691.6</v>
      </c>
      <c r="N89" s="497">
        <v>36577</v>
      </c>
      <c r="O89" s="497">
        <v>38567.9</v>
      </c>
      <c r="P89" s="497">
        <v>27386.7</v>
      </c>
      <c r="Q89" s="497">
        <v>20291.7</v>
      </c>
      <c r="R89" s="497">
        <v>22514.799999999999</v>
      </c>
      <c r="S89" s="497">
        <v>25508.376</v>
      </c>
      <c r="T89" s="497">
        <v>141</v>
      </c>
      <c r="U89" s="497">
        <v>141</v>
      </c>
      <c r="V89" s="497">
        <v>141</v>
      </c>
      <c r="W89" s="497">
        <v>122.059</v>
      </c>
      <c r="Z89" s="498">
        <v>0.46071648475633875</v>
      </c>
      <c r="AA89" s="498">
        <f t="shared" ref="AA89:AA97" si="6">1-Z89</f>
        <v>0.53928351524366125</v>
      </c>
      <c r="AB89" s="498">
        <v>0.77041495132801496</v>
      </c>
      <c r="AC89" s="498">
        <v>0.22958504867198506</v>
      </c>
      <c r="AD89" s="404">
        <v>0.9</v>
      </c>
      <c r="AE89" s="404">
        <v>0.1</v>
      </c>
      <c r="AF89" s="412">
        <v>3.1911631478497848E-2</v>
      </c>
      <c r="AG89" s="412">
        <v>7.8874630001157672E-2</v>
      </c>
      <c r="AH89" s="412">
        <v>0.6677189378869256</v>
      </c>
      <c r="AI89" s="412">
        <v>0.22149480063341889</v>
      </c>
      <c r="AJ89" s="499">
        <v>1</v>
      </c>
      <c r="AK89" s="437" t="s">
        <v>824</v>
      </c>
      <c r="AL89" s="437"/>
      <c r="AM89" s="432" t="s">
        <v>829</v>
      </c>
    </row>
    <row r="90" spans="2:39" ht="14.4">
      <c r="B90" s="496" t="s">
        <v>807</v>
      </c>
      <c r="C90" s="496" t="s">
        <v>93</v>
      </c>
      <c r="D90" s="497">
        <v>-1780</v>
      </c>
      <c r="E90" s="497">
        <v>0</v>
      </c>
      <c r="F90" s="497">
        <v>0</v>
      </c>
      <c r="G90" s="497">
        <v>0</v>
      </c>
      <c r="H90" s="497">
        <v>-83585.600000000006</v>
      </c>
      <c r="I90" s="497">
        <v>-106589.2</v>
      </c>
      <c r="J90" s="497">
        <v>-110408.5</v>
      </c>
      <c r="K90" s="497">
        <v>-94165.5</v>
      </c>
      <c r="L90" s="497">
        <v>19624.900000000001</v>
      </c>
      <c r="M90" s="497">
        <v>6910.8</v>
      </c>
      <c r="N90" s="497">
        <v>10543.4</v>
      </c>
      <c r="O90" s="497">
        <v>16834</v>
      </c>
      <c r="P90" s="497">
        <v>12549</v>
      </c>
      <c r="Q90" s="497">
        <v>5429</v>
      </c>
      <c r="R90" s="497">
        <v>10680</v>
      </c>
      <c r="S90" s="497">
        <v>24087.555</v>
      </c>
      <c r="T90" s="497">
        <v>0</v>
      </c>
      <c r="U90" s="497">
        <v>0</v>
      </c>
      <c r="V90" s="497">
        <v>0</v>
      </c>
      <c r="W90" s="497">
        <v>0</v>
      </c>
      <c r="Z90" s="498">
        <v>0.46071648475633875</v>
      </c>
      <c r="AA90" s="498">
        <f t="shared" si="6"/>
        <v>0.53928351524366125</v>
      </c>
      <c r="AB90" s="498">
        <v>0.77041495132801496</v>
      </c>
      <c r="AC90" s="498">
        <v>0.22958504867198506</v>
      </c>
      <c r="AD90" s="404">
        <v>0.9</v>
      </c>
      <c r="AE90" s="404">
        <v>0.1</v>
      </c>
      <c r="AF90" s="412">
        <v>3.1911631478497848E-2</v>
      </c>
      <c r="AG90" s="412">
        <v>7.8874630001157672E-2</v>
      </c>
      <c r="AH90" s="412">
        <v>0.6677189378869256</v>
      </c>
      <c r="AI90" s="412">
        <v>0.22149480063341889</v>
      </c>
      <c r="AJ90" s="499">
        <v>1</v>
      </c>
      <c r="AK90" s="437" t="s">
        <v>824</v>
      </c>
      <c r="AL90" s="437"/>
      <c r="AM90" s="432" t="s">
        <v>829</v>
      </c>
    </row>
    <row r="91" spans="2:39" ht="14.4">
      <c r="B91" s="496" t="s">
        <v>807</v>
      </c>
      <c r="C91" s="496" t="s">
        <v>77</v>
      </c>
      <c r="D91" s="497">
        <v>-14310.6</v>
      </c>
      <c r="E91" s="497">
        <v>-7307.7</v>
      </c>
      <c r="F91" s="497">
        <v>-4188.2</v>
      </c>
      <c r="G91" s="497">
        <v>-2899.4120000000003</v>
      </c>
      <c r="H91" s="497">
        <v>-10421.299999999999</v>
      </c>
      <c r="I91" s="497">
        <v>-16031</v>
      </c>
      <c r="J91" s="497">
        <v>-22682.5</v>
      </c>
      <c r="K91" s="497">
        <v>-15214.3</v>
      </c>
      <c r="L91" s="497">
        <v>8471.14</v>
      </c>
      <c r="M91" s="497">
        <v>-19142.079999999998</v>
      </c>
      <c r="N91" s="497">
        <v>-10317.6</v>
      </c>
      <c r="O91" s="497">
        <v>-12138.979999999998</v>
      </c>
      <c r="P91" s="497">
        <v>353.7</v>
      </c>
      <c r="Q91" s="497">
        <v>-2072.3999999999996</v>
      </c>
      <c r="R91" s="497">
        <v>3307.9</v>
      </c>
      <c r="S91" s="497">
        <v>1003.7190000000001</v>
      </c>
      <c r="T91" s="497">
        <v>396.3</v>
      </c>
      <c r="U91" s="497">
        <v>264</v>
      </c>
      <c r="V91" s="497">
        <v>264</v>
      </c>
      <c r="W91" s="497">
        <v>385.63600000000002</v>
      </c>
      <c r="Z91" s="498">
        <v>0.46071648475633875</v>
      </c>
      <c r="AA91" s="498">
        <f t="shared" si="6"/>
        <v>0.53928351524366125</v>
      </c>
      <c r="AB91" s="498">
        <v>0.77041495132801496</v>
      </c>
      <c r="AC91" s="498">
        <v>0.22958504867198506</v>
      </c>
      <c r="AD91" s="404">
        <v>0.9</v>
      </c>
      <c r="AE91" s="404">
        <v>0.1</v>
      </c>
      <c r="AF91" s="412">
        <v>3.1911631478497848E-2</v>
      </c>
      <c r="AG91" s="412">
        <v>7.8874630001157672E-2</v>
      </c>
      <c r="AH91" s="412">
        <v>0.6677189378869256</v>
      </c>
      <c r="AI91" s="412">
        <v>0.22149480063341889</v>
      </c>
      <c r="AJ91" s="499">
        <v>1</v>
      </c>
      <c r="AK91" s="437" t="s">
        <v>824</v>
      </c>
      <c r="AL91" s="437"/>
      <c r="AM91" s="432" t="s">
        <v>829</v>
      </c>
    </row>
    <row r="92" spans="2:39" ht="14.4">
      <c r="B92" s="496" t="s">
        <v>807</v>
      </c>
      <c r="C92" s="496" t="s">
        <v>74</v>
      </c>
      <c r="D92" s="497">
        <v>-9373.2000000000007</v>
      </c>
      <c r="E92" s="497">
        <v>-25973.4</v>
      </c>
      <c r="F92" s="497">
        <v>-30332.550999999999</v>
      </c>
      <c r="G92" s="497">
        <v>-31727.713</v>
      </c>
      <c r="H92" s="497">
        <v>-70259.8</v>
      </c>
      <c r="I92" s="497">
        <v>-109662.2</v>
      </c>
      <c r="J92" s="497">
        <v>-125773.5</v>
      </c>
      <c r="K92" s="497">
        <v>-153606.1</v>
      </c>
      <c r="L92" s="497">
        <v>-90515</v>
      </c>
      <c r="M92" s="497">
        <v>-104834</v>
      </c>
      <c r="N92" s="497">
        <v>-82156.2</v>
      </c>
      <c r="O92" s="497">
        <v>-106199.8</v>
      </c>
      <c r="P92" s="497">
        <v>-10144.700000000001</v>
      </c>
      <c r="Q92" s="497">
        <v>-70747.100000000006</v>
      </c>
      <c r="R92" s="497">
        <v>-93384.4</v>
      </c>
      <c r="S92" s="497">
        <v>-122140.93</v>
      </c>
      <c r="T92" s="497">
        <v>6512</v>
      </c>
      <c r="U92" s="497">
        <v>6028</v>
      </c>
      <c r="V92" s="497">
        <v>5808</v>
      </c>
      <c r="W92" s="497">
        <v>5679.1270000000004</v>
      </c>
      <c r="Z92" s="498">
        <v>0.46071648475633875</v>
      </c>
      <c r="AA92" s="498">
        <f t="shared" si="6"/>
        <v>0.53928351524366125</v>
      </c>
      <c r="AB92" s="498">
        <v>0.77041495132801496</v>
      </c>
      <c r="AC92" s="498">
        <v>0.22958504867198506</v>
      </c>
      <c r="AD92" s="404">
        <v>0.9</v>
      </c>
      <c r="AE92" s="404">
        <v>0.1</v>
      </c>
      <c r="AF92" s="412">
        <v>3.1911631478497848E-2</v>
      </c>
      <c r="AG92" s="412">
        <v>7.8874630001157672E-2</v>
      </c>
      <c r="AH92" s="412">
        <v>0.6677189378869256</v>
      </c>
      <c r="AI92" s="412">
        <v>0.22149480063341889</v>
      </c>
      <c r="AJ92" s="499">
        <v>1</v>
      </c>
      <c r="AK92" s="437" t="s">
        <v>824</v>
      </c>
      <c r="AL92" s="437"/>
      <c r="AM92" s="432" t="s">
        <v>829</v>
      </c>
    </row>
    <row r="93" spans="2:39" ht="14.4">
      <c r="B93" s="496" t="s">
        <v>807</v>
      </c>
      <c r="C93" s="496" t="s">
        <v>45</v>
      </c>
      <c r="D93" s="497">
        <v>39839.1</v>
      </c>
      <c r="E93" s="497">
        <v>11956</v>
      </c>
      <c r="F93" s="497">
        <v>11562.861000000001</v>
      </c>
      <c r="G93" s="497">
        <v>22895.954000000002</v>
      </c>
      <c r="H93" s="497">
        <v>-35088</v>
      </c>
      <c r="I93" s="497">
        <v>-55212</v>
      </c>
      <c r="J93" s="497">
        <v>-75164</v>
      </c>
      <c r="K93" s="497">
        <v>-116714.8</v>
      </c>
      <c r="L93" s="497">
        <v>-25885.53</v>
      </c>
      <c r="M93" s="497">
        <v>-29732.1</v>
      </c>
      <c r="N93" s="497">
        <v>-53843.712</v>
      </c>
      <c r="O93" s="497">
        <v>-82793.554999999993</v>
      </c>
      <c r="P93" s="497">
        <v>-94385</v>
      </c>
      <c r="Q93" s="497">
        <v>-137170</v>
      </c>
      <c r="R93" s="497">
        <v>-181245</v>
      </c>
      <c r="S93" s="497">
        <v>-188248.17600000001</v>
      </c>
      <c r="T93" s="497">
        <v>12298</v>
      </c>
      <c r="U93" s="497">
        <v>10664</v>
      </c>
      <c r="V93" s="497">
        <v>12900</v>
      </c>
      <c r="W93" s="497">
        <v>12834.124</v>
      </c>
      <c r="Z93" s="498">
        <v>0.46071648475633875</v>
      </c>
      <c r="AA93" s="498">
        <f t="shared" si="6"/>
        <v>0.53928351524366125</v>
      </c>
      <c r="AB93" s="498">
        <v>0.77041495132801496</v>
      </c>
      <c r="AC93" s="498">
        <v>0.22958504867198506</v>
      </c>
      <c r="AD93" s="404">
        <v>0.9</v>
      </c>
      <c r="AE93" s="404">
        <v>0.1</v>
      </c>
      <c r="AF93" s="412">
        <v>3.1911631478497848E-2</v>
      </c>
      <c r="AG93" s="412">
        <v>7.8874630001157672E-2</v>
      </c>
      <c r="AH93" s="412">
        <v>0.6677189378869256</v>
      </c>
      <c r="AI93" s="412">
        <v>0.22149480063341889</v>
      </c>
      <c r="AJ93" s="499">
        <v>1</v>
      </c>
      <c r="AK93" s="437" t="s">
        <v>824</v>
      </c>
      <c r="AL93" s="437"/>
      <c r="AM93" s="432" t="s">
        <v>829</v>
      </c>
    </row>
    <row r="94" spans="2:39" ht="14.4">
      <c r="B94" s="496" t="s">
        <v>807</v>
      </c>
      <c r="C94" s="496" t="s">
        <v>44</v>
      </c>
      <c r="D94" s="497">
        <v>-39390</v>
      </c>
      <c r="E94" s="497">
        <v>-45369.2</v>
      </c>
      <c r="F94" s="497">
        <v>-52422.353000000003</v>
      </c>
      <c r="G94" s="497">
        <v>-44322.476000000002</v>
      </c>
      <c r="H94" s="497">
        <v>-8891.4</v>
      </c>
      <c r="I94" s="497">
        <v>-24806.6</v>
      </c>
      <c r="J94" s="497">
        <v>6008.8</v>
      </c>
      <c r="K94" s="497">
        <v>-1333.2</v>
      </c>
      <c r="L94" s="497">
        <v>-4363.2</v>
      </c>
      <c r="M94" s="497">
        <v>-10180.799999999999</v>
      </c>
      <c r="N94" s="497">
        <v>-6019.6</v>
      </c>
      <c r="O94" s="497">
        <v>-42662.400000000001</v>
      </c>
      <c r="P94" s="497">
        <v>-173194.8</v>
      </c>
      <c r="Q94" s="497">
        <v>-151055.6</v>
      </c>
      <c r="R94" s="497">
        <v>-156469.20000000001</v>
      </c>
      <c r="S94" s="497">
        <v>-151735.03400000001</v>
      </c>
      <c r="T94" s="497">
        <v>2383.6</v>
      </c>
      <c r="U94" s="497">
        <v>3070.4</v>
      </c>
      <c r="V94" s="497">
        <v>3393.6</v>
      </c>
      <c r="W94" s="497">
        <v>3327.1819999999998</v>
      </c>
      <c r="Z94" s="498">
        <v>0.46071648475633875</v>
      </c>
      <c r="AA94" s="498">
        <f t="shared" si="6"/>
        <v>0.53928351524366125</v>
      </c>
      <c r="AB94" s="498">
        <v>0.77041495132801496</v>
      </c>
      <c r="AC94" s="498">
        <v>0.22958504867198506</v>
      </c>
      <c r="AD94" s="404">
        <v>0.9</v>
      </c>
      <c r="AE94" s="404">
        <v>0.1</v>
      </c>
      <c r="AF94" s="412">
        <v>3.1911631478497848E-2</v>
      </c>
      <c r="AG94" s="412">
        <v>7.8874630001157672E-2</v>
      </c>
      <c r="AH94" s="412">
        <v>0.6677189378869256</v>
      </c>
      <c r="AI94" s="412">
        <v>0.22149480063341889</v>
      </c>
      <c r="AJ94" s="499">
        <v>1</v>
      </c>
      <c r="AK94" s="437" t="s">
        <v>824</v>
      </c>
      <c r="AL94" s="437"/>
      <c r="AM94" s="432" t="s">
        <v>829</v>
      </c>
    </row>
    <row r="95" spans="2:39" ht="14.4">
      <c r="B95" s="496" t="s">
        <v>807</v>
      </c>
      <c r="C95" s="496" t="s">
        <v>798</v>
      </c>
      <c r="D95" s="497">
        <v>1121.4000000000001</v>
      </c>
      <c r="E95" s="497">
        <v>1927.874</v>
      </c>
      <c r="F95" s="497">
        <v>1823.69</v>
      </c>
      <c r="G95" s="497">
        <v>1843.7950000000001</v>
      </c>
      <c r="H95" s="497">
        <v>187.6</v>
      </c>
      <c r="I95" s="497">
        <v>375.2</v>
      </c>
      <c r="J95" s="497">
        <v>428.8</v>
      </c>
      <c r="K95" s="497">
        <v>1500.5050000000001</v>
      </c>
      <c r="L95" s="497">
        <v>3403.038</v>
      </c>
      <c r="M95" s="497">
        <v>4047.0569999999998</v>
      </c>
      <c r="N95" s="497">
        <v>2915.518</v>
      </c>
      <c r="O95" s="497">
        <v>3726.4050000000002</v>
      </c>
      <c r="P95" s="497">
        <v>7867.4889999999996</v>
      </c>
      <c r="Q95" s="497">
        <v>9488.3379999999997</v>
      </c>
      <c r="R95" s="497">
        <v>5378.7060000000001</v>
      </c>
      <c r="S95" s="497">
        <v>5286.8330000000005</v>
      </c>
      <c r="T95" s="497">
        <v>0</v>
      </c>
      <c r="U95" s="497">
        <v>0</v>
      </c>
      <c r="V95" s="497">
        <v>53.6</v>
      </c>
      <c r="W95" s="497">
        <v>166.56299999999999</v>
      </c>
      <c r="Z95" s="498">
        <v>0.46071648475633875</v>
      </c>
      <c r="AA95" s="498">
        <f t="shared" si="6"/>
        <v>0.53928351524366125</v>
      </c>
      <c r="AB95" s="498">
        <v>0.77041495132801496</v>
      </c>
      <c r="AC95" s="498">
        <v>0.22958504867198506</v>
      </c>
      <c r="AD95" s="404">
        <v>0.9</v>
      </c>
      <c r="AE95" s="404">
        <v>0.1</v>
      </c>
      <c r="AF95" s="412">
        <v>3.1911631478497848E-2</v>
      </c>
      <c r="AG95" s="412">
        <v>7.8874630001157672E-2</v>
      </c>
      <c r="AH95" s="412">
        <v>0.6677189378869256</v>
      </c>
      <c r="AI95" s="412">
        <v>0.22149480063341889</v>
      </c>
      <c r="AJ95" s="499">
        <v>1</v>
      </c>
      <c r="AK95" s="437" t="s">
        <v>824</v>
      </c>
      <c r="AL95" s="437"/>
      <c r="AM95" s="432" t="s">
        <v>829</v>
      </c>
    </row>
    <row r="96" spans="2:39" ht="14.4">
      <c r="B96" s="496" t="s">
        <v>807</v>
      </c>
      <c r="C96" s="496" t="s">
        <v>799</v>
      </c>
      <c r="D96" s="497">
        <v>37.5</v>
      </c>
      <c r="E96" s="497">
        <v>6614.8130000000001</v>
      </c>
      <c r="F96" s="497">
        <v>7396.2749999999996</v>
      </c>
      <c r="G96" s="497">
        <v>7235.8130000000001</v>
      </c>
      <c r="H96" s="497">
        <v>4636.8</v>
      </c>
      <c r="I96" s="497">
        <v>5152</v>
      </c>
      <c r="J96" s="497">
        <v>5483.1629999999996</v>
      </c>
      <c r="K96" s="497">
        <v>13809.236999999999</v>
      </c>
      <c r="L96" s="497">
        <v>5173.26</v>
      </c>
      <c r="M96" s="497">
        <v>6136.8289999999997</v>
      </c>
      <c r="N96" s="497">
        <v>18014.88</v>
      </c>
      <c r="O96" s="497">
        <v>11784.371999999999</v>
      </c>
      <c r="P96" s="497">
        <v>8287.4509999999991</v>
      </c>
      <c r="Q96" s="497">
        <v>11804.575999999999</v>
      </c>
      <c r="R96" s="497">
        <v>34306.074000000001</v>
      </c>
      <c r="S96" s="497">
        <v>61857.021000000001</v>
      </c>
      <c r="T96" s="497">
        <v>0</v>
      </c>
      <c r="U96" s="497">
        <v>0</v>
      </c>
      <c r="V96" s="497">
        <v>513.6</v>
      </c>
      <c r="W96" s="497">
        <v>539.20000000000005</v>
      </c>
      <c r="Z96" s="498">
        <v>0.46071648475633875</v>
      </c>
      <c r="AA96" s="498">
        <f t="shared" si="6"/>
        <v>0.53928351524366125</v>
      </c>
      <c r="AB96" s="498">
        <v>0.77041495132801496</v>
      </c>
      <c r="AC96" s="498">
        <v>0.22958504867198506</v>
      </c>
      <c r="AD96" s="404">
        <v>0.9</v>
      </c>
      <c r="AE96" s="404">
        <v>0.1</v>
      </c>
      <c r="AF96" s="412">
        <v>3.1911631478497848E-2</v>
      </c>
      <c r="AG96" s="412">
        <v>7.8874630001157672E-2</v>
      </c>
      <c r="AH96" s="412">
        <v>0.6677189378869256</v>
      </c>
      <c r="AI96" s="412">
        <v>0.22149480063341889</v>
      </c>
      <c r="AJ96" s="499">
        <v>1</v>
      </c>
      <c r="AK96" s="437" t="s">
        <v>824</v>
      </c>
      <c r="AL96" s="437"/>
      <c r="AM96" s="432" t="s">
        <v>829</v>
      </c>
    </row>
    <row r="97" spans="2:39" ht="14.4">
      <c r="B97" s="496" t="s">
        <v>807</v>
      </c>
      <c r="C97" s="496" t="s">
        <v>800</v>
      </c>
      <c r="D97" s="497">
        <v>0</v>
      </c>
      <c r="E97" s="497">
        <v>0</v>
      </c>
      <c r="F97" s="497">
        <v>0</v>
      </c>
      <c r="G97" s="497">
        <v>0</v>
      </c>
      <c r="H97" s="497">
        <v>0</v>
      </c>
      <c r="I97" s="497">
        <v>0</v>
      </c>
      <c r="J97" s="497">
        <v>0</v>
      </c>
      <c r="K97" s="497">
        <v>0</v>
      </c>
      <c r="L97" s="497">
        <v>0</v>
      </c>
      <c r="M97" s="497">
        <v>0</v>
      </c>
      <c r="N97" s="497">
        <v>0</v>
      </c>
      <c r="O97" s="497">
        <v>0</v>
      </c>
      <c r="P97" s="497">
        <v>0</v>
      </c>
      <c r="Q97" s="497">
        <v>0</v>
      </c>
      <c r="R97" s="497">
        <v>0</v>
      </c>
      <c r="S97" s="497">
        <v>0</v>
      </c>
      <c r="T97" s="497">
        <v>0</v>
      </c>
      <c r="U97" s="497">
        <v>0</v>
      </c>
      <c r="V97" s="497">
        <v>0</v>
      </c>
      <c r="W97" s="497">
        <v>0</v>
      </c>
      <c r="Z97" s="498">
        <v>0.46071648475633875</v>
      </c>
      <c r="AA97" s="498">
        <f t="shared" si="6"/>
        <v>0.53928351524366125</v>
      </c>
      <c r="AB97" s="498">
        <v>0.77041495132801496</v>
      </c>
      <c r="AC97" s="498">
        <v>0.22958504867198506</v>
      </c>
      <c r="AD97" s="404">
        <v>0.9</v>
      </c>
      <c r="AE97" s="404">
        <v>0.1</v>
      </c>
      <c r="AF97" s="412">
        <v>3.1911631478497848E-2</v>
      </c>
      <c r="AG97" s="412">
        <v>7.8874630001157672E-2</v>
      </c>
      <c r="AH97" s="412">
        <v>0.6677189378869256</v>
      </c>
      <c r="AI97" s="412">
        <v>0.22149480063341889</v>
      </c>
      <c r="AJ97" s="499">
        <v>1</v>
      </c>
      <c r="AK97" s="437" t="s">
        <v>824</v>
      </c>
      <c r="AL97" s="437"/>
      <c r="AM97" s="432" t="s">
        <v>829</v>
      </c>
    </row>
    <row r="98" spans="2:39" ht="14.4">
      <c r="B98" s="496" t="s">
        <v>807</v>
      </c>
      <c r="C98" s="496" t="s">
        <v>126</v>
      </c>
      <c r="D98" s="497">
        <v>4336.5519999999997</v>
      </c>
      <c r="E98" s="497">
        <v>4399.1469999999999</v>
      </c>
      <c r="F98" s="497">
        <v>6285.2479999999996</v>
      </c>
      <c r="G98" s="497">
        <v>13414.258</v>
      </c>
      <c r="H98" s="497">
        <v>753</v>
      </c>
      <c r="I98" s="497">
        <v>800</v>
      </c>
      <c r="J98" s="497">
        <v>1100</v>
      </c>
      <c r="K98" s="497">
        <v>2277.4929999999999</v>
      </c>
      <c r="L98" s="497">
        <v>1692</v>
      </c>
      <c r="M98" s="497">
        <v>2425</v>
      </c>
      <c r="N98" s="497">
        <v>4321</v>
      </c>
      <c r="O98" s="497">
        <v>7796</v>
      </c>
      <c r="P98" s="497">
        <v>4654</v>
      </c>
      <c r="Q98" s="497">
        <v>5303</v>
      </c>
      <c r="R98" s="497">
        <v>7009</v>
      </c>
      <c r="S98" s="497">
        <v>7359</v>
      </c>
      <c r="T98" s="497">
        <v>22</v>
      </c>
      <c r="U98" s="497">
        <v>73</v>
      </c>
      <c r="V98" s="497">
        <v>69</v>
      </c>
      <c r="W98" s="497">
        <v>77.968999999999994</v>
      </c>
      <c r="Z98" s="500">
        <v>0.16985317211055276</v>
      </c>
      <c r="AA98" s="500">
        <v>0.83014682788944727</v>
      </c>
      <c r="AB98" s="500">
        <v>0.48632184165814718</v>
      </c>
      <c r="AC98" s="500">
        <v>0.51367815834185271</v>
      </c>
      <c r="AD98" s="404">
        <v>0.1</v>
      </c>
      <c r="AE98" s="404">
        <v>0.9</v>
      </c>
      <c r="AF98" s="500">
        <v>2.8368794326241134E-2</v>
      </c>
      <c r="AG98" s="500">
        <v>7.0921985815602835E-3</v>
      </c>
      <c r="AH98" s="500">
        <v>0.55319148936170215</v>
      </c>
      <c r="AI98" s="500">
        <v>0.41134751773049644</v>
      </c>
      <c r="AJ98" s="499">
        <v>1</v>
      </c>
      <c r="AK98" s="432" t="s">
        <v>830</v>
      </c>
      <c r="AL98" s="437"/>
      <c r="AM98" s="432" t="s">
        <v>831</v>
      </c>
    </row>
    <row r="99" spans="2:39" ht="14.4">
      <c r="B99" s="496" t="s">
        <v>807</v>
      </c>
      <c r="C99" s="496" t="s">
        <v>42</v>
      </c>
      <c r="D99" s="497">
        <v>55254.906000000003</v>
      </c>
      <c r="E99" s="497">
        <v>54149.437999999995</v>
      </c>
      <c r="F99" s="497">
        <v>57552.302000000003</v>
      </c>
      <c r="G99" s="497">
        <v>55735.700000000004</v>
      </c>
      <c r="H99" s="497">
        <v>19378</v>
      </c>
      <c r="I99" s="497">
        <v>24954</v>
      </c>
      <c r="J99" s="497">
        <v>29493</v>
      </c>
      <c r="K99" s="497">
        <v>31280.879000000001</v>
      </c>
      <c r="L99" s="497">
        <v>18327</v>
      </c>
      <c r="M99" s="497">
        <v>23478</v>
      </c>
      <c r="N99" s="497">
        <v>31520</v>
      </c>
      <c r="O99" s="497">
        <v>39220</v>
      </c>
      <c r="P99" s="497">
        <v>74236</v>
      </c>
      <c r="Q99" s="497">
        <v>76705</v>
      </c>
      <c r="R99" s="497">
        <v>90240</v>
      </c>
      <c r="S99" s="497">
        <v>98882</v>
      </c>
      <c r="T99" s="497">
        <v>54</v>
      </c>
      <c r="U99" s="497">
        <v>0</v>
      </c>
      <c r="V99" s="497">
        <v>0</v>
      </c>
      <c r="W99" s="497">
        <v>0</v>
      </c>
      <c r="Z99" s="498">
        <v>0.46071648475633875</v>
      </c>
      <c r="AA99" s="498">
        <f>1-Z99</f>
        <v>0.53928351524366125</v>
      </c>
      <c r="AB99" s="498">
        <v>0.77041495132801496</v>
      </c>
      <c r="AC99" s="498">
        <v>0.22958504867198506</v>
      </c>
      <c r="AD99" s="404">
        <v>0.9</v>
      </c>
      <c r="AE99" s="404">
        <v>0.1</v>
      </c>
      <c r="AF99" s="412">
        <v>3.1911631478497848E-2</v>
      </c>
      <c r="AG99" s="412">
        <v>7.8874630001157672E-2</v>
      </c>
      <c r="AH99" s="412">
        <v>0.6677189378869256</v>
      </c>
      <c r="AI99" s="412">
        <v>0.22149480063341889</v>
      </c>
      <c r="AJ99" s="499">
        <v>1</v>
      </c>
      <c r="AK99" s="437" t="s">
        <v>824</v>
      </c>
      <c r="AL99" s="437"/>
      <c r="AM99" s="432" t="s">
        <v>829</v>
      </c>
    </row>
    <row r="100" spans="2:39" ht="14.4">
      <c r="B100" s="496" t="s">
        <v>807</v>
      </c>
      <c r="C100" s="496" t="s">
        <v>801</v>
      </c>
      <c r="D100" s="497">
        <v>108224.641</v>
      </c>
      <c r="E100" s="497">
        <v>102107.878</v>
      </c>
      <c r="F100" s="497">
        <v>111120.057</v>
      </c>
      <c r="G100" s="497">
        <v>136330.21599999999</v>
      </c>
      <c r="H100" s="497">
        <v>53478.245000000003</v>
      </c>
      <c r="I100" s="497">
        <v>49579.093000000001</v>
      </c>
      <c r="J100" s="497">
        <v>37143.114999999998</v>
      </c>
      <c r="K100" s="497">
        <v>39056.925999999999</v>
      </c>
      <c r="L100" s="497">
        <v>327581.23300000001</v>
      </c>
      <c r="M100" s="497">
        <v>335064.266</v>
      </c>
      <c r="N100" s="497">
        <v>333573.978</v>
      </c>
      <c r="O100" s="497">
        <v>374016.76</v>
      </c>
      <c r="P100" s="497">
        <v>407834.64199999999</v>
      </c>
      <c r="Q100" s="497">
        <v>404905.00199999998</v>
      </c>
      <c r="R100" s="497">
        <v>384294.745</v>
      </c>
      <c r="S100" s="497">
        <v>393645.31</v>
      </c>
      <c r="T100" s="497">
        <v>0</v>
      </c>
      <c r="U100" s="497">
        <v>0</v>
      </c>
      <c r="V100" s="497">
        <v>454.8</v>
      </c>
      <c r="W100" s="497">
        <v>901.86699999999996</v>
      </c>
      <c r="Z100" s="498">
        <v>0.2278820625087335</v>
      </c>
      <c r="AA100" s="498">
        <v>0.77211793749126656</v>
      </c>
      <c r="AB100" s="500">
        <v>0.43589157466609557</v>
      </c>
      <c r="AC100" s="500">
        <v>0.56410842533390437</v>
      </c>
      <c r="AD100" s="404">
        <v>0.1</v>
      </c>
      <c r="AE100" s="404">
        <v>0.9</v>
      </c>
      <c r="AF100" s="500">
        <v>0.23945933192550606</v>
      </c>
      <c r="AG100" s="500">
        <v>0.35198143890868033</v>
      </c>
      <c r="AH100" s="500">
        <v>0.32686697982049234</v>
      </c>
      <c r="AI100" s="500">
        <v>8.1692249345321322E-2</v>
      </c>
      <c r="AJ100" s="499">
        <v>1</v>
      </c>
      <c r="AK100" s="437" t="s">
        <v>826</v>
      </c>
      <c r="AL100" s="437"/>
      <c r="AM100" s="432" t="s">
        <v>831</v>
      </c>
    </row>
    <row r="101" spans="2:39" ht="14.4">
      <c r="B101" s="496" t="s">
        <v>807</v>
      </c>
      <c r="C101" s="496" t="s">
        <v>684</v>
      </c>
      <c r="D101" s="497">
        <v>0</v>
      </c>
      <c r="E101" s="497">
        <v>0</v>
      </c>
      <c r="F101" s="497">
        <v>0</v>
      </c>
      <c r="G101" s="497">
        <v>0</v>
      </c>
      <c r="H101" s="497">
        <v>0</v>
      </c>
      <c r="I101" s="497">
        <v>0</v>
      </c>
      <c r="J101" s="497">
        <v>0</v>
      </c>
      <c r="K101" s="497">
        <v>0</v>
      </c>
      <c r="L101" s="497">
        <v>232995.42</v>
      </c>
      <c r="M101" s="497">
        <v>231781.24799999999</v>
      </c>
      <c r="N101" s="497">
        <v>234720.38200000001</v>
      </c>
      <c r="O101" s="497">
        <v>227933.579</v>
      </c>
      <c r="P101" s="497">
        <v>607002.26399999997</v>
      </c>
      <c r="Q101" s="497">
        <v>654480.576</v>
      </c>
      <c r="R101" s="497">
        <v>650293.77599999995</v>
      </c>
      <c r="S101" s="497">
        <v>700326.03599999996</v>
      </c>
      <c r="T101" s="497">
        <v>0</v>
      </c>
      <c r="U101" s="497">
        <v>0</v>
      </c>
      <c r="V101" s="497">
        <v>0</v>
      </c>
      <c r="W101" s="497">
        <v>0</v>
      </c>
      <c r="Z101" s="437">
        <v>0</v>
      </c>
      <c r="AA101" s="437">
        <v>0</v>
      </c>
      <c r="AB101" s="437">
        <v>0</v>
      </c>
      <c r="AC101" s="437">
        <v>0</v>
      </c>
      <c r="AD101" s="404">
        <v>0</v>
      </c>
      <c r="AE101" s="404">
        <v>1</v>
      </c>
      <c r="AF101" s="412">
        <f>2/3</f>
        <v>0.66666666666666663</v>
      </c>
      <c r="AG101" s="412">
        <v>0</v>
      </c>
      <c r="AH101" s="412">
        <f>1/3</f>
        <v>0.33333333333333331</v>
      </c>
      <c r="AI101" s="437">
        <v>0</v>
      </c>
      <c r="AJ101" s="499">
        <v>1</v>
      </c>
      <c r="AK101" s="437" t="s">
        <v>825</v>
      </c>
      <c r="AL101" s="437"/>
      <c r="AM101" s="437" t="s">
        <v>828</v>
      </c>
    </row>
    <row r="102" spans="2:39" ht="14.4">
      <c r="B102" s="437" t="s">
        <v>808</v>
      </c>
      <c r="C102" s="437" t="s">
        <v>40</v>
      </c>
      <c r="D102" s="495">
        <v>10874.34</v>
      </c>
      <c r="E102" s="495">
        <v>11544.990000000002</v>
      </c>
      <c r="F102" s="495">
        <v>11500.696</v>
      </c>
      <c r="G102" s="495">
        <v>12477.999</v>
      </c>
      <c r="H102" s="495">
        <v>22047.8</v>
      </c>
      <c r="I102" s="495">
        <v>20699.2</v>
      </c>
      <c r="J102" s="495">
        <v>20591.2</v>
      </c>
      <c r="K102" s="495">
        <v>20870.092000000001</v>
      </c>
      <c r="L102" s="495">
        <v>10223.297</v>
      </c>
      <c r="M102" s="495">
        <v>6075.1900000000005</v>
      </c>
      <c r="N102" s="495">
        <v>6247.884</v>
      </c>
      <c r="O102" s="495">
        <v>7001.7659999999996</v>
      </c>
      <c r="P102" s="495">
        <v>18431.82</v>
      </c>
      <c r="Q102" s="495">
        <v>19333.813000000002</v>
      </c>
      <c r="R102" s="495">
        <v>17678.907999999999</v>
      </c>
      <c r="S102" s="495">
        <v>17523.392</v>
      </c>
      <c r="T102" s="495">
        <v>3773.3999999999996</v>
      </c>
      <c r="U102" s="495">
        <v>3944.7</v>
      </c>
      <c r="V102" s="495">
        <v>4157.88</v>
      </c>
      <c r="W102" s="495">
        <v>5028.9030000000002</v>
      </c>
      <c r="Z102" s="498">
        <v>0.46071648475633875</v>
      </c>
      <c r="AA102" s="498">
        <f>1-Z102</f>
        <v>0.53928351524366125</v>
      </c>
      <c r="AB102" s="498">
        <v>0.77041495132801496</v>
      </c>
      <c r="AC102" s="498">
        <v>0.22958504867198506</v>
      </c>
      <c r="AD102" s="404">
        <v>0.9</v>
      </c>
      <c r="AE102" s="404">
        <v>0.1</v>
      </c>
      <c r="AF102" s="412">
        <v>3.1911631478497848E-2</v>
      </c>
      <c r="AG102" s="412">
        <v>7.8874630001157672E-2</v>
      </c>
      <c r="AH102" s="412">
        <v>0.6677189378869256</v>
      </c>
      <c r="AI102" s="412">
        <v>0.22149480063341889</v>
      </c>
      <c r="AJ102" s="499">
        <v>1</v>
      </c>
      <c r="AK102" s="437" t="s">
        <v>824</v>
      </c>
      <c r="AL102" s="437"/>
      <c r="AM102" s="432" t="s">
        <v>829</v>
      </c>
    </row>
    <row r="103" spans="2:39" ht="14.4">
      <c r="B103" s="437" t="s">
        <v>808</v>
      </c>
      <c r="C103" s="437" t="s">
        <v>785</v>
      </c>
      <c r="D103" s="495">
        <v>0</v>
      </c>
      <c r="E103" s="495">
        <v>0</v>
      </c>
      <c r="F103" s="495">
        <v>0</v>
      </c>
      <c r="G103" s="495">
        <v>0</v>
      </c>
      <c r="H103" s="495">
        <v>11110.1</v>
      </c>
      <c r="I103" s="495">
        <v>9819.2999999999993</v>
      </c>
      <c r="J103" s="495">
        <v>10879.6</v>
      </c>
      <c r="K103" s="495">
        <v>10603</v>
      </c>
      <c r="L103" s="495">
        <v>1225.1300000000001</v>
      </c>
      <c r="M103" s="495">
        <v>1381.94</v>
      </c>
      <c r="N103" s="495">
        <v>555</v>
      </c>
      <c r="O103" s="495">
        <v>1797.752</v>
      </c>
      <c r="P103" s="495">
        <v>0</v>
      </c>
      <c r="Q103" s="495">
        <v>0</v>
      </c>
      <c r="R103" s="495">
        <v>0</v>
      </c>
      <c r="S103" s="495">
        <v>0</v>
      </c>
      <c r="T103" s="495">
        <v>0</v>
      </c>
      <c r="U103" s="495">
        <v>0</v>
      </c>
      <c r="V103" s="495">
        <v>0</v>
      </c>
      <c r="W103" s="495">
        <v>0</v>
      </c>
      <c r="Z103" s="498">
        <v>0.46071648475633875</v>
      </c>
      <c r="AA103" s="498">
        <f>1-Z103</f>
        <v>0.53928351524366125</v>
      </c>
      <c r="AB103" s="498">
        <v>0.77041495132801496</v>
      </c>
      <c r="AC103" s="498">
        <v>0.22958504867198506</v>
      </c>
      <c r="AD103" s="404">
        <v>0.9</v>
      </c>
      <c r="AE103" s="404">
        <v>0.1</v>
      </c>
      <c r="AF103" s="412">
        <v>3.1911631478497848E-2</v>
      </c>
      <c r="AG103" s="412">
        <v>7.8874630001157672E-2</v>
      </c>
      <c r="AH103" s="412">
        <v>0.6677189378869256</v>
      </c>
      <c r="AI103" s="412">
        <v>0.22149480063341889</v>
      </c>
      <c r="AJ103" s="499">
        <v>1</v>
      </c>
      <c r="AK103" s="437" t="s">
        <v>824</v>
      </c>
      <c r="AL103" s="437"/>
      <c r="AM103" s="432" t="s">
        <v>829</v>
      </c>
    </row>
    <row r="104" spans="2:39" ht="14.4">
      <c r="B104" s="437" t="s">
        <v>808</v>
      </c>
      <c r="C104" s="437" t="s">
        <v>41</v>
      </c>
      <c r="D104" s="495">
        <v>73123.785999999993</v>
      </c>
      <c r="E104" s="495">
        <v>66168.881999999998</v>
      </c>
      <c r="F104" s="495">
        <v>62133.584000000003</v>
      </c>
      <c r="G104" s="495">
        <v>65619.926000000007</v>
      </c>
      <c r="H104" s="495">
        <v>16466.395</v>
      </c>
      <c r="I104" s="495">
        <v>22906.47</v>
      </c>
      <c r="J104" s="495">
        <v>22972.732</v>
      </c>
      <c r="K104" s="495">
        <v>23649.103999999999</v>
      </c>
      <c r="L104" s="495">
        <v>56051.5</v>
      </c>
      <c r="M104" s="495">
        <v>46812.800000000003</v>
      </c>
      <c r="N104" s="495">
        <v>37046.300000000003</v>
      </c>
      <c r="O104" s="495">
        <v>36777.042000000001</v>
      </c>
      <c r="P104" s="495">
        <v>37621.5</v>
      </c>
      <c r="Q104" s="495">
        <v>40164.6</v>
      </c>
      <c r="R104" s="495">
        <v>38808.699999999997</v>
      </c>
      <c r="S104" s="495">
        <v>33804.663999999997</v>
      </c>
      <c r="T104" s="495">
        <v>0</v>
      </c>
      <c r="U104" s="495">
        <v>0</v>
      </c>
      <c r="V104" s="495">
        <v>0</v>
      </c>
      <c r="W104" s="495">
        <v>0</v>
      </c>
      <c r="Z104" s="437">
        <v>0</v>
      </c>
      <c r="AA104" s="437">
        <v>1</v>
      </c>
      <c r="AB104" s="437">
        <v>0</v>
      </c>
      <c r="AC104" s="437">
        <v>1</v>
      </c>
      <c r="AD104" s="404">
        <v>0</v>
      </c>
      <c r="AE104" s="404">
        <v>0</v>
      </c>
      <c r="AF104" s="412">
        <v>3.1911631478497848E-2</v>
      </c>
      <c r="AG104" s="412">
        <v>7.8874630001157672E-2</v>
      </c>
      <c r="AH104" s="412">
        <v>0.6677189378869256</v>
      </c>
      <c r="AI104" s="412">
        <v>0.22149480063341889</v>
      </c>
      <c r="AJ104" s="499">
        <v>0</v>
      </c>
      <c r="AK104" s="432" t="s">
        <v>832</v>
      </c>
      <c r="AL104" s="437"/>
      <c r="AM104" s="437"/>
    </row>
    <row r="105" spans="2:39" ht="14.4">
      <c r="B105" s="437" t="s">
        <v>808</v>
      </c>
      <c r="C105" s="437" t="s">
        <v>675</v>
      </c>
      <c r="D105" s="495">
        <v>0</v>
      </c>
      <c r="E105" s="495">
        <v>0</v>
      </c>
      <c r="F105" s="495">
        <v>0</v>
      </c>
      <c r="G105" s="495">
        <v>0</v>
      </c>
      <c r="H105" s="495">
        <v>0</v>
      </c>
      <c r="I105" s="495">
        <v>0</v>
      </c>
      <c r="J105" s="495">
        <v>0</v>
      </c>
      <c r="K105" s="495">
        <v>0</v>
      </c>
      <c r="L105" s="495">
        <v>25747.54</v>
      </c>
      <c r="M105" s="495">
        <v>21337.056</v>
      </c>
      <c r="N105" s="495">
        <v>18793.5</v>
      </c>
      <c r="O105" s="495">
        <v>18285.66</v>
      </c>
      <c r="P105" s="495">
        <v>669.6</v>
      </c>
      <c r="Q105" s="495">
        <v>475.2</v>
      </c>
      <c r="R105" s="495">
        <v>280.8</v>
      </c>
      <c r="S105" s="495">
        <v>259.2</v>
      </c>
      <c r="T105" s="495">
        <v>0</v>
      </c>
      <c r="U105" s="495">
        <v>0</v>
      </c>
      <c r="V105" s="495">
        <v>0</v>
      </c>
      <c r="W105" s="495">
        <v>0</v>
      </c>
      <c r="Z105" s="498">
        <v>0.2278820625087335</v>
      </c>
      <c r="AA105" s="498">
        <v>0.77211793749126656</v>
      </c>
      <c r="AB105" s="500">
        <v>0.43589157466609557</v>
      </c>
      <c r="AC105" s="500">
        <v>0.56410842533390437</v>
      </c>
      <c r="AD105" s="404">
        <v>0.1</v>
      </c>
      <c r="AE105" s="404">
        <v>0.9</v>
      </c>
      <c r="AF105" s="500">
        <v>0.23945933192550606</v>
      </c>
      <c r="AG105" s="500">
        <v>0.35198143890868033</v>
      </c>
      <c r="AH105" s="500">
        <v>0.32686697982049234</v>
      </c>
      <c r="AI105" s="500">
        <v>8.1692249345321322E-2</v>
      </c>
      <c r="AJ105" s="499">
        <v>1</v>
      </c>
      <c r="AK105" s="437" t="s">
        <v>826</v>
      </c>
      <c r="AL105" s="437"/>
      <c r="AM105" s="432" t="s">
        <v>831</v>
      </c>
    </row>
    <row r="106" spans="2:39" ht="14.4">
      <c r="B106" s="437" t="s">
        <v>808</v>
      </c>
      <c r="C106" s="437" t="s">
        <v>90</v>
      </c>
      <c r="D106" s="495">
        <v>0</v>
      </c>
      <c r="E106" s="495">
        <v>0</v>
      </c>
      <c r="F106" s="495">
        <v>0</v>
      </c>
      <c r="G106" s="495">
        <v>0</v>
      </c>
      <c r="H106" s="495">
        <v>0</v>
      </c>
      <c r="I106" s="495">
        <v>0</v>
      </c>
      <c r="J106" s="495">
        <v>0</v>
      </c>
      <c r="K106" s="495">
        <v>0</v>
      </c>
      <c r="L106" s="495">
        <v>0</v>
      </c>
      <c r="M106" s="495">
        <v>0</v>
      </c>
      <c r="N106" s="495">
        <v>0</v>
      </c>
      <c r="O106" s="495">
        <v>0</v>
      </c>
      <c r="P106" s="495">
        <v>0</v>
      </c>
      <c r="Q106" s="495">
        <v>0</v>
      </c>
      <c r="R106" s="495">
        <v>0</v>
      </c>
      <c r="S106" s="495">
        <v>0</v>
      </c>
      <c r="T106" s="495">
        <v>0</v>
      </c>
      <c r="U106" s="495">
        <v>0</v>
      </c>
      <c r="V106" s="495">
        <v>0</v>
      </c>
      <c r="W106" s="495">
        <v>0</v>
      </c>
      <c r="Z106" s="437">
        <v>0</v>
      </c>
      <c r="AA106" s="437">
        <v>1</v>
      </c>
      <c r="AB106" s="437">
        <v>0</v>
      </c>
      <c r="AC106" s="437">
        <v>1</v>
      </c>
      <c r="AD106" s="404">
        <v>0</v>
      </c>
      <c r="AE106" s="404">
        <v>0</v>
      </c>
      <c r="AF106" s="412">
        <v>0</v>
      </c>
      <c r="AG106" s="412">
        <v>0</v>
      </c>
      <c r="AH106" s="412">
        <v>1</v>
      </c>
      <c r="AI106" s="412">
        <v>0</v>
      </c>
      <c r="AJ106" s="499">
        <v>0</v>
      </c>
      <c r="AK106" s="437" t="s">
        <v>825</v>
      </c>
      <c r="AL106" s="437"/>
      <c r="AM106" s="437"/>
    </row>
    <row r="107" spans="2:39" ht="14.4">
      <c r="B107" s="437" t="s">
        <v>808</v>
      </c>
      <c r="C107" s="437" t="s">
        <v>73</v>
      </c>
      <c r="D107" s="495">
        <v>2484</v>
      </c>
      <c r="E107" s="495">
        <v>2392</v>
      </c>
      <c r="F107" s="495">
        <v>2303.5419999999999</v>
      </c>
      <c r="G107" s="495">
        <v>2659.49</v>
      </c>
      <c r="H107" s="495">
        <v>9358.2999999999993</v>
      </c>
      <c r="I107" s="495">
        <v>8528.5</v>
      </c>
      <c r="J107" s="495">
        <v>7929.2</v>
      </c>
      <c r="K107" s="495">
        <v>12170.4</v>
      </c>
      <c r="L107" s="495">
        <v>13028.4</v>
      </c>
      <c r="M107" s="495">
        <v>12612.6</v>
      </c>
      <c r="N107" s="495">
        <v>18010.7</v>
      </c>
      <c r="O107" s="495">
        <v>21112.799999999999</v>
      </c>
      <c r="P107" s="495">
        <v>19368.026000000002</v>
      </c>
      <c r="Q107" s="495">
        <v>15452.011</v>
      </c>
      <c r="R107" s="495">
        <v>15356.843999999999</v>
      </c>
      <c r="S107" s="495">
        <v>15809.53</v>
      </c>
      <c r="T107" s="495">
        <v>141</v>
      </c>
      <c r="U107" s="495">
        <v>141</v>
      </c>
      <c r="V107" s="495">
        <v>141</v>
      </c>
      <c r="W107" s="495">
        <v>133.94999999999999</v>
      </c>
      <c r="Z107" s="498">
        <v>0.46071648475633875</v>
      </c>
      <c r="AA107" s="498">
        <f t="shared" ref="AA107:AA115" si="7">1-Z107</f>
        <v>0.53928351524366125</v>
      </c>
      <c r="AB107" s="498">
        <v>0.77041495132801496</v>
      </c>
      <c r="AC107" s="498">
        <v>0.22958504867198506</v>
      </c>
      <c r="AD107" s="404">
        <v>0.9</v>
      </c>
      <c r="AE107" s="404">
        <v>0.1</v>
      </c>
      <c r="AF107" s="412">
        <v>3.1911631478497848E-2</v>
      </c>
      <c r="AG107" s="412">
        <v>7.8874630001157672E-2</v>
      </c>
      <c r="AH107" s="412">
        <v>0.6677189378869256</v>
      </c>
      <c r="AI107" s="412">
        <v>0.22149480063341889</v>
      </c>
      <c r="AJ107" s="499">
        <v>1</v>
      </c>
      <c r="AK107" s="437" t="s">
        <v>824</v>
      </c>
      <c r="AL107" s="437"/>
      <c r="AM107" s="432" t="s">
        <v>829</v>
      </c>
    </row>
    <row r="108" spans="2:39" ht="14.4">
      <c r="B108" s="437" t="s">
        <v>808</v>
      </c>
      <c r="C108" s="437" t="s">
        <v>93</v>
      </c>
      <c r="D108" s="495">
        <v>0</v>
      </c>
      <c r="E108" s="495">
        <v>0</v>
      </c>
      <c r="F108" s="495">
        <v>0</v>
      </c>
      <c r="G108" s="495">
        <v>0</v>
      </c>
      <c r="H108" s="495">
        <v>0</v>
      </c>
      <c r="I108" s="495">
        <v>0</v>
      </c>
      <c r="J108" s="495">
        <v>0</v>
      </c>
      <c r="K108" s="495">
        <v>0</v>
      </c>
      <c r="L108" s="495">
        <v>0</v>
      </c>
      <c r="M108" s="495">
        <v>0</v>
      </c>
      <c r="N108" s="495">
        <v>3278.2</v>
      </c>
      <c r="O108" s="495">
        <v>3278.2</v>
      </c>
      <c r="P108" s="495">
        <v>0</v>
      </c>
      <c r="Q108" s="495">
        <v>0</v>
      </c>
      <c r="R108" s="495">
        <v>0</v>
      </c>
      <c r="S108" s="495">
        <v>0</v>
      </c>
      <c r="T108" s="495">
        <v>0</v>
      </c>
      <c r="U108" s="495">
        <v>0</v>
      </c>
      <c r="V108" s="495">
        <v>0</v>
      </c>
      <c r="W108" s="495">
        <v>0</v>
      </c>
      <c r="Z108" s="498">
        <v>0.46071648475633875</v>
      </c>
      <c r="AA108" s="498">
        <f t="shared" si="7"/>
        <v>0.53928351524366125</v>
      </c>
      <c r="AB108" s="498">
        <v>0.77041495132801496</v>
      </c>
      <c r="AC108" s="498">
        <v>0.22958504867198506</v>
      </c>
      <c r="AD108" s="404">
        <v>0.9</v>
      </c>
      <c r="AE108" s="404">
        <v>0.1</v>
      </c>
      <c r="AF108" s="412">
        <v>3.1911631478497848E-2</v>
      </c>
      <c r="AG108" s="412">
        <v>7.8874630001157672E-2</v>
      </c>
      <c r="AH108" s="412">
        <v>0.6677189378869256</v>
      </c>
      <c r="AI108" s="412">
        <v>0.22149480063341889</v>
      </c>
      <c r="AJ108" s="499">
        <v>1</v>
      </c>
      <c r="AK108" s="437" t="s">
        <v>824</v>
      </c>
      <c r="AL108" s="437"/>
      <c r="AM108" s="432" t="s">
        <v>829</v>
      </c>
    </row>
    <row r="109" spans="2:39" ht="14.4">
      <c r="B109" s="437" t="s">
        <v>808</v>
      </c>
      <c r="C109" s="437" t="s">
        <v>77</v>
      </c>
      <c r="D109" s="495">
        <v>2740.8</v>
      </c>
      <c r="E109" s="495">
        <v>2218.8000000000002</v>
      </c>
      <c r="F109" s="495">
        <v>2054.326</v>
      </c>
      <c r="G109" s="495">
        <v>2014.4309999999998</v>
      </c>
      <c r="H109" s="495">
        <v>19293.5</v>
      </c>
      <c r="I109" s="495">
        <v>20869</v>
      </c>
      <c r="J109" s="495">
        <v>20391.7</v>
      </c>
      <c r="K109" s="495">
        <v>18061.300000000003</v>
      </c>
      <c r="L109" s="495">
        <v>5932.9</v>
      </c>
      <c r="M109" s="495">
        <v>5153.0999999999995</v>
      </c>
      <c r="N109" s="495">
        <v>4157.2</v>
      </c>
      <c r="O109" s="495">
        <v>4676.8</v>
      </c>
      <c r="P109" s="495">
        <v>6992.2560000000003</v>
      </c>
      <c r="Q109" s="495">
        <v>7549.3649999999998</v>
      </c>
      <c r="R109" s="495">
        <v>7467.61</v>
      </c>
      <c r="S109" s="495">
        <v>7443.2309999999998</v>
      </c>
      <c r="T109" s="495">
        <v>352.3</v>
      </c>
      <c r="U109" s="495">
        <v>264</v>
      </c>
      <c r="V109" s="495">
        <v>308.3</v>
      </c>
      <c r="W109" s="495">
        <v>346.65199999999999</v>
      </c>
      <c r="Z109" s="498">
        <v>0.46071648475633875</v>
      </c>
      <c r="AA109" s="498">
        <f t="shared" si="7"/>
        <v>0.53928351524366125</v>
      </c>
      <c r="AB109" s="498">
        <v>0.77041495132801496</v>
      </c>
      <c r="AC109" s="498">
        <v>0.22958504867198506</v>
      </c>
      <c r="AD109" s="404">
        <v>0.9</v>
      </c>
      <c r="AE109" s="404">
        <v>0.1</v>
      </c>
      <c r="AF109" s="412">
        <v>3.1911631478497848E-2</v>
      </c>
      <c r="AG109" s="412">
        <v>7.8874630001157672E-2</v>
      </c>
      <c r="AH109" s="412">
        <v>0.6677189378869256</v>
      </c>
      <c r="AI109" s="412">
        <v>0.22149480063341889</v>
      </c>
      <c r="AJ109" s="499">
        <v>1</v>
      </c>
      <c r="AK109" s="437" t="s">
        <v>824</v>
      </c>
      <c r="AL109" s="437"/>
      <c r="AM109" s="432" t="s">
        <v>829</v>
      </c>
    </row>
    <row r="110" spans="2:39" ht="14.4">
      <c r="B110" s="437" t="s">
        <v>808</v>
      </c>
      <c r="C110" s="437" t="s">
        <v>74</v>
      </c>
      <c r="D110" s="495">
        <v>67057.8</v>
      </c>
      <c r="E110" s="495">
        <v>58823.4</v>
      </c>
      <c r="F110" s="495">
        <v>59123.517999999996</v>
      </c>
      <c r="G110" s="495">
        <v>59017.565000000002</v>
      </c>
      <c r="H110" s="495">
        <v>52894.2</v>
      </c>
      <c r="I110" s="495">
        <v>44690.2</v>
      </c>
      <c r="J110" s="495">
        <v>37534.5</v>
      </c>
      <c r="K110" s="495">
        <v>33012.800000000003</v>
      </c>
      <c r="L110" s="495">
        <v>67553</v>
      </c>
      <c r="M110" s="495">
        <v>61619</v>
      </c>
      <c r="N110" s="495">
        <v>60326</v>
      </c>
      <c r="O110" s="495">
        <v>56680.4</v>
      </c>
      <c r="P110" s="495">
        <v>143290.78700000001</v>
      </c>
      <c r="Q110" s="495">
        <v>122230.69899999999</v>
      </c>
      <c r="R110" s="495">
        <v>108882.091</v>
      </c>
      <c r="S110" s="495">
        <v>92870.668000000005</v>
      </c>
      <c r="T110" s="495">
        <v>6512</v>
      </c>
      <c r="U110" s="495">
        <v>6028</v>
      </c>
      <c r="V110" s="495">
        <v>5808</v>
      </c>
      <c r="W110" s="495">
        <v>5630.7070000000003</v>
      </c>
      <c r="Z110" s="498">
        <v>0.46071648475633875</v>
      </c>
      <c r="AA110" s="498">
        <f t="shared" si="7"/>
        <v>0.53928351524366125</v>
      </c>
      <c r="AB110" s="498">
        <v>0.77041495132801496</v>
      </c>
      <c r="AC110" s="498">
        <v>0.22958504867198506</v>
      </c>
      <c r="AD110" s="404">
        <v>0.9</v>
      </c>
      <c r="AE110" s="404">
        <v>0.1</v>
      </c>
      <c r="AF110" s="412">
        <v>3.1911631478497848E-2</v>
      </c>
      <c r="AG110" s="412">
        <v>7.8874630001157672E-2</v>
      </c>
      <c r="AH110" s="412">
        <v>0.6677189378869256</v>
      </c>
      <c r="AI110" s="412">
        <v>0.22149480063341889</v>
      </c>
      <c r="AJ110" s="499">
        <v>1</v>
      </c>
      <c r="AK110" s="437" t="s">
        <v>824</v>
      </c>
      <c r="AL110" s="437"/>
      <c r="AM110" s="432" t="s">
        <v>829</v>
      </c>
    </row>
    <row r="111" spans="2:39" ht="14.4">
      <c r="B111" s="437" t="s">
        <v>808</v>
      </c>
      <c r="C111" s="437" t="s">
        <v>45</v>
      </c>
      <c r="D111" s="495">
        <v>164327.91800000001</v>
      </c>
      <c r="E111" s="495">
        <v>142635.46400000001</v>
      </c>
      <c r="F111" s="495">
        <v>141445.03099999999</v>
      </c>
      <c r="G111" s="495">
        <v>149279.54199999999</v>
      </c>
      <c r="H111" s="495">
        <v>183739</v>
      </c>
      <c r="I111" s="495">
        <v>180514</v>
      </c>
      <c r="J111" s="495">
        <v>172989</v>
      </c>
      <c r="K111" s="495">
        <v>160504.4</v>
      </c>
      <c r="L111" s="495">
        <v>177176.826</v>
      </c>
      <c r="M111" s="495">
        <v>171761.7</v>
      </c>
      <c r="N111" s="495">
        <v>152039.45600000001</v>
      </c>
      <c r="O111" s="495">
        <v>162450.66500000001</v>
      </c>
      <c r="P111" s="495">
        <v>196465.15100000001</v>
      </c>
      <c r="Q111" s="495">
        <v>190974.954</v>
      </c>
      <c r="R111" s="495">
        <v>186481.58300000001</v>
      </c>
      <c r="S111" s="495">
        <v>166830.764</v>
      </c>
      <c r="T111" s="495">
        <v>12255</v>
      </c>
      <c r="U111" s="495">
        <v>11481</v>
      </c>
      <c r="V111" s="495">
        <v>13717</v>
      </c>
      <c r="W111" s="495">
        <v>15468.476000000001</v>
      </c>
      <c r="Z111" s="498">
        <v>0.46071648475633875</v>
      </c>
      <c r="AA111" s="498">
        <f t="shared" si="7"/>
        <v>0.53928351524366125</v>
      </c>
      <c r="AB111" s="498">
        <v>0.77041495132801496</v>
      </c>
      <c r="AC111" s="498">
        <v>0.22958504867198506</v>
      </c>
      <c r="AD111" s="404">
        <v>0.9</v>
      </c>
      <c r="AE111" s="404">
        <v>0.1</v>
      </c>
      <c r="AF111" s="412">
        <v>3.1911631478497848E-2</v>
      </c>
      <c r="AG111" s="412">
        <v>7.8874630001157672E-2</v>
      </c>
      <c r="AH111" s="412">
        <v>0.6677189378869256</v>
      </c>
      <c r="AI111" s="412">
        <v>0.22149480063341889</v>
      </c>
      <c r="AJ111" s="499">
        <v>1</v>
      </c>
      <c r="AK111" s="437" t="s">
        <v>824</v>
      </c>
      <c r="AL111" s="437"/>
      <c r="AM111" s="432" t="s">
        <v>829</v>
      </c>
    </row>
    <row r="112" spans="2:39" ht="14.4">
      <c r="B112" s="437" t="s">
        <v>808</v>
      </c>
      <c r="C112" s="437" t="s">
        <v>44</v>
      </c>
      <c r="D112" s="495">
        <v>7029.6</v>
      </c>
      <c r="E112" s="495">
        <v>4888.3999999999996</v>
      </c>
      <c r="F112" s="495">
        <v>1950.674</v>
      </c>
      <c r="G112" s="495">
        <v>1058.3989999999999</v>
      </c>
      <c r="H112" s="495">
        <v>7023.8</v>
      </c>
      <c r="I112" s="495">
        <v>3654</v>
      </c>
      <c r="J112" s="495">
        <v>1258.5999999999999</v>
      </c>
      <c r="K112" s="495">
        <v>202</v>
      </c>
      <c r="L112" s="495">
        <v>15432.8</v>
      </c>
      <c r="M112" s="495">
        <v>12726</v>
      </c>
      <c r="N112" s="495">
        <v>9251.6</v>
      </c>
      <c r="O112" s="495">
        <v>8201.2000000000007</v>
      </c>
      <c r="P112" s="495">
        <v>28624.572</v>
      </c>
      <c r="Q112" s="495">
        <v>22573.096000000001</v>
      </c>
      <c r="R112" s="495">
        <v>11150.642</v>
      </c>
      <c r="S112" s="495">
        <v>14894.288</v>
      </c>
      <c r="T112" s="495">
        <v>2383.6</v>
      </c>
      <c r="U112" s="495">
        <v>2262.4</v>
      </c>
      <c r="V112" s="495">
        <v>2585.6</v>
      </c>
      <c r="W112" s="495">
        <v>1860.1780000000001</v>
      </c>
      <c r="Z112" s="498">
        <v>0.46071648475633875</v>
      </c>
      <c r="AA112" s="498">
        <f t="shared" si="7"/>
        <v>0.53928351524366125</v>
      </c>
      <c r="AB112" s="498">
        <v>0.77041495132801496</v>
      </c>
      <c r="AC112" s="498">
        <v>0.22958504867198506</v>
      </c>
      <c r="AD112" s="404">
        <v>0.9</v>
      </c>
      <c r="AE112" s="404">
        <v>0.1</v>
      </c>
      <c r="AF112" s="412">
        <v>3.1911631478497848E-2</v>
      </c>
      <c r="AG112" s="412">
        <v>7.8874630001157672E-2</v>
      </c>
      <c r="AH112" s="412">
        <v>0.6677189378869256</v>
      </c>
      <c r="AI112" s="412">
        <v>0.22149480063341889</v>
      </c>
      <c r="AJ112" s="499">
        <v>1</v>
      </c>
      <c r="AK112" s="437" t="s">
        <v>824</v>
      </c>
      <c r="AL112" s="437"/>
      <c r="AM112" s="432" t="s">
        <v>829</v>
      </c>
    </row>
    <row r="113" spans="2:39" ht="14.4">
      <c r="B113" s="437" t="s">
        <v>808</v>
      </c>
      <c r="C113" s="437" t="s">
        <v>798</v>
      </c>
      <c r="D113" s="495">
        <v>1121.4000000000001</v>
      </c>
      <c r="E113" s="495">
        <v>2109.3000000000002</v>
      </c>
      <c r="F113" s="495">
        <v>1842.3</v>
      </c>
      <c r="G113" s="495">
        <v>1797.444</v>
      </c>
      <c r="H113" s="495">
        <v>187.6</v>
      </c>
      <c r="I113" s="495">
        <v>375.2</v>
      </c>
      <c r="J113" s="495">
        <v>428.8</v>
      </c>
      <c r="K113" s="495">
        <v>1500.8</v>
      </c>
      <c r="L113" s="495">
        <v>3403.038</v>
      </c>
      <c r="M113" s="495">
        <v>4047.0569999999998</v>
      </c>
      <c r="N113" s="495">
        <v>2915.518</v>
      </c>
      <c r="O113" s="495">
        <v>3726.4050000000002</v>
      </c>
      <c r="P113" s="495">
        <v>8503.0740000000005</v>
      </c>
      <c r="Q113" s="495">
        <v>8673.5040000000008</v>
      </c>
      <c r="R113" s="495">
        <v>5883.5439999999999</v>
      </c>
      <c r="S113" s="495">
        <v>5394.9080000000004</v>
      </c>
      <c r="T113" s="495">
        <v>0</v>
      </c>
      <c r="U113" s="495">
        <v>0</v>
      </c>
      <c r="V113" s="495">
        <v>54</v>
      </c>
      <c r="W113" s="495">
        <v>164.59200000000001</v>
      </c>
      <c r="Z113" s="498">
        <v>0.46071648475633875</v>
      </c>
      <c r="AA113" s="498">
        <f t="shared" si="7"/>
        <v>0.53928351524366125</v>
      </c>
      <c r="AB113" s="498">
        <v>0.77041495132801496</v>
      </c>
      <c r="AC113" s="498">
        <v>0.22958504867198506</v>
      </c>
      <c r="AD113" s="404">
        <v>0.9</v>
      </c>
      <c r="AE113" s="404">
        <v>0.1</v>
      </c>
      <c r="AF113" s="412">
        <v>3.1911631478497848E-2</v>
      </c>
      <c r="AG113" s="412">
        <v>7.8874630001157672E-2</v>
      </c>
      <c r="AH113" s="412">
        <v>0.6677189378869256</v>
      </c>
      <c r="AI113" s="412">
        <v>0.22149480063341889</v>
      </c>
      <c r="AJ113" s="499">
        <v>1</v>
      </c>
      <c r="AK113" s="437" t="s">
        <v>824</v>
      </c>
      <c r="AL113" s="437"/>
      <c r="AM113" s="432" t="s">
        <v>829</v>
      </c>
    </row>
    <row r="114" spans="2:39" ht="14.4">
      <c r="B114" s="437" t="s">
        <v>808</v>
      </c>
      <c r="C114" s="437" t="s">
        <v>799</v>
      </c>
      <c r="D114" s="495">
        <v>61.537999999999997</v>
      </c>
      <c r="E114" s="495">
        <v>6788.1</v>
      </c>
      <c r="F114" s="495">
        <v>7142.1379999999999</v>
      </c>
      <c r="G114" s="495">
        <v>7158.6750000000002</v>
      </c>
      <c r="H114" s="495">
        <v>4636.8</v>
      </c>
      <c r="I114" s="495">
        <v>5152</v>
      </c>
      <c r="J114" s="495">
        <v>5483.2</v>
      </c>
      <c r="K114" s="495">
        <v>13800</v>
      </c>
      <c r="L114" s="495">
        <v>2620.5</v>
      </c>
      <c r="M114" s="495">
        <v>4307</v>
      </c>
      <c r="N114" s="495">
        <v>18014.88</v>
      </c>
      <c r="O114" s="495">
        <v>11784.371999999999</v>
      </c>
      <c r="P114" s="495">
        <v>7513.0159999999996</v>
      </c>
      <c r="Q114" s="495">
        <v>12995.732</v>
      </c>
      <c r="R114" s="495">
        <v>34455.409</v>
      </c>
      <c r="S114" s="495">
        <v>63209.296999999999</v>
      </c>
      <c r="T114" s="495">
        <v>0</v>
      </c>
      <c r="U114" s="495">
        <v>0</v>
      </c>
      <c r="V114" s="495">
        <v>513.6</v>
      </c>
      <c r="W114" s="495">
        <v>669.95500000000004</v>
      </c>
      <c r="Z114" s="498">
        <v>0.46071648475633875</v>
      </c>
      <c r="AA114" s="498">
        <f t="shared" si="7"/>
        <v>0.53928351524366125</v>
      </c>
      <c r="AB114" s="498">
        <v>0.77041495132801496</v>
      </c>
      <c r="AC114" s="498">
        <v>0.22958504867198506</v>
      </c>
      <c r="AD114" s="404">
        <v>0.9</v>
      </c>
      <c r="AE114" s="404">
        <v>0.1</v>
      </c>
      <c r="AF114" s="412">
        <v>3.1911631478497848E-2</v>
      </c>
      <c r="AG114" s="412">
        <v>7.8874630001157672E-2</v>
      </c>
      <c r="AH114" s="412">
        <v>0.6677189378869256</v>
      </c>
      <c r="AI114" s="412">
        <v>0.22149480063341889</v>
      </c>
      <c r="AJ114" s="499">
        <v>1</v>
      </c>
      <c r="AK114" s="437" t="s">
        <v>824</v>
      </c>
      <c r="AL114" s="437"/>
      <c r="AM114" s="432" t="s">
        <v>829</v>
      </c>
    </row>
    <row r="115" spans="2:39" ht="14.4">
      <c r="B115" s="437" t="s">
        <v>808</v>
      </c>
      <c r="C115" s="437" t="s">
        <v>800</v>
      </c>
      <c r="D115" s="495">
        <v>0</v>
      </c>
      <c r="E115" s="495">
        <v>0</v>
      </c>
      <c r="F115" s="495">
        <v>0</v>
      </c>
      <c r="G115" s="495">
        <v>0</v>
      </c>
      <c r="H115" s="495">
        <v>0</v>
      </c>
      <c r="I115" s="495">
        <v>0</v>
      </c>
      <c r="J115" s="495">
        <v>0</v>
      </c>
      <c r="K115" s="495">
        <v>0</v>
      </c>
      <c r="L115" s="495">
        <v>0</v>
      </c>
      <c r="M115" s="495">
        <v>0</v>
      </c>
      <c r="N115" s="495">
        <v>0</v>
      </c>
      <c r="O115" s="495">
        <v>0</v>
      </c>
      <c r="P115" s="495">
        <v>0</v>
      </c>
      <c r="Q115" s="495">
        <v>0</v>
      </c>
      <c r="R115" s="495">
        <v>0</v>
      </c>
      <c r="S115" s="495">
        <v>0</v>
      </c>
      <c r="T115" s="495">
        <v>0</v>
      </c>
      <c r="U115" s="495">
        <v>0</v>
      </c>
      <c r="V115" s="495">
        <v>0</v>
      </c>
      <c r="W115" s="495">
        <v>0</v>
      </c>
      <c r="Z115" s="498">
        <v>0.46071648475633875</v>
      </c>
      <c r="AA115" s="498">
        <f t="shared" si="7"/>
        <v>0.53928351524366125</v>
      </c>
      <c r="AB115" s="498">
        <v>0.77041495132801496</v>
      </c>
      <c r="AC115" s="498">
        <v>0.22958504867198506</v>
      </c>
      <c r="AD115" s="404">
        <v>0.9</v>
      </c>
      <c r="AE115" s="404">
        <v>0.1</v>
      </c>
      <c r="AF115" s="412">
        <v>3.1911631478497848E-2</v>
      </c>
      <c r="AG115" s="412">
        <v>7.8874630001157672E-2</v>
      </c>
      <c r="AH115" s="412">
        <v>0.6677189378869256</v>
      </c>
      <c r="AI115" s="412">
        <v>0.22149480063341889</v>
      </c>
      <c r="AJ115" s="499">
        <v>1</v>
      </c>
      <c r="AK115" s="437" t="s">
        <v>824</v>
      </c>
      <c r="AL115" s="437"/>
      <c r="AM115" s="432" t="s">
        <v>829</v>
      </c>
    </row>
    <row r="116" spans="2:39" ht="14.4">
      <c r="B116" s="437" t="s">
        <v>808</v>
      </c>
      <c r="C116" s="437" t="s">
        <v>126</v>
      </c>
      <c r="D116" s="495">
        <v>743.49199999999996</v>
      </c>
      <c r="E116" s="495">
        <v>634.50300000000004</v>
      </c>
      <c r="F116" s="495">
        <v>526.85599999999999</v>
      </c>
      <c r="G116" s="495">
        <v>692.43100000000004</v>
      </c>
      <c r="H116" s="495">
        <v>600</v>
      </c>
      <c r="I116" s="495">
        <v>600</v>
      </c>
      <c r="J116" s="495">
        <v>1000</v>
      </c>
      <c r="K116" s="495">
        <v>1394.2159999999999</v>
      </c>
      <c r="L116" s="495">
        <v>587</v>
      </c>
      <c r="M116" s="495">
        <v>1114</v>
      </c>
      <c r="N116" s="495">
        <v>698</v>
      </c>
      <c r="O116" s="495">
        <v>3564</v>
      </c>
      <c r="P116" s="495">
        <v>3642</v>
      </c>
      <c r="Q116" s="495">
        <v>4252</v>
      </c>
      <c r="R116" s="495">
        <v>5938</v>
      </c>
      <c r="S116" s="495">
        <v>6180</v>
      </c>
      <c r="T116" s="495">
        <v>22</v>
      </c>
      <c r="U116" s="495">
        <v>73</v>
      </c>
      <c r="V116" s="495">
        <v>69</v>
      </c>
      <c r="W116" s="495">
        <v>77.968999999999994</v>
      </c>
      <c r="Z116" s="500">
        <v>0.16985317211055276</v>
      </c>
      <c r="AA116" s="500">
        <v>0.83014682788944727</v>
      </c>
      <c r="AB116" s="500">
        <v>0.48632184165814718</v>
      </c>
      <c r="AC116" s="500">
        <v>0.51367815834185271</v>
      </c>
      <c r="AD116" s="404">
        <v>0.1</v>
      </c>
      <c r="AE116" s="404">
        <v>0.9</v>
      </c>
      <c r="AF116" s="500">
        <v>2.8368794326241134E-2</v>
      </c>
      <c r="AG116" s="500">
        <v>7.0921985815602835E-3</v>
      </c>
      <c r="AH116" s="500">
        <v>0.55319148936170215</v>
      </c>
      <c r="AI116" s="500">
        <v>0.41134751773049644</v>
      </c>
      <c r="AJ116" s="499">
        <v>1</v>
      </c>
      <c r="AK116" s="432" t="s">
        <v>830</v>
      </c>
      <c r="AL116" s="437"/>
      <c r="AM116" s="432" t="s">
        <v>831</v>
      </c>
    </row>
    <row r="117" spans="2:39" ht="14.4">
      <c r="B117" s="437" t="s">
        <v>808</v>
      </c>
      <c r="C117" s="437" t="s">
        <v>42</v>
      </c>
      <c r="D117" s="495">
        <v>3030</v>
      </c>
      <c r="E117" s="495">
        <v>2896.3789999999999</v>
      </c>
      <c r="F117" s="495">
        <v>2578.0540000000001</v>
      </c>
      <c r="G117" s="495">
        <v>3179.319</v>
      </c>
      <c r="H117" s="495">
        <v>7220</v>
      </c>
      <c r="I117" s="495">
        <v>7548</v>
      </c>
      <c r="J117" s="495">
        <v>8778</v>
      </c>
      <c r="K117" s="495">
        <v>9543.0239999999994</v>
      </c>
      <c r="L117" s="495">
        <v>4422</v>
      </c>
      <c r="M117" s="495">
        <v>5193</v>
      </c>
      <c r="N117" s="495">
        <v>5927</v>
      </c>
      <c r="O117" s="495">
        <v>6443</v>
      </c>
      <c r="P117" s="495">
        <v>0</v>
      </c>
      <c r="Q117" s="495">
        <v>0</v>
      </c>
      <c r="R117" s="495">
        <v>0</v>
      </c>
      <c r="S117" s="495">
        <v>0</v>
      </c>
      <c r="T117" s="495">
        <v>0</v>
      </c>
      <c r="U117" s="495">
        <v>0</v>
      </c>
      <c r="V117" s="495">
        <v>0</v>
      </c>
      <c r="W117" s="495">
        <v>0</v>
      </c>
      <c r="Z117" s="498">
        <v>0.46071648475633875</v>
      </c>
      <c r="AA117" s="498">
        <f>1-Z117</f>
        <v>0.53928351524366125</v>
      </c>
      <c r="AB117" s="498">
        <v>0.77041495132801496</v>
      </c>
      <c r="AC117" s="498">
        <v>0.22958504867198506</v>
      </c>
      <c r="AD117" s="404">
        <v>0.9</v>
      </c>
      <c r="AE117" s="404">
        <v>0.1</v>
      </c>
      <c r="AF117" s="412">
        <v>3.1911631478497848E-2</v>
      </c>
      <c r="AG117" s="412">
        <v>7.8874630001157672E-2</v>
      </c>
      <c r="AH117" s="412">
        <v>0.6677189378869256</v>
      </c>
      <c r="AI117" s="412">
        <v>0.22149480063341889</v>
      </c>
      <c r="AJ117" s="499">
        <v>1</v>
      </c>
      <c r="AK117" s="437" t="s">
        <v>824</v>
      </c>
      <c r="AL117" s="437"/>
      <c r="AM117" s="432" t="s">
        <v>829</v>
      </c>
    </row>
    <row r="118" spans="2:39" ht="14.4">
      <c r="B118" s="437" t="s">
        <v>808</v>
      </c>
      <c r="C118" s="437" t="s">
        <v>801</v>
      </c>
      <c r="D118" s="495">
        <v>49502.536999999997</v>
      </c>
      <c r="E118" s="495">
        <v>42631.021999999997</v>
      </c>
      <c r="F118" s="495">
        <v>51007.091</v>
      </c>
      <c r="G118" s="495">
        <v>55622.447</v>
      </c>
      <c r="H118" s="495">
        <v>47907.445</v>
      </c>
      <c r="I118" s="495">
        <v>42290.385999999999</v>
      </c>
      <c r="J118" s="495">
        <v>30237.75</v>
      </c>
      <c r="K118" s="495">
        <v>30255.115999999998</v>
      </c>
      <c r="L118" s="495">
        <v>196839.033</v>
      </c>
      <c r="M118" s="495">
        <v>196426.853</v>
      </c>
      <c r="N118" s="495">
        <v>201843.997</v>
      </c>
      <c r="O118" s="495">
        <v>231308.125</v>
      </c>
      <c r="P118" s="495">
        <v>218181</v>
      </c>
      <c r="Q118" s="495">
        <v>229887</v>
      </c>
      <c r="R118" s="495">
        <v>224858</v>
      </c>
      <c r="S118" s="495">
        <v>213524</v>
      </c>
      <c r="T118" s="495">
        <v>0</v>
      </c>
      <c r="U118" s="495">
        <v>0</v>
      </c>
      <c r="V118" s="495">
        <v>454.8</v>
      </c>
      <c r="W118" s="495">
        <v>901.86699999999996</v>
      </c>
      <c r="Z118" s="498">
        <v>0.2278820625087335</v>
      </c>
      <c r="AA118" s="498">
        <v>0.77211793749126656</v>
      </c>
      <c r="AB118" s="500">
        <v>0.43589157466609557</v>
      </c>
      <c r="AC118" s="500">
        <v>0.56410842533390437</v>
      </c>
      <c r="AD118" s="404">
        <v>0.1</v>
      </c>
      <c r="AE118" s="404">
        <v>0.9</v>
      </c>
      <c r="AF118" s="500">
        <v>0.23945933192550606</v>
      </c>
      <c r="AG118" s="500">
        <v>0.35198143890868033</v>
      </c>
      <c r="AH118" s="500">
        <v>0.32686697982049234</v>
      </c>
      <c r="AI118" s="500">
        <v>8.1692249345321322E-2</v>
      </c>
      <c r="AJ118" s="499">
        <v>1</v>
      </c>
      <c r="AK118" s="437" t="s">
        <v>826</v>
      </c>
      <c r="AL118" s="437"/>
      <c r="AM118" s="432" t="s">
        <v>831</v>
      </c>
    </row>
    <row r="119" spans="2:39" ht="14.4">
      <c r="B119" s="437" t="s">
        <v>808</v>
      </c>
      <c r="C119" s="437" t="s">
        <v>684</v>
      </c>
      <c r="D119" s="495">
        <v>0</v>
      </c>
      <c r="E119" s="495">
        <v>0</v>
      </c>
      <c r="F119" s="495">
        <v>0</v>
      </c>
      <c r="G119" s="495">
        <v>0</v>
      </c>
      <c r="H119" s="495">
        <v>0</v>
      </c>
      <c r="I119" s="495">
        <v>0</v>
      </c>
      <c r="J119" s="495">
        <v>0</v>
      </c>
      <c r="K119" s="495">
        <v>0</v>
      </c>
      <c r="L119" s="495">
        <v>0</v>
      </c>
      <c r="M119" s="495">
        <v>0</v>
      </c>
      <c r="N119" s="495">
        <v>0</v>
      </c>
      <c r="O119" s="495">
        <v>0</v>
      </c>
      <c r="P119" s="495">
        <v>0</v>
      </c>
      <c r="Q119" s="495">
        <v>0</v>
      </c>
      <c r="R119" s="495">
        <v>0</v>
      </c>
      <c r="S119" s="495">
        <v>0</v>
      </c>
      <c r="T119" s="495">
        <v>0</v>
      </c>
      <c r="U119" s="495">
        <v>0</v>
      </c>
      <c r="V119" s="495">
        <v>0</v>
      </c>
      <c r="W119" s="495">
        <v>0</v>
      </c>
      <c r="Z119" s="437">
        <v>0</v>
      </c>
      <c r="AA119" s="437">
        <v>0</v>
      </c>
      <c r="AB119" s="437">
        <v>0</v>
      </c>
      <c r="AC119" s="437">
        <v>0</v>
      </c>
      <c r="AD119" s="404">
        <v>0</v>
      </c>
      <c r="AE119" s="404">
        <v>1</v>
      </c>
      <c r="AF119" s="412">
        <f>2/3</f>
        <v>0.66666666666666663</v>
      </c>
      <c r="AG119" s="412">
        <v>0</v>
      </c>
      <c r="AH119" s="412">
        <f>1/3</f>
        <v>0.33333333333333331</v>
      </c>
      <c r="AI119" s="437">
        <v>0</v>
      </c>
      <c r="AJ119" s="499">
        <v>1</v>
      </c>
      <c r="AK119" s="437" t="s">
        <v>825</v>
      </c>
      <c r="AL119" s="437"/>
      <c r="AM119" s="437" t="s">
        <v>828</v>
      </c>
    </row>
    <row r="120" spans="2:39" ht="14.4">
      <c r="B120" s="437" t="s">
        <v>809</v>
      </c>
      <c r="C120" s="437" t="s">
        <v>40</v>
      </c>
      <c r="D120" s="495">
        <v>0</v>
      </c>
      <c r="E120" s="495">
        <v>0</v>
      </c>
      <c r="F120" s="495">
        <v>0</v>
      </c>
      <c r="G120" s="495">
        <v>0</v>
      </c>
      <c r="H120" s="495">
        <v>18529.400000000001</v>
      </c>
      <c r="I120" s="495">
        <v>19901.8</v>
      </c>
      <c r="J120" s="495">
        <v>19034.2</v>
      </c>
      <c r="K120" s="495">
        <v>21090.668000000001</v>
      </c>
      <c r="L120" s="495">
        <v>0</v>
      </c>
      <c r="M120" s="495">
        <v>0</v>
      </c>
      <c r="N120" s="495">
        <v>0</v>
      </c>
      <c r="O120" s="495">
        <v>0</v>
      </c>
      <c r="P120" s="495">
        <v>645.84</v>
      </c>
      <c r="Q120" s="495">
        <v>533.52</v>
      </c>
      <c r="R120" s="495">
        <v>533.52</v>
      </c>
      <c r="S120" s="495">
        <v>561.6</v>
      </c>
      <c r="T120" s="495">
        <v>0</v>
      </c>
      <c r="U120" s="495">
        <v>0</v>
      </c>
      <c r="V120" s="495">
        <v>0</v>
      </c>
      <c r="W120" s="495">
        <v>0</v>
      </c>
      <c r="Z120" s="498">
        <v>0.46071648475633875</v>
      </c>
      <c r="AA120" s="498">
        <f>1-Z120</f>
        <v>0.53928351524366125</v>
      </c>
      <c r="AB120" s="498">
        <v>0.77041495132801496</v>
      </c>
      <c r="AC120" s="498">
        <v>0.22958504867198506</v>
      </c>
      <c r="AD120" s="404">
        <v>0.9</v>
      </c>
      <c r="AE120" s="404">
        <v>0.1</v>
      </c>
      <c r="AF120" s="412">
        <v>3.1911631478497848E-2</v>
      </c>
      <c r="AG120" s="412">
        <v>7.8874630001157672E-2</v>
      </c>
      <c r="AH120" s="412">
        <v>0.6677189378869256</v>
      </c>
      <c r="AI120" s="412">
        <v>0.22149480063341889</v>
      </c>
      <c r="AJ120" s="499">
        <v>1</v>
      </c>
      <c r="AK120" s="437" t="s">
        <v>824</v>
      </c>
      <c r="AL120" s="437"/>
      <c r="AM120" s="432" t="s">
        <v>829</v>
      </c>
    </row>
    <row r="121" spans="2:39" ht="14.4">
      <c r="B121" s="437" t="s">
        <v>809</v>
      </c>
      <c r="C121" s="437" t="s">
        <v>785</v>
      </c>
      <c r="D121" s="495">
        <v>11005.8</v>
      </c>
      <c r="E121" s="495">
        <v>11483.4</v>
      </c>
      <c r="F121" s="495">
        <v>10529.152</v>
      </c>
      <c r="G121" s="495">
        <v>10224.368</v>
      </c>
      <c r="H121" s="495">
        <v>25266.400000000001</v>
      </c>
      <c r="I121" s="495">
        <v>36424.6</v>
      </c>
      <c r="J121" s="495">
        <v>36011.5</v>
      </c>
      <c r="K121" s="495">
        <v>54753.2</v>
      </c>
      <c r="L121" s="495">
        <v>24215.748</v>
      </c>
      <c r="M121" s="495">
        <v>19150.8</v>
      </c>
      <c r="N121" s="495">
        <v>12633.92</v>
      </c>
      <c r="O121" s="495">
        <v>12337.716</v>
      </c>
      <c r="P121" s="495">
        <v>37889</v>
      </c>
      <c r="Q121" s="495">
        <v>33281.600000000006</v>
      </c>
      <c r="R121" s="495">
        <v>32343.4</v>
      </c>
      <c r="S121" s="495">
        <v>39805.824000000001</v>
      </c>
      <c r="T121" s="495">
        <v>760</v>
      </c>
      <c r="U121" s="495">
        <v>480</v>
      </c>
      <c r="V121" s="495">
        <v>840</v>
      </c>
      <c r="W121" s="495">
        <v>1983.318</v>
      </c>
      <c r="Z121" s="498">
        <v>0.46071648475633875</v>
      </c>
      <c r="AA121" s="498">
        <f>1-Z121</f>
        <v>0.53928351524366125</v>
      </c>
      <c r="AB121" s="498">
        <v>0.77041495132801496</v>
      </c>
      <c r="AC121" s="498">
        <v>0.22958504867198506</v>
      </c>
      <c r="AD121" s="404">
        <v>0.9</v>
      </c>
      <c r="AE121" s="404">
        <v>0.1</v>
      </c>
      <c r="AF121" s="412">
        <v>3.1911631478497848E-2</v>
      </c>
      <c r="AG121" s="412">
        <v>7.8874630001157672E-2</v>
      </c>
      <c r="AH121" s="412">
        <v>0.6677189378869256</v>
      </c>
      <c r="AI121" s="412">
        <v>0.22149480063341889</v>
      </c>
      <c r="AJ121" s="499">
        <v>1</v>
      </c>
      <c r="AK121" s="437" t="s">
        <v>824</v>
      </c>
      <c r="AL121" s="437"/>
      <c r="AM121" s="432" t="s">
        <v>829</v>
      </c>
    </row>
    <row r="122" spans="2:39" ht="14.4">
      <c r="B122" s="437" t="s">
        <v>809</v>
      </c>
      <c r="C122" s="437" t="s">
        <v>41</v>
      </c>
      <c r="D122" s="495">
        <v>0</v>
      </c>
      <c r="E122" s="495">
        <v>0</v>
      </c>
      <c r="F122" s="495">
        <v>0</v>
      </c>
      <c r="G122" s="495">
        <v>0</v>
      </c>
      <c r="H122" s="495">
        <v>19436.656999999999</v>
      </c>
      <c r="I122" s="495">
        <v>18219.039000000001</v>
      </c>
      <c r="J122" s="495">
        <v>23013.944</v>
      </c>
      <c r="K122" s="495">
        <v>18911.282999999999</v>
      </c>
      <c r="L122" s="495">
        <v>4679.7</v>
      </c>
      <c r="M122" s="495">
        <v>3850.8</v>
      </c>
      <c r="N122" s="495">
        <v>2929.5</v>
      </c>
      <c r="O122" s="495">
        <v>6986.2709999999997</v>
      </c>
      <c r="P122" s="495">
        <v>4491.8999999999996</v>
      </c>
      <c r="Q122" s="495">
        <v>4011.3</v>
      </c>
      <c r="R122" s="495">
        <v>4100.3999999999996</v>
      </c>
      <c r="S122" s="495">
        <v>14453.1</v>
      </c>
      <c r="T122" s="495">
        <v>0</v>
      </c>
      <c r="U122" s="495">
        <v>0</v>
      </c>
      <c r="V122" s="495">
        <v>0</v>
      </c>
      <c r="W122" s="495">
        <v>0</v>
      </c>
      <c r="Z122" s="437">
        <v>0</v>
      </c>
      <c r="AA122" s="437">
        <v>1</v>
      </c>
      <c r="AB122" s="437">
        <v>0</v>
      </c>
      <c r="AC122" s="437">
        <v>1</v>
      </c>
      <c r="AD122" s="404">
        <v>0</v>
      </c>
      <c r="AE122" s="404">
        <v>0</v>
      </c>
      <c r="AF122" s="412">
        <v>3.1911631478497848E-2</v>
      </c>
      <c r="AG122" s="412">
        <v>7.8874630001157672E-2</v>
      </c>
      <c r="AH122" s="412">
        <v>0.6677189378869256</v>
      </c>
      <c r="AI122" s="412">
        <v>0.22149480063341889</v>
      </c>
      <c r="AJ122" s="499">
        <v>0</v>
      </c>
      <c r="AK122" s="432" t="s">
        <v>832</v>
      </c>
      <c r="AL122" s="437"/>
      <c r="AM122" s="437"/>
    </row>
    <row r="123" spans="2:39" ht="14.4">
      <c r="B123" s="437" t="s">
        <v>809</v>
      </c>
      <c r="C123" s="437" t="s">
        <v>675</v>
      </c>
      <c r="D123" s="495">
        <v>0</v>
      </c>
      <c r="E123" s="495">
        <v>0</v>
      </c>
      <c r="F123" s="495">
        <v>0</v>
      </c>
      <c r="G123" s="495">
        <v>0</v>
      </c>
      <c r="H123" s="495">
        <v>0</v>
      </c>
      <c r="I123" s="495">
        <v>0</v>
      </c>
      <c r="J123" s="495">
        <v>0</v>
      </c>
      <c r="K123" s="495">
        <v>0</v>
      </c>
      <c r="L123" s="495">
        <v>0</v>
      </c>
      <c r="M123" s="495">
        <v>0</v>
      </c>
      <c r="N123" s="495">
        <v>0</v>
      </c>
      <c r="O123" s="495">
        <v>0</v>
      </c>
      <c r="P123" s="495">
        <v>0</v>
      </c>
      <c r="Q123" s="495">
        <v>0</v>
      </c>
      <c r="R123" s="495">
        <v>0</v>
      </c>
      <c r="S123" s="495">
        <v>0</v>
      </c>
      <c r="T123" s="495">
        <v>0</v>
      </c>
      <c r="U123" s="495">
        <v>0</v>
      </c>
      <c r="V123" s="495">
        <v>0</v>
      </c>
      <c r="W123" s="495">
        <v>0</v>
      </c>
      <c r="Z123" s="498">
        <v>0.2278820625087335</v>
      </c>
      <c r="AA123" s="498">
        <v>0.77211793749126656</v>
      </c>
      <c r="AB123" s="500">
        <v>0.43589157466609557</v>
      </c>
      <c r="AC123" s="500">
        <v>0.56410842533390437</v>
      </c>
      <c r="AD123" s="404">
        <v>0.1</v>
      </c>
      <c r="AE123" s="404">
        <v>0.9</v>
      </c>
      <c r="AF123" s="500">
        <v>0.23945933192550606</v>
      </c>
      <c r="AG123" s="500">
        <v>0.35198143890868033</v>
      </c>
      <c r="AH123" s="500">
        <v>0.32686697982049234</v>
      </c>
      <c r="AI123" s="500">
        <v>8.1692249345321322E-2</v>
      </c>
      <c r="AJ123" s="499">
        <v>1</v>
      </c>
      <c r="AK123" s="437" t="s">
        <v>826</v>
      </c>
      <c r="AL123" s="437"/>
      <c r="AM123" s="432" t="s">
        <v>831</v>
      </c>
    </row>
    <row r="124" spans="2:39" ht="14.4">
      <c r="B124" s="437" t="s">
        <v>809</v>
      </c>
      <c r="C124" s="437" t="s">
        <v>90</v>
      </c>
      <c r="D124" s="495">
        <v>0</v>
      </c>
      <c r="E124" s="495">
        <v>0</v>
      </c>
      <c r="F124" s="495">
        <v>0</v>
      </c>
      <c r="G124" s="495">
        <v>0</v>
      </c>
      <c r="H124" s="495">
        <v>0</v>
      </c>
      <c r="I124" s="495">
        <v>0</v>
      </c>
      <c r="J124" s="495">
        <v>0</v>
      </c>
      <c r="K124" s="495">
        <v>0</v>
      </c>
      <c r="L124" s="495">
        <v>0</v>
      </c>
      <c r="M124" s="495">
        <v>0</v>
      </c>
      <c r="N124" s="495">
        <v>0</v>
      </c>
      <c r="O124" s="495">
        <v>0</v>
      </c>
      <c r="P124" s="495">
        <v>0</v>
      </c>
      <c r="Q124" s="495">
        <v>0</v>
      </c>
      <c r="R124" s="495">
        <v>0</v>
      </c>
      <c r="S124" s="495">
        <v>0</v>
      </c>
      <c r="T124" s="495">
        <v>0</v>
      </c>
      <c r="U124" s="495">
        <v>0</v>
      </c>
      <c r="V124" s="495">
        <v>0</v>
      </c>
      <c r="W124" s="495">
        <v>0</v>
      </c>
      <c r="Z124" s="437">
        <v>0</v>
      </c>
      <c r="AA124" s="437">
        <v>1</v>
      </c>
      <c r="AB124" s="437">
        <v>0</v>
      </c>
      <c r="AC124" s="437">
        <v>1</v>
      </c>
      <c r="AD124" s="404">
        <v>0</v>
      </c>
      <c r="AE124" s="404">
        <v>0</v>
      </c>
      <c r="AF124" s="412">
        <v>0</v>
      </c>
      <c r="AG124" s="412">
        <v>0</v>
      </c>
      <c r="AH124" s="412">
        <v>1</v>
      </c>
      <c r="AI124" s="412">
        <v>0</v>
      </c>
      <c r="AJ124" s="499">
        <v>0</v>
      </c>
      <c r="AK124" s="437" t="s">
        <v>825</v>
      </c>
      <c r="AL124" s="437"/>
      <c r="AM124" s="437"/>
    </row>
    <row r="125" spans="2:39" ht="14.4">
      <c r="B125" s="437" t="s">
        <v>809</v>
      </c>
      <c r="C125" s="437" t="s">
        <v>73</v>
      </c>
      <c r="D125" s="495">
        <v>0</v>
      </c>
      <c r="E125" s="495">
        <v>0</v>
      </c>
      <c r="F125" s="495">
        <v>0</v>
      </c>
      <c r="G125" s="495">
        <v>0</v>
      </c>
      <c r="H125" s="495">
        <v>33376.400000000001</v>
      </c>
      <c r="I125" s="495">
        <v>22220.2</v>
      </c>
      <c r="J125" s="495">
        <v>26738</v>
      </c>
      <c r="K125" s="495">
        <v>10971.8</v>
      </c>
      <c r="L125" s="495">
        <v>6468</v>
      </c>
      <c r="M125" s="495">
        <v>7161</v>
      </c>
      <c r="N125" s="495">
        <v>28613.4</v>
      </c>
      <c r="O125" s="495">
        <v>29678.3</v>
      </c>
      <c r="P125" s="495">
        <v>23577.489000000001</v>
      </c>
      <c r="Q125" s="495">
        <v>22559.64</v>
      </c>
      <c r="R125" s="495">
        <v>27096.089</v>
      </c>
      <c r="S125" s="495">
        <v>23488.932000000001</v>
      </c>
      <c r="T125" s="495">
        <v>0</v>
      </c>
      <c r="U125" s="495">
        <v>0</v>
      </c>
      <c r="V125" s="495">
        <v>0</v>
      </c>
      <c r="W125" s="495">
        <v>0</v>
      </c>
      <c r="Z125" s="498">
        <v>0.46071648475633875</v>
      </c>
      <c r="AA125" s="498">
        <f t="shared" ref="AA125:AA133" si="8">1-Z125</f>
        <v>0.53928351524366125</v>
      </c>
      <c r="AB125" s="498">
        <v>0.77041495132801496</v>
      </c>
      <c r="AC125" s="498">
        <v>0.22958504867198506</v>
      </c>
      <c r="AD125" s="404">
        <v>0.9</v>
      </c>
      <c r="AE125" s="404">
        <v>0.1</v>
      </c>
      <c r="AF125" s="412">
        <v>3.1911631478497848E-2</v>
      </c>
      <c r="AG125" s="412">
        <v>7.8874630001157672E-2</v>
      </c>
      <c r="AH125" s="412">
        <v>0.6677189378869256</v>
      </c>
      <c r="AI125" s="412">
        <v>0.22149480063341889</v>
      </c>
      <c r="AJ125" s="499">
        <v>1</v>
      </c>
      <c r="AK125" s="437" t="s">
        <v>824</v>
      </c>
      <c r="AL125" s="437"/>
      <c r="AM125" s="432" t="s">
        <v>829</v>
      </c>
    </row>
    <row r="126" spans="2:39" ht="14.4">
      <c r="B126" s="437" t="s">
        <v>809</v>
      </c>
      <c r="C126" s="437" t="s">
        <v>93</v>
      </c>
      <c r="D126" s="495">
        <v>0</v>
      </c>
      <c r="E126" s="495">
        <v>0</v>
      </c>
      <c r="F126" s="495">
        <v>0</v>
      </c>
      <c r="G126" s="495">
        <v>0</v>
      </c>
      <c r="H126" s="495">
        <v>0</v>
      </c>
      <c r="I126" s="495">
        <v>0</v>
      </c>
      <c r="J126" s="495">
        <v>0</v>
      </c>
      <c r="K126" s="495">
        <v>0</v>
      </c>
      <c r="L126" s="495">
        <v>14176</v>
      </c>
      <c r="M126" s="495">
        <v>12404</v>
      </c>
      <c r="N126" s="495">
        <v>9878.9</v>
      </c>
      <c r="O126" s="495">
        <v>9303</v>
      </c>
      <c r="P126" s="495">
        <v>22027.5</v>
      </c>
      <c r="Q126" s="495">
        <v>16020</v>
      </c>
      <c r="R126" s="495">
        <v>10635.5</v>
      </c>
      <c r="S126" s="495">
        <v>12846.696</v>
      </c>
      <c r="T126" s="495">
        <v>0</v>
      </c>
      <c r="U126" s="495">
        <v>0</v>
      </c>
      <c r="V126" s="495">
        <v>0</v>
      </c>
      <c r="W126" s="495">
        <v>0</v>
      </c>
      <c r="Z126" s="498">
        <v>0.46071648475633875</v>
      </c>
      <c r="AA126" s="498">
        <f t="shared" si="8"/>
        <v>0.53928351524366125</v>
      </c>
      <c r="AB126" s="498">
        <v>0.77041495132801496</v>
      </c>
      <c r="AC126" s="498">
        <v>0.22958504867198506</v>
      </c>
      <c r="AD126" s="404">
        <v>0.9</v>
      </c>
      <c r="AE126" s="404">
        <v>0.1</v>
      </c>
      <c r="AF126" s="412">
        <v>3.1911631478497848E-2</v>
      </c>
      <c r="AG126" s="412">
        <v>7.8874630001157672E-2</v>
      </c>
      <c r="AH126" s="412">
        <v>0.6677189378869256</v>
      </c>
      <c r="AI126" s="412">
        <v>0.22149480063341889</v>
      </c>
      <c r="AJ126" s="499">
        <v>1</v>
      </c>
      <c r="AK126" s="437" t="s">
        <v>824</v>
      </c>
      <c r="AL126" s="437"/>
      <c r="AM126" s="432" t="s">
        <v>829</v>
      </c>
    </row>
    <row r="127" spans="2:39" ht="14.4">
      <c r="B127" s="437" t="s">
        <v>809</v>
      </c>
      <c r="C127" s="437" t="s">
        <v>77</v>
      </c>
      <c r="D127" s="495">
        <v>0</v>
      </c>
      <c r="E127" s="495">
        <v>0</v>
      </c>
      <c r="F127" s="495">
        <v>0</v>
      </c>
      <c r="G127" s="495">
        <v>0</v>
      </c>
      <c r="H127" s="495">
        <v>0</v>
      </c>
      <c r="I127" s="495">
        <v>0</v>
      </c>
      <c r="J127" s="495">
        <v>0</v>
      </c>
      <c r="K127" s="495">
        <v>0</v>
      </c>
      <c r="L127" s="495">
        <v>0</v>
      </c>
      <c r="M127" s="495">
        <v>0</v>
      </c>
      <c r="N127" s="495">
        <v>0</v>
      </c>
      <c r="O127" s="495">
        <v>0</v>
      </c>
      <c r="P127" s="495">
        <v>0</v>
      </c>
      <c r="Q127" s="495">
        <v>0</v>
      </c>
      <c r="R127" s="495">
        <v>0</v>
      </c>
      <c r="S127" s="495">
        <v>0</v>
      </c>
      <c r="T127" s="495">
        <v>0</v>
      </c>
      <c r="U127" s="495">
        <v>0</v>
      </c>
      <c r="V127" s="495">
        <v>0</v>
      </c>
      <c r="W127" s="495">
        <v>0</v>
      </c>
      <c r="Z127" s="498">
        <v>0.46071648475633875</v>
      </c>
      <c r="AA127" s="498">
        <f t="shared" si="8"/>
        <v>0.53928351524366125</v>
      </c>
      <c r="AB127" s="498">
        <v>0.77041495132801496</v>
      </c>
      <c r="AC127" s="498">
        <v>0.22958504867198506</v>
      </c>
      <c r="AD127" s="404">
        <v>0.9</v>
      </c>
      <c r="AE127" s="404">
        <v>0.1</v>
      </c>
      <c r="AF127" s="412">
        <v>3.1911631478497848E-2</v>
      </c>
      <c r="AG127" s="412">
        <v>7.8874630001157672E-2</v>
      </c>
      <c r="AH127" s="412">
        <v>0.6677189378869256</v>
      </c>
      <c r="AI127" s="412">
        <v>0.22149480063341889</v>
      </c>
      <c r="AJ127" s="499">
        <v>1</v>
      </c>
      <c r="AK127" s="437" t="s">
        <v>824</v>
      </c>
      <c r="AL127" s="437"/>
      <c r="AM127" s="432" t="s">
        <v>829</v>
      </c>
    </row>
    <row r="128" spans="2:39" ht="14.4">
      <c r="B128" s="437" t="s">
        <v>809</v>
      </c>
      <c r="C128" s="437" t="s">
        <v>74</v>
      </c>
      <c r="D128" s="495">
        <v>0</v>
      </c>
      <c r="E128" s="495">
        <v>0</v>
      </c>
      <c r="F128" s="495">
        <v>0</v>
      </c>
      <c r="G128" s="495">
        <v>0</v>
      </c>
      <c r="H128" s="495">
        <v>0</v>
      </c>
      <c r="I128" s="495">
        <v>0</v>
      </c>
      <c r="J128" s="495">
        <v>0</v>
      </c>
      <c r="K128" s="495">
        <v>0</v>
      </c>
      <c r="L128" s="495">
        <v>0</v>
      </c>
      <c r="M128" s="495">
        <v>0</v>
      </c>
      <c r="N128" s="495">
        <v>0</v>
      </c>
      <c r="O128" s="495">
        <v>0</v>
      </c>
      <c r="P128" s="495">
        <v>0</v>
      </c>
      <c r="Q128" s="495">
        <v>0</v>
      </c>
      <c r="R128" s="495">
        <v>0</v>
      </c>
      <c r="S128" s="495">
        <v>0</v>
      </c>
      <c r="T128" s="495">
        <v>0</v>
      </c>
      <c r="U128" s="495">
        <v>0</v>
      </c>
      <c r="V128" s="495">
        <v>0</v>
      </c>
      <c r="W128" s="495">
        <v>0</v>
      </c>
      <c r="Z128" s="498">
        <v>0.46071648475633875</v>
      </c>
      <c r="AA128" s="498">
        <f t="shared" si="8"/>
        <v>0.53928351524366125</v>
      </c>
      <c r="AB128" s="498">
        <v>0.77041495132801496</v>
      </c>
      <c r="AC128" s="498">
        <v>0.22958504867198506</v>
      </c>
      <c r="AD128" s="404">
        <v>0.9</v>
      </c>
      <c r="AE128" s="404">
        <v>0.1</v>
      </c>
      <c r="AF128" s="412">
        <v>3.1911631478497848E-2</v>
      </c>
      <c r="AG128" s="412">
        <v>7.8874630001157672E-2</v>
      </c>
      <c r="AH128" s="412">
        <v>0.6677189378869256</v>
      </c>
      <c r="AI128" s="412">
        <v>0.22149480063341889</v>
      </c>
      <c r="AJ128" s="499">
        <v>1</v>
      </c>
      <c r="AK128" s="437" t="s">
        <v>824</v>
      </c>
      <c r="AL128" s="437"/>
      <c r="AM128" s="432" t="s">
        <v>829</v>
      </c>
    </row>
    <row r="129" spans="1:39" ht="14.4">
      <c r="B129" s="437" t="s">
        <v>809</v>
      </c>
      <c r="C129" s="437" t="s">
        <v>45</v>
      </c>
      <c r="D129" s="495">
        <v>0</v>
      </c>
      <c r="E129" s="495">
        <v>0</v>
      </c>
      <c r="F129" s="495">
        <v>0</v>
      </c>
      <c r="G129" s="495">
        <v>0</v>
      </c>
      <c r="H129" s="495">
        <v>473</v>
      </c>
      <c r="I129" s="495">
        <v>0</v>
      </c>
      <c r="J129" s="495">
        <v>0</v>
      </c>
      <c r="K129" s="495">
        <v>0</v>
      </c>
      <c r="L129" s="495">
        <v>0</v>
      </c>
      <c r="M129" s="495">
        <v>0</v>
      </c>
      <c r="N129" s="495">
        <v>0</v>
      </c>
      <c r="O129" s="495">
        <v>0</v>
      </c>
      <c r="P129" s="495">
        <v>0</v>
      </c>
      <c r="Q129" s="495">
        <v>0</v>
      </c>
      <c r="R129" s="495">
        <v>0</v>
      </c>
      <c r="S129" s="495">
        <v>0</v>
      </c>
      <c r="T129" s="495">
        <v>0</v>
      </c>
      <c r="U129" s="495">
        <v>0</v>
      </c>
      <c r="V129" s="495">
        <v>0</v>
      </c>
      <c r="W129" s="495">
        <v>0</v>
      </c>
      <c r="Z129" s="498">
        <v>0.46071648475633875</v>
      </c>
      <c r="AA129" s="498">
        <f t="shared" si="8"/>
        <v>0.53928351524366125</v>
      </c>
      <c r="AB129" s="498">
        <v>0.77041495132801496</v>
      </c>
      <c r="AC129" s="498">
        <v>0.22958504867198506</v>
      </c>
      <c r="AD129" s="404">
        <v>0.9</v>
      </c>
      <c r="AE129" s="404">
        <v>0.1</v>
      </c>
      <c r="AF129" s="412">
        <v>3.1911631478497848E-2</v>
      </c>
      <c r="AG129" s="412">
        <v>7.8874630001157672E-2</v>
      </c>
      <c r="AH129" s="412">
        <v>0.6677189378869256</v>
      </c>
      <c r="AI129" s="412">
        <v>0.22149480063341889</v>
      </c>
      <c r="AJ129" s="499">
        <v>1</v>
      </c>
      <c r="AK129" s="437" t="s">
        <v>824</v>
      </c>
      <c r="AL129" s="437"/>
      <c r="AM129" s="432" t="s">
        <v>829</v>
      </c>
    </row>
    <row r="130" spans="1:39" ht="14.4">
      <c r="B130" s="437" t="s">
        <v>809</v>
      </c>
      <c r="C130" s="437" t="s">
        <v>44</v>
      </c>
      <c r="D130" s="495">
        <v>0</v>
      </c>
      <c r="E130" s="495">
        <v>0</v>
      </c>
      <c r="F130" s="495">
        <v>0</v>
      </c>
      <c r="G130" s="495">
        <v>0</v>
      </c>
      <c r="H130" s="495">
        <v>933.8</v>
      </c>
      <c r="I130" s="495">
        <v>0</v>
      </c>
      <c r="J130" s="495">
        <v>0</v>
      </c>
      <c r="K130" s="495">
        <v>0</v>
      </c>
      <c r="L130" s="495">
        <v>1696.8</v>
      </c>
      <c r="M130" s="495">
        <v>1696.8</v>
      </c>
      <c r="N130" s="495">
        <v>1656.4</v>
      </c>
      <c r="O130" s="495">
        <v>1777.6</v>
      </c>
      <c r="P130" s="495">
        <v>0</v>
      </c>
      <c r="Q130" s="495">
        <v>0</v>
      </c>
      <c r="R130" s="495">
        <v>0</v>
      </c>
      <c r="S130" s="495">
        <v>0</v>
      </c>
      <c r="T130" s="495">
        <v>0</v>
      </c>
      <c r="U130" s="495">
        <v>0</v>
      </c>
      <c r="V130" s="495">
        <v>0</v>
      </c>
      <c r="W130" s="495">
        <v>0</v>
      </c>
      <c r="Z130" s="498">
        <v>0.46071648475633875</v>
      </c>
      <c r="AA130" s="498">
        <f t="shared" si="8"/>
        <v>0.53928351524366125</v>
      </c>
      <c r="AB130" s="498">
        <v>0.77041495132801496</v>
      </c>
      <c r="AC130" s="498">
        <v>0.22958504867198506</v>
      </c>
      <c r="AD130" s="404">
        <v>0.9</v>
      </c>
      <c r="AE130" s="404">
        <v>0.1</v>
      </c>
      <c r="AF130" s="412">
        <v>3.1911631478497848E-2</v>
      </c>
      <c r="AG130" s="412">
        <v>7.8874630001157672E-2</v>
      </c>
      <c r="AH130" s="412">
        <v>0.6677189378869256</v>
      </c>
      <c r="AI130" s="412">
        <v>0.22149480063341889</v>
      </c>
      <c r="AJ130" s="499">
        <v>1</v>
      </c>
      <c r="AK130" s="437" t="s">
        <v>824</v>
      </c>
      <c r="AL130" s="437"/>
      <c r="AM130" s="432" t="s">
        <v>829</v>
      </c>
    </row>
    <row r="131" spans="1:39" ht="14.4">
      <c r="B131" s="437" t="s">
        <v>809</v>
      </c>
      <c r="C131" s="437" t="s">
        <v>798</v>
      </c>
      <c r="D131" s="495">
        <v>0</v>
      </c>
      <c r="E131" s="495">
        <v>0</v>
      </c>
      <c r="F131" s="495">
        <v>0</v>
      </c>
      <c r="G131" s="495">
        <v>0</v>
      </c>
      <c r="H131" s="495">
        <v>0</v>
      </c>
      <c r="I131" s="495">
        <v>0</v>
      </c>
      <c r="J131" s="495">
        <v>0</v>
      </c>
      <c r="K131" s="495">
        <v>0</v>
      </c>
      <c r="L131" s="495">
        <v>0</v>
      </c>
      <c r="M131" s="495">
        <v>0</v>
      </c>
      <c r="N131" s="495">
        <v>0</v>
      </c>
      <c r="O131" s="495">
        <v>0</v>
      </c>
      <c r="P131" s="495">
        <v>0</v>
      </c>
      <c r="Q131" s="495">
        <v>0</v>
      </c>
      <c r="R131" s="495">
        <v>0</v>
      </c>
      <c r="S131" s="495">
        <v>0</v>
      </c>
      <c r="T131" s="495">
        <v>0</v>
      </c>
      <c r="U131" s="495">
        <v>0</v>
      </c>
      <c r="V131" s="495">
        <v>0</v>
      </c>
      <c r="W131" s="495">
        <v>0</v>
      </c>
      <c r="Z131" s="498">
        <v>0.46071648475633875</v>
      </c>
      <c r="AA131" s="498">
        <f t="shared" si="8"/>
        <v>0.53928351524366125</v>
      </c>
      <c r="AB131" s="498">
        <v>0.77041495132801496</v>
      </c>
      <c r="AC131" s="498">
        <v>0.22958504867198506</v>
      </c>
      <c r="AD131" s="404">
        <v>0.9</v>
      </c>
      <c r="AE131" s="404">
        <v>0.1</v>
      </c>
      <c r="AF131" s="412">
        <v>3.1911631478497848E-2</v>
      </c>
      <c r="AG131" s="412">
        <v>7.8874630001157672E-2</v>
      </c>
      <c r="AH131" s="412">
        <v>0.6677189378869256</v>
      </c>
      <c r="AI131" s="412">
        <v>0.22149480063341889</v>
      </c>
      <c r="AJ131" s="499">
        <v>1</v>
      </c>
      <c r="AK131" s="437" t="s">
        <v>824</v>
      </c>
      <c r="AL131" s="437"/>
      <c r="AM131" s="432" t="s">
        <v>829</v>
      </c>
    </row>
    <row r="132" spans="1:39" ht="14.4">
      <c r="B132" s="437" t="s">
        <v>809</v>
      </c>
      <c r="C132" s="437" t="s">
        <v>799</v>
      </c>
      <c r="D132" s="495">
        <v>0</v>
      </c>
      <c r="E132" s="495">
        <v>0</v>
      </c>
      <c r="F132" s="495">
        <v>0</v>
      </c>
      <c r="G132" s="495">
        <v>0</v>
      </c>
      <c r="H132" s="495">
        <v>0</v>
      </c>
      <c r="I132" s="495">
        <v>0</v>
      </c>
      <c r="J132" s="495">
        <v>0</v>
      </c>
      <c r="K132" s="495">
        <v>0</v>
      </c>
      <c r="L132" s="495">
        <v>0</v>
      </c>
      <c r="M132" s="495">
        <v>0</v>
      </c>
      <c r="N132" s="495">
        <v>0</v>
      </c>
      <c r="O132" s="495">
        <v>0</v>
      </c>
      <c r="P132" s="495">
        <v>0</v>
      </c>
      <c r="Q132" s="495">
        <v>0</v>
      </c>
      <c r="R132" s="495">
        <v>0</v>
      </c>
      <c r="S132" s="495">
        <v>0</v>
      </c>
      <c r="T132" s="495">
        <v>0</v>
      </c>
      <c r="U132" s="495">
        <v>0</v>
      </c>
      <c r="V132" s="495">
        <v>0</v>
      </c>
      <c r="W132" s="495">
        <v>0</v>
      </c>
      <c r="Z132" s="498">
        <v>0.46071648475633875</v>
      </c>
      <c r="AA132" s="498">
        <f t="shared" si="8"/>
        <v>0.53928351524366125</v>
      </c>
      <c r="AB132" s="498">
        <v>0.77041495132801496</v>
      </c>
      <c r="AC132" s="498">
        <v>0.22958504867198506</v>
      </c>
      <c r="AD132" s="404">
        <v>0.9</v>
      </c>
      <c r="AE132" s="404">
        <v>0.1</v>
      </c>
      <c r="AF132" s="412">
        <v>3.1911631478497848E-2</v>
      </c>
      <c r="AG132" s="412">
        <v>7.8874630001157672E-2</v>
      </c>
      <c r="AH132" s="412">
        <v>0.6677189378869256</v>
      </c>
      <c r="AI132" s="412">
        <v>0.22149480063341889</v>
      </c>
      <c r="AJ132" s="499">
        <v>1</v>
      </c>
      <c r="AK132" s="437" t="s">
        <v>824</v>
      </c>
      <c r="AL132" s="437"/>
      <c r="AM132" s="432" t="s">
        <v>829</v>
      </c>
    </row>
    <row r="133" spans="1:39" ht="14.4">
      <c r="B133" s="437" t="s">
        <v>809</v>
      </c>
      <c r="C133" s="437" t="s">
        <v>800</v>
      </c>
      <c r="D133" s="495">
        <v>0</v>
      </c>
      <c r="E133" s="495">
        <v>0</v>
      </c>
      <c r="F133" s="495">
        <v>0</v>
      </c>
      <c r="G133" s="495">
        <v>0</v>
      </c>
      <c r="H133" s="495">
        <v>0</v>
      </c>
      <c r="I133" s="495">
        <v>0</v>
      </c>
      <c r="J133" s="495">
        <v>0</v>
      </c>
      <c r="K133" s="495">
        <v>0</v>
      </c>
      <c r="L133" s="495">
        <v>0</v>
      </c>
      <c r="M133" s="495">
        <v>0</v>
      </c>
      <c r="N133" s="495">
        <v>0</v>
      </c>
      <c r="O133" s="495">
        <v>0</v>
      </c>
      <c r="P133" s="495">
        <v>0</v>
      </c>
      <c r="Q133" s="495">
        <v>0</v>
      </c>
      <c r="R133" s="495">
        <v>0</v>
      </c>
      <c r="S133" s="495">
        <v>0</v>
      </c>
      <c r="T133" s="495">
        <v>0</v>
      </c>
      <c r="U133" s="495">
        <v>0</v>
      </c>
      <c r="V133" s="495">
        <v>0</v>
      </c>
      <c r="W133" s="495">
        <v>0</v>
      </c>
      <c r="Z133" s="498">
        <v>0.46071648475633875</v>
      </c>
      <c r="AA133" s="498">
        <f t="shared" si="8"/>
        <v>0.53928351524366125</v>
      </c>
      <c r="AB133" s="498">
        <v>0.77041495132801496</v>
      </c>
      <c r="AC133" s="498">
        <v>0.22958504867198506</v>
      </c>
      <c r="AD133" s="404">
        <v>0.9</v>
      </c>
      <c r="AE133" s="404">
        <v>0.1</v>
      </c>
      <c r="AF133" s="412">
        <v>3.1911631478497848E-2</v>
      </c>
      <c r="AG133" s="412">
        <v>7.8874630001157672E-2</v>
      </c>
      <c r="AH133" s="412">
        <v>0.6677189378869256</v>
      </c>
      <c r="AI133" s="412">
        <v>0.22149480063341889</v>
      </c>
      <c r="AJ133" s="499">
        <v>1</v>
      </c>
      <c r="AK133" s="437" t="s">
        <v>824</v>
      </c>
      <c r="AL133" s="437"/>
      <c r="AM133" s="432" t="s">
        <v>829</v>
      </c>
    </row>
    <row r="134" spans="1:39" ht="14.4">
      <c r="B134" s="437" t="s">
        <v>809</v>
      </c>
      <c r="C134" s="437" t="s">
        <v>126</v>
      </c>
      <c r="D134" s="495">
        <v>0</v>
      </c>
      <c r="E134" s="495">
        <v>0</v>
      </c>
      <c r="F134" s="495">
        <v>0</v>
      </c>
      <c r="G134" s="495">
        <v>0</v>
      </c>
      <c r="H134" s="495">
        <v>0</v>
      </c>
      <c r="I134" s="495">
        <v>0</v>
      </c>
      <c r="J134" s="495">
        <v>0</v>
      </c>
      <c r="K134" s="495">
        <v>0</v>
      </c>
      <c r="L134" s="495">
        <v>0</v>
      </c>
      <c r="M134" s="495">
        <v>0</v>
      </c>
      <c r="N134" s="495">
        <v>0</v>
      </c>
      <c r="O134" s="495">
        <v>0</v>
      </c>
      <c r="P134" s="495">
        <v>0</v>
      </c>
      <c r="Q134" s="495">
        <v>0</v>
      </c>
      <c r="R134" s="495">
        <v>0</v>
      </c>
      <c r="S134" s="495">
        <v>0</v>
      </c>
      <c r="T134" s="495">
        <v>0</v>
      </c>
      <c r="U134" s="495">
        <v>0</v>
      </c>
      <c r="V134" s="495">
        <v>0</v>
      </c>
      <c r="W134" s="495">
        <v>0</v>
      </c>
      <c r="Z134" s="500">
        <v>0.16985317211055276</v>
      </c>
      <c r="AA134" s="500">
        <v>0.83014682788944727</v>
      </c>
      <c r="AB134" s="500">
        <v>0.48632184165814718</v>
      </c>
      <c r="AC134" s="500">
        <v>0.51367815834185271</v>
      </c>
      <c r="AD134" s="404">
        <v>0.1</v>
      </c>
      <c r="AE134" s="404">
        <v>0.9</v>
      </c>
      <c r="AF134" s="500">
        <v>2.8368794326241134E-2</v>
      </c>
      <c r="AG134" s="500">
        <v>7.0921985815602835E-3</v>
      </c>
      <c r="AH134" s="500">
        <v>0.55319148936170215</v>
      </c>
      <c r="AI134" s="500">
        <v>0.41134751773049644</v>
      </c>
      <c r="AJ134" s="499">
        <v>1</v>
      </c>
      <c r="AK134" s="432" t="s">
        <v>830</v>
      </c>
      <c r="AL134" s="437"/>
      <c r="AM134" s="432" t="s">
        <v>831</v>
      </c>
    </row>
    <row r="135" spans="1:39" ht="14.4">
      <c r="B135" s="437" t="s">
        <v>809</v>
      </c>
      <c r="C135" s="437" t="s">
        <v>42</v>
      </c>
      <c r="D135" s="495">
        <v>0</v>
      </c>
      <c r="E135" s="495">
        <v>0</v>
      </c>
      <c r="F135" s="495">
        <v>0</v>
      </c>
      <c r="G135" s="495">
        <v>0</v>
      </c>
      <c r="H135" s="495">
        <v>0</v>
      </c>
      <c r="I135" s="495">
        <v>0</v>
      </c>
      <c r="J135" s="495">
        <v>0</v>
      </c>
      <c r="K135" s="495">
        <v>0</v>
      </c>
      <c r="L135" s="495">
        <v>0</v>
      </c>
      <c r="M135" s="495">
        <v>0</v>
      </c>
      <c r="N135" s="495">
        <v>0</v>
      </c>
      <c r="O135" s="495">
        <v>0</v>
      </c>
      <c r="P135" s="495">
        <v>0</v>
      </c>
      <c r="Q135" s="495">
        <v>0</v>
      </c>
      <c r="R135" s="495">
        <v>0</v>
      </c>
      <c r="S135" s="495">
        <v>0</v>
      </c>
      <c r="T135" s="495">
        <v>0</v>
      </c>
      <c r="U135" s="495">
        <v>0</v>
      </c>
      <c r="V135" s="495">
        <v>0</v>
      </c>
      <c r="W135" s="495">
        <v>0</v>
      </c>
      <c r="Z135" s="498">
        <v>0.46071648475633875</v>
      </c>
      <c r="AA135" s="498">
        <f>1-Z135</f>
        <v>0.53928351524366125</v>
      </c>
      <c r="AB135" s="498">
        <v>0.77041495132801496</v>
      </c>
      <c r="AC135" s="498">
        <v>0.22958504867198506</v>
      </c>
      <c r="AD135" s="404">
        <v>0.9</v>
      </c>
      <c r="AE135" s="404">
        <v>0.1</v>
      </c>
      <c r="AF135" s="412">
        <v>3.1911631478497848E-2</v>
      </c>
      <c r="AG135" s="412">
        <v>7.8874630001157672E-2</v>
      </c>
      <c r="AH135" s="412">
        <v>0.6677189378869256</v>
      </c>
      <c r="AI135" s="412">
        <v>0.22149480063341889</v>
      </c>
      <c r="AJ135" s="499">
        <v>1</v>
      </c>
      <c r="AK135" s="437" t="s">
        <v>824</v>
      </c>
      <c r="AL135" s="437"/>
      <c r="AM135" s="432" t="s">
        <v>829</v>
      </c>
    </row>
    <row r="136" spans="1:39" ht="14.4">
      <c r="B136" s="437" t="s">
        <v>809</v>
      </c>
      <c r="C136" s="437" t="s">
        <v>801</v>
      </c>
      <c r="D136" s="495">
        <v>0</v>
      </c>
      <c r="E136" s="495">
        <v>0</v>
      </c>
      <c r="F136" s="495">
        <v>0</v>
      </c>
      <c r="G136" s="495">
        <v>0</v>
      </c>
      <c r="H136" s="495">
        <v>0</v>
      </c>
      <c r="I136" s="495">
        <v>0</v>
      </c>
      <c r="J136" s="495">
        <v>0</v>
      </c>
      <c r="K136" s="495">
        <v>0</v>
      </c>
      <c r="L136" s="495">
        <v>0</v>
      </c>
      <c r="M136" s="495">
        <v>0</v>
      </c>
      <c r="N136" s="495">
        <v>0</v>
      </c>
      <c r="O136" s="495">
        <v>0</v>
      </c>
      <c r="P136" s="495">
        <v>0</v>
      </c>
      <c r="Q136" s="495">
        <v>0</v>
      </c>
      <c r="R136" s="495">
        <v>0</v>
      </c>
      <c r="S136" s="495">
        <v>0</v>
      </c>
      <c r="T136" s="495">
        <v>0</v>
      </c>
      <c r="U136" s="495">
        <v>0</v>
      </c>
      <c r="V136" s="495">
        <v>0</v>
      </c>
      <c r="W136" s="495">
        <v>0</v>
      </c>
      <c r="Z136" s="498">
        <v>0.2278820625087335</v>
      </c>
      <c r="AA136" s="498">
        <v>0.77211793749126656</v>
      </c>
      <c r="AB136" s="500">
        <v>0.43589157466609557</v>
      </c>
      <c r="AC136" s="500">
        <v>0.56410842533390437</v>
      </c>
      <c r="AD136" s="404">
        <v>0.1</v>
      </c>
      <c r="AE136" s="404">
        <v>0.9</v>
      </c>
      <c r="AF136" s="500">
        <v>0.23945933192550606</v>
      </c>
      <c r="AG136" s="500">
        <v>0.35198143890868033</v>
      </c>
      <c r="AH136" s="500">
        <v>0.32686697982049234</v>
      </c>
      <c r="AI136" s="500">
        <v>8.1692249345321322E-2</v>
      </c>
      <c r="AJ136" s="499">
        <v>1</v>
      </c>
      <c r="AK136" s="437" t="s">
        <v>826</v>
      </c>
      <c r="AL136" s="437"/>
      <c r="AM136" s="432" t="s">
        <v>831</v>
      </c>
    </row>
    <row r="137" spans="1:39" ht="14.4">
      <c r="B137" s="437" t="s">
        <v>809</v>
      </c>
      <c r="C137" s="437" t="s">
        <v>684</v>
      </c>
      <c r="D137" s="495">
        <v>0</v>
      </c>
      <c r="E137" s="495">
        <v>0</v>
      </c>
      <c r="F137" s="495">
        <v>0</v>
      </c>
      <c r="G137" s="495">
        <v>0</v>
      </c>
      <c r="H137" s="495">
        <v>0</v>
      </c>
      <c r="I137" s="495">
        <v>0</v>
      </c>
      <c r="J137" s="495">
        <v>0</v>
      </c>
      <c r="K137" s="495">
        <v>0</v>
      </c>
      <c r="L137" s="495">
        <v>0</v>
      </c>
      <c r="M137" s="495">
        <v>0</v>
      </c>
      <c r="N137" s="495">
        <v>0</v>
      </c>
      <c r="O137" s="495">
        <v>0</v>
      </c>
      <c r="P137" s="495">
        <v>0</v>
      </c>
      <c r="Q137" s="495">
        <v>0</v>
      </c>
      <c r="R137" s="495">
        <v>0</v>
      </c>
      <c r="S137" s="495">
        <v>0</v>
      </c>
      <c r="T137" s="495">
        <v>0</v>
      </c>
      <c r="U137" s="495">
        <v>0</v>
      </c>
      <c r="V137" s="495">
        <v>0</v>
      </c>
      <c r="W137" s="495">
        <v>0</v>
      </c>
      <c r="Z137" s="437">
        <v>0</v>
      </c>
      <c r="AA137" s="437">
        <v>0</v>
      </c>
      <c r="AB137" s="437">
        <v>0</v>
      </c>
      <c r="AC137" s="437">
        <v>0</v>
      </c>
      <c r="AD137" s="404">
        <v>0</v>
      </c>
      <c r="AE137" s="404">
        <v>1</v>
      </c>
      <c r="AF137" s="412">
        <f>2/3</f>
        <v>0.66666666666666663</v>
      </c>
      <c r="AG137" s="412">
        <v>0</v>
      </c>
      <c r="AH137" s="412">
        <f>1/3</f>
        <v>0.33333333333333331</v>
      </c>
      <c r="AI137" s="437">
        <v>0</v>
      </c>
      <c r="AJ137" s="499">
        <v>1</v>
      </c>
      <c r="AK137" s="437" t="s">
        <v>825</v>
      </c>
      <c r="AL137" s="437"/>
      <c r="AM137" s="437" t="s">
        <v>828</v>
      </c>
    </row>
    <row r="138" spans="1:39">
      <c r="A138" s="437" t="str">
        <f>"IMP"&amp;C138</f>
        <v>IMPCOA</v>
      </c>
      <c r="B138" s="437" t="s">
        <v>815</v>
      </c>
      <c r="C138" s="437" t="s">
        <v>40</v>
      </c>
      <c r="D138">
        <f>D25+D61</f>
        <v>166797.18000000002</v>
      </c>
      <c r="E138" s="437">
        <f t="shared" ref="E138:W152" si="9">E25+E61</f>
        <v>110494.87</v>
      </c>
      <c r="F138" s="437">
        <f t="shared" si="9"/>
        <v>84965.341999999975</v>
      </c>
      <c r="G138" s="437">
        <f t="shared" si="9"/>
        <v>79283.055999999997</v>
      </c>
      <c r="H138" s="437">
        <f t="shared" si="9"/>
        <v>37853.700000000004</v>
      </c>
      <c r="I138" s="437">
        <f t="shared" si="9"/>
        <v>49865.3</v>
      </c>
      <c r="J138" s="437">
        <f t="shared" si="9"/>
        <v>49012.600000000006</v>
      </c>
      <c r="K138" s="437">
        <f t="shared" si="9"/>
        <v>49421.493999999999</v>
      </c>
      <c r="L138" s="437">
        <f t="shared" si="9"/>
        <v>196787.69499999998</v>
      </c>
      <c r="M138" s="437">
        <f t="shared" si="9"/>
        <v>129134.917</v>
      </c>
      <c r="N138" s="437">
        <f t="shared" si="9"/>
        <v>118669.99</v>
      </c>
      <c r="O138" s="437">
        <f t="shared" si="9"/>
        <v>120479.986</v>
      </c>
      <c r="P138" s="437">
        <f t="shared" si="9"/>
        <v>91561.600000000006</v>
      </c>
      <c r="Q138" s="437">
        <f t="shared" si="9"/>
        <v>82715.899999999994</v>
      </c>
      <c r="R138" s="437">
        <f t="shared" si="9"/>
        <v>85182.16</v>
      </c>
      <c r="S138" s="437">
        <f t="shared" si="9"/>
        <v>84463.44</v>
      </c>
      <c r="T138" s="437">
        <f t="shared" si="9"/>
        <v>3773.3999999999996</v>
      </c>
      <c r="U138" s="437">
        <f t="shared" si="9"/>
        <v>3944.7000000000003</v>
      </c>
      <c r="V138" s="437">
        <f t="shared" si="9"/>
        <v>4157.88</v>
      </c>
      <c r="W138" s="437">
        <f t="shared" si="9"/>
        <v>5028.9029999999993</v>
      </c>
      <c r="Z138" s="498">
        <v>0.46071648475633875</v>
      </c>
      <c r="AA138" s="498">
        <f>1-Z138</f>
        <v>0.53928351524366125</v>
      </c>
      <c r="AB138" s="498">
        <v>0.77041495132801496</v>
      </c>
      <c r="AC138" s="498">
        <v>0.22958504867198506</v>
      </c>
      <c r="AD138" s="404">
        <v>0.9</v>
      </c>
      <c r="AE138" s="404">
        <v>0.1</v>
      </c>
      <c r="AF138" s="412">
        <v>3.1911631478497848E-2</v>
      </c>
      <c r="AG138" s="412">
        <v>7.8874630001157672E-2</v>
      </c>
      <c r="AH138" s="412">
        <v>0.6677189378869256</v>
      </c>
      <c r="AI138" s="412">
        <v>0.22149480063341889</v>
      </c>
      <c r="AJ138" s="499">
        <v>1</v>
      </c>
      <c r="AK138" s="437" t="s">
        <v>824</v>
      </c>
      <c r="AL138" s="437"/>
      <c r="AM138" s="432" t="s">
        <v>829</v>
      </c>
    </row>
    <row r="139" spans="1:39">
      <c r="A139" s="437" t="str">
        <f t="shared" ref="A139:A155" si="10">"IMP"&amp;C139</f>
        <v>IMPOTH</v>
      </c>
      <c r="B139" s="437" t="s">
        <v>815</v>
      </c>
      <c r="C139" s="437" t="s">
        <v>785</v>
      </c>
      <c r="D139" s="437">
        <f t="shared" ref="D139:S154" si="11">D26+D62</f>
        <v>11376.1</v>
      </c>
      <c r="E139" s="437">
        <f t="shared" si="11"/>
        <v>11667.9</v>
      </c>
      <c r="F139" s="437">
        <f t="shared" si="11"/>
        <v>10811.742</v>
      </c>
      <c r="G139" s="437">
        <f t="shared" si="11"/>
        <v>10473.449000000001</v>
      </c>
      <c r="H139" s="437">
        <f t="shared" si="11"/>
        <v>20806</v>
      </c>
      <c r="I139" s="437">
        <f t="shared" si="11"/>
        <v>20746.099999999999</v>
      </c>
      <c r="J139" s="437">
        <f t="shared" si="11"/>
        <v>22089.3</v>
      </c>
      <c r="K139" s="437">
        <f t="shared" si="11"/>
        <v>52980.000000000007</v>
      </c>
      <c r="L139" s="437">
        <f t="shared" si="11"/>
        <v>26820.673999999999</v>
      </c>
      <c r="M139" s="437">
        <f t="shared" si="11"/>
        <v>30577.444</v>
      </c>
      <c r="N139" s="437">
        <f t="shared" si="11"/>
        <v>12806.39</v>
      </c>
      <c r="O139" s="437">
        <f t="shared" si="11"/>
        <v>17468.600000000002</v>
      </c>
      <c r="P139" s="437">
        <f t="shared" si="11"/>
        <v>22655.500000000004</v>
      </c>
      <c r="Q139" s="437">
        <f t="shared" si="11"/>
        <v>20102.2</v>
      </c>
      <c r="R139" s="437">
        <f t="shared" si="11"/>
        <v>21044.9</v>
      </c>
      <c r="S139" s="437">
        <f t="shared" si="11"/>
        <v>28421.357</v>
      </c>
      <c r="T139" s="437">
        <f t="shared" si="9"/>
        <v>760</v>
      </c>
      <c r="U139" s="437">
        <f t="shared" si="9"/>
        <v>480</v>
      </c>
      <c r="V139" s="437">
        <f t="shared" si="9"/>
        <v>840</v>
      </c>
      <c r="W139" s="437">
        <f t="shared" si="9"/>
        <v>1983.318</v>
      </c>
      <c r="Z139" s="498">
        <v>0.46071648475633875</v>
      </c>
      <c r="AA139" s="498">
        <f>1-Z139</f>
        <v>0.53928351524366125</v>
      </c>
      <c r="AB139" s="498">
        <v>0.77041495132801496</v>
      </c>
      <c r="AC139" s="498">
        <v>0.22958504867198506</v>
      </c>
      <c r="AD139" s="404">
        <v>0.9</v>
      </c>
      <c r="AE139" s="404">
        <v>0.1</v>
      </c>
      <c r="AF139" s="412">
        <v>3.1911631478497848E-2</v>
      </c>
      <c r="AG139" s="412">
        <v>7.8874630001157672E-2</v>
      </c>
      <c r="AH139" s="412">
        <v>0.6677189378869256</v>
      </c>
      <c r="AI139" s="412">
        <v>0.22149480063341889</v>
      </c>
      <c r="AJ139" s="499">
        <v>1</v>
      </c>
      <c r="AK139" s="437" t="s">
        <v>824</v>
      </c>
      <c r="AL139" s="437"/>
      <c r="AM139" s="432" t="s">
        <v>829</v>
      </c>
    </row>
    <row r="140" spans="1:39">
      <c r="A140" s="437" t="str">
        <f t="shared" si="10"/>
        <v>IMPNGA</v>
      </c>
      <c r="B140" s="437" t="s">
        <v>815</v>
      </c>
      <c r="C140" s="437" t="s">
        <v>41</v>
      </c>
      <c r="D140" s="437">
        <f t="shared" si="11"/>
        <v>9924.380000000001</v>
      </c>
      <c r="E140" s="437">
        <f t="shared" si="9"/>
        <v>41804.657999999996</v>
      </c>
      <c r="F140" s="437">
        <f t="shared" si="9"/>
        <v>28264.472000000002</v>
      </c>
      <c r="G140" s="437">
        <f t="shared" si="9"/>
        <v>14529.192000000001</v>
      </c>
      <c r="H140" s="437">
        <f t="shared" si="9"/>
        <v>3105.0320000000002</v>
      </c>
      <c r="I140" s="437">
        <f t="shared" si="9"/>
        <v>1429.1959999999999</v>
      </c>
      <c r="J140" s="437">
        <f t="shared" si="9"/>
        <v>3249.9090000000001</v>
      </c>
      <c r="K140" s="437">
        <f t="shared" si="9"/>
        <v>1804.5</v>
      </c>
      <c r="L140" s="437">
        <f t="shared" si="9"/>
        <v>160651.79999999999</v>
      </c>
      <c r="M140" s="437">
        <f t="shared" si="9"/>
        <v>125819.1</v>
      </c>
      <c r="N140" s="437">
        <f t="shared" si="9"/>
        <v>93637.8</v>
      </c>
      <c r="O140" s="437">
        <f t="shared" si="9"/>
        <v>91003.085000000006</v>
      </c>
      <c r="P140" s="437">
        <f t="shared" si="9"/>
        <v>61375.5</v>
      </c>
      <c r="Q140" s="437">
        <f t="shared" si="9"/>
        <v>42144.3</v>
      </c>
      <c r="R140" s="437">
        <f t="shared" si="9"/>
        <v>30295.8</v>
      </c>
      <c r="S140" s="437">
        <f t="shared" si="9"/>
        <v>43384.5</v>
      </c>
      <c r="T140" s="437">
        <f t="shared" si="9"/>
        <v>0</v>
      </c>
      <c r="U140" s="437">
        <f t="shared" si="9"/>
        <v>0</v>
      </c>
      <c r="V140" s="437">
        <f t="shared" si="9"/>
        <v>0</v>
      </c>
      <c r="W140" s="437">
        <f t="shared" si="9"/>
        <v>0</v>
      </c>
      <c r="Z140" s="437">
        <v>0</v>
      </c>
      <c r="AA140" s="437">
        <v>1</v>
      </c>
      <c r="AB140" s="437">
        <v>0</v>
      </c>
      <c r="AC140" s="437">
        <v>1</v>
      </c>
      <c r="AD140" s="404">
        <v>0</v>
      </c>
      <c r="AE140" s="404">
        <v>0</v>
      </c>
      <c r="AF140" s="412">
        <v>3.1911631478497848E-2</v>
      </c>
      <c r="AG140" s="412">
        <v>7.8874630001157672E-2</v>
      </c>
      <c r="AH140" s="412">
        <v>0.6677189378869256</v>
      </c>
      <c r="AI140" s="412">
        <v>0.22149480063341889</v>
      </c>
      <c r="AJ140" s="499">
        <v>0</v>
      </c>
      <c r="AK140" s="432" t="s">
        <v>832</v>
      </c>
      <c r="AL140" s="437"/>
      <c r="AM140" s="437"/>
    </row>
    <row r="141" spans="1:39" ht="14.4">
      <c r="A141" s="437" t="str">
        <f t="shared" si="10"/>
        <v>IMPPEA</v>
      </c>
      <c r="B141" s="437" t="s">
        <v>815</v>
      </c>
      <c r="C141" s="437" t="s">
        <v>675</v>
      </c>
      <c r="D141" s="437">
        <f t="shared" si="11"/>
        <v>0</v>
      </c>
      <c r="E141" s="437">
        <f t="shared" si="9"/>
        <v>0</v>
      </c>
      <c r="F141" s="437">
        <f t="shared" si="9"/>
        <v>0</v>
      </c>
      <c r="G141" s="437">
        <f t="shared" si="9"/>
        <v>0</v>
      </c>
      <c r="H141" s="437">
        <f t="shared" si="9"/>
        <v>0</v>
      </c>
      <c r="I141" s="437">
        <f t="shared" si="9"/>
        <v>0</v>
      </c>
      <c r="J141" s="437">
        <f t="shared" si="9"/>
        <v>0</v>
      </c>
      <c r="K141" s="437">
        <f t="shared" si="9"/>
        <v>0</v>
      </c>
      <c r="L141" s="437">
        <f t="shared" si="9"/>
        <v>40864.620000000003</v>
      </c>
      <c r="M141" s="437">
        <f t="shared" si="9"/>
        <v>47528.675999999999</v>
      </c>
      <c r="N141" s="437">
        <f t="shared" si="9"/>
        <v>45870.899999999994</v>
      </c>
      <c r="O141" s="437">
        <f t="shared" si="9"/>
        <v>-31771.08</v>
      </c>
      <c r="P141" s="437">
        <f t="shared" si="9"/>
        <v>9446.2000000000007</v>
      </c>
      <c r="Q141" s="437">
        <f t="shared" si="9"/>
        <v>9394.44</v>
      </c>
      <c r="R141" s="437">
        <f t="shared" si="9"/>
        <v>2122.16</v>
      </c>
      <c r="S141" s="437">
        <f t="shared" si="9"/>
        <v>2510.36</v>
      </c>
      <c r="T141" s="437">
        <f t="shared" si="9"/>
        <v>0</v>
      </c>
      <c r="U141" s="437">
        <f t="shared" si="9"/>
        <v>0</v>
      </c>
      <c r="V141" s="437">
        <f t="shared" si="9"/>
        <v>0</v>
      </c>
      <c r="W141" s="437">
        <f t="shared" si="9"/>
        <v>0</v>
      </c>
      <c r="Z141" s="498">
        <v>0.2278820625087335</v>
      </c>
      <c r="AA141" s="498">
        <v>0.77211793749126656</v>
      </c>
      <c r="AB141" s="500">
        <v>0.43589157466609557</v>
      </c>
      <c r="AC141" s="500">
        <v>0.56410842533390437</v>
      </c>
      <c r="AD141" s="404">
        <v>0.1</v>
      </c>
      <c r="AE141" s="404">
        <v>0.9</v>
      </c>
      <c r="AF141" s="500">
        <v>0.23945933192550606</v>
      </c>
      <c r="AG141" s="500">
        <v>0.35198143890868033</v>
      </c>
      <c r="AH141" s="500">
        <v>0.32686697982049234</v>
      </c>
      <c r="AI141" s="500">
        <v>8.1692249345321322E-2</v>
      </c>
      <c r="AJ141" s="499">
        <v>1</v>
      </c>
      <c r="AK141" s="437" t="s">
        <v>826</v>
      </c>
      <c r="AL141" s="437"/>
      <c r="AM141" s="432" t="s">
        <v>831</v>
      </c>
    </row>
    <row r="142" spans="1:39">
      <c r="A142" s="437" t="str">
        <f t="shared" si="10"/>
        <v>IMPCRD</v>
      </c>
      <c r="B142" s="437" t="s">
        <v>815</v>
      </c>
      <c r="C142" s="437" t="s">
        <v>90</v>
      </c>
      <c r="D142" s="437">
        <f t="shared" si="11"/>
        <v>119714.7</v>
      </c>
      <c r="E142" s="437">
        <f t="shared" si="9"/>
        <v>179517.9</v>
      </c>
      <c r="F142" s="437">
        <f t="shared" si="9"/>
        <v>182371.61</v>
      </c>
      <c r="G142" s="437">
        <f t="shared" si="9"/>
        <v>203680.88100000002</v>
      </c>
      <c r="H142" s="437">
        <f t="shared" si="9"/>
        <v>57443.399999999994</v>
      </c>
      <c r="I142" s="437">
        <f t="shared" si="9"/>
        <v>53890.200000000004</v>
      </c>
      <c r="J142" s="437">
        <f t="shared" si="9"/>
        <v>44795.7</v>
      </c>
      <c r="K142" s="437">
        <f t="shared" si="9"/>
        <v>110191.5</v>
      </c>
      <c r="L142" s="437">
        <f t="shared" si="9"/>
        <v>473267</v>
      </c>
      <c r="M142" s="437">
        <f t="shared" si="9"/>
        <v>500063.18</v>
      </c>
      <c r="N142" s="437">
        <f t="shared" si="9"/>
        <v>441449.58</v>
      </c>
      <c r="O142" s="437">
        <f t="shared" si="9"/>
        <v>542565.84</v>
      </c>
      <c r="P142" s="437">
        <f t="shared" si="9"/>
        <v>862339.07700000005</v>
      </c>
      <c r="Q142" s="437">
        <f t="shared" si="9"/>
        <v>897480.60000000009</v>
      </c>
      <c r="R142" s="437">
        <f t="shared" si="9"/>
        <v>834154.69900000002</v>
      </c>
      <c r="S142" s="437">
        <f t="shared" si="9"/>
        <v>897014.87699999998</v>
      </c>
      <c r="T142" s="437">
        <f t="shared" si="9"/>
        <v>0</v>
      </c>
      <c r="U142" s="437">
        <f t="shared" si="9"/>
        <v>0</v>
      </c>
      <c r="V142" s="437">
        <f t="shared" si="9"/>
        <v>0</v>
      </c>
      <c r="W142" s="437">
        <f t="shared" si="9"/>
        <v>0</v>
      </c>
      <c r="Z142" s="437">
        <v>0</v>
      </c>
      <c r="AA142" s="437">
        <v>1</v>
      </c>
      <c r="AB142" s="437">
        <v>0</v>
      </c>
      <c r="AC142" s="437">
        <v>1</v>
      </c>
      <c r="AD142" s="404">
        <v>0</v>
      </c>
      <c r="AE142" s="404">
        <v>0</v>
      </c>
      <c r="AF142" s="412">
        <v>0</v>
      </c>
      <c r="AG142" s="412">
        <v>0</v>
      </c>
      <c r="AH142" s="412">
        <v>1</v>
      </c>
      <c r="AI142" s="412">
        <v>0</v>
      </c>
      <c r="AJ142" s="499">
        <v>0</v>
      </c>
      <c r="AK142" s="437" t="s">
        <v>825</v>
      </c>
      <c r="AL142" s="437"/>
      <c r="AM142" s="437"/>
    </row>
    <row r="143" spans="1:39">
      <c r="A143" s="437" t="str">
        <f t="shared" si="10"/>
        <v>IMPLPG</v>
      </c>
      <c r="B143" s="437" t="s">
        <v>815</v>
      </c>
      <c r="C143" s="437" t="s">
        <v>73</v>
      </c>
      <c r="D143" s="437">
        <f t="shared" si="11"/>
        <v>368</v>
      </c>
      <c r="E143" s="437">
        <f t="shared" si="9"/>
        <v>184</v>
      </c>
      <c r="F143" s="437">
        <f t="shared" si="9"/>
        <v>1137.672</v>
      </c>
      <c r="G143" s="437">
        <f t="shared" si="9"/>
        <v>944.56399999999996</v>
      </c>
      <c r="H143" s="437">
        <f t="shared" si="9"/>
        <v>8298</v>
      </c>
      <c r="I143" s="437">
        <f t="shared" si="9"/>
        <v>7744.7999999999993</v>
      </c>
      <c r="J143" s="437">
        <f t="shared" si="9"/>
        <v>1106.3999999999996</v>
      </c>
      <c r="K143" s="437">
        <f t="shared" si="9"/>
        <v>11432.8</v>
      </c>
      <c r="L143" s="437">
        <f t="shared" si="9"/>
        <v>12474</v>
      </c>
      <c r="M143" s="437">
        <f t="shared" si="9"/>
        <v>14968.8</v>
      </c>
      <c r="N143" s="437">
        <f t="shared" si="9"/>
        <v>36623.300000000003</v>
      </c>
      <c r="O143" s="437">
        <f t="shared" si="9"/>
        <v>38799.4</v>
      </c>
      <c r="P143" s="437">
        <f t="shared" si="9"/>
        <v>47536.5</v>
      </c>
      <c r="Q143" s="437">
        <f t="shared" si="9"/>
        <v>47300</v>
      </c>
      <c r="R143" s="437">
        <f t="shared" si="9"/>
        <v>49381.200000000004</v>
      </c>
      <c r="S143" s="437">
        <f t="shared" si="9"/>
        <v>51983.675999999999</v>
      </c>
      <c r="T143" s="437">
        <f t="shared" si="9"/>
        <v>141</v>
      </c>
      <c r="U143" s="437">
        <f t="shared" si="9"/>
        <v>141</v>
      </c>
      <c r="V143" s="437">
        <f t="shared" si="9"/>
        <v>141</v>
      </c>
      <c r="W143" s="437">
        <f t="shared" si="9"/>
        <v>122.059</v>
      </c>
      <c r="Z143" s="498">
        <v>0.46071648475633875</v>
      </c>
      <c r="AA143" s="498">
        <f t="shared" ref="AA143:AA151" si="12">1-Z143</f>
        <v>0.53928351524366125</v>
      </c>
      <c r="AB143" s="498">
        <v>0.77041495132801496</v>
      </c>
      <c r="AC143" s="498">
        <v>0.22958504867198506</v>
      </c>
      <c r="AD143" s="404">
        <v>0.9</v>
      </c>
      <c r="AE143" s="404">
        <v>0.1</v>
      </c>
      <c r="AF143" s="412">
        <v>3.1911631478497848E-2</v>
      </c>
      <c r="AG143" s="412">
        <v>7.8874630001157672E-2</v>
      </c>
      <c r="AH143" s="412">
        <v>0.6677189378869256</v>
      </c>
      <c r="AI143" s="412">
        <v>0.22149480063341889</v>
      </c>
      <c r="AJ143" s="499">
        <v>1</v>
      </c>
      <c r="AK143" s="437" t="s">
        <v>824</v>
      </c>
      <c r="AL143" s="437"/>
      <c r="AM143" s="432" t="s">
        <v>829</v>
      </c>
    </row>
    <row r="144" spans="1:39">
      <c r="A144" s="437" t="str">
        <f t="shared" si="10"/>
        <v>IMPLVN</v>
      </c>
      <c r="B144" s="437" t="s">
        <v>815</v>
      </c>
      <c r="C144" s="437" t="s">
        <v>93</v>
      </c>
      <c r="D144" s="437">
        <f t="shared" si="11"/>
        <v>-89</v>
      </c>
      <c r="E144" s="437">
        <f t="shared" si="9"/>
        <v>0</v>
      </c>
      <c r="F144" s="437">
        <f t="shared" si="9"/>
        <v>0</v>
      </c>
      <c r="G144" s="437">
        <f t="shared" si="9"/>
        <v>0</v>
      </c>
      <c r="H144" s="437">
        <f t="shared" si="9"/>
        <v>5926.5</v>
      </c>
      <c r="I144" s="437">
        <f t="shared" si="9"/>
        <v>1668.2</v>
      </c>
      <c r="J144" s="437">
        <f t="shared" si="9"/>
        <v>3643.7000000000003</v>
      </c>
      <c r="K144" s="437">
        <f t="shared" si="9"/>
        <v>3468.1000000000004</v>
      </c>
      <c r="L144" s="437">
        <f t="shared" si="9"/>
        <v>19624.900000000001</v>
      </c>
      <c r="M144" s="437">
        <f t="shared" si="9"/>
        <v>7043.7000000000007</v>
      </c>
      <c r="N144" s="437">
        <f t="shared" si="9"/>
        <v>12625.5</v>
      </c>
      <c r="O144" s="437">
        <f t="shared" si="9"/>
        <v>20333.7</v>
      </c>
      <c r="P144" s="437">
        <f t="shared" si="9"/>
        <v>22828.5</v>
      </c>
      <c r="Q144" s="437">
        <f t="shared" si="9"/>
        <v>16198</v>
      </c>
      <c r="R144" s="437">
        <f t="shared" si="9"/>
        <v>10680</v>
      </c>
      <c r="S144" s="437">
        <f t="shared" si="9"/>
        <v>25519.788</v>
      </c>
      <c r="T144" s="437">
        <f t="shared" si="9"/>
        <v>0</v>
      </c>
      <c r="U144" s="437">
        <f t="shared" si="9"/>
        <v>0</v>
      </c>
      <c r="V144" s="437">
        <f t="shared" si="9"/>
        <v>0</v>
      </c>
      <c r="W144" s="437">
        <f t="shared" si="9"/>
        <v>0</v>
      </c>
      <c r="Z144" s="498">
        <v>0.46071648475633875</v>
      </c>
      <c r="AA144" s="498">
        <f t="shared" si="12"/>
        <v>0.53928351524366125</v>
      </c>
      <c r="AB144" s="498">
        <v>0.77041495132801496</v>
      </c>
      <c r="AC144" s="498">
        <v>0.22958504867198506</v>
      </c>
      <c r="AD144" s="404">
        <v>0.9</v>
      </c>
      <c r="AE144" s="404">
        <v>0.1</v>
      </c>
      <c r="AF144" s="412">
        <v>3.1911631478497848E-2</v>
      </c>
      <c r="AG144" s="412">
        <v>7.8874630001157672E-2</v>
      </c>
      <c r="AH144" s="412">
        <v>0.6677189378869256</v>
      </c>
      <c r="AI144" s="412">
        <v>0.22149480063341889</v>
      </c>
      <c r="AJ144" s="499">
        <v>1</v>
      </c>
      <c r="AK144" s="437" t="s">
        <v>824</v>
      </c>
      <c r="AL144" s="437"/>
      <c r="AM144" s="432" t="s">
        <v>829</v>
      </c>
    </row>
    <row r="145" spans="1:39">
      <c r="A145" s="437" t="str">
        <f t="shared" si="10"/>
        <v>IMPKER</v>
      </c>
      <c r="B145" s="437" t="s">
        <v>815</v>
      </c>
      <c r="C145" s="437" t="s">
        <v>77</v>
      </c>
      <c r="D145" s="437">
        <f t="shared" si="11"/>
        <v>34713.9</v>
      </c>
      <c r="E145" s="437">
        <f t="shared" si="9"/>
        <v>34408.800000000003</v>
      </c>
      <c r="F145" s="437">
        <f t="shared" si="9"/>
        <v>35567.93</v>
      </c>
      <c r="G145" s="437">
        <f t="shared" si="9"/>
        <v>42517.067999999999</v>
      </c>
      <c r="H145" s="437">
        <f t="shared" si="9"/>
        <v>15290.3</v>
      </c>
      <c r="I145" s="437">
        <f t="shared" si="9"/>
        <v>21821.4</v>
      </c>
      <c r="J145" s="437">
        <f t="shared" si="9"/>
        <v>22633.200000000001</v>
      </c>
      <c r="K145" s="437">
        <f t="shared" si="9"/>
        <v>11078.299999999997</v>
      </c>
      <c r="L145" s="437">
        <f t="shared" si="9"/>
        <v>35001.14</v>
      </c>
      <c r="M145" s="437">
        <f t="shared" si="9"/>
        <v>13839.480000000001</v>
      </c>
      <c r="N145" s="437">
        <f t="shared" si="9"/>
        <v>20282.560000000001</v>
      </c>
      <c r="O145" s="437">
        <f t="shared" si="9"/>
        <v>22881.8</v>
      </c>
      <c r="P145" s="437">
        <f t="shared" si="9"/>
        <v>31443.5</v>
      </c>
      <c r="Q145" s="437">
        <f t="shared" si="9"/>
        <v>30120.799999999999</v>
      </c>
      <c r="R145" s="437">
        <f t="shared" si="9"/>
        <v>35059.9</v>
      </c>
      <c r="S145" s="437">
        <f t="shared" si="9"/>
        <v>44411.121999999996</v>
      </c>
      <c r="T145" s="437">
        <f t="shared" si="9"/>
        <v>5676.3</v>
      </c>
      <c r="U145" s="437">
        <f t="shared" si="9"/>
        <v>6424</v>
      </c>
      <c r="V145" s="437">
        <f t="shared" si="9"/>
        <v>9680</v>
      </c>
      <c r="W145" s="437">
        <f t="shared" si="9"/>
        <v>18358.239000000001</v>
      </c>
      <c r="Z145" s="498">
        <v>0.46071648475633875</v>
      </c>
      <c r="AA145" s="498">
        <f t="shared" si="12"/>
        <v>0.53928351524366125</v>
      </c>
      <c r="AB145" s="498">
        <v>0.77041495132801496</v>
      </c>
      <c r="AC145" s="498">
        <v>0.22958504867198506</v>
      </c>
      <c r="AD145" s="404">
        <v>0.9</v>
      </c>
      <c r="AE145" s="404">
        <v>0.1</v>
      </c>
      <c r="AF145" s="412">
        <v>3.1911631478497848E-2</v>
      </c>
      <c r="AG145" s="412">
        <v>7.8874630001157672E-2</v>
      </c>
      <c r="AH145" s="412">
        <v>0.6677189378869256</v>
      </c>
      <c r="AI145" s="412">
        <v>0.22149480063341889</v>
      </c>
      <c r="AJ145" s="499">
        <v>1</v>
      </c>
      <c r="AK145" s="437" t="s">
        <v>824</v>
      </c>
      <c r="AL145" s="437"/>
      <c r="AM145" s="432" t="s">
        <v>829</v>
      </c>
    </row>
    <row r="146" spans="1:39">
      <c r="A146" s="437" t="str">
        <f t="shared" si="10"/>
        <v>IMPGSL</v>
      </c>
      <c r="B146" s="437" t="s">
        <v>815</v>
      </c>
      <c r="C146" s="437" t="s">
        <v>74</v>
      </c>
      <c r="D146" s="437">
        <f t="shared" si="11"/>
        <v>32412</v>
      </c>
      <c r="E146" s="437">
        <f t="shared" si="9"/>
        <v>33769.800000000003</v>
      </c>
      <c r="F146" s="437">
        <f t="shared" si="9"/>
        <v>28165.021000000001</v>
      </c>
      <c r="G146" s="437">
        <f t="shared" si="9"/>
        <v>20156.848000000002</v>
      </c>
      <c r="H146" s="437">
        <f t="shared" si="9"/>
        <v>17277</v>
      </c>
      <c r="I146" s="437">
        <f t="shared" si="9"/>
        <v>7506.9000000000005</v>
      </c>
      <c r="J146" s="437">
        <f t="shared" si="9"/>
        <v>12467.6</v>
      </c>
      <c r="K146" s="437">
        <f t="shared" si="9"/>
        <v>16945.400000000001</v>
      </c>
      <c r="L146" s="437">
        <f t="shared" si="9"/>
        <v>9718</v>
      </c>
      <c r="M146" s="437">
        <f t="shared" si="9"/>
        <v>2279</v>
      </c>
      <c r="N146" s="437">
        <f t="shared" si="9"/>
        <v>21309.399999999998</v>
      </c>
      <c r="O146" s="437">
        <f t="shared" si="9"/>
        <v>24217.199999999997</v>
      </c>
      <c r="P146" s="437">
        <f t="shared" si="9"/>
        <v>84347.199999999997</v>
      </c>
      <c r="Q146" s="437">
        <f t="shared" si="9"/>
        <v>54577.599999999999</v>
      </c>
      <c r="R146" s="437">
        <f t="shared" si="9"/>
        <v>77613.600000000006</v>
      </c>
      <c r="S146" s="437">
        <f t="shared" si="9"/>
        <v>35504.539999999994</v>
      </c>
      <c r="T146" s="437">
        <f t="shared" si="9"/>
        <v>6512</v>
      </c>
      <c r="U146" s="437">
        <f t="shared" si="9"/>
        <v>6028</v>
      </c>
      <c r="V146" s="437">
        <f t="shared" si="9"/>
        <v>5808</v>
      </c>
      <c r="W146" s="437">
        <f t="shared" si="9"/>
        <v>5679.1269999999995</v>
      </c>
      <c r="Z146" s="498">
        <v>0.46071648475633875</v>
      </c>
      <c r="AA146" s="498">
        <f t="shared" si="12"/>
        <v>0.53928351524366125</v>
      </c>
      <c r="AB146" s="498">
        <v>0.77041495132801496</v>
      </c>
      <c r="AC146" s="498">
        <v>0.22958504867198506</v>
      </c>
      <c r="AD146" s="404">
        <v>0.9</v>
      </c>
      <c r="AE146" s="404">
        <v>0.1</v>
      </c>
      <c r="AF146" s="412">
        <v>3.1911631478497848E-2</v>
      </c>
      <c r="AG146" s="412">
        <v>7.8874630001157672E-2</v>
      </c>
      <c r="AH146" s="412">
        <v>0.6677189378869256</v>
      </c>
      <c r="AI146" s="412">
        <v>0.22149480063341889</v>
      </c>
      <c r="AJ146" s="499">
        <v>1</v>
      </c>
      <c r="AK146" s="437" t="s">
        <v>824</v>
      </c>
      <c r="AL146" s="437"/>
      <c r="AM146" s="432" t="s">
        <v>829</v>
      </c>
    </row>
    <row r="147" spans="1:39">
      <c r="A147" s="437" t="str">
        <f t="shared" si="10"/>
        <v>IMPDSL</v>
      </c>
      <c r="B147" s="437" t="s">
        <v>815</v>
      </c>
      <c r="C147" s="437" t="s">
        <v>45</v>
      </c>
      <c r="D147" s="437">
        <f t="shared" si="11"/>
        <v>94495.1</v>
      </c>
      <c r="E147" s="437">
        <f t="shared" si="9"/>
        <v>85570.8</v>
      </c>
      <c r="F147" s="437">
        <f t="shared" si="9"/>
        <v>139990.45600000001</v>
      </c>
      <c r="G147" s="437">
        <f t="shared" si="9"/>
        <v>112093.606</v>
      </c>
      <c r="H147" s="437">
        <f t="shared" si="9"/>
        <v>55771</v>
      </c>
      <c r="I147" s="437">
        <f t="shared" si="9"/>
        <v>59426</v>
      </c>
      <c r="J147" s="437">
        <f t="shared" si="9"/>
        <v>72541</v>
      </c>
      <c r="K147" s="437">
        <f t="shared" si="9"/>
        <v>66374</v>
      </c>
      <c r="L147" s="437">
        <f t="shared" si="9"/>
        <v>101402.81999999999</v>
      </c>
      <c r="M147" s="437">
        <f t="shared" si="9"/>
        <v>105666.6</v>
      </c>
      <c r="N147" s="437">
        <f t="shared" si="9"/>
        <v>73603.66399999999</v>
      </c>
      <c r="O147" s="437">
        <f t="shared" si="9"/>
        <v>73770.904999999999</v>
      </c>
      <c r="P147" s="437">
        <f t="shared" si="9"/>
        <v>110639</v>
      </c>
      <c r="Q147" s="437">
        <f t="shared" si="9"/>
        <v>92278</v>
      </c>
      <c r="R147" s="437">
        <f t="shared" si="9"/>
        <v>90945</v>
      </c>
      <c r="S147" s="437">
        <f t="shared" si="9"/>
        <v>101812.86</v>
      </c>
      <c r="T147" s="437">
        <f t="shared" si="9"/>
        <v>13588</v>
      </c>
      <c r="U147" s="437">
        <f t="shared" si="9"/>
        <v>12040</v>
      </c>
      <c r="V147" s="437">
        <f t="shared" si="9"/>
        <v>14362</v>
      </c>
      <c r="W147" s="437">
        <f t="shared" si="9"/>
        <v>14642.875999999998</v>
      </c>
      <c r="Z147" s="498">
        <v>0.46071648475633875</v>
      </c>
      <c r="AA147" s="498">
        <f t="shared" si="12"/>
        <v>0.53928351524366125</v>
      </c>
      <c r="AB147" s="498">
        <v>0.77041495132801496</v>
      </c>
      <c r="AC147" s="498">
        <v>0.22958504867198506</v>
      </c>
      <c r="AD147" s="404">
        <v>0.9</v>
      </c>
      <c r="AE147" s="404">
        <v>0.1</v>
      </c>
      <c r="AF147" s="412">
        <v>3.1911631478497848E-2</v>
      </c>
      <c r="AG147" s="412">
        <v>7.8874630001157672E-2</v>
      </c>
      <c r="AH147" s="412">
        <v>0.6677189378869256</v>
      </c>
      <c r="AI147" s="412">
        <v>0.22149480063341889</v>
      </c>
      <c r="AJ147" s="499">
        <v>1</v>
      </c>
      <c r="AK147" s="437" t="s">
        <v>824</v>
      </c>
      <c r="AL147" s="437"/>
      <c r="AM147" s="432" t="s">
        <v>829</v>
      </c>
    </row>
    <row r="148" spans="1:39">
      <c r="A148" s="437" t="str">
        <f t="shared" si="10"/>
        <v>IMPHFO</v>
      </c>
      <c r="B148" s="437" t="s">
        <v>815</v>
      </c>
      <c r="C148" s="437" t="s">
        <v>44</v>
      </c>
      <c r="D148" s="437">
        <f t="shared" si="11"/>
        <v>91142.399999999994</v>
      </c>
      <c r="E148" s="437">
        <f t="shared" si="9"/>
        <v>72679.600000000006</v>
      </c>
      <c r="F148" s="437">
        <f t="shared" si="9"/>
        <v>144979.07699999999</v>
      </c>
      <c r="G148" s="437">
        <f t="shared" si="9"/>
        <v>79430.521000000008</v>
      </c>
      <c r="H148" s="437">
        <f t="shared" si="9"/>
        <v>66218.599999999991</v>
      </c>
      <c r="I148" s="437">
        <f t="shared" si="9"/>
        <v>49491.4</v>
      </c>
      <c r="J148" s="437">
        <f t="shared" si="9"/>
        <v>65731.399999999994</v>
      </c>
      <c r="K148" s="437">
        <f t="shared" si="9"/>
        <v>57206.400000000001</v>
      </c>
      <c r="L148" s="437">
        <f t="shared" si="9"/>
        <v>30219.200000000001</v>
      </c>
      <c r="M148" s="437">
        <f t="shared" si="9"/>
        <v>37450.799999999996</v>
      </c>
      <c r="N148" s="437">
        <f t="shared" si="9"/>
        <v>36158</v>
      </c>
      <c r="O148" s="437">
        <f t="shared" si="9"/>
        <v>15553.999999999998</v>
      </c>
      <c r="P148" s="437">
        <f t="shared" si="9"/>
        <v>47510.399999999994</v>
      </c>
      <c r="Q148" s="437">
        <f t="shared" si="9"/>
        <v>39592</v>
      </c>
      <c r="R148" s="437">
        <f t="shared" si="9"/>
        <v>1898.7999999999993</v>
      </c>
      <c r="S148" s="437">
        <f t="shared" si="9"/>
        <v>84889.937999999995</v>
      </c>
      <c r="T148" s="437">
        <f t="shared" si="9"/>
        <v>3514.7999999999997</v>
      </c>
      <c r="U148" s="437">
        <f t="shared" si="9"/>
        <v>4161.2</v>
      </c>
      <c r="V148" s="437">
        <f t="shared" si="9"/>
        <v>3918.8</v>
      </c>
      <c r="W148" s="437">
        <f t="shared" si="9"/>
        <v>4702.6810000000005</v>
      </c>
      <c r="Z148" s="498">
        <v>0.46071648475633875</v>
      </c>
      <c r="AA148" s="498">
        <f t="shared" si="12"/>
        <v>0.53928351524366125</v>
      </c>
      <c r="AB148" s="498">
        <v>0.77041495132801496</v>
      </c>
      <c r="AC148" s="498">
        <v>0.22958504867198506</v>
      </c>
      <c r="AD148" s="404">
        <v>0.9</v>
      </c>
      <c r="AE148" s="404">
        <v>0.1</v>
      </c>
      <c r="AF148" s="412">
        <v>3.1911631478497848E-2</v>
      </c>
      <c r="AG148" s="412">
        <v>7.8874630001157672E-2</v>
      </c>
      <c r="AH148" s="412">
        <v>0.6677189378869256</v>
      </c>
      <c r="AI148" s="412">
        <v>0.22149480063341889</v>
      </c>
      <c r="AJ148" s="499">
        <v>1</v>
      </c>
      <c r="AK148" s="437" t="s">
        <v>824</v>
      </c>
      <c r="AL148" s="437"/>
      <c r="AM148" s="432" t="s">
        <v>829</v>
      </c>
    </row>
    <row r="149" spans="1:39">
      <c r="A149" s="437" t="str">
        <f t="shared" si="10"/>
        <v>IMPGSB</v>
      </c>
      <c r="B149" s="437" t="s">
        <v>815</v>
      </c>
      <c r="C149" s="437" t="s">
        <v>798</v>
      </c>
      <c r="D149" s="437">
        <f t="shared" si="11"/>
        <v>1121.4000000000001</v>
      </c>
      <c r="E149" s="437">
        <f t="shared" si="9"/>
        <v>1927.874</v>
      </c>
      <c r="F149" s="437">
        <f t="shared" si="9"/>
        <v>1823.6899999999998</v>
      </c>
      <c r="G149" s="437">
        <f t="shared" si="9"/>
        <v>1843.796</v>
      </c>
      <c r="H149" s="437">
        <f t="shared" si="9"/>
        <v>187.6</v>
      </c>
      <c r="I149" s="437">
        <f t="shared" si="9"/>
        <v>375.2</v>
      </c>
      <c r="J149" s="437">
        <f t="shared" si="9"/>
        <v>428.79999999999995</v>
      </c>
      <c r="K149" s="437">
        <f t="shared" si="9"/>
        <v>1500.5050000000001</v>
      </c>
      <c r="L149" s="437">
        <f t="shared" si="9"/>
        <v>3258.0250000000001</v>
      </c>
      <c r="M149" s="437">
        <f t="shared" si="9"/>
        <v>3650.8860000000004</v>
      </c>
      <c r="N149" s="437">
        <f t="shared" si="9"/>
        <v>2915.518</v>
      </c>
      <c r="O149" s="437">
        <f t="shared" si="9"/>
        <v>3726.4049999999997</v>
      </c>
      <c r="P149" s="437">
        <f t="shared" si="9"/>
        <v>5441.7539999999999</v>
      </c>
      <c r="Q149" s="437">
        <f t="shared" si="9"/>
        <v>5708.3550000000005</v>
      </c>
      <c r="R149" s="437">
        <f t="shared" si="9"/>
        <v>4663.8870000000006</v>
      </c>
      <c r="S149" s="437">
        <f t="shared" si="9"/>
        <v>6960.5540000000001</v>
      </c>
      <c r="T149" s="437">
        <f t="shared" si="9"/>
        <v>0</v>
      </c>
      <c r="U149" s="437">
        <f t="shared" si="9"/>
        <v>0</v>
      </c>
      <c r="V149" s="437">
        <f t="shared" si="9"/>
        <v>53.599999999999994</v>
      </c>
      <c r="W149" s="437">
        <f t="shared" si="9"/>
        <v>166.56299999999999</v>
      </c>
      <c r="Z149" s="498">
        <v>0.46071648475633875</v>
      </c>
      <c r="AA149" s="498">
        <f t="shared" si="12"/>
        <v>0.53928351524366125</v>
      </c>
      <c r="AB149" s="498">
        <v>0.77041495132801496</v>
      </c>
      <c r="AC149" s="498">
        <v>0.22958504867198506</v>
      </c>
      <c r="AD149" s="404">
        <v>0.9</v>
      </c>
      <c r="AE149" s="404">
        <v>0.1</v>
      </c>
      <c r="AF149" s="412">
        <v>3.1911631478497848E-2</v>
      </c>
      <c r="AG149" s="412">
        <v>7.8874630001157672E-2</v>
      </c>
      <c r="AH149" s="412">
        <v>0.6677189378869256</v>
      </c>
      <c r="AI149" s="412">
        <v>0.22149480063341889</v>
      </c>
      <c r="AJ149" s="499">
        <v>1</v>
      </c>
      <c r="AK149" s="437" t="s">
        <v>824</v>
      </c>
      <c r="AL149" s="437"/>
      <c r="AM149" s="432" t="s">
        <v>829</v>
      </c>
    </row>
    <row r="150" spans="1:39">
      <c r="A150" s="437" t="str">
        <f t="shared" si="10"/>
        <v>IMPDSB</v>
      </c>
      <c r="B150" s="437" t="s">
        <v>815</v>
      </c>
      <c r="C150" s="437" t="s">
        <v>799</v>
      </c>
      <c r="D150" s="437">
        <f t="shared" si="11"/>
        <v>2887.5</v>
      </c>
      <c r="E150" s="437">
        <f t="shared" si="9"/>
        <v>8302.3119999999999</v>
      </c>
      <c r="F150" s="437">
        <f t="shared" si="9"/>
        <v>8480.625</v>
      </c>
      <c r="G150" s="437">
        <f t="shared" si="9"/>
        <v>9351.3379999999997</v>
      </c>
      <c r="H150" s="437">
        <f t="shared" si="9"/>
        <v>4636.7999999999993</v>
      </c>
      <c r="I150" s="437">
        <f t="shared" si="9"/>
        <v>8440.5949999999993</v>
      </c>
      <c r="J150" s="437">
        <f t="shared" si="9"/>
        <v>5649.5730000000003</v>
      </c>
      <c r="K150" s="437">
        <f t="shared" si="9"/>
        <v>12107.715</v>
      </c>
      <c r="L150" s="437">
        <f t="shared" si="9"/>
        <v>194.31100000000001</v>
      </c>
      <c r="M150" s="437">
        <f t="shared" si="9"/>
        <v>4973.9390000000003</v>
      </c>
      <c r="N150" s="437">
        <f t="shared" si="9"/>
        <v>-11.994999999999999</v>
      </c>
      <c r="O150" s="437">
        <f t="shared" si="9"/>
        <v>9.7349999999999994</v>
      </c>
      <c r="P150" s="437">
        <f t="shared" si="9"/>
        <v>3761.703</v>
      </c>
      <c r="Q150" s="437">
        <f t="shared" si="9"/>
        <v>7143.8980000000001</v>
      </c>
      <c r="R150" s="437">
        <f t="shared" si="9"/>
        <v>29252.87</v>
      </c>
      <c r="S150" s="437">
        <f t="shared" si="9"/>
        <v>57567.819000000003</v>
      </c>
      <c r="T150" s="437">
        <f t="shared" si="9"/>
        <v>0</v>
      </c>
      <c r="U150" s="437">
        <f t="shared" si="9"/>
        <v>-2.8680000000000003</v>
      </c>
      <c r="V150" s="437">
        <f t="shared" si="9"/>
        <v>513.6</v>
      </c>
      <c r="W150" s="437">
        <f t="shared" si="9"/>
        <v>539.20000000000005</v>
      </c>
      <c r="Z150" s="498">
        <v>0.46071648475633875</v>
      </c>
      <c r="AA150" s="498">
        <f t="shared" si="12"/>
        <v>0.53928351524366125</v>
      </c>
      <c r="AB150" s="498">
        <v>0.77041495132801496</v>
      </c>
      <c r="AC150" s="498">
        <v>0.22958504867198506</v>
      </c>
      <c r="AD150" s="404">
        <v>0.9</v>
      </c>
      <c r="AE150" s="404">
        <v>0.1</v>
      </c>
      <c r="AF150" s="412">
        <v>3.1911631478497848E-2</v>
      </c>
      <c r="AG150" s="412">
        <v>7.8874630001157672E-2</v>
      </c>
      <c r="AH150" s="412">
        <v>0.6677189378869256</v>
      </c>
      <c r="AI150" s="412">
        <v>0.22149480063341889</v>
      </c>
      <c r="AJ150" s="499">
        <v>1</v>
      </c>
      <c r="AK150" s="437" t="s">
        <v>824</v>
      </c>
      <c r="AL150" s="437"/>
      <c r="AM150" s="432" t="s">
        <v>829</v>
      </c>
    </row>
    <row r="151" spans="1:39">
      <c r="A151" s="437" t="str">
        <f t="shared" si="10"/>
        <v>IMPKRB</v>
      </c>
      <c r="B151" s="437" t="s">
        <v>815</v>
      </c>
      <c r="C151" s="437" t="s">
        <v>800</v>
      </c>
      <c r="D151" s="437">
        <f t="shared" si="11"/>
        <v>0</v>
      </c>
      <c r="E151" s="437">
        <f t="shared" si="9"/>
        <v>0</v>
      </c>
      <c r="F151" s="437">
        <f t="shared" si="9"/>
        <v>0</v>
      </c>
      <c r="G151" s="437">
        <f t="shared" si="9"/>
        <v>0</v>
      </c>
      <c r="H151" s="437">
        <f t="shared" si="9"/>
        <v>0</v>
      </c>
      <c r="I151" s="437">
        <f t="shared" si="9"/>
        <v>0</v>
      </c>
      <c r="J151" s="437">
        <f t="shared" si="9"/>
        <v>0</v>
      </c>
      <c r="K151" s="437">
        <f t="shared" si="9"/>
        <v>0</v>
      </c>
      <c r="L151" s="437">
        <f t="shared" si="9"/>
        <v>0</v>
      </c>
      <c r="M151" s="437">
        <f t="shared" si="9"/>
        <v>0</v>
      </c>
      <c r="N151" s="437">
        <f t="shared" si="9"/>
        <v>0</v>
      </c>
      <c r="O151" s="437">
        <f t="shared" si="9"/>
        <v>0</v>
      </c>
      <c r="P151" s="437">
        <f t="shared" si="9"/>
        <v>0</v>
      </c>
      <c r="Q151" s="437">
        <f t="shared" si="9"/>
        <v>0</v>
      </c>
      <c r="R151" s="437">
        <f t="shared" si="9"/>
        <v>0</v>
      </c>
      <c r="S151" s="437">
        <f t="shared" si="9"/>
        <v>0</v>
      </c>
      <c r="T151" s="437">
        <f t="shared" si="9"/>
        <v>0</v>
      </c>
      <c r="U151" s="437">
        <f t="shared" si="9"/>
        <v>0</v>
      </c>
      <c r="V151" s="437">
        <f t="shared" si="9"/>
        <v>0</v>
      </c>
      <c r="W151" s="437">
        <f t="shared" si="9"/>
        <v>0</v>
      </c>
      <c r="Z151" s="498">
        <v>0.46071648475633875</v>
      </c>
      <c r="AA151" s="498">
        <f t="shared" si="12"/>
        <v>0.53928351524366125</v>
      </c>
      <c r="AB151" s="498">
        <v>0.77041495132801496</v>
      </c>
      <c r="AC151" s="498">
        <v>0.22958504867198506</v>
      </c>
      <c r="AD151" s="404">
        <v>0.9</v>
      </c>
      <c r="AE151" s="404">
        <v>0.1</v>
      </c>
      <c r="AF151" s="412">
        <v>3.1911631478497848E-2</v>
      </c>
      <c r="AG151" s="412">
        <v>7.8874630001157672E-2</v>
      </c>
      <c r="AH151" s="412">
        <v>0.6677189378869256</v>
      </c>
      <c r="AI151" s="412">
        <v>0.22149480063341889</v>
      </c>
      <c r="AJ151" s="499">
        <v>1</v>
      </c>
      <c r="AK151" s="437" t="s">
        <v>824</v>
      </c>
      <c r="AL151" s="437"/>
      <c r="AM151" s="432" t="s">
        <v>829</v>
      </c>
    </row>
    <row r="152" spans="1:39" ht="14.4">
      <c r="A152" s="437" t="str">
        <f t="shared" si="10"/>
        <v>IMPBGA</v>
      </c>
      <c r="B152" s="437" t="s">
        <v>815</v>
      </c>
      <c r="C152" s="437" t="s">
        <v>126</v>
      </c>
      <c r="D152" s="437">
        <f t="shared" si="11"/>
        <v>0</v>
      </c>
      <c r="E152" s="437">
        <f t="shared" si="9"/>
        <v>0</v>
      </c>
      <c r="F152" s="437">
        <f t="shared" si="9"/>
        <v>0</v>
      </c>
      <c r="G152" s="437">
        <f t="shared" si="9"/>
        <v>0</v>
      </c>
      <c r="H152" s="437">
        <f t="shared" si="9"/>
        <v>0</v>
      </c>
      <c r="I152" s="437">
        <f t="shared" ref="E152:W154" si="13">I39+I75</f>
        <v>0</v>
      </c>
      <c r="J152" s="437">
        <f t="shared" si="13"/>
        <v>0</v>
      </c>
      <c r="K152" s="437">
        <f t="shared" si="13"/>
        <v>58.253</v>
      </c>
      <c r="L152" s="437">
        <f t="shared" si="13"/>
        <v>0</v>
      </c>
      <c r="M152" s="437">
        <f t="shared" si="13"/>
        <v>0</v>
      </c>
      <c r="N152" s="437">
        <f t="shared" si="13"/>
        <v>0</v>
      </c>
      <c r="O152" s="437">
        <f t="shared" si="13"/>
        <v>0</v>
      </c>
      <c r="P152" s="437">
        <f t="shared" si="13"/>
        <v>0</v>
      </c>
      <c r="Q152" s="437">
        <f t="shared" si="13"/>
        <v>0</v>
      </c>
      <c r="R152" s="437">
        <f t="shared" si="13"/>
        <v>0</v>
      </c>
      <c r="S152" s="437">
        <f t="shared" si="13"/>
        <v>0</v>
      </c>
      <c r="T152" s="437">
        <f t="shared" si="13"/>
        <v>0</v>
      </c>
      <c r="U152" s="437">
        <f t="shared" si="13"/>
        <v>0</v>
      </c>
      <c r="V152" s="437">
        <f t="shared" si="13"/>
        <v>0</v>
      </c>
      <c r="W152" s="437">
        <f t="shared" si="13"/>
        <v>0</v>
      </c>
      <c r="Z152" s="500">
        <v>0.16985317211055276</v>
      </c>
      <c r="AA152" s="500">
        <v>0.83014682788944727</v>
      </c>
      <c r="AB152" s="500">
        <v>0.48632184165814718</v>
      </c>
      <c r="AC152" s="500">
        <v>0.51367815834185271</v>
      </c>
      <c r="AD152" s="404">
        <v>0.1</v>
      </c>
      <c r="AE152" s="404">
        <v>0.9</v>
      </c>
      <c r="AF152" s="500">
        <v>2.8368794326241134E-2</v>
      </c>
      <c r="AG152" s="500">
        <v>7.0921985815602835E-3</v>
      </c>
      <c r="AH152" s="500">
        <v>0.55319148936170215</v>
      </c>
      <c r="AI152" s="500">
        <v>0.41134751773049644</v>
      </c>
      <c r="AJ152" s="499">
        <v>1</v>
      </c>
      <c r="AK152" s="432" t="s">
        <v>830</v>
      </c>
      <c r="AL152" s="437"/>
      <c r="AM152" s="432" t="s">
        <v>831</v>
      </c>
    </row>
    <row r="153" spans="1:39">
      <c r="A153" s="437" t="str">
        <f t="shared" si="10"/>
        <v>IMPWST</v>
      </c>
      <c r="B153" s="437" t="s">
        <v>815</v>
      </c>
      <c r="C153" s="437" t="s">
        <v>42</v>
      </c>
      <c r="D153" s="437">
        <f t="shared" si="11"/>
        <v>0</v>
      </c>
      <c r="E153" s="437">
        <f t="shared" si="13"/>
        <v>2501</v>
      </c>
      <c r="F153" s="437">
        <f t="shared" si="13"/>
        <v>7074.7950000000001</v>
      </c>
      <c r="G153" s="437">
        <f t="shared" si="13"/>
        <v>7070.2</v>
      </c>
      <c r="H153" s="437">
        <f t="shared" si="13"/>
        <v>0</v>
      </c>
      <c r="I153" s="437">
        <f t="shared" si="13"/>
        <v>0</v>
      </c>
      <c r="J153" s="437">
        <f t="shared" si="13"/>
        <v>0</v>
      </c>
      <c r="K153" s="437">
        <f t="shared" si="13"/>
        <v>0</v>
      </c>
      <c r="L153" s="437">
        <f t="shared" si="13"/>
        <v>0</v>
      </c>
      <c r="M153" s="437">
        <f t="shared" si="13"/>
        <v>0</v>
      </c>
      <c r="N153" s="437">
        <f t="shared" si="13"/>
        <v>0</v>
      </c>
      <c r="O153" s="437">
        <f t="shared" si="13"/>
        <v>0</v>
      </c>
      <c r="P153" s="437">
        <f t="shared" si="13"/>
        <v>4193</v>
      </c>
      <c r="Q153" s="437">
        <f t="shared" si="13"/>
        <v>7160</v>
      </c>
      <c r="R153" s="437">
        <f t="shared" si="13"/>
        <v>9201</v>
      </c>
      <c r="S153" s="437">
        <f t="shared" si="13"/>
        <v>11100</v>
      </c>
      <c r="T153" s="437">
        <f t="shared" si="13"/>
        <v>0</v>
      </c>
      <c r="U153" s="437">
        <f t="shared" si="13"/>
        <v>0</v>
      </c>
      <c r="V153" s="437">
        <f t="shared" si="13"/>
        <v>0</v>
      </c>
      <c r="W153" s="437">
        <f t="shared" si="13"/>
        <v>0</v>
      </c>
      <c r="Z153" s="498">
        <v>0.46071648475633875</v>
      </c>
      <c r="AA153" s="498">
        <f>1-Z153</f>
        <v>0.53928351524366125</v>
      </c>
      <c r="AB153" s="498">
        <v>0.77041495132801496</v>
      </c>
      <c r="AC153" s="498">
        <v>0.22958504867198506</v>
      </c>
      <c r="AD153" s="404">
        <v>0.9</v>
      </c>
      <c r="AE153" s="404">
        <v>0.1</v>
      </c>
      <c r="AF153" s="412">
        <v>3.1911631478497848E-2</v>
      </c>
      <c r="AG153" s="412">
        <v>7.8874630001157672E-2</v>
      </c>
      <c r="AH153" s="412">
        <v>0.6677189378869256</v>
      </c>
      <c r="AI153" s="412">
        <v>0.22149480063341889</v>
      </c>
      <c r="AJ153" s="499">
        <v>1</v>
      </c>
      <c r="AK153" s="437" t="s">
        <v>824</v>
      </c>
      <c r="AL153" s="437"/>
      <c r="AM153" s="432" t="s">
        <v>829</v>
      </c>
    </row>
    <row r="154" spans="1:39" ht="14.4">
      <c r="A154" s="437" t="str">
        <f t="shared" si="10"/>
        <v>IMPBIO</v>
      </c>
      <c r="B154" s="437" t="s">
        <v>815</v>
      </c>
      <c r="C154" s="437" t="s">
        <v>801</v>
      </c>
      <c r="D154" s="437">
        <f t="shared" si="11"/>
        <v>35479.605000000003</v>
      </c>
      <c r="E154" s="437">
        <f t="shared" si="13"/>
        <v>41344.343000000001</v>
      </c>
      <c r="F154" s="437">
        <f t="shared" si="13"/>
        <v>39598.720000000001</v>
      </c>
      <c r="G154" s="437">
        <f t="shared" si="13"/>
        <v>61827.542999999998</v>
      </c>
      <c r="H154" s="437">
        <f t="shared" si="13"/>
        <v>3616.2449999999999</v>
      </c>
      <c r="I154" s="437">
        <f t="shared" si="13"/>
        <v>3371.0929999999998</v>
      </c>
      <c r="J154" s="437">
        <f t="shared" si="13"/>
        <v>1751.615</v>
      </c>
      <c r="K154" s="437">
        <f t="shared" si="13"/>
        <v>2771.4139999999998</v>
      </c>
      <c r="L154" s="437">
        <f t="shared" si="13"/>
        <v>4029.0329999999999</v>
      </c>
      <c r="M154" s="437">
        <f t="shared" si="13"/>
        <v>3092.8629999999998</v>
      </c>
      <c r="N154" s="437">
        <f t="shared" si="13"/>
        <v>2818</v>
      </c>
      <c r="O154" s="437">
        <f t="shared" si="13"/>
        <v>2778</v>
      </c>
      <c r="P154" s="437">
        <f t="shared" si="13"/>
        <v>0</v>
      </c>
      <c r="Q154" s="437">
        <f t="shared" si="13"/>
        <v>8461</v>
      </c>
      <c r="R154" s="437">
        <f t="shared" si="13"/>
        <v>6169</v>
      </c>
      <c r="S154" s="437">
        <f t="shared" si="13"/>
        <v>6668</v>
      </c>
      <c r="T154" s="437">
        <f t="shared" si="13"/>
        <v>0</v>
      </c>
      <c r="U154" s="437">
        <f t="shared" si="13"/>
        <v>0</v>
      </c>
      <c r="V154" s="437">
        <f t="shared" si="13"/>
        <v>0</v>
      </c>
      <c r="W154" s="437">
        <f t="shared" si="13"/>
        <v>0</v>
      </c>
      <c r="Z154" s="498">
        <v>0.2278820625087335</v>
      </c>
      <c r="AA154" s="498">
        <v>0.77211793749126656</v>
      </c>
      <c r="AB154" s="500">
        <v>0.43589157466609557</v>
      </c>
      <c r="AC154" s="500">
        <v>0.56410842533390437</v>
      </c>
      <c r="AD154" s="404">
        <v>0.1</v>
      </c>
      <c r="AE154" s="404">
        <v>0.9</v>
      </c>
      <c r="AF154" s="500">
        <v>0.23945933192550606</v>
      </c>
      <c r="AG154" s="500">
        <v>0.35198143890868033</v>
      </c>
      <c r="AH154" s="500">
        <v>0.32686697982049234</v>
      </c>
      <c r="AI154" s="500">
        <v>8.1692249345321322E-2</v>
      </c>
      <c r="AJ154" s="499">
        <v>1</v>
      </c>
      <c r="AK154" s="437" t="s">
        <v>826</v>
      </c>
      <c r="AL154" s="437"/>
      <c r="AM154" s="432" t="s">
        <v>831</v>
      </c>
    </row>
    <row r="155" spans="1:39" ht="14.4">
      <c r="A155" s="437" t="str">
        <f t="shared" si="10"/>
        <v>IMPURN</v>
      </c>
      <c r="B155" s="437" t="s">
        <v>815</v>
      </c>
      <c r="C155" s="495" t="s">
        <v>684</v>
      </c>
      <c r="D155" s="437">
        <v>0</v>
      </c>
      <c r="E155" s="437">
        <v>0</v>
      </c>
      <c r="F155" s="437">
        <v>0</v>
      </c>
      <c r="G155" s="437">
        <v>0</v>
      </c>
      <c r="H155" s="437">
        <v>0</v>
      </c>
      <c r="I155" s="437">
        <v>0</v>
      </c>
      <c r="J155" s="437">
        <v>0</v>
      </c>
      <c r="K155" s="437">
        <v>0</v>
      </c>
      <c r="L155" s="437">
        <v>0</v>
      </c>
      <c r="M155" s="437">
        <v>0</v>
      </c>
      <c r="N155" s="437">
        <v>0</v>
      </c>
      <c r="O155" s="437">
        <v>0</v>
      </c>
      <c r="P155" s="437">
        <v>0</v>
      </c>
      <c r="Q155" s="437">
        <v>0</v>
      </c>
      <c r="R155" s="437">
        <v>0</v>
      </c>
      <c r="S155" s="437">
        <v>0</v>
      </c>
      <c r="T155" s="437">
        <v>0</v>
      </c>
      <c r="U155" s="437">
        <v>0</v>
      </c>
      <c r="V155" s="437">
        <v>0</v>
      </c>
      <c r="W155" s="437">
        <v>0</v>
      </c>
      <c r="X155" s="437"/>
      <c r="Z155" s="437">
        <v>0</v>
      </c>
      <c r="AA155" s="437">
        <v>0</v>
      </c>
      <c r="AB155" s="437">
        <v>0</v>
      </c>
      <c r="AC155" s="437">
        <v>0</v>
      </c>
      <c r="AD155" s="404">
        <v>0</v>
      </c>
      <c r="AE155" s="404">
        <v>1</v>
      </c>
      <c r="AF155" s="412">
        <f>2/3</f>
        <v>0.66666666666666663</v>
      </c>
      <c r="AG155" s="412">
        <v>0</v>
      </c>
      <c r="AH155" s="412">
        <f>1/3</f>
        <v>0.33333333333333331</v>
      </c>
      <c r="AI155" s="437">
        <v>0</v>
      </c>
      <c r="AJ155" s="499">
        <v>1</v>
      </c>
      <c r="AK155" s="437" t="s">
        <v>825</v>
      </c>
      <c r="AL155" s="437"/>
      <c r="AM155" s="437" t="s">
        <v>828</v>
      </c>
    </row>
  </sheetData>
  <phoneticPr fontId="118"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LOG</vt:lpstr>
      <vt:lpstr>Intro</vt:lpstr>
      <vt:lpstr>Commodities</vt:lpstr>
      <vt:lpstr>Processes</vt:lpstr>
      <vt:lpstr>MIN-IMP-EXP</vt:lpstr>
      <vt:lpstr>ETS_NETS_Prices</vt:lpstr>
      <vt:lpstr>Refineries</vt:lpstr>
      <vt:lpstr>Emis</vt:lpstr>
      <vt:lpstr>Fuel Tech</vt:lpstr>
      <vt:lpstr>BiomassCost</vt:lpstr>
      <vt:lpstr>Energy Balance</vt:lpstr>
      <vt:lpstr>CO2Price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Mikkel Bosack</cp:lastModifiedBy>
  <cp:lastPrinted>2005-02-10T12:45:56Z</cp:lastPrinted>
  <dcterms:created xsi:type="dcterms:W3CDTF">2000-12-13T15:53:11Z</dcterms:created>
  <dcterms:modified xsi:type="dcterms:W3CDTF">2021-05-07T14:04:06Z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270488917827606</vt:r8>
  </property>
</Properties>
</file>